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CMS results/4NP_CMS/"/>
    </mc:Choice>
  </mc:AlternateContent>
  <xr:revisionPtr revIDLastSave="0" documentId="5_{B2E2D4BB-CC27-4E75-A73A-E4186E6989B7}" xr6:coauthVersionLast="47" xr6:coauthVersionMax="47" xr10:uidLastSave="{00000000-0000-0000-0000-000000000000}"/>
  <bookViews>
    <workbookView xWindow="13140" yWindow="720" windowWidth="7752" windowHeight="8964" xr2:uid="{50D2E223-A030-4672-B594-F013062A4FB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852" i="1" l="1"/>
  <c r="AK852" i="1"/>
  <c r="AI852" i="1"/>
  <c r="AF852" i="1"/>
  <c r="AD852" i="1"/>
  <c r="AA852" i="1"/>
  <c r="Y852" i="1"/>
  <c r="V852" i="1"/>
  <c r="T852" i="1"/>
  <c r="Q852" i="1"/>
  <c r="O852" i="1"/>
  <c r="L852" i="1"/>
  <c r="J852" i="1"/>
  <c r="G852" i="1"/>
  <c r="E852" i="1"/>
  <c r="B852" i="1"/>
  <c r="AN851" i="1"/>
  <c r="AK851" i="1"/>
  <c r="AI851" i="1"/>
  <c r="AF851" i="1"/>
  <c r="AD851" i="1"/>
  <c r="AA851" i="1"/>
  <c r="Y851" i="1"/>
  <c r="V851" i="1"/>
  <c r="T851" i="1"/>
  <c r="Q851" i="1"/>
  <c r="O851" i="1"/>
  <c r="L851" i="1"/>
  <c r="J851" i="1"/>
  <c r="G851" i="1"/>
  <c r="E851" i="1"/>
  <c r="B851" i="1"/>
  <c r="AN850" i="1"/>
  <c r="AK850" i="1"/>
  <c r="AI850" i="1"/>
  <c r="AF850" i="1"/>
  <c r="AD850" i="1"/>
  <c r="AA850" i="1"/>
  <c r="Y850" i="1"/>
  <c r="V850" i="1"/>
  <c r="T850" i="1"/>
  <c r="Q850" i="1"/>
  <c r="O850" i="1"/>
  <c r="L850" i="1"/>
  <c r="J850" i="1"/>
  <c r="G850" i="1"/>
  <c r="E850" i="1"/>
  <c r="B850" i="1"/>
  <c r="AN849" i="1"/>
  <c r="AK849" i="1"/>
  <c r="AI849" i="1"/>
  <c r="AF849" i="1"/>
  <c r="AD849" i="1"/>
  <c r="AA849" i="1"/>
  <c r="Y849" i="1"/>
  <c r="V849" i="1"/>
  <c r="T849" i="1"/>
  <c r="Q849" i="1"/>
  <c r="O849" i="1"/>
  <c r="L849" i="1"/>
  <c r="J849" i="1"/>
  <c r="G849" i="1"/>
  <c r="E849" i="1"/>
  <c r="B849" i="1"/>
  <c r="AN848" i="1"/>
  <c r="AK848" i="1"/>
  <c r="AI848" i="1"/>
  <c r="AF848" i="1"/>
  <c r="AD848" i="1"/>
  <c r="AA848" i="1"/>
  <c r="Y848" i="1"/>
  <c r="V848" i="1"/>
  <c r="T848" i="1"/>
  <c r="Q848" i="1"/>
  <c r="O848" i="1"/>
  <c r="L848" i="1"/>
  <c r="J848" i="1"/>
  <c r="G848" i="1"/>
  <c r="E848" i="1"/>
  <c r="B848" i="1"/>
  <c r="AN847" i="1"/>
  <c r="AK847" i="1"/>
  <c r="AI847" i="1"/>
  <c r="AF847" i="1"/>
  <c r="AD847" i="1"/>
  <c r="AA847" i="1"/>
  <c r="Y847" i="1"/>
  <c r="V847" i="1"/>
  <c r="T847" i="1"/>
  <c r="Q847" i="1"/>
  <c r="O847" i="1"/>
  <c r="L847" i="1"/>
  <c r="J847" i="1"/>
  <c r="G847" i="1"/>
  <c r="E847" i="1"/>
  <c r="B847" i="1"/>
  <c r="AN846" i="1"/>
  <c r="AK846" i="1"/>
  <c r="AI846" i="1"/>
  <c r="AF846" i="1"/>
  <c r="AD846" i="1"/>
  <c r="AA846" i="1"/>
  <c r="Y846" i="1"/>
  <c r="V846" i="1"/>
  <c r="T846" i="1"/>
  <c r="Q846" i="1"/>
  <c r="O846" i="1"/>
  <c r="L846" i="1"/>
  <c r="J846" i="1"/>
  <c r="G846" i="1"/>
  <c r="E846" i="1"/>
  <c r="B846" i="1"/>
  <c r="AN845" i="1"/>
  <c r="AK845" i="1"/>
  <c r="AI845" i="1"/>
  <c r="AF845" i="1"/>
  <c r="AD845" i="1"/>
  <c r="AA845" i="1"/>
  <c r="Y845" i="1"/>
  <c r="V845" i="1"/>
  <c r="T845" i="1"/>
  <c r="Q845" i="1"/>
  <c r="O845" i="1"/>
  <c r="L845" i="1"/>
  <c r="J845" i="1"/>
  <c r="G845" i="1"/>
  <c r="E845" i="1"/>
  <c r="B845" i="1"/>
  <c r="AN844" i="1"/>
  <c r="AK844" i="1"/>
  <c r="AI844" i="1"/>
  <c r="AF844" i="1"/>
  <c r="AD844" i="1"/>
  <c r="AA844" i="1"/>
  <c r="Y844" i="1"/>
  <c r="V844" i="1"/>
  <c r="T844" i="1"/>
  <c r="Q844" i="1"/>
  <c r="O844" i="1"/>
  <c r="L844" i="1"/>
  <c r="J844" i="1"/>
  <c r="G844" i="1"/>
  <c r="E844" i="1"/>
  <c r="B844" i="1"/>
  <c r="AN843" i="1"/>
  <c r="AK843" i="1"/>
  <c r="AI843" i="1"/>
  <c r="AF843" i="1"/>
  <c r="AD843" i="1"/>
  <c r="AA843" i="1"/>
  <c r="Y843" i="1"/>
  <c r="V843" i="1"/>
  <c r="T843" i="1"/>
  <c r="Q843" i="1"/>
  <c r="O843" i="1"/>
  <c r="L843" i="1"/>
  <c r="J843" i="1"/>
  <c r="G843" i="1"/>
  <c r="E843" i="1"/>
  <c r="B843" i="1"/>
  <c r="AN842" i="1"/>
  <c r="AK842" i="1"/>
  <c r="AI842" i="1"/>
  <c r="AF842" i="1"/>
  <c r="AD842" i="1"/>
  <c r="AA842" i="1"/>
  <c r="Y842" i="1"/>
  <c r="V842" i="1"/>
  <c r="T842" i="1"/>
  <c r="Q842" i="1"/>
  <c r="O842" i="1"/>
  <c r="L842" i="1"/>
  <c r="J842" i="1"/>
  <c r="G842" i="1"/>
  <c r="E842" i="1"/>
  <c r="B842" i="1"/>
  <c r="AN841" i="1"/>
  <c r="AK841" i="1"/>
  <c r="AI841" i="1"/>
  <c r="AF841" i="1"/>
  <c r="AD841" i="1"/>
  <c r="AA841" i="1"/>
  <c r="Y841" i="1"/>
  <c r="V841" i="1"/>
  <c r="T841" i="1"/>
  <c r="Q841" i="1"/>
  <c r="O841" i="1"/>
  <c r="L841" i="1"/>
  <c r="J841" i="1"/>
  <c r="G841" i="1"/>
  <c r="E841" i="1"/>
  <c r="B841" i="1"/>
  <c r="AN840" i="1"/>
  <c r="AK840" i="1"/>
  <c r="AI840" i="1"/>
  <c r="AF840" i="1"/>
  <c r="AD840" i="1"/>
  <c r="AA840" i="1"/>
  <c r="Y840" i="1"/>
  <c r="V840" i="1"/>
  <c r="T840" i="1"/>
  <c r="Q840" i="1"/>
  <c r="O840" i="1"/>
  <c r="L840" i="1"/>
  <c r="J840" i="1"/>
  <c r="G840" i="1"/>
  <c r="E840" i="1"/>
  <c r="B840" i="1"/>
  <c r="AN839" i="1"/>
  <c r="AK839" i="1"/>
  <c r="AI839" i="1"/>
  <c r="AF839" i="1"/>
  <c r="AD839" i="1"/>
  <c r="AA839" i="1"/>
  <c r="Y839" i="1"/>
  <c r="V839" i="1"/>
  <c r="T839" i="1"/>
  <c r="Q839" i="1"/>
  <c r="O839" i="1"/>
  <c r="L839" i="1"/>
  <c r="J839" i="1"/>
  <c r="G839" i="1"/>
  <c r="E839" i="1"/>
  <c r="B839" i="1"/>
  <c r="AN838" i="1"/>
  <c r="AK838" i="1"/>
  <c r="AI838" i="1"/>
  <c r="AF838" i="1"/>
  <c r="AD838" i="1"/>
  <c r="AA838" i="1"/>
  <c r="Y838" i="1"/>
  <c r="V838" i="1"/>
  <c r="T838" i="1"/>
  <c r="Q838" i="1"/>
  <c r="O838" i="1"/>
  <c r="L838" i="1"/>
  <c r="J838" i="1"/>
  <c r="G838" i="1"/>
  <c r="E838" i="1"/>
  <c r="B838" i="1"/>
  <c r="AN837" i="1"/>
  <c r="AK837" i="1"/>
  <c r="AI837" i="1"/>
  <c r="AF837" i="1"/>
  <c r="AD837" i="1"/>
  <c r="AA837" i="1"/>
  <c r="Y837" i="1"/>
  <c r="V837" i="1"/>
  <c r="T837" i="1"/>
  <c r="Q837" i="1"/>
  <c r="O837" i="1"/>
  <c r="L837" i="1"/>
  <c r="J837" i="1"/>
  <c r="G837" i="1"/>
  <c r="E837" i="1"/>
  <c r="B837" i="1"/>
  <c r="AN836" i="1"/>
  <c r="AK836" i="1"/>
  <c r="AI836" i="1"/>
  <c r="AF836" i="1"/>
  <c r="AD836" i="1"/>
  <c r="AA836" i="1"/>
  <c r="Y836" i="1"/>
  <c r="V836" i="1"/>
  <c r="T836" i="1"/>
  <c r="Q836" i="1"/>
  <c r="O836" i="1"/>
  <c r="L836" i="1"/>
  <c r="J836" i="1"/>
  <c r="G836" i="1"/>
  <c r="E836" i="1"/>
  <c r="B836" i="1"/>
  <c r="AN835" i="1"/>
  <c r="AK835" i="1"/>
  <c r="AI835" i="1"/>
  <c r="AF835" i="1"/>
  <c r="AD835" i="1"/>
  <c r="AA835" i="1"/>
  <c r="Y835" i="1"/>
  <c r="V835" i="1"/>
  <c r="T835" i="1"/>
  <c r="Q835" i="1"/>
  <c r="O835" i="1"/>
  <c r="L835" i="1"/>
  <c r="J835" i="1"/>
  <c r="G835" i="1"/>
  <c r="E835" i="1"/>
  <c r="B835" i="1"/>
  <c r="AN834" i="1"/>
  <c r="AK834" i="1"/>
  <c r="AI834" i="1"/>
  <c r="AF834" i="1"/>
  <c r="AD834" i="1"/>
  <c r="AA834" i="1"/>
  <c r="Y834" i="1"/>
  <c r="V834" i="1"/>
  <c r="T834" i="1"/>
  <c r="Q834" i="1"/>
  <c r="O834" i="1"/>
  <c r="L834" i="1"/>
  <c r="J834" i="1"/>
  <c r="G834" i="1"/>
  <c r="E834" i="1"/>
  <c r="B834" i="1"/>
  <c r="AN833" i="1"/>
  <c r="AK833" i="1"/>
  <c r="AI833" i="1"/>
  <c r="AF833" i="1"/>
  <c r="AD833" i="1"/>
  <c r="AA833" i="1"/>
  <c r="Y833" i="1"/>
  <c r="V833" i="1"/>
  <c r="T833" i="1"/>
  <c r="Q833" i="1"/>
  <c r="O833" i="1"/>
  <c r="L833" i="1"/>
  <c r="J833" i="1"/>
  <c r="G833" i="1"/>
  <c r="E833" i="1"/>
  <c r="B833" i="1"/>
  <c r="AN832" i="1"/>
  <c r="AK832" i="1"/>
  <c r="AI832" i="1"/>
  <c r="AF832" i="1"/>
  <c r="AD832" i="1"/>
  <c r="AA832" i="1"/>
  <c r="Y832" i="1"/>
  <c r="V832" i="1"/>
  <c r="T832" i="1"/>
  <c r="Q832" i="1"/>
  <c r="O832" i="1"/>
  <c r="L832" i="1"/>
  <c r="J832" i="1"/>
  <c r="G832" i="1"/>
  <c r="E832" i="1"/>
  <c r="B832" i="1"/>
  <c r="AN825" i="1"/>
  <c r="AK825" i="1"/>
  <c r="AI825" i="1"/>
  <c r="AF825" i="1"/>
  <c r="AD825" i="1"/>
  <c r="AA825" i="1"/>
  <c r="Y825" i="1"/>
  <c r="V825" i="1"/>
  <c r="T825" i="1"/>
  <c r="Q825" i="1"/>
  <c r="O825" i="1"/>
  <c r="L825" i="1"/>
  <c r="J825" i="1"/>
  <c r="G825" i="1"/>
  <c r="E825" i="1"/>
  <c r="B825" i="1"/>
  <c r="AN824" i="1"/>
  <c r="AK824" i="1"/>
  <c r="AI824" i="1"/>
  <c r="AF824" i="1"/>
  <c r="AD824" i="1"/>
  <c r="AA824" i="1"/>
  <c r="Y824" i="1"/>
  <c r="V824" i="1"/>
  <c r="T824" i="1"/>
  <c r="Q824" i="1"/>
  <c r="O824" i="1"/>
  <c r="L824" i="1"/>
  <c r="J824" i="1"/>
  <c r="G824" i="1"/>
  <c r="E824" i="1"/>
  <c r="B824" i="1"/>
  <c r="AN823" i="1"/>
  <c r="AK823" i="1"/>
  <c r="AI823" i="1"/>
  <c r="AF823" i="1"/>
  <c r="AD823" i="1"/>
  <c r="AA823" i="1"/>
  <c r="Y823" i="1"/>
  <c r="V823" i="1"/>
  <c r="T823" i="1"/>
  <c r="Q823" i="1"/>
  <c r="O823" i="1"/>
  <c r="L823" i="1"/>
  <c r="J823" i="1"/>
  <c r="G823" i="1"/>
  <c r="E823" i="1"/>
  <c r="B823" i="1"/>
  <c r="AN822" i="1"/>
  <c r="AK822" i="1"/>
  <c r="AI822" i="1"/>
  <c r="AF822" i="1"/>
  <c r="AD822" i="1"/>
  <c r="AA822" i="1"/>
  <c r="Y822" i="1"/>
  <c r="V822" i="1"/>
  <c r="T822" i="1"/>
  <c r="Q822" i="1"/>
  <c r="O822" i="1"/>
  <c r="L822" i="1"/>
  <c r="J822" i="1"/>
  <c r="G822" i="1"/>
  <c r="E822" i="1"/>
  <c r="B822" i="1"/>
  <c r="AN821" i="1"/>
  <c r="AK821" i="1"/>
  <c r="AI821" i="1"/>
  <c r="AF821" i="1"/>
  <c r="AD821" i="1"/>
  <c r="AA821" i="1"/>
  <c r="Y821" i="1"/>
  <c r="V821" i="1"/>
  <c r="T821" i="1"/>
  <c r="Q821" i="1"/>
  <c r="O821" i="1"/>
  <c r="L821" i="1"/>
  <c r="J821" i="1"/>
  <c r="G821" i="1"/>
  <c r="E821" i="1"/>
  <c r="B821" i="1"/>
  <c r="AN820" i="1"/>
  <c r="AK820" i="1"/>
  <c r="AI820" i="1"/>
  <c r="AF820" i="1"/>
  <c r="AD820" i="1"/>
  <c r="AA820" i="1"/>
  <c r="Y820" i="1"/>
  <c r="V820" i="1"/>
  <c r="T820" i="1"/>
  <c r="Q820" i="1"/>
  <c r="O820" i="1"/>
  <c r="L820" i="1"/>
  <c r="J820" i="1"/>
  <c r="G820" i="1"/>
  <c r="E820" i="1"/>
  <c r="B820" i="1"/>
  <c r="AN819" i="1"/>
  <c r="AK819" i="1"/>
  <c r="AI819" i="1"/>
  <c r="AF819" i="1"/>
  <c r="AD819" i="1"/>
  <c r="AA819" i="1"/>
  <c r="Y819" i="1"/>
  <c r="V819" i="1"/>
  <c r="T819" i="1"/>
  <c r="Q819" i="1"/>
  <c r="O819" i="1"/>
  <c r="L819" i="1"/>
  <c r="J819" i="1"/>
  <c r="G819" i="1"/>
  <c r="E819" i="1"/>
  <c r="B819" i="1"/>
  <c r="AN818" i="1"/>
  <c r="AK818" i="1"/>
  <c r="AI818" i="1"/>
  <c r="AF818" i="1"/>
  <c r="AD818" i="1"/>
  <c r="AA818" i="1"/>
  <c r="Y818" i="1"/>
  <c r="V818" i="1"/>
  <c r="T818" i="1"/>
  <c r="Q818" i="1"/>
  <c r="O818" i="1"/>
  <c r="L818" i="1"/>
  <c r="J818" i="1"/>
  <c r="G818" i="1"/>
  <c r="E818" i="1"/>
  <c r="B818" i="1"/>
  <c r="AN817" i="1"/>
  <c r="AK817" i="1"/>
  <c r="AI817" i="1"/>
  <c r="AF817" i="1"/>
  <c r="AD817" i="1"/>
  <c r="AA817" i="1"/>
  <c r="Y817" i="1"/>
  <c r="V817" i="1"/>
  <c r="T817" i="1"/>
  <c r="Q817" i="1"/>
  <c r="O817" i="1"/>
  <c r="L817" i="1"/>
  <c r="J817" i="1"/>
  <c r="G817" i="1"/>
  <c r="E817" i="1"/>
  <c r="B817" i="1"/>
  <c r="AN816" i="1"/>
  <c r="AK816" i="1"/>
  <c r="AI816" i="1"/>
  <c r="AF816" i="1"/>
  <c r="AD816" i="1"/>
  <c r="AA816" i="1"/>
  <c r="Y816" i="1"/>
  <c r="V816" i="1"/>
  <c r="T816" i="1"/>
  <c r="Q816" i="1"/>
  <c r="O816" i="1"/>
  <c r="L816" i="1"/>
  <c r="J816" i="1"/>
  <c r="G816" i="1"/>
  <c r="E816" i="1"/>
  <c r="B816" i="1"/>
  <c r="AN815" i="1"/>
  <c r="AK815" i="1"/>
  <c r="AI815" i="1"/>
  <c r="AF815" i="1"/>
  <c r="AD815" i="1"/>
  <c r="AA815" i="1"/>
  <c r="Y815" i="1"/>
  <c r="V815" i="1"/>
  <c r="T815" i="1"/>
  <c r="Q815" i="1"/>
  <c r="O815" i="1"/>
  <c r="L815" i="1"/>
  <c r="J815" i="1"/>
  <c r="G815" i="1"/>
  <c r="E815" i="1"/>
  <c r="B815" i="1"/>
  <c r="AN814" i="1"/>
  <c r="AK814" i="1"/>
  <c r="AI814" i="1"/>
  <c r="AF814" i="1"/>
  <c r="AD814" i="1"/>
  <c r="AA814" i="1"/>
  <c r="Y814" i="1"/>
  <c r="V814" i="1"/>
  <c r="T814" i="1"/>
  <c r="Q814" i="1"/>
  <c r="O814" i="1"/>
  <c r="L814" i="1"/>
  <c r="J814" i="1"/>
  <c r="G814" i="1"/>
  <c r="E814" i="1"/>
  <c r="B814" i="1"/>
  <c r="AN813" i="1"/>
  <c r="AK813" i="1"/>
  <c r="AI813" i="1"/>
  <c r="AF813" i="1"/>
  <c r="AD813" i="1"/>
  <c r="AA813" i="1"/>
  <c r="Y813" i="1"/>
  <c r="V813" i="1"/>
  <c r="T813" i="1"/>
  <c r="Q813" i="1"/>
  <c r="O813" i="1"/>
  <c r="L813" i="1"/>
  <c r="J813" i="1"/>
  <c r="G813" i="1"/>
  <c r="E813" i="1"/>
  <c r="B813" i="1"/>
  <c r="AN812" i="1"/>
  <c r="AK812" i="1"/>
  <c r="AI812" i="1"/>
  <c r="AF812" i="1"/>
  <c r="AD812" i="1"/>
  <c r="AA812" i="1"/>
  <c r="Y812" i="1"/>
  <c r="V812" i="1"/>
  <c r="T812" i="1"/>
  <c r="Q812" i="1"/>
  <c r="O812" i="1"/>
  <c r="L812" i="1"/>
  <c r="J812" i="1"/>
  <c r="G812" i="1"/>
  <c r="E812" i="1"/>
  <c r="B812" i="1"/>
  <c r="AN811" i="1"/>
  <c r="AK811" i="1"/>
  <c r="AI811" i="1"/>
  <c r="AF811" i="1"/>
  <c r="AD811" i="1"/>
  <c r="AA811" i="1"/>
  <c r="Y811" i="1"/>
  <c r="V811" i="1"/>
  <c r="T811" i="1"/>
  <c r="Q811" i="1"/>
  <c r="O811" i="1"/>
  <c r="L811" i="1"/>
  <c r="J811" i="1"/>
  <c r="G811" i="1"/>
  <c r="E811" i="1"/>
  <c r="B811" i="1"/>
  <c r="AN810" i="1"/>
  <c r="AK810" i="1"/>
  <c r="AI810" i="1"/>
  <c r="AF810" i="1"/>
  <c r="AD810" i="1"/>
  <c r="AA810" i="1"/>
  <c r="Y810" i="1"/>
  <c r="V810" i="1"/>
  <c r="T810" i="1"/>
  <c r="Q810" i="1"/>
  <c r="O810" i="1"/>
  <c r="L810" i="1"/>
  <c r="J810" i="1"/>
  <c r="G810" i="1"/>
  <c r="E810" i="1"/>
  <c r="B810" i="1"/>
  <c r="AN809" i="1"/>
  <c r="AK809" i="1"/>
  <c r="AI809" i="1"/>
  <c r="AF809" i="1"/>
  <c r="AD809" i="1"/>
  <c r="AA809" i="1"/>
  <c r="Y809" i="1"/>
  <c r="V809" i="1"/>
  <c r="T809" i="1"/>
  <c r="Q809" i="1"/>
  <c r="O809" i="1"/>
  <c r="L809" i="1"/>
  <c r="J809" i="1"/>
  <c r="G809" i="1"/>
  <c r="E809" i="1"/>
  <c r="B809" i="1"/>
  <c r="AN808" i="1"/>
  <c r="AK808" i="1"/>
  <c r="AI808" i="1"/>
  <c r="AF808" i="1"/>
  <c r="AD808" i="1"/>
  <c r="AA808" i="1"/>
  <c r="Y808" i="1"/>
  <c r="V808" i="1"/>
  <c r="T808" i="1"/>
  <c r="Q808" i="1"/>
  <c r="O808" i="1"/>
  <c r="L808" i="1"/>
  <c r="J808" i="1"/>
  <c r="G808" i="1"/>
  <c r="E808" i="1"/>
  <c r="B808" i="1"/>
  <c r="AN807" i="1"/>
  <c r="AK807" i="1"/>
  <c r="AI807" i="1"/>
  <c r="AF807" i="1"/>
  <c r="AD807" i="1"/>
  <c r="AA807" i="1"/>
  <c r="Y807" i="1"/>
  <c r="V807" i="1"/>
  <c r="T807" i="1"/>
  <c r="Q807" i="1"/>
  <c r="O807" i="1"/>
  <c r="L807" i="1"/>
  <c r="J807" i="1"/>
  <c r="G807" i="1"/>
  <c r="E807" i="1"/>
  <c r="B807" i="1"/>
  <c r="AN806" i="1"/>
  <c r="AK806" i="1"/>
  <c r="AI806" i="1"/>
  <c r="AF806" i="1"/>
  <c r="AD806" i="1"/>
  <c r="AA806" i="1"/>
  <c r="Y806" i="1"/>
  <c r="V806" i="1"/>
  <c r="T806" i="1"/>
  <c r="Q806" i="1"/>
  <c r="O806" i="1"/>
  <c r="L806" i="1"/>
  <c r="J806" i="1"/>
  <c r="G806" i="1"/>
  <c r="E806" i="1"/>
  <c r="B806" i="1"/>
  <c r="AN805" i="1"/>
  <c r="AK805" i="1"/>
  <c r="AI805" i="1"/>
  <c r="AF805" i="1"/>
  <c r="AD805" i="1"/>
  <c r="AA805" i="1"/>
  <c r="Y805" i="1"/>
  <c r="V805" i="1"/>
  <c r="T805" i="1"/>
  <c r="Q805" i="1"/>
  <c r="O805" i="1"/>
  <c r="L805" i="1"/>
  <c r="J805" i="1"/>
  <c r="G805" i="1"/>
  <c r="E805" i="1"/>
  <c r="B805" i="1"/>
  <c r="AN796" i="1"/>
  <c r="AK796" i="1"/>
  <c r="AI796" i="1"/>
  <c r="AF796" i="1"/>
  <c r="AD796" i="1"/>
  <c r="AA796" i="1"/>
  <c r="Y796" i="1"/>
  <c r="V796" i="1"/>
  <c r="T796" i="1"/>
  <c r="Q796" i="1"/>
  <c r="O796" i="1"/>
  <c r="L796" i="1"/>
  <c r="J796" i="1"/>
  <c r="G796" i="1"/>
  <c r="E796" i="1"/>
  <c r="B796" i="1"/>
  <c r="AN795" i="1"/>
  <c r="AK795" i="1"/>
  <c r="AI795" i="1"/>
  <c r="AF795" i="1"/>
  <c r="AD795" i="1"/>
  <c r="AA795" i="1"/>
  <c r="Y795" i="1"/>
  <c r="V795" i="1"/>
  <c r="T795" i="1"/>
  <c r="Q795" i="1"/>
  <c r="O795" i="1"/>
  <c r="L795" i="1"/>
  <c r="J795" i="1"/>
  <c r="G795" i="1"/>
  <c r="E795" i="1"/>
  <c r="B795" i="1"/>
  <c r="AN794" i="1"/>
  <c r="AK794" i="1"/>
  <c r="AI794" i="1"/>
  <c r="AF794" i="1"/>
  <c r="AD794" i="1"/>
  <c r="AA794" i="1"/>
  <c r="Y794" i="1"/>
  <c r="V794" i="1"/>
  <c r="T794" i="1"/>
  <c r="Q794" i="1"/>
  <c r="O794" i="1"/>
  <c r="L794" i="1"/>
  <c r="J794" i="1"/>
  <c r="G794" i="1"/>
  <c r="E794" i="1"/>
  <c r="B794" i="1"/>
  <c r="AN793" i="1"/>
  <c r="AK793" i="1"/>
  <c r="AI793" i="1"/>
  <c r="AF793" i="1"/>
  <c r="AD793" i="1"/>
  <c r="AA793" i="1"/>
  <c r="Y793" i="1"/>
  <c r="V793" i="1"/>
  <c r="T793" i="1"/>
  <c r="Q793" i="1"/>
  <c r="O793" i="1"/>
  <c r="L793" i="1"/>
  <c r="J793" i="1"/>
  <c r="G793" i="1"/>
  <c r="E793" i="1"/>
  <c r="B793" i="1"/>
  <c r="AN792" i="1"/>
  <c r="AK792" i="1"/>
  <c r="AI792" i="1"/>
  <c r="AF792" i="1"/>
  <c r="AD792" i="1"/>
  <c r="AA792" i="1"/>
  <c r="Y792" i="1"/>
  <c r="V792" i="1"/>
  <c r="T792" i="1"/>
  <c r="Q792" i="1"/>
  <c r="O792" i="1"/>
  <c r="L792" i="1"/>
  <c r="J792" i="1"/>
  <c r="G792" i="1"/>
  <c r="E792" i="1"/>
  <c r="B792" i="1"/>
  <c r="AN791" i="1"/>
  <c r="AK791" i="1"/>
  <c r="AI791" i="1"/>
  <c r="AF791" i="1"/>
  <c r="AD791" i="1"/>
  <c r="AA791" i="1"/>
  <c r="Y791" i="1"/>
  <c r="V791" i="1"/>
  <c r="T791" i="1"/>
  <c r="Q791" i="1"/>
  <c r="O791" i="1"/>
  <c r="L791" i="1"/>
  <c r="J791" i="1"/>
  <c r="G791" i="1"/>
  <c r="E791" i="1"/>
  <c r="B791" i="1"/>
  <c r="AN790" i="1"/>
  <c r="AK790" i="1"/>
  <c r="AI790" i="1"/>
  <c r="AF790" i="1"/>
  <c r="AD790" i="1"/>
  <c r="AA790" i="1"/>
  <c r="Y790" i="1"/>
  <c r="V790" i="1"/>
  <c r="T790" i="1"/>
  <c r="Q790" i="1"/>
  <c r="O790" i="1"/>
  <c r="L790" i="1"/>
  <c r="J790" i="1"/>
  <c r="G790" i="1"/>
  <c r="E790" i="1"/>
  <c r="B790" i="1"/>
  <c r="AN789" i="1"/>
  <c r="AK789" i="1"/>
  <c r="AI789" i="1"/>
  <c r="AF789" i="1"/>
  <c r="AD789" i="1"/>
  <c r="AA789" i="1"/>
  <c r="Y789" i="1"/>
  <c r="V789" i="1"/>
  <c r="T789" i="1"/>
  <c r="Q789" i="1"/>
  <c r="O789" i="1"/>
  <c r="L789" i="1"/>
  <c r="J789" i="1"/>
  <c r="G789" i="1"/>
  <c r="E789" i="1"/>
  <c r="B789" i="1"/>
  <c r="AN788" i="1"/>
  <c r="AK788" i="1"/>
  <c r="AI788" i="1"/>
  <c r="AF788" i="1"/>
  <c r="AD788" i="1"/>
  <c r="AA788" i="1"/>
  <c r="Y788" i="1"/>
  <c r="V788" i="1"/>
  <c r="T788" i="1"/>
  <c r="Q788" i="1"/>
  <c r="O788" i="1"/>
  <c r="L788" i="1"/>
  <c r="J788" i="1"/>
  <c r="G788" i="1"/>
  <c r="E788" i="1"/>
  <c r="B788" i="1"/>
  <c r="AN787" i="1"/>
  <c r="AK787" i="1"/>
  <c r="AI787" i="1"/>
  <c r="AF787" i="1"/>
  <c r="AD787" i="1"/>
  <c r="AA787" i="1"/>
  <c r="Y787" i="1"/>
  <c r="V787" i="1"/>
  <c r="T787" i="1"/>
  <c r="Q787" i="1"/>
  <c r="O787" i="1"/>
  <c r="L787" i="1"/>
  <c r="J787" i="1"/>
  <c r="G787" i="1"/>
  <c r="E787" i="1"/>
  <c r="B787" i="1"/>
  <c r="AN786" i="1"/>
  <c r="AK786" i="1"/>
  <c r="AI786" i="1"/>
  <c r="AF786" i="1"/>
  <c r="AD786" i="1"/>
  <c r="AA786" i="1"/>
  <c r="Y786" i="1"/>
  <c r="V786" i="1"/>
  <c r="T786" i="1"/>
  <c r="Q786" i="1"/>
  <c r="O786" i="1"/>
  <c r="L786" i="1"/>
  <c r="J786" i="1"/>
  <c r="G786" i="1"/>
  <c r="E786" i="1"/>
  <c r="B786" i="1"/>
  <c r="AN785" i="1"/>
  <c r="AK785" i="1"/>
  <c r="AI785" i="1"/>
  <c r="AF785" i="1"/>
  <c r="AD785" i="1"/>
  <c r="AA785" i="1"/>
  <c r="Y785" i="1"/>
  <c r="V785" i="1"/>
  <c r="T785" i="1"/>
  <c r="Q785" i="1"/>
  <c r="O785" i="1"/>
  <c r="L785" i="1"/>
  <c r="J785" i="1"/>
  <c r="G785" i="1"/>
  <c r="E785" i="1"/>
  <c r="B785" i="1"/>
  <c r="AN784" i="1"/>
  <c r="AK784" i="1"/>
  <c r="AI784" i="1"/>
  <c r="AF784" i="1"/>
  <c r="AD784" i="1"/>
  <c r="AA784" i="1"/>
  <c r="Y784" i="1"/>
  <c r="V784" i="1"/>
  <c r="T784" i="1"/>
  <c r="Q784" i="1"/>
  <c r="O784" i="1"/>
  <c r="L784" i="1"/>
  <c r="J784" i="1"/>
  <c r="G784" i="1"/>
  <c r="E784" i="1"/>
  <c r="B784" i="1"/>
  <c r="AN783" i="1"/>
  <c r="AK783" i="1"/>
  <c r="AI783" i="1"/>
  <c r="AF783" i="1"/>
  <c r="AD783" i="1"/>
  <c r="AA783" i="1"/>
  <c r="Y783" i="1"/>
  <c r="V783" i="1"/>
  <c r="T783" i="1"/>
  <c r="Q783" i="1"/>
  <c r="O783" i="1"/>
  <c r="L783" i="1"/>
  <c r="J783" i="1"/>
  <c r="G783" i="1"/>
  <c r="E783" i="1"/>
  <c r="B783" i="1"/>
  <c r="AN782" i="1"/>
  <c r="AK782" i="1"/>
  <c r="AI782" i="1"/>
  <c r="AF782" i="1"/>
  <c r="AD782" i="1"/>
  <c r="AA782" i="1"/>
  <c r="Y782" i="1"/>
  <c r="V782" i="1"/>
  <c r="T782" i="1"/>
  <c r="Q782" i="1"/>
  <c r="O782" i="1"/>
  <c r="L782" i="1"/>
  <c r="J782" i="1"/>
  <c r="G782" i="1"/>
  <c r="E782" i="1"/>
  <c r="B782" i="1"/>
  <c r="AN781" i="1"/>
  <c r="AK781" i="1"/>
  <c r="AI781" i="1"/>
  <c r="AF781" i="1"/>
  <c r="AD781" i="1"/>
  <c r="AA781" i="1"/>
  <c r="Y781" i="1"/>
  <c r="V781" i="1"/>
  <c r="T781" i="1"/>
  <c r="Q781" i="1"/>
  <c r="O781" i="1"/>
  <c r="L781" i="1"/>
  <c r="J781" i="1"/>
  <c r="G781" i="1"/>
  <c r="E781" i="1"/>
  <c r="B781" i="1"/>
  <c r="AN780" i="1"/>
  <c r="AK780" i="1"/>
  <c r="AI780" i="1"/>
  <c r="AF780" i="1"/>
  <c r="AD780" i="1"/>
  <c r="AA780" i="1"/>
  <c r="Y780" i="1"/>
  <c r="V780" i="1"/>
  <c r="T780" i="1"/>
  <c r="Q780" i="1"/>
  <c r="O780" i="1"/>
  <c r="L780" i="1"/>
  <c r="J780" i="1"/>
  <c r="G780" i="1"/>
  <c r="E780" i="1"/>
  <c r="B780" i="1"/>
  <c r="AN779" i="1"/>
  <c r="AK779" i="1"/>
  <c r="AI779" i="1"/>
  <c r="AF779" i="1"/>
  <c r="AD779" i="1"/>
  <c r="AA779" i="1"/>
  <c r="Y779" i="1"/>
  <c r="V779" i="1"/>
  <c r="T779" i="1"/>
  <c r="Q779" i="1"/>
  <c r="O779" i="1"/>
  <c r="L779" i="1"/>
  <c r="J779" i="1"/>
  <c r="G779" i="1"/>
  <c r="E779" i="1"/>
  <c r="B779" i="1"/>
  <c r="AN778" i="1"/>
  <c r="AK778" i="1"/>
  <c r="AI778" i="1"/>
  <c r="AF778" i="1"/>
  <c r="AD778" i="1"/>
  <c r="AA778" i="1"/>
  <c r="Y778" i="1"/>
  <c r="V778" i="1"/>
  <c r="T778" i="1"/>
  <c r="Q778" i="1"/>
  <c r="O778" i="1"/>
  <c r="L778" i="1"/>
  <c r="J778" i="1"/>
  <c r="G778" i="1"/>
  <c r="E778" i="1"/>
  <c r="B778" i="1"/>
  <c r="AN777" i="1"/>
  <c r="AK777" i="1"/>
  <c r="AI777" i="1"/>
  <c r="AF777" i="1"/>
  <c r="AD777" i="1"/>
  <c r="AA777" i="1"/>
  <c r="Y777" i="1"/>
  <c r="V777" i="1"/>
  <c r="T777" i="1"/>
  <c r="Q777" i="1"/>
  <c r="O777" i="1"/>
  <c r="L777" i="1"/>
  <c r="J777" i="1"/>
  <c r="G777" i="1"/>
  <c r="E777" i="1"/>
  <c r="B777" i="1"/>
  <c r="AN776" i="1"/>
  <c r="AK776" i="1"/>
  <c r="AI776" i="1"/>
  <c r="AF776" i="1"/>
  <c r="AD776" i="1"/>
  <c r="AA776" i="1"/>
  <c r="Y776" i="1"/>
  <c r="V776" i="1"/>
  <c r="T776" i="1"/>
  <c r="Q776" i="1"/>
  <c r="O776" i="1"/>
  <c r="L776" i="1"/>
  <c r="J776" i="1"/>
  <c r="G776" i="1"/>
  <c r="E776" i="1"/>
  <c r="B776" i="1"/>
  <c r="AN769" i="1"/>
  <c r="AK769" i="1"/>
  <c r="AI769" i="1"/>
  <c r="AF769" i="1"/>
  <c r="AD769" i="1"/>
  <c r="AA769" i="1"/>
  <c r="Y769" i="1"/>
  <c r="V769" i="1"/>
  <c r="T769" i="1"/>
  <c r="Q769" i="1"/>
  <c r="O769" i="1"/>
  <c r="L769" i="1"/>
  <c r="J769" i="1"/>
  <c r="G769" i="1"/>
  <c r="E769" i="1"/>
  <c r="B769" i="1"/>
  <c r="AN768" i="1"/>
  <c r="AK768" i="1"/>
  <c r="AI768" i="1"/>
  <c r="AF768" i="1"/>
  <c r="AD768" i="1"/>
  <c r="AA768" i="1"/>
  <c r="Y768" i="1"/>
  <c r="V768" i="1"/>
  <c r="T768" i="1"/>
  <c r="Q768" i="1"/>
  <c r="O768" i="1"/>
  <c r="L768" i="1"/>
  <c r="J768" i="1"/>
  <c r="G768" i="1"/>
  <c r="E768" i="1"/>
  <c r="B768" i="1"/>
  <c r="AN767" i="1"/>
  <c r="AK767" i="1"/>
  <c r="AI767" i="1"/>
  <c r="AF767" i="1"/>
  <c r="AD767" i="1"/>
  <c r="AA767" i="1"/>
  <c r="Y767" i="1"/>
  <c r="V767" i="1"/>
  <c r="T767" i="1"/>
  <c r="Q767" i="1"/>
  <c r="O767" i="1"/>
  <c r="L767" i="1"/>
  <c r="J767" i="1"/>
  <c r="G767" i="1"/>
  <c r="E767" i="1"/>
  <c r="B767" i="1"/>
  <c r="AN766" i="1"/>
  <c r="AK766" i="1"/>
  <c r="AI766" i="1"/>
  <c r="AF766" i="1"/>
  <c r="AD766" i="1"/>
  <c r="AA766" i="1"/>
  <c r="Y766" i="1"/>
  <c r="V766" i="1"/>
  <c r="T766" i="1"/>
  <c r="Q766" i="1"/>
  <c r="O766" i="1"/>
  <c r="L766" i="1"/>
  <c r="J766" i="1"/>
  <c r="G766" i="1"/>
  <c r="E766" i="1"/>
  <c r="B766" i="1"/>
  <c r="AN765" i="1"/>
  <c r="AK765" i="1"/>
  <c r="AI765" i="1"/>
  <c r="AF765" i="1"/>
  <c r="AD765" i="1"/>
  <c r="AA765" i="1"/>
  <c r="Y765" i="1"/>
  <c r="V765" i="1"/>
  <c r="T765" i="1"/>
  <c r="Q765" i="1"/>
  <c r="O765" i="1"/>
  <c r="L765" i="1"/>
  <c r="J765" i="1"/>
  <c r="G765" i="1"/>
  <c r="E765" i="1"/>
  <c r="B765" i="1"/>
  <c r="AN764" i="1"/>
  <c r="AK764" i="1"/>
  <c r="AI764" i="1"/>
  <c r="AF764" i="1"/>
  <c r="AD764" i="1"/>
  <c r="AA764" i="1"/>
  <c r="Y764" i="1"/>
  <c r="V764" i="1"/>
  <c r="T764" i="1"/>
  <c r="Q764" i="1"/>
  <c r="O764" i="1"/>
  <c r="L764" i="1"/>
  <c r="J764" i="1"/>
  <c r="G764" i="1"/>
  <c r="E764" i="1"/>
  <c r="B764" i="1"/>
  <c r="AN763" i="1"/>
  <c r="AK763" i="1"/>
  <c r="AI763" i="1"/>
  <c r="AF763" i="1"/>
  <c r="AD763" i="1"/>
  <c r="AA763" i="1"/>
  <c r="Y763" i="1"/>
  <c r="V763" i="1"/>
  <c r="T763" i="1"/>
  <c r="Q763" i="1"/>
  <c r="O763" i="1"/>
  <c r="L763" i="1"/>
  <c r="J763" i="1"/>
  <c r="G763" i="1"/>
  <c r="E763" i="1"/>
  <c r="B763" i="1"/>
  <c r="AN762" i="1"/>
  <c r="AK762" i="1"/>
  <c r="AI762" i="1"/>
  <c r="AF762" i="1"/>
  <c r="AD762" i="1"/>
  <c r="AA762" i="1"/>
  <c r="Y762" i="1"/>
  <c r="V762" i="1"/>
  <c r="T762" i="1"/>
  <c r="Q762" i="1"/>
  <c r="O762" i="1"/>
  <c r="L762" i="1"/>
  <c r="J762" i="1"/>
  <c r="G762" i="1"/>
  <c r="E762" i="1"/>
  <c r="B762" i="1"/>
  <c r="AN761" i="1"/>
  <c r="AK761" i="1"/>
  <c r="AI761" i="1"/>
  <c r="AF761" i="1"/>
  <c r="AD761" i="1"/>
  <c r="AA761" i="1"/>
  <c r="Y761" i="1"/>
  <c r="V761" i="1"/>
  <c r="T761" i="1"/>
  <c r="Q761" i="1"/>
  <c r="O761" i="1"/>
  <c r="L761" i="1"/>
  <c r="J761" i="1"/>
  <c r="G761" i="1"/>
  <c r="E761" i="1"/>
  <c r="B761" i="1"/>
  <c r="AN760" i="1"/>
  <c r="AK760" i="1"/>
  <c r="AI760" i="1"/>
  <c r="AF760" i="1"/>
  <c r="AD760" i="1"/>
  <c r="AA760" i="1"/>
  <c r="Y760" i="1"/>
  <c r="V760" i="1"/>
  <c r="T760" i="1"/>
  <c r="Q760" i="1"/>
  <c r="O760" i="1"/>
  <c r="L760" i="1"/>
  <c r="J760" i="1"/>
  <c r="G760" i="1"/>
  <c r="E760" i="1"/>
  <c r="B760" i="1"/>
  <c r="AN759" i="1"/>
  <c r="AK759" i="1"/>
  <c r="AI759" i="1"/>
  <c r="AF759" i="1"/>
  <c r="AD759" i="1"/>
  <c r="AA759" i="1"/>
  <c r="Y759" i="1"/>
  <c r="V759" i="1"/>
  <c r="T759" i="1"/>
  <c r="Q759" i="1"/>
  <c r="O759" i="1"/>
  <c r="L759" i="1"/>
  <c r="J759" i="1"/>
  <c r="G759" i="1"/>
  <c r="E759" i="1"/>
  <c r="B759" i="1"/>
  <c r="AN758" i="1"/>
  <c r="AK758" i="1"/>
  <c r="AI758" i="1"/>
  <c r="AF758" i="1"/>
  <c r="AD758" i="1"/>
  <c r="AA758" i="1"/>
  <c r="Y758" i="1"/>
  <c r="V758" i="1"/>
  <c r="T758" i="1"/>
  <c r="Q758" i="1"/>
  <c r="O758" i="1"/>
  <c r="L758" i="1"/>
  <c r="J758" i="1"/>
  <c r="G758" i="1"/>
  <c r="E758" i="1"/>
  <c r="B758" i="1"/>
  <c r="AN757" i="1"/>
  <c r="AK757" i="1"/>
  <c r="AI757" i="1"/>
  <c r="AF757" i="1"/>
  <c r="AD757" i="1"/>
  <c r="AA757" i="1"/>
  <c r="Y757" i="1"/>
  <c r="V757" i="1"/>
  <c r="T757" i="1"/>
  <c r="Q757" i="1"/>
  <c r="O757" i="1"/>
  <c r="L757" i="1"/>
  <c r="J757" i="1"/>
  <c r="G757" i="1"/>
  <c r="E757" i="1"/>
  <c r="B757" i="1"/>
  <c r="AN756" i="1"/>
  <c r="AK756" i="1"/>
  <c r="AI756" i="1"/>
  <c r="AF756" i="1"/>
  <c r="AD756" i="1"/>
  <c r="AA756" i="1"/>
  <c r="Y756" i="1"/>
  <c r="V756" i="1"/>
  <c r="T756" i="1"/>
  <c r="Q756" i="1"/>
  <c r="O756" i="1"/>
  <c r="L756" i="1"/>
  <c r="J756" i="1"/>
  <c r="G756" i="1"/>
  <c r="E756" i="1"/>
  <c r="B756" i="1"/>
  <c r="AN755" i="1"/>
  <c r="AK755" i="1"/>
  <c r="AI755" i="1"/>
  <c r="AF755" i="1"/>
  <c r="AD755" i="1"/>
  <c r="AA755" i="1"/>
  <c r="Y755" i="1"/>
  <c r="V755" i="1"/>
  <c r="T755" i="1"/>
  <c r="Q755" i="1"/>
  <c r="O755" i="1"/>
  <c r="L755" i="1"/>
  <c r="J755" i="1"/>
  <c r="G755" i="1"/>
  <c r="E755" i="1"/>
  <c r="B755" i="1"/>
  <c r="AN754" i="1"/>
  <c r="AK754" i="1"/>
  <c r="AI754" i="1"/>
  <c r="AF754" i="1"/>
  <c r="AD754" i="1"/>
  <c r="AA754" i="1"/>
  <c r="Y754" i="1"/>
  <c r="V754" i="1"/>
  <c r="T754" i="1"/>
  <c r="Q754" i="1"/>
  <c r="O754" i="1"/>
  <c r="L754" i="1"/>
  <c r="J754" i="1"/>
  <c r="G754" i="1"/>
  <c r="E754" i="1"/>
  <c r="B754" i="1"/>
  <c r="AN753" i="1"/>
  <c r="AK753" i="1"/>
  <c r="AI753" i="1"/>
  <c r="AF753" i="1"/>
  <c r="AD753" i="1"/>
  <c r="AA753" i="1"/>
  <c r="Y753" i="1"/>
  <c r="V753" i="1"/>
  <c r="T753" i="1"/>
  <c r="Q753" i="1"/>
  <c r="O753" i="1"/>
  <c r="L753" i="1"/>
  <c r="J753" i="1"/>
  <c r="G753" i="1"/>
  <c r="E753" i="1"/>
  <c r="B753" i="1"/>
  <c r="AN752" i="1"/>
  <c r="AK752" i="1"/>
  <c r="AI752" i="1"/>
  <c r="AF752" i="1"/>
  <c r="AD752" i="1"/>
  <c r="AA752" i="1"/>
  <c r="Y752" i="1"/>
  <c r="V752" i="1"/>
  <c r="T752" i="1"/>
  <c r="Q752" i="1"/>
  <c r="O752" i="1"/>
  <c r="L752" i="1"/>
  <c r="J752" i="1"/>
  <c r="G752" i="1"/>
  <c r="E752" i="1"/>
  <c r="B752" i="1"/>
  <c r="AN751" i="1"/>
  <c r="AK751" i="1"/>
  <c r="AI751" i="1"/>
  <c r="AF751" i="1"/>
  <c r="AD751" i="1"/>
  <c r="AA751" i="1"/>
  <c r="Y751" i="1"/>
  <c r="V751" i="1"/>
  <c r="T751" i="1"/>
  <c r="Q751" i="1"/>
  <c r="O751" i="1"/>
  <c r="L751" i="1"/>
  <c r="J751" i="1"/>
  <c r="G751" i="1"/>
  <c r="E751" i="1"/>
  <c r="B751" i="1"/>
  <c r="AN750" i="1"/>
  <c r="AK750" i="1"/>
  <c r="AI750" i="1"/>
  <c r="AF750" i="1"/>
  <c r="AD750" i="1"/>
  <c r="AA750" i="1"/>
  <c r="Y750" i="1"/>
  <c r="V750" i="1"/>
  <c r="T750" i="1"/>
  <c r="Q750" i="1"/>
  <c r="O750" i="1"/>
  <c r="L750" i="1"/>
  <c r="J750" i="1"/>
  <c r="G750" i="1"/>
  <c r="E750" i="1"/>
  <c r="B750" i="1"/>
  <c r="AN749" i="1"/>
  <c r="AK749" i="1"/>
  <c r="AI749" i="1"/>
  <c r="AF749" i="1"/>
  <c r="AD749" i="1"/>
  <c r="AA749" i="1"/>
  <c r="Y749" i="1"/>
  <c r="V749" i="1"/>
  <c r="T749" i="1"/>
  <c r="Q749" i="1"/>
  <c r="O749" i="1"/>
  <c r="L749" i="1"/>
  <c r="J749" i="1"/>
  <c r="G749" i="1"/>
  <c r="E749" i="1"/>
  <c r="B749" i="1"/>
  <c r="AN739" i="1"/>
  <c r="AK739" i="1"/>
  <c r="AI739" i="1"/>
  <c r="AF739" i="1"/>
  <c r="AD739" i="1"/>
  <c r="AA739" i="1"/>
  <c r="Y739" i="1"/>
  <c r="V739" i="1"/>
  <c r="T739" i="1"/>
  <c r="Q739" i="1"/>
  <c r="O739" i="1"/>
  <c r="L739" i="1"/>
  <c r="J739" i="1"/>
  <c r="G739" i="1"/>
  <c r="E739" i="1"/>
  <c r="B739" i="1"/>
  <c r="AN738" i="1"/>
  <c r="AK738" i="1"/>
  <c r="AI738" i="1"/>
  <c r="AF738" i="1"/>
  <c r="AD738" i="1"/>
  <c r="AA738" i="1"/>
  <c r="Y738" i="1"/>
  <c r="V738" i="1"/>
  <c r="T738" i="1"/>
  <c r="Q738" i="1"/>
  <c r="O738" i="1"/>
  <c r="L738" i="1"/>
  <c r="J738" i="1"/>
  <c r="G738" i="1"/>
  <c r="E738" i="1"/>
  <c r="B738" i="1"/>
  <c r="AN737" i="1"/>
  <c r="AK737" i="1"/>
  <c r="AI737" i="1"/>
  <c r="AF737" i="1"/>
  <c r="AD737" i="1"/>
  <c r="AA737" i="1"/>
  <c r="Y737" i="1"/>
  <c r="V737" i="1"/>
  <c r="T737" i="1"/>
  <c r="Q737" i="1"/>
  <c r="O737" i="1"/>
  <c r="L737" i="1"/>
  <c r="J737" i="1"/>
  <c r="G737" i="1"/>
  <c r="E737" i="1"/>
  <c r="B737" i="1"/>
  <c r="AN736" i="1"/>
  <c r="AK736" i="1"/>
  <c r="AI736" i="1"/>
  <c r="AF736" i="1"/>
  <c r="AD736" i="1"/>
  <c r="AA736" i="1"/>
  <c r="Y736" i="1"/>
  <c r="V736" i="1"/>
  <c r="T736" i="1"/>
  <c r="Q736" i="1"/>
  <c r="O736" i="1"/>
  <c r="L736" i="1"/>
  <c r="J736" i="1"/>
  <c r="G736" i="1"/>
  <c r="E736" i="1"/>
  <c r="B736" i="1"/>
  <c r="AN735" i="1"/>
  <c r="AK735" i="1"/>
  <c r="AI735" i="1"/>
  <c r="AF735" i="1"/>
  <c r="AD735" i="1"/>
  <c r="AA735" i="1"/>
  <c r="Y735" i="1"/>
  <c r="V735" i="1"/>
  <c r="T735" i="1"/>
  <c r="Q735" i="1"/>
  <c r="O735" i="1"/>
  <c r="L735" i="1"/>
  <c r="J735" i="1"/>
  <c r="G735" i="1"/>
  <c r="E735" i="1"/>
  <c r="B735" i="1"/>
  <c r="AN734" i="1"/>
  <c r="AK734" i="1"/>
  <c r="AI734" i="1"/>
  <c r="AF734" i="1"/>
  <c r="AD734" i="1"/>
  <c r="AA734" i="1"/>
  <c r="Y734" i="1"/>
  <c r="V734" i="1"/>
  <c r="T734" i="1"/>
  <c r="Q734" i="1"/>
  <c r="O734" i="1"/>
  <c r="L734" i="1"/>
  <c r="J734" i="1"/>
  <c r="G734" i="1"/>
  <c r="E734" i="1"/>
  <c r="B734" i="1"/>
  <c r="AN733" i="1"/>
  <c r="AK733" i="1"/>
  <c r="AI733" i="1"/>
  <c r="AF733" i="1"/>
  <c r="AD733" i="1"/>
  <c r="AA733" i="1"/>
  <c r="Y733" i="1"/>
  <c r="V733" i="1"/>
  <c r="T733" i="1"/>
  <c r="Q733" i="1"/>
  <c r="O733" i="1"/>
  <c r="L733" i="1"/>
  <c r="J733" i="1"/>
  <c r="G733" i="1"/>
  <c r="E733" i="1"/>
  <c r="B733" i="1"/>
  <c r="AN732" i="1"/>
  <c r="AK732" i="1"/>
  <c r="AI732" i="1"/>
  <c r="AF732" i="1"/>
  <c r="AD732" i="1"/>
  <c r="AA732" i="1"/>
  <c r="Y732" i="1"/>
  <c r="V732" i="1"/>
  <c r="T732" i="1"/>
  <c r="Q732" i="1"/>
  <c r="O732" i="1"/>
  <c r="L732" i="1"/>
  <c r="J732" i="1"/>
  <c r="G732" i="1"/>
  <c r="E732" i="1"/>
  <c r="B732" i="1"/>
  <c r="AN731" i="1"/>
  <c r="AK731" i="1"/>
  <c r="AI731" i="1"/>
  <c r="AF731" i="1"/>
  <c r="AD731" i="1"/>
  <c r="AA731" i="1"/>
  <c r="Y731" i="1"/>
  <c r="V731" i="1"/>
  <c r="T731" i="1"/>
  <c r="Q731" i="1"/>
  <c r="O731" i="1"/>
  <c r="L731" i="1"/>
  <c r="J731" i="1"/>
  <c r="G731" i="1"/>
  <c r="E731" i="1"/>
  <c r="B731" i="1"/>
  <c r="AN730" i="1"/>
  <c r="AK730" i="1"/>
  <c r="AI730" i="1"/>
  <c r="AF730" i="1"/>
  <c r="AD730" i="1"/>
  <c r="AA730" i="1"/>
  <c r="Y730" i="1"/>
  <c r="V730" i="1"/>
  <c r="T730" i="1"/>
  <c r="Q730" i="1"/>
  <c r="O730" i="1"/>
  <c r="L730" i="1"/>
  <c r="J730" i="1"/>
  <c r="G730" i="1"/>
  <c r="E730" i="1"/>
  <c r="B730" i="1"/>
  <c r="AN729" i="1"/>
  <c r="AK729" i="1"/>
  <c r="AI729" i="1"/>
  <c r="AF729" i="1"/>
  <c r="AD729" i="1"/>
  <c r="AA729" i="1"/>
  <c r="Y729" i="1"/>
  <c r="V729" i="1"/>
  <c r="T729" i="1"/>
  <c r="Q729" i="1"/>
  <c r="O729" i="1"/>
  <c r="L729" i="1"/>
  <c r="J729" i="1"/>
  <c r="G729" i="1"/>
  <c r="E729" i="1"/>
  <c r="B729" i="1"/>
  <c r="AN728" i="1"/>
  <c r="AK728" i="1"/>
  <c r="AI728" i="1"/>
  <c r="AF728" i="1"/>
  <c r="AD728" i="1"/>
  <c r="AA728" i="1"/>
  <c r="Y728" i="1"/>
  <c r="V728" i="1"/>
  <c r="T728" i="1"/>
  <c r="Q728" i="1"/>
  <c r="O728" i="1"/>
  <c r="L728" i="1"/>
  <c r="J728" i="1"/>
  <c r="G728" i="1"/>
  <c r="E728" i="1"/>
  <c r="B728" i="1"/>
  <c r="AN727" i="1"/>
  <c r="AK727" i="1"/>
  <c r="AI727" i="1"/>
  <c r="AF727" i="1"/>
  <c r="AD727" i="1"/>
  <c r="AA727" i="1"/>
  <c r="Y727" i="1"/>
  <c r="V727" i="1"/>
  <c r="T727" i="1"/>
  <c r="Q727" i="1"/>
  <c r="O727" i="1"/>
  <c r="L727" i="1"/>
  <c r="J727" i="1"/>
  <c r="G727" i="1"/>
  <c r="E727" i="1"/>
  <c r="B727" i="1"/>
  <c r="AN726" i="1"/>
  <c r="AK726" i="1"/>
  <c r="AI726" i="1"/>
  <c r="AF726" i="1"/>
  <c r="AD726" i="1"/>
  <c r="AA726" i="1"/>
  <c r="Y726" i="1"/>
  <c r="V726" i="1"/>
  <c r="T726" i="1"/>
  <c r="Q726" i="1"/>
  <c r="O726" i="1"/>
  <c r="L726" i="1"/>
  <c r="J726" i="1"/>
  <c r="G726" i="1"/>
  <c r="E726" i="1"/>
  <c r="B726" i="1"/>
  <c r="AN725" i="1"/>
  <c r="AK725" i="1"/>
  <c r="AI725" i="1"/>
  <c r="AF725" i="1"/>
  <c r="AD725" i="1"/>
  <c r="AA725" i="1"/>
  <c r="Y725" i="1"/>
  <c r="V725" i="1"/>
  <c r="T725" i="1"/>
  <c r="Q725" i="1"/>
  <c r="O725" i="1"/>
  <c r="L725" i="1"/>
  <c r="J725" i="1"/>
  <c r="G725" i="1"/>
  <c r="E725" i="1"/>
  <c r="B725" i="1"/>
  <c r="AN724" i="1"/>
  <c r="AK724" i="1"/>
  <c r="AI724" i="1"/>
  <c r="AF724" i="1"/>
  <c r="AD724" i="1"/>
  <c r="AA724" i="1"/>
  <c r="Y724" i="1"/>
  <c r="V724" i="1"/>
  <c r="T724" i="1"/>
  <c r="Q724" i="1"/>
  <c r="O724" i="1"/>
  <c r="L724" i="1"/>
  <c r="J724" i="1"/>
  <c r="G724" i="1"/>
  <c r="E724" i="1"/>
  <c r="B724" i="1"/>
  <c r="AN723" i="1"/>
  <c r="AK723" i="1"/>
  <c r="AI723" i="1"/>
  <c r="AF723" i="1"/>
  <c r="AD723" i="1"/>
  <c r="AA723" i="1"/>
  <c r="Y723" i="1"/>
  <c r="V723" i="1"/>
  <c r="T723" i="1"/>
  <c r="Q723" i="1"/>
  <c r="O723" i="1"/>
  <c r="L723" i="1"/>
  <c r="J723" i="1"/>
  <c r="G723" i="1"/>
  <c r="E723" i="1"/>
  <c r="B723" i="1"/>
  <c r="AN722" i="1"/>
  <c r="AK722" i="1"/>
  <c r="AI722" i="1"/>
  <c r="AF722" i="1"/>
  <c r="AD722" i="1"/>
  <c r="AA722" i="1"/>
  <c r="Y722" i="1"/>
  <c r="V722" i="1"/>
  <c r="T722" i="1"/>
  <c r="Q722" i="1"/>
  <c r="O722" i="1"/>
  <c r="L722" i="1"/>
  <c r="J722" i="1"/>
  <c r="G722" i="1"/>
  <c r="E722" i="1"/>
  <c r="B722" i="1"/>
  <c r="AN721" i="1"/>
  <c r="AK721" i="1"/>
  <c r="AI721" i="1"/>
  <c r="AF721" i="1"/>
  <c r="AD721" i="1"/>
  <c r="AA721" i="1"/>
  <c r="Y721" i="1"/>
  <c r="V721" i="1"/>
  <c r="T721" i="1"/>
  <c r="Q721" i="1"/>
  <c r="O721" i="1"/>
  <c r="L721" i="1"/>
  <c r="J721" i="1"/>
  <c r="G721" i="1"/>
  <c r="E721" i="1"/>
  <c r="B721" i="1"/>
  <c r="AN720" i="1"/>
  <c r="AK720" i="1"/>
  <c r="AI720" i="1"/>
  <c r="AF720" i="1"/>
  <c r="AD720" i="1"/>
  <c r="AA720" i="1"/>
  <c r="Y720" i="1"/>
  <c r="V720" i="1"/>
  <c r="T720" i="1"/>
  <c r="Q720" i="1"/>
  <c r="O720" i="1"/>
  <c r="L720" i="1"/>
  <c r="J720" i="1"/>
  <c r="G720" i="1"/>
  <c r="E720" i="1"/>
  <c r="B720" i="1"/>
  <c r="AN719" i="1"/>
  <c r="AK719" i="1"/>
  <c r="AI719" i="1"/>
  <c r="AF719" i="1"/>
  <c r="AD719" i="1"/>
  <c r="AA719" i="1"/>
  <c r="Y719" i="1"/>
  <c r="V719" i="1"/>
  <c r="T719" i="1"/>
  <c r="Q719" i="1"/>
  <c r="O719" i="1"/>
  <c r="L719" i="1"/>
  <c r="J719" i="1"/>
  <c r="G719" i="1"/>
  <c r="E719" i="1"/>
  <c r="B719" i="1"/>
  <c r="AN712" i="1"/>
  <c r="AK712" i="1"/>
  <c r="AI712" i="1"/>
  <c r="AF712" i="1"/>
  <c r="AD712" i="1"/>
  <c r="AA712" i="1"/>
  <c r="Y712" i="1"/>
  <c r="V712" i="1"/>
  <c r="T712" i="1"/>
  <c r="Q712" i="1"/>
  <c r="O712" i="1"/>
  <c r="L712" i="1"/>
  <c r="J712" i="1"/>
  <c r="G712" i="1"/>
  <c r="E712" i="1"/>
  <c r="B712" i="1"/>
  <c r="AN711" i="1"/>
  <c r="AK711" i="1"/>
  <c r="AI711" i="1"/>
  <c r="AF711" i="1"/>
  <c r="AD711" i="1"/>
  <c r="AA711" i="1"/>
  <c r="Y711" i="1"/>
  <c r="V711" i="1"/>
  <c r="T711" i="1"/>
  <c r="Q711" i="1"/>
  <c r="O711" i="1"/>
  <c r="L711" i="1"/>
  <c r="J711" i="1"/>
  <c r="G711" i="1"/>
  <c r="E711" i="1"/>
  <c r="B711" i="1"/>
  <c r="AN710" i="1"/>
  <c r="AK710" i="1"/>
  <c r="AI710" i="1"/>
  <c r="AF710" i="1"/>
  <c r="AD710" i="1"/>
  <c r="AA710" i="1"/>
  <c r="Y710" i="1"/>
  <c r="V710" i="1"/>
  <c r="T710" i="1"/>
  <c r="Q710" i="1"/>
  <c r="O710" i="1"/>
  <c r="L710" i="1"/>
  <c r="J710" i="1"/>
  <c r="G710" i="1"/>
  <c r="E710" i="1"/>
  <c r="B710" i="1"/>
  <c r="AN709" i="1"/>
  <c r="AK709" i="1"/>
  <c r="AI709" i="1"/>
  <c r="AF709" i="1"/>
  <c r="AD709" i="1"/>
  <c r="AA709" i="1"/>
  <c r="Y709" i="1"/>
  <c r="V709" i="1"/>
  <c r="T709" i="1"/>
  <c r="Q709" i="1"/>
  <c r="O709" i="1"/>
  <c r="L709" i="1"/>
  <c r="J709" i="1"/>
  <c r="G709" i="1"/>
  <c r="E709" i="1"/>
  <c r="B709" i="1"/>
  <c r="AN708" i="1"/>
  <c r="AK708" i="1"/>
  <c r="AI708" i="1"/>
  <c r="AF708" i="1"/>
  <c r="AD708" i="1"/>
  <c r="AA708" i="1"/>
  <c r="Y708" i="1"/>
  <c r="V708" i="1"/>
  <c r="T708" i="1"/>
  <c r="Q708" i="1"/>
  <c r="O708" i="1"/>
  <c r="L708" i="1"/>
  <c r="J708" i="1"/>
  <c r="G708" i="1"/>
  <c r="E708" i="1"/>
  <c r="B708" i="1"/>
  <c r="AN707" i="1"/>
  <c r="AK707" i="1"/>
  <c r="AI707" i="1"/>
  <c r="AF707" i="1"/>
  <c r="AD707" i="1"/>
  <c r="AA707" i="1"/>
  <c r="Y707" i="1"/>
  <c r="V707" i="1"/>
  <c r="T707" i="1"/>
  <c r="Q707" i="1"/>
  <c r="O707" i="1"/>
  <c r="L707" i="1"/>
  <c r="J707" i="1"/>
  <c r="G707" i="1"/>
  <c r="E707" i="1"/>
  <c r="B707" i="1"/>
  <c r="AN706" i="1"/>
  <c r="AK706" i="1"/>
  <c r="AI706" i="1"/>
  <c r="AF706" i="1"/>
  <c r="AD706" i="1"/>
  <c r="AA706" i="1"/>
  <c r="Y706" i="1"/>
  <c r="V706" i="1"/>
  <c r="T706" i="1"/>
  <c r="Q706" i="1"/>
  <c r="O706" i="1"/>
  <c r="L706" i="1"/>
  <c r="J706" i="1"/>
  <c r="G706" i="1"/>
  <c r="E706" i="1"/>
  <c r="B706" i="1"/>
  <c r="AN705" i="1"/>
  <c r="AK705" i="1"/>
  <c r="AI705" i="1"/>
  <c r="AF705" i="1"/>
  <c r="AD705" i="1"/>
  <c r="AA705" i="1"/>
  <c r="Y705" i="1"/>
  <c r="V705" i="1"/>
  <c r="T705" i="1"/>
  <c r="Q705" i="1"/>
  <c r="O705" i="1"/>
  <c r="L705" i="1"/>
  <c r="J705" i="1"/>
  <c r="G705" i="1"/>
  <c r="E705" i="1"/>
  <c r="B705" i="1"/>
  <c r="AN704" i="1"/>
  <c r="AK704" i="1"/>
  <c r="AI704" i="1"/>
  <c r="AF704" i="1"/>
  <c r="AD704" i="1"/>
  <c r="AA704" i="1"/>
  <c r="Y704" i="1"/>
  <c r="V704" i="1"/>
  <c r="T704" i="1"/>
  <c r="Q704" i="1"/>
  <c r="O704" i="1"/>
  <c r="L704" i="1"/>
  <c r="J704" i="1"/>
  <c r="G704" i="1"/>
  <c r="E704" i="1"/>
  <c r="B704" i="1"/>
  <c r="AN703" i="1"/>
  <c r="AK703" i="1"/>
  <c r="AI703" i="1"/>
  <c r="AF703" i="1"/>
  <c r="AD703" i="1"/>
  <c r="AA703" i="1"/>
  <c r="Y703" i="1"/>
  <c r="V703" i="1"/>
  <c r="T703" i="1"/>
  <c r="Q703" i="1"/>
  <c r="O703" i="1"/>
  <c r="L703" i="1"/>
  <c r="J703" i="1"/>
  <c r="G703" i="1"/>
  <c r="E703" i="1"/>
  <c r="B703" i="1"/>
  <c r="AN702" i="1"/>
  <c r="AK702" i="1"/>
  <c r="AI702" i="1"/>
  <c r="AF702" i="1"/>
  <c r="AD702" i="1"/>
  <c r="AA702" i="1"/>
  <c r="Y702" i="1"/>
  <c r="V702" i="1"/>
  <c r="T702" i="1"/>
  <c r="Q702" i="1"/>
  <c r="O702" i="1"/>
  <c r="L702" i="1"/>
  <c r="J702" i="1"/>
  <c r="G702" i="1"/>
  <c r="E702" i="1"/>
  <c r="B702" i="1"/>
  <c r="AN701" i="1"/>
  <c r="AK701" i="1"/>
  <c r="AI701" i="1"/>
  <c r="AF701" i="1"/>
  <c r="AD701" i="1"/>
  <c r="AA701" i="1"/>
  <c r="Y701" i="1"/>
  <c r="V701" i="1"/>
  <c r="T701" i="1"/>
  <c r="Q701" i="1"/>
  <c r="O701" i="1"/>
  <c r="L701" i="1"/>
  <c r="J701" i="1"/>
  <c r="G701" i="1"/>
  <c r="E701" i="1"/>
  <c r="B701" i="1"/>
  <c r="AN700" i="1"/>
  <c r="AK700" i="1"/>
  <c r="AI700" i="1"/>
  <c r="AF700" i="1"/>
  <c r="AD700" i="1"/>
  <c r="AA700" i="1"/>
  <c r="Y700" i="1"/>
  <c r="V700" i="1"/>
  <c r="T700" i="1"/>
  <c r="Q700" i="1"/>
  <c r="O700" i="1"/>
  <c r="L700" i="1"/>
  <c r="J700" i="1"/>
  <c r="G700" i="1"/>
  <c r="E700" i="1"/>
  <c r="B700" i="1"/>
  <c r="AN699" i="1"/>
  <c r="AK699" i="1"/>
  <c r="AI699" i="1"/>
  <c r="AF699" i="1"/>
  <c r="AD699" i="1"/>
  <c r="AA699" i="1"/>
  <c r="Y699" i="1"/>
  <c r="V699" i="1"/>
  <c r="T699" i="1"/>
  <c r="Q699" i="1"/>
  <c r="O699" i="1"/>
  <c r="L699" i="1"/>
  <c r="J699" i="1"/>
  <c r="G699" i="1"/>
  <c r="E699" i="1"/>
  <c r="B699" i="1"/>
  <c r="AN698" i="1"/>
  <c r="AK698" i="1"/>
  <c r="AI698" i="1"/>
  <c r="AF698" i="1"/>
  <c r="AD698" i="1"/>
  <c r="AA698" i="1"/>
  <c r="Y698" i="1"/>
  <c r="V698" i="1"/>
  <c r="T698" i="1"/>
  <c r="Q698" i="1"/>
  <c r="O698" i="1"/>
  <c r="L698" i="1"/>
  <c r="J698" i="1"/>
  <c r="G698" i="1"/>
  <c r="E698" i="1"/>
  <c r="B698" i="1"/>
  <c r="AN697" i="1"/>
  <c r="AK697" i="1"/>
  <c r="AI697" i="1"/>
  <c r="AF697" i="1"/>
  <c r="AD697" i="1"/>
  <c r="AA697" i="1"/>
  <c r="Y697" i="1"/>
  <c r="V697" i="1"/>
  <c r="T697" i="1"/>
  <c r="Q697" i="1"/>
  <c r="O697" i="1"/>
  <c r="L697" i="1"/>
  <c r="J697" i="1"/>
  <c r="G697" i="1"/>
  <c r="E697" i="1"/>
  <c r="B697" i="1"/>
  <c r="AN696" i="1"/>
  <c r="AK696" i="1"/>
  <c r="AI696" i="1"/>
  <c r="AF696" i="1"/>
  <c r="AD696" i="1"/>
  <c r="AA696" i="1"/>
  <c r="Y696" i="1"/>
  <c r="V696" i="1"/>
  <c r="T696" i="1"/>
  <c r="Q696" i="1"/>
  <c r="O696" i="1"/>
  <c r="L696" i="1"/>
  <c r="J696" i="1"/>
  <c r="G696" i="1"/>
  <c r="E696" i="1"/>
  <c r="B696" i="1"/>
  <c r="AN695" i="1"/>
  <c r="AK695" i="1"/>
  <c r="AI695" i="1"/>
  <c r="AF695" i="1"/>
  <c r="AD695" i="1"/>
  <c r="AA695" i="1"/>
  <c r="Y695" i="1"/>
  <c r="V695" i="1"/>
  <c r="T695" i="1"/>
  <c r="Q695" i="1"/>
  <c r="O695" i="1"/>
  <c r="L695" i="1"/>
  <c r="J695" i="1"/>
  <c r="G695" i="1"/>
  <c r="E695" i="1"/>
  <c r="B695" i="1"/>
  <c r="AN694" i="1"/>
  <c r="AK694" i="1"/>
  <c r="AI694" i="1"/>
  <c r="AF694" i="1"/>
  <c r="AD694" i="1"/>
  <c r="AA694" i="1"/>
  <c r="Y694" i="1"/>
  <c r="V694" i="1"/>
  <c r="T694" i="1"/>
  <c r="Q694" i="1"/>
  <c r="O694" i="1"/>
  <c r="L694" i="1"/>
  <c r="J694" i="1"/>
  <c r="G694" i="1"/>
  <c r="E694" i="1"/>
  <c r="B694" i="1"/>
  <c r="AN693" i="1"/>
  <c r="AK693" i="1"/>
  <c r="AI693" i="1"/>
  <c r="AF693" i="1"/>
  <c r="AD693" i="1"/>
  <c r="AA693" i="1"/>
  <c r="Y693" i="1"/>
  <c r="V693" i="1"/>
  <c r="T693" i="1"/>
  <c r="Q693" i="1"/>
  <c r="O693" i="1"/>
  <c r="L693" i="1"/>
  <c r="J693" i="1"/>
  <c r="G693" i="1"/>
  <c r="E693" i="1"/>
  <c r="B693" i="1"/>
  <c r="AN692" i="1"/>
  <c r="AK692" i="1"/>
  <c r="AI692" i="1"/>
  <c r="AF692" i="1"/>
  <c r="AD692" i="1"/>
  <c r="AA692" i="1"/>
  <c r="Y692" i="1"/>
  <c r="V692" i="1"/>
  <c r="T692" i="1"/>
  <c r="Q692" i="1"/>
  <c r="O692" i="1"/>
  <c r="L692" i="1"/>
  <c r="J692" i="1"/>
  <c r="G692" i="1"/>
  <c r="E692" i="1"/>
  <c r="B692" i="1"/>
  <c r="AN682" i="1"/>
  <c r="AK682" i="1"/>
  <c r="AI682" i="1"/>
  <c r="AF682" i="1"/>
  <c r="AD682" i="1"/>
  <c r="AA682" i="1"/>
  <c r="Y682" i="1"/>
  <c r="V682" i="1"/>
  <c r="T682" i="1"/>
  <c r="Q682" i="1"/>
  <c r="O682" i="1"/>
  <c r="L682" i="1"/>
  <c r="J682" i="1"/>
  <c r="G682" i="1"/>
  <c r="E682" i="1"/>
  <c r="B682" i="1"/>
  <c r="AN681" i="1"/>
  <c r="AK681" i="1"/>
  <c r="AI681" i="1"/>
  <c r="AF681" i="1"/>
  <c r="AD681" i="1"/>
  <c r="AA681" i="1"/>
  <c r="Y681" i="1"/>
  <c r="V681" i="1"/>
  <c r="T681" i="1"/>
  <c r="Q681" i="1"/>
  <c r="O681" i="1"/>
  <c r="L681" i="1"/>
  <c r="J681" i="1"/>
  <c r="G681" i="1"/>
  <c r="E681" i="1"/>
  <c r="B681" i="1"/>
  <c r="AN680" i="1"/>
  <c r="AK680" i="1"/>
  <c r="AI680" i="1"/>
  <c r="AF680" i="1"/>
  <c r="AD680" i="1"/>
  <c r="AA680" i="1"/>
  <c r="Y680" i="1"/>
  <c r="V680" i="1"/>
  <c r="T680" i="1"/>
  <c r="Q680" i="1"/>
  <c r="O680" i="1"/>
  <c r="L680" i="1"/>
  <c r="J680" i="1"/>
  <c r="G680" i="1"/>
  <c r="E680" i="1"/>
  <c r="B680" i="1"/>
  <c r="AN679" i="1"/>
  <c r="AK679" i="1"/>
  <c r="AI679" i="1"/>
  <c r="AF679" i="1"/>
  <c r="AD679" i="1"/>
  <c r="AA679" i="1"/>
  <c r="Y679" i="1"/>
  <c r="V679" i="1"/>
  <c r="T679" i="1"/>
  <c r="Q679" i="1"/>
  <c r="O679" i="1"/>
  <c r="L679" i="1"/>
  <c r="J679" i="1"/>
  <c r="G679" i="1"/>
  <c r="E679" i="1"/>
  <c r="B679" i="1"/>
  <c r="AN678" i="1"/>
  <c r="AK678" i="1"/>
  <c r="AI678" i="1"/>
  <c r="AF678" i="1"/>
  <c r="AD678" i="1"/>
  <c r="AA678" i="1"/>
  <c r="Y678" i="1"/>
  <c r="V678" i="1"/>
  <c r="T678" i="1"/>
  <c r="Q678" i="1"/>
  <c r="O678" i="1"/>
  <c r="L678" i="1"/>
  <c r="J678" i="1"/>
  <c r="G678" i="1"/>
  <c r="E678" i="1"/>
  <c r="B678" i="1"/>
  <c r="AN677" i="1"/>
  <c r="AK677" i="1"/>
  <c r="AI677" i="1"/>
  <c r="AF677" i="1"/>
  <c r="AD677" i="1"/>
  <c r="AA677" i="1"/>
  <c r="Y677" i="1"/>
  <c r="V677" i="1"/>
  <c r="T677" i="1"/>
  <c r="Q677" i="1"/>
  <c r="O677" i="1"/>
  <c r="L677" i="1"/>
  <c r="J677" i="1"/>
  <c r="G677" i="1"/>
  <c r="E677" i="1"/>
  <c r="B677" i="1"/>
  <c r="AN676" i="1"/>
  <c r="AK676" i="1"/>
  <c r="AI676" i="1"/>
  <c r="AF676" i="1"/>
  <c r="AD676" i="1"/>
  <c r="AA676" i="1"/>
  <c r="Y676" i="1"/>
  <c r="V676" i="1"/>
  <c r="T676" i="1"/>
  <c r="Q676" i="1"/>
  <c r="O676" i="1"/>
  <c r="L676" i="1"/>
  <c r="J676" i="1"/>
  <c r="G676" i="1"/>
  <c r="E676" i="1"/>
  <c r="B676" i="1"/>
  <c r="AN675" i="1"/>
  <c r="AK675" i="1"/>
  <c r="AI675" i="1"/>
  <c r="AF675" i="1"/>
  <c r="AD675" i="1"/>
  <c r="AA675" i="1"/>
  <c r="Y675" i="1"/>
  <c r="V675" i="1"/>
  <c r="T675" i="1"/>
  <c r="Q675" i="1"/>
  <c r="O675" i="1"/>
  <c r="L675" i="1"/>
  <c r="J675" i="1"/>
  <c r="G675" i="1"/>
  <c r="E675" i="1"/>
  <c r="B675" i="1"/>
  <c r="AN674" i="1"/>
  <c r="AK674" i="1"/>
  <c r="AI674" i="1"/>
  <c r="AF674" i="1"/>
  <c r="AD674" i="1"/>
  <c r="AA674" i="1"/>
  <c r="Y674" i="1"/>
  <c r="V674" i="1"/>
  <c r="T674" i="1"/>
  <c r="Q674" i="1"/>
  <c r="O674" i="1"/>
  <c r="L674" i="1"/>
  <c r="J674" i="1"/>
  <c r="G674" i="1"/>
  <c r="E674" i="1"/>
  <c r="B674" i="1"/>
  <c r="AN673" i="1"/>
  <c r="AK673" i="1"/>
  <c r="AI673" i="1"/>
  <c r="AF673" i="1"/>
  <c r="AD673" i="1"/>
  <c r="AA673" i="1"/>
  <c r="Y673" i="1"/>
  <c r="V673" i="1"/>
  <c r="T673" i="1"/>
  <c r="Q673" i="1"/>
  <c r="O673" i="1"/>
  <c r="L673" i="1"/>
  <c r="J673" i="1"/>
  <c r="G673" i="1"/>
  <c r="E673" i="1"/>
  <c r="B673" i="1"/>
  <c r="AN672" i="1"/>
  <c r="AK672" i="1"/>
  <c r="AI672" i="1"/>
  <c r="AF672" i="1"/>
  <c r="AD672" i="1"/>
  <c r="AA672" i="1"/>
  <c r="Y672" i="1"/>
  <c r="V672" i="1"/>
  <c r="T672" i="1"/>
  <c r="Q672" i="1"/>
  <c r="O672" i="1"/>
  <c r="L672" i="1"/>
  <c r="J672" i="1"/>
  <c r="G672" i="1"/>
  <c r="E672" i="1"/>
  <c r="B672" i="1"/>
  <c r="AN671" i="1"/>
  <c r="AK671" i="1"/>
  <c r="AI671" i="1"/>
  <c r="AF671" i="1"/>
  <c r="AD671" i="1"/>
  <c r="AA671" i="1"/>
  <c r="Y671" i="1"/>
  <c r="V671" i="1"/>
  <c r="T671" i="1"/>
  <c r="Q671" i="1"/>
  <c r="O671" i="1"/>
  <c r="L671" i="1"/>
  <c r="J671" i="1"/>
  <c r="G671" i="1"/>
  <c r="E671" i="1"/>
  <c r="B671" i="1"/>
  <c r="AN670" i="1"/>
  <c r="AK670" i="1"/>
  <c r="AI670" i="1"/>
  <c r="AF670" i="1"/>
  <c r="AD670" i="1"/>
  <c r="AA670" i="1"/>
  <c r="Y670" i="1"/>
  <c r="V670" i="1"/>
  <c r="T670" i="1"/>
  <c r="Q670" i="1"/>
  <c r="O670" i="1"/>
  <c r="L670" i="1"/>
  <c r="J670" i="1"/>
  <c r="G670" i="1"/>
  <c r="E670" i="1"/>
  <c r="B670" i="1"/>
  <c r="AN669" i="1"/>
  <c r="AK669" i="1"/>
  <c r="AI669" i="1"/>
  <c r="AF669" i="1"/>
  <c r="AD669" i="1"/>
  <c r="AA669" i="1"/>
  <c r="Y669" i="1"/>
  <c r="V669" i="1"/>
  <c r="T669" i="1"/>
  <c r="Q669" i="1"/>
  <c r="O669" i="1"/>
  <c r="L669" i="1"/>
  <c r="J669" i="1"/>
  <c r="G669" i="1"/>
  <c r="E669" i="1"/>
  <c r="B669" i="1"/>
  <c r="AN668" i="1"/>
  <c r="AK668" i="1"/>
  <c r="AI668" i="1"/>
  <c r="AF668" i="1"/>
  <c r="AD668" i="1"/>
  <c r="AA668" i="1"/>
  <c r="Y668" i="1"/>
  <c r="V668" i="1"/>
  <c r="T668" i="1"/>
  <c r="Q668" i="1"/>
  <c r="O668" i="1"/>
  <c r="L668" i="1"/>
  <c r="J668" i="1"/>
  <c r="G668" i="1"/>
  <c r="E668" i="1"/>
  <c r="B668" i="1"/>
  <c r="AN667" i="1"/>
  <c r="AK667" i="1"/>
  <c r="AI667" i="1"/>
  <c r="AF667" i="1"/>
  <c r="AD667" i="1"/>
  <c r="AA667" i="1"/>
  <c r="Y667" i="1"/>
  <c r="V667" i="1"/>
  <c r="T667" i="1"/>
  <c r="Q667" i="1"/>
  <c r="O667" i="1"/>
  <c r="L667" i="1"/>
  <c r="J667" i="1"/>
  <c r="G667" i="1"/>
  <c r="E667" i="1"/>
  <c r="B667" i="1"/>
  <c r="AN666" i="1"/>
  <c r="AK666" i="1"/>
  <c r="AI666" i="1"/>
  <c r="AF666" i="1"/>
  <c r="AD666" i="1"/>
  <c r="AA666" i="1"/>
  <c r="Y666" i="1"/>
  <c r="V666" i="1"/>
  <c r="T666" i="1"/>
  <c r="Q666" i="1"/>
  <c r="O666" i="1"/>
  <c r="L666" i="1"/>
  <c r="J666" i="1"/>
  <c r="G666" i="1"/>
  <c r="E666" i="1"/>
  <c r="B666" i="1"/>
  <c r="AN665" i="1"/>
  <c r="AK665" i="1"/>
  <c r="AI665" i="1"/>
  <c r="AF665" i="1"/>
  <c r="AD665" i="1"/>
  <c r="AA665" i="1"/>
  <c r="Y665" i="1"/>
  <c r="V665" i="1"/>
  <c r="T665" i="1"/>
  <c r="Q665" i="1"/>
  <c r="O665" i="1"/>
  <c r="L665" i="1"/>
  <c r="J665" i="1"/>
  <c r="G665" i="1"/>
  <c r="E665" i="1"/>
  <c r="B665" i="1"/>
  <c r="AN664" i="1"/>
  <c r="AK664" i="1"/>
  <c r="AI664" i="1"/>
  <c r="AF664" i="1"/>
  <c r="AD664" i="1"/>
  <c r="AA664" i="1"/>
  <c r="Y664" i="1"/>
  <c r="V664" i="1"/>
  <c r="T664" i="1"/>
  <c r="Q664" i="1"/>
  <c r="O664" i="1"/>
  <c r="L664" i="1"/>
  <c r="J664" i="1"/>
  <c r="G664" i="1"/>
  <c r="E664" i="1"/>
  <c r="B664" i="1"/>
  <c r="AN663" i="1"/>
  <c r="AK663" i="1"/>
  <c r="AI663" i="1"/>
  <c r="AF663" i="1"/>
  <c r="AD663" i="1"/>
  <c r="AA663" i="1"/>
  <c r="Y663" i="1"/>
  <c r="V663" i="1"/>
  <c r="T663" i="1"/>
  <c r="Q663" i="1"/>
  <c r="O663" i="1"/>
  <c r="L663" i="1"/>
  <c r="J663" i="1"/>
  <c r="G663" i="1"/>
  <c r="E663" i="1"/>
  <c r="B663" i="1"/>
  <c r="AN662" i="1"/>
  <c r="AK662" i="1"/>
  <c r="AI662" i="1"/>
  <c r="AF662" i="1"/>
  <c r="AD662" i="1"/>
  <c r="AA662" i="1"/>
  <c r="Y662" i="1"/>
  <c r="V662" i="1"/>
  <c r="T662" i="1"/>
  <c r="Q662" i="1"/>
  <c r="O662" i="1"/>
  <c r="L662" i="1"/>
  <c r="J662" i="1"/>
  <c r="G662" i="1"/>
  <c r="E662" i="1"/>
  <c r="B662" i="1"/>
  <c r="AN655" i="1"/>
  <c r="AK655" i="1"/>
  <c r="AI655" i="1"/>
  <c r="AF655" i="1"/>
  <c r="AD655" i="1"/>
  <c r="AA655" i="1"/>
  <c r="Y655" i="1"/>
  <c r="V655" i="1"/>
  <c r="T655" i="1"/>
  <c r="Q655" i="1"/>
  <c r="O655" i="1"/>
  <c r="L655" i="1"/>
  <c r="J655" i="1"/>
  <c r="G655" i="1"/>
  <c r="E655" i="1"/>
  <c r="B655" i="1"/>
  <c r="AN654" i="1"/>
  <c r="AK654" i="1"/>
  <c r="AI654" i="1"/>
  <c r="AF654" i="1"/>
  <c r="AD654" i="1"/>
  <c r="AA654" i="1"/>
  <c r="Y654" i="1"/>
  <c r="V654" i="1"/>
  <c r="T654" i="1"/>
  <c r="Q654" i="1"/>
  <c r="O654" i="1"/>
  <c r="L654" i="1"/>
  <c r="J654" i="1"/>
  <c r="G654" i="1"/>
  <c r="E654" i="1"/>
  <c r="B654" i="1"/>
  <c r="AN653" i="1"/>
  <c r="AK653" i="1"/>
  <c r="AI653" i="1"/>
  <c r="AF653" i="1"/>
  <c r="AD653" i="1"/>
  <c r="AA653" i="1"/>
  <c r="Y653" i="1"/>
  <c r="V653" i="1"/>
  <c r="T653" i="1"/>
  <c r="Q653" i="1"/>
  <c r="O653" i="1"/>
  <c r="L653" i="1"/>
  <c r="J653" i="1"/>
  <c r="G653" i="1"/>
  <c r="E653" i="1"/>
  <c r="B653" i="1"/>
  <c r="AN652" i="1"/>
  <c r="AK652" i="1"/>
  <c r="AI652" i="1"/>
  <c r="AF652" i="1"/>
  <c r="AD652" i="1"/>
  <c r="AA652" i="1"/>
  <c r="Y652" i="1"/>
  <c r="V652" i="1"/>
  <c r="T652" i="1"/>
  <c r="Q652" i="1"/>
  <c r="O652" i="1"/>
  <c r="L652" i="1"/>
  <c r="J652" i="1"/>
  <c r="G652" i="1"/>
  <c r="E652" i="1"/>
  <c r="B652" i="1"/>
  <c r="AN651" i="1"/>
  <c r="AK651" i="1"/>
  <c r="AI651" i="1"/>
  <c r="AF651" i="1"/>
  <c r="AD651" i="1"/>
  <c r="AA651" i="1"/>
  <c r="Y651" i="1"/>
  <c r="V651" i="1"/>
  <c r="T651" i="1"/>
  <c r="Q651" i="1"/>
  <c r="O651" i="1"/>
  <c r="L651" i="1"/>
  <c r="J651" i="1"/>
  <c r="G651" i="1"/>
  <c r="E651" i="1"/>
  <c r="B651" i="1"/>
  <c r="AN650" i="1"/>
  <c r="AK650" i="1"/>
  <c r="AI650" i="1"/>
  <c r="AF650" i="1"/>
  <c r="AD650" i="1"/>
  <c r="AA650" i="1"/>
  <c r="Y650" i="1"/>
  <c r="V650" i="1"/>
  <c r="T650" i="1"/>
  <c r="Q650" i="1"/>
  <c r="O650" i="1"/>
  <c r="L650" i="1"/>
  <c r="J650" i="1"/>
  <c r="G650" i="1"/>
  <c r="E650" i="1"/>
  <c r="B650" i="1"/>
  <c r="AN649" i="1"/>
  <c r="AK649" i="1"/>
  <c r="AI649" i="1"/>
  <c r="AF649" i="1"/>
  <c r="AD649" i="1"/>
  <c r="AA649" i="1"/>
  <c r="Y649" i="1"/>
  <c r="V649" i="1"/>
  <c r="T649" i="1"/>
  <c r="Q649" i="1"/>
  <c r="O649" i="1"/>
  <c r="L649" i="1"/>
  <c r="J649" i="1"/>
  <c r="G649" i="1"/>
  <c r="E649" i="1"/>
  <c r="B649" i="1"/>
  <c r="AN648" i="1"/>
  <c r="AK648" i="1"/>
  <c r="AI648" i="1"/>
  <c r="AF648" i="1"/>
  <c r="AD648" i="1"/>
  <c r="AA648" i="1"/>
  <c r="Y648" i="1"/>
  <c r="V648" i="1"/>
  <c r="T648" i="1"/>
  <c r="Q648" i="1"/>
  <c r="O648" i="1"/>
  <c r="L648" i="1"/>
  <c r="J648" i="1"/>
  <c r="G648" i="1"/>
  <c r="E648" i="1"/>
  <c r="B648" i="1"/>
  <c r="AN647" i="1"/>
  <c r="AK647" i="1"/>
  <c r="AI647" i="1"/>
  <c r="AF647" i="1"/>
  <c r="AD647" i="1"/>
  <c r="AA647" i="1"/>
  <c r="Y647" i="1"/>
  <c r="V647" i="1"/>
  <c r="T647" i="1"/>
  <c r="Q647" i="1"/>
  <c r="O647" i="1"/>
  <c r="L647" i="1"/>
  <c r="J647" i="1"/>
  <c r="G647" i="1"/>
  <c r="E647" i="1"/>
  <c r="B647" i="1"/>
  <c r="AN646" i="1"/>
  <c r="AK646" i="1"/>
  <c r="AI646" i="1"/>
  <c r="AF646" i="1"/>
  <c r="AD646" i="1"/>
  <c r="AA646" i="1"/>
  <c r="Y646" i="1"/>
  <c r="V646" i="1"/>
  <c r="T646" i="1"/>
  <c r="Q646" i="1"/>
  <c r="O646" i="1"/>
  <c r="L646" i="1"/>
  <c r="J646" i="1"/>
  <c r="G646" i="1"/>
  <c r="E646" i="1"/>
  <c r="B646" i="1"/>
  <c r="AN645" i="1"/>
  <c r="AK645" i="1"/>
  <c r="AI645" i="1"/>
  <c r="AF645" i="1"/>
  <c r="AD645" i="1"/>
  <c r="AA645" i="1"/>
  <c r="Y645" i="1"/>
  <c r="V645" i="1"/>
  <c r="T645" i="1"/>
  <c r="Q645" i="1"/>
  <c r="O645" i="1"/>
  <c r="L645" i="1"/>
  <c r="J645" i="1"/>
  <c r="G645" i="1"/>
  <c r="E645" i="1"/>
  <c r="B645" i="1"/>
  <c r="AN644" i="1"/>
  <c r="AK644" i="1"/>
  <c r="AI644" i="1"/>
  <c r="AF644" i="1"/>
  <c r="AD644" i="1"/>
  <c r="AA644" i="1"/>
  <c r="Y644" i="1"/>
  <c r="V644" i="1"/>
  <c r="T644" i="1"/>
  <c r="Q644" i="1"/>
  <c r="O644" i="1"/>
  <c r="L644" i="1"/>
  <c r="J644" i="1"/>
  <c r="G644" i="1"/>
  <c r="E644" i="1"/>
  <c r="B644" i="1"/>
  <c r="AN643" i="1"/>
  <c r="AK643" i="1"/>
  <c r="AI643" i="1"/>
  <c r="AF643" i="1"/>
  <c r="AD643" i="1"/>
  <c r="AA643" i="1"/>
  <c r="Y643" i="1"/>
  <c r="V643" i="1"/>
  <c r="T643" i="1"/>
  <c r="Q643" i="1"/>
  <c r="O643" i="1"/>
  <c r="L643" i="1"/>
  <c r="J643" i="1"/>
  <c r="G643" i="1"/>
  <c r="E643" i="1"/>
  <c r="B643" i="1"/>
  <c r="AN642" i="1"/>
  <c r="AK642" i="1"/>
  <c r="AI642" i="1"/>
  <c r="AF642" i="1"/>
  <c r="AD642" i="1"/>
  <c r="AA642" i="1"/>
  <c r="Y642" i="1"/>
  <c r="V642" i="1"/>
  <c r="T642" i="1"/>
  <c r="Q642" i="1"/>
  <c r="O642" i="1"/>
  <c r="L642" i="1"/>
  <c r="J642" i="1"/>
  <c r="G642" i="1"/>
  <c r="E642" i="1"/>
  <c r="B642" i="1"/>
  <c r="AN641" i="1"/>
  <c r="AK641" i="1"/>
  <c r="AI641" i="1"/>
  <c r="AF641" i="1"/>
  <c r="AD641" i="1"/>
  <c r="AA641" i="1"/>
  <c r="Y641" i="1"/>
  <c r="V641" i="1"/>
  <c r="T641" i="1"/>
  <c r="Q641" i="1"/>
  <c r="O641" i="1"/>
  <c r="L641" i="1"/>
  <c r="J641" i="1"/>
  <c r="G641" i="1"/>
  <c r="E641" i="1"/>
  <c r="B641" i="1"/>
  <c r="AN640" i="1"/>
  <c r="AK640" i="1"/>
  <c r="AI640" i="1"/>
  <c r="AF640" i="1"/>
  <c r="AD640" i="1"/>
  <c r="AA640" i="1"/>
  <c r="Y640" i="1"/>
  <c r="V640" i="1"/>
  <c r="T640" i="1"/>
  <c r="Q640" i="1"/>
  <c r="O640" i="1"/>
  <c r="L640" i="1"/>
  <c r="J640" i="1"/>
  <c r="G640" i="1"/>
  <c r="E640" i="1"/>
  <c r="B640" i="1"/>
  <c r="AN639" i="1"/>
  <c r="AK639" i="1"/>
  <c r="AI639" i="1"/>
  <c r="AF639" i="1"/>
  <c r="AD639" i="1"/>
  <c r="AA639" i="1"/>
  <c r="Y639" i="1"/>
  <c r="V639" i="1"/>
  <c r="T639" i="1"/>
  <c r="Q639" i="1"/>
  <c r="O639" i="1"/>
  <c r="L639" i="1"/>
  <c r="J639" i="1"/>
  <c r="G639" i="1"/>
  <c r="E639" i="1"/>
  <c r="B639" i="1"/>
  <c r="AN638" i="1"/>
  <c r="AK638" i="1"/>
  <c r="AI638" i="1"/>
  <c r="AF638" i="1"/>
  <c r="AD638" i="1"/>
  <c r="AA638" i="1"/>
  <c r="Y638" i="1"/>
  <c r="V638" i="1"/>
  <c r="T638" i="1"/>
  <c r="Q638" i="1"/>
  <c r="O638" i="1"/>
  <c r="L638" i="1"/>
  <c r="J638" i="1"/>
  <c r="G638" i="1"/>
  <c r="E638" i="1"/>
  <c r="B638" i="1"/>
  <c r="AN637" i="1"/>
  <c r="AK637" i="1"/>
  <c r="AI637" i="1"/>
  <c r="AF637" i="1"/>
  <c r="AD637" i="1"/>
  <c r="AA637" i="1"/>
  <c r="Y637" i="1"/>
  <c r="V637" i="1"/>
  <c r="T637" i="1"/>
  <c r="Q637" i="1"/>
  <c r="O637" i="1"/>
  <c r="L637" i="1"/>
  <c r="J637" i="1"/>
  <c r="G637" i="1"/>
  <c r="E637" i="1"/>
  <c r="B637" i="1"/>
  <c r="AN636" i="1"/>
  <c r="AK636" i="1"/>
  <c r="AI636" i="1"/>
  <c r="AF636" i="1"/>
  <c r="AD636" i="1"/>
  <c r="AA636" i="1"/>
  <c r="Y636" i="1"/>
  <c r="V636" i="1"/>
  <c r="T636" i="1"/>
  <c r="Q636" i="1"/>
  <c r="O636" i="1"/>
  <c r="L636" i="1"/>
  <c r="J636" i="1"/>
  <c r="G636" i="1"/>
  <c r="E636" i="1"/>
  <c r="B636" i="1"/>
  <c r="AN635" i="1"/>
  <c r="AK635" i="1"/>
  <c r="AI635" i="1"/>
  <c r="AF635" i="1"/>
  <c r="AD635" i="1"/>
  <c r="AA635" i="1"/>
  <c r="Y635" i="1"/>
  <c r="V635" i="1"/>
  <c r="T635" i="1"/>
  <c r="Q635" i="1"/>
  <c r="O635" i="1"/>
  <c r="L635" i="1"/>
  <c r="J635" i="1"/>
  <c r="G635" i="1"/>
  <c r="E635" i="1"/>
  <c r="B635" i="1"/>
  <c r="AN625" i="1"/>
  <c r="AK625" i="1"/>
  <c r="AI625" i="1"/>
  <c r="AF625" i="1"/>
  <c r="AD625" i="1"/>
  <c r="AA625" i="1"/>
  <c r="Y625" i="1"/>
  <c r="V625" i="1"/>
  <c r="T625" i="1"/>
  <c r="Q625" i="1"/>
  <c r="O625" i="1"/>
  <c r="L625" i="1"/>
  <c r="J625" i="1"/>
  <c r="G625" i="1"/>
  <c r="E625" i="1"/>
  <c r="B625" i="1"/>
  <c r="AN624" i="1"/>
  <c r="AK624" i="1"/>
  <c r="AI624" i="1"/>
  <c r="AF624" i="1"/>
  <c r="AD624" i="1"/>
  <c r="AA624" i="1"/>
  <c r="Y624" i="1"/>
  <c r="V624" i="1"/>
  <c r="T624" i="1"/>
  <c r="Q624" i="1"/>
  <c r="O624" i="1"/>
  <c r="L624" i="1"/>
  <c r="J624" i="1"/>
  <c r="G624" i="1"/>
  <c r="E624" i="1"/>
  <c r="B624" i="1"/>
  <c r="AN623" i="1"/>
  <c r="AK623" i="1"/>
  <c r="AI623" i="1"/>
  <c r="AF623" i="1"/>
  <c r="AD623" i="1"/>
  <c r="AA623" i="1"/>
  <c r="Y623" i="1"/>
  <c r="V623" i="1"/>
  <c r="T623" i="1"/>
  <c r="Q623" i="1"/>
  <c r="O623" i="1"/>
  <c r="L623" i="1"/>
  <c r="J623" i="1"/>
  <c r="G623" i="1"/>
  <c r="E623" i="1"/>
  <c r="B623" i="1"/>
  <c r="AN622" i="1"/>
  <c r="AK622" i="1"/>
  <c r="AI622" i="1"/>
  <c r="AF622" i="1"/>
  <c r="AD622" i="1"/>
  <c r="AA622" i="1"/>
  <c r="Y622" i="1"/>
  <c r="V622" i="1"/>
  <c r="T622" i="1"/>
  <c r="Q622" i="1"/>
  <c r="O622" i="1"/>
  <c r="L622" i="1"/>
  <c r="J622" i="1"/>
  <c r="G622" i="1"/>
  <c r="E622" i="1"/>
  <c r="B622" i="1"/>
  <c r="AN621" i="1"/>
  <c r="AK621" i="1"/>
  <c r="AI621" i="1"/>
  <c r="AF621" i="1"/>
  <c r="AD621" i="1"/>
  <c r="AA621" i="1"/>
  <c r="Y621" i="1"/>
  <c r="V621" i="1"/>
  <c r="T621" i="1"/>
  <c r="Q621" i="1"/>
  <c r="O621" i="1"/>
  <c r="L621" i="1"/>
  <c r="J621" i="1"/>
  <c r="G621" i="1"/>
  <c r="E621" i="1"/>
  <c r="B621" i="1"/>
  <c r="AN620" i="1"/>
  <c r="AK620" i="1"/>
  <c r="AI620" i="1"/>
  <c r="AF620" i="1"/>
  <c r="AD620" i="1"/>
  <c r="AA620" i="1"/>
  <c r="Y620" i="1"/>
  <c r="V620" i="1"/>
  <c r="T620" i="1"/>
  <c r="Q620" i="1"/>
  <c r="O620" i="1"/>
  <c r="L620" i="1"/>
  <c r="J620" i="1"/>
  <c r="G620" i="1"/>
  <c r="E620" i="1"/>
  <c r="B620" i="1"/>
  <c r="AN619" i="1"/>
  <c r="AK619" i="1"/>
  <c r="AI619" i="1"/>
  <c r="AF619" i="1"/>
  <c r="AD619" i="1"/>
  <c r="AA619" i="1"/>
  <c r="Y619" i="1"/>
  <c r="V619" i="1"/>
  <c r="T619" i="1"/>
  <c r="Q619" i="1"/>
  <c r="O619" i="1"/>
  <c r="L619" i="1"/>
  <c r="J619" i="1"/>
  <c r="G619" i="1"/>
  <c r="E619" i="1"/>
  <c r="B619" i="1"/>
  <c r="AN618" i="1"/>
  <c r="AK618" i="1"/>
  <c r="AI618" i="1"/>
  <c r="AF618" i="1"/>
  <c r="AD618" i="1"/>
  <c r="AA618" i="1"/>
  <c r="Y618" i="1"/>
  <c r="V618" i="1"/>
  <c r="T618" i="1"/>
  <c r="Q618" i="1"/>
  <c r="O618" i="1"/>
  <c r="L618" i="1"/>
  <c r="J618" i="1"/>
  <c r="G618" i="1"/>
  <c r="E618" i="1"/>
  <c r="B618" i="1"/>
  <c r="AN617" i="1"/>
  <c r="AK617" i="1"/>
  <c r="AI617" i="1"/>
  <c r="AF617" i="1"/>
  <c r="AD617" i="1"/>
  <c r="AA617" i="1"/>
  <c r="Y617" i="1"/>
  <c r="V617" i="1"/>
  <c r="T617" i="1"/>
  <c r="Q617" i="1"/>
  <c r="O617" i="1"/>
  <c r="L617" i="1"/>
  <c r="J617" i="1"/>
  <c r="G617" i="1"/>
  <c r="E617" i="1"/>
  <c r="B617" i="1"/>
  <c r="AN616" i="1"/>
  <c r="AK616" i="1"/>
  <c r="AI616" i="1"/>
  <c r="AF616" i="1"/>
  <c r="AD616" i="1"/>
  <c r="AA616" i="1"/>
  <c r="Y616" i="1"/>
  <c r="V616" i="1"/>
  <c r="T616" i="1"/>
  <c r="Q616" i="1"/>
  <c r="O616" i="1"/>
  <c r="L616" i="1"/>
  <c r="J616" i="1"/>
  <c r="G616" i="1"/>
  <c r="E616" i="1"/>
  <c r="B616" i="1"/>
  <c r="AN615" i="1"/>
  <c r="AK615" i="1"/>
  <c r="AI615" i="1"/>
  <c r="AF615" i="1"/>
  <c r="AD615" i="1"/>
  <c r="AA615" i="1"/>
  <c r="Y615" i="1"/>
  <c r="V615" i="1"/>
  <c r="T615" i="1"/>
  <c r="Q615" i="1"/>
  <c r="O615" i="1"/>
  <c r="L615" i="1"/>
  <c r="J615" i="1"/>
  <c r="G615" i="1"/>
  <c r="E615" i="1"/>
  <c r="B615" i="1"/>
  <c r="AN614" i="1"/>
  <c r="AK614" i="1"/>
  <c r="AI614" i="1"/>
  <c r="AF614" i="1"/>
  <c r="AD614" i="1"/>
  <c r="AA614" i="1"/>
  <c r="Y614" i="1"/>
  <c r="V614" i="1"/>
  <c r="T614" i="1"/>
  <c r="Q614" i="1"/>
  <c r="O614" i="1"/>
  <c r="L614" i="1"/>
  <c r="J614" i="1"/>
  <c r="G614" i="1"/>
  <c r="E614" i="1"/>
  <c r="B614" i="1"/>
  <c r="AN613" i="1"/>
  <c r="AK613" i="1"/>
  <c r="AI613" i="1"/>
  <c r="AF613" i="1"/>
  <c r="AD613" i="1"/>
  <c r="AA613" i="1"/>
  <c r="Y613" i="1"/>
  <c r="V613" i="1"/>
  <c r="T613" i="1"/>
  <c r="Q613" i="1"/>
  <c r="O613" i="1"/>
  <c r="L613" i="1"/>
  <c r="J613" i="1"/>
  <c r="G613" i="1"/>
  <c r="E613" i="1"/>
  <c r="B613" i="1"/>
  <c r="AN612" i="1"/>
  <c r="AK612" i="1"/>
  <c r="AI612" i="1"/>
  <c r="AF612" i="1"/>
  <c r="AD612" i="1"/>
  <c r="AA612" i="1"/>
  <c r="Y612" i="1"/>
  <c r="V612" i="1"/>
  <c r="T612" i="1"/>
  <c r="Q612" i="1"/>
  <c r="O612" i="1"/>
  <c r="L612" i="1"/>
  <c r="J612" i="1"/>
  <c r="G612" i="1"/>
  <c r="E612" i="1"/>
  <c r="B612" i="1"/>
  <c r="AN611" i="1"/>
  <c r="AK611" i="1"/>
  <c r="AI611" i="1"/>
  <c r="AF611" i="1"/>
  <c r="AD611" i="1"/>
  <c r="AA611" i="1"/>
  <c r="Y611" i="1"/>
  <c r="V611" i="1"/>
  <c r="T611" i="1"/>
  <c r="Q611" i="1"/>
  <c r="O611" i="1"/>
  <c r="L611" i="1"/>
  <c r="J611" i="1"/>
  <c r="G611" i="1"/>
  <c r="E611" i="1"/>
  <c r="B611" i="1"/>
  <c r="AN610" i="1"/>
  <c r="AK610" i="1"/>
  <c r="AI610" i="1"/>
  <c r="AF610" i="1"/>
  <c r="AD610" i="1"/>
  <c r="AA610" i="1"/>
  <c r="Y610" i="1"/>
  <c r="V610" i="1"/>
  <c r="T610" i="1"/>
  <c r="Q610" i="1"/>
  <c r="O610" i="1"/>
  <c r="L610" i="1"/>
  <c r="J610" i="1"/>
  <c r="G610" i="1"/>
  <c r="E610" i="1"/>
  <c r="B610" i="1"/>
  <c r="AN609" i="1"/>
  <c r="AK609" i="1"/>
  <c r="AI609" i="1"/>
  <c r="AF609" i="1"/>
  <c r="AD609" i="1"/>
  <c r="AA609" i="1"/>
  <c r="Y609" i="1"/>
  <c r="V609" i="1"/>
  <c r="T609" i="1"/>
  <c r="Q609" i="1"/>
  <c r="O609" i="1"/>
  <c r="L609" i="1"/>
  <c r="J609" i="1"/>
  <c r="G609" i="1"/>
  <c r="E609" i="1"/>
  <c r="B609" i="1"/>
  <c r="AN608" i="1"/>
  <c r="AK608" i="1"/>
  <c r="AI608" i="1"/>
  <c r="AF608" i="1"/>
  <c r="AD608" i="1"/>
  <c r="AA608" i="1"/>
  <c r="Y608" i="1"/>
  <c r="V608" i="1"/>
  <c r="T608" i="1"/>
  <c r="Q608" i="1"/>
  <c r="O608" i="1"/>
  <c r="L608" i="1"/>
  <c r="J608" i="1"/>
  <c r="G608" i="1"/>
  <c r="E608" i="1"/>
  <c r="B608" i="1"/>
  <c r="AN607" i="1"/>
  <c r="AK607" i="1"/>
  <c r="AI607" i="1"/>
  <c r="AF607" i="1"/>
  <c r="AD607" i="1"/>
  <c r="AA607" i="1"/>
  <c r="Y607" i="1"/>
  <c r="V607" i="1"/>
  <c r="T607" i="1"/>
  <c r="Q607" i="1"/>
  <c r="O607" i="1"/>
  <c r="L607" i="1"/>
  <c r="J607" i="1"/>
  <c r="G607" i="1"/>
  <c r="E607" i="1"/>
  <c r="B607" i="1"/>
  <c r="AN606" i="1"/>
  <c r="AK606" i="1"/>
  <c r="AI606" i="1"/>
  <c r="AF606" i="1"/>
  <c r="AD606" i="1"/>
  <c r="AA606" i="1"/>
  <c r="Y606" i="1"/>
  <c r="V606" i="1"/>
  <c r="T606" i="1"/>
  <c r="Q606" i="1"/>
  <c r="O606" i="1"/>
  <c r="L606" i="1"/>
  <c r="J606" i="1"/>
  <c r="G606" i="1"/>
  <c r="E606" i="1"/>
  <c r="B606" i="1"/>
  <c r="AN605" i="1"/>
  <c r="AK605" i="1"/>
  <c r="AI605" i="1"/>
  <c r="AF605" i="1"/>
  <c r="AD605" i="1"/>
  <c r="AA605" i="1"/>
  <c r="Y605" i="1"/>
  <c r="V605" i="1"/>
  <c r="T605" i="1"/>
  <c r="Q605" i="1"/>
  <c r="O605" i="1"/>
  <c r="L605" i="1"/>
  <c r="J605" i="1"/>
  <c r="G605" i="1"/>
  <c r="E605" i="1"/>
  <c r="B605" i="1"/>
  <c r="AN598" i="1"/>
  <c r="AK598" i="1"/>
  <c r="AI598" i="1"/>
  <c r="AF598" i="1"/>
  <c r="AD598" i="1"/>
  <c r="AA598" i="1"/>
  <c r="Y598" i="1"/>
  <c r="V598" i="1"/>
  <c r="T598" i="1"/>
  <c r="Q598" i="1"/>
  <c r="O598" i="1"/>
  <c r="L598" i="1"/>
  <c r="J598" i="1"/>
  <c r="G598" i="1"/>
  <c r="E598" i="1"/>
  <c r="B598" i="1"/>
  <c r="AN597" i="1"/>
  <c r="AK597" i="1"/>
  <c r="AI597" i="1"/>
  <c r="AF597" i="1"/>
  <c r="AD597" i="1"/>
  <c r="AA597" i="1"/>
  <c r="Y597" i="1"/>
  <c r="V597" i="1"/>
  <c r="T597" i="1"/>
  <c r="Q597" i="1"/>
  <c r="O597" i="1"/>
  <c r="L597" i="1"/>
  <c r="J597" i="1"/>
  <c r="G597" i="1"/>
  <c r="E597" i="1"/>
  <c r="B597" i="1"/>
  <c r="AN596" i="1"/>
  <c r="AK596" i="1"/>
  <c r="AI596" i="1"/>
  <c r="AF596" i="1"/>
  <c r="AD596" i="1"/>
  <c r="AA596" i="1"/>
  <c r="Y596" i="1"/>
  <c r="V596" i="1"/>
  <c r="T596" i="1"/>
  <c r="Q596" i="1"/>
  <c r="O596" i="1"/>
  <c r="L596" i="1"/>
  <c r="J596" i="1"/>
  <c r="G596" i="1"/>
  <c r="E596" i="1"/>
  <c r="B596" i="1"/>
  <c r="AN595" i="1"/>
  <c r="AK595" i="1"/>
  <c r="AI595" i="1"/>
  <c r="AF595" i="1"/>
  <c r="AD595" i="1"/>
  <c r="AA595" i="1"/>
  <c r="Y595" i="1"/>
  <c r="V595" i="1"/>
  <c r="T595" i="1"/>
  <c r="Q595" i="1"/>
  <c r="O595" i="1"/>
  <c r="L595" i="1"/>
  <c r="J595" i="1"/>
  <c r="G595" i="1"/>
  <c r="E595" i="1"/>
  <c r="B595" i="1"/>
  <c r="AN594" i="1"/>
  <c r="AK594" i="1"/>
  <c r="AI594" i="1"/>
  <c r="AF594" i="1"/>
  <c r="AD594" i="1"/>
  <c r="AA594" i="1"/>
  <c r="Y594" i="1"/>
  <c r="V594" i="1"/>
  <c r="T594" i="1"/>
  <c r="Q594" i="1"/>
  <c r="O594" i="1"/>
  <c r="L594" i="1"/>
  <c r="J594" i="1"/>
  <c r="G594" i="1"/>
  <c r="E594" i="1"/>
  <c r="B594" i="1"/>
  <c r="AN593" i="1"/>
  <c r="AK593" i="1"/>
  <c r="AI593" i="1"/>
  <c r="AF593" i="1"/>
  <c r="AD593" i="1"/>
  <c r="AA593" i="1"/>
  <c r="Y593" i="1"/>
  <c r="V593" i="1"/>
  <c r="T593" i="1"/>
  <c r="Q593" i="1"/>
  <c r="O593" i="1"/>
  <c r="L593" i="1"/>
  <c r="J593" i="1"/>
  <c r="G593" i="1"/>
  <c r="E593" i="1"/>
  <c r="B593" i="1"/>
  <c r="AN592" i="1"/>
  <c r="AK592" i="1"/>
  <c r="AI592" i="1"/>
  <c r="AF592" i="1"/>
  <c r="AD592" i="1"/>
  <c r="AA592" i="1"/>
  <c r="Y592" i="1"/>
  <c r="V592" i="1"/>
  <c r="T592" i="1"/>
  <c r="Q592" i="1"/>
  <c r="O592" i="1"/>
  <c r="L592" i="1"/>
  <c r="J592" i="1"/>
  <c r="G592" i="1"/>
  <c r="E592" i="1"/>
  <c r="B592" i="1"/>
  <c r="AN591" i="1"/>
  <c r="AK591" i="1"/>
  <c r="AI591" i="1"/>
  <c r="AF591" i="1"/>
  <c r="AD591" i="1"/>
  <c r="AA591" i="1"/>
  <c r="Y591" i="1"/>
  <c r="V591" i="1"/>
  <c r="T591" i="1"/>
  <c r="Q591" i="1"/>
  <c r="O591" i="1"/>
  <c r="L591" i="1"/>
  <c r="J591" i="1"/>
  <c r="G591" i="1"/>
  <c r="E591" i="1"/>
  <c r="B591" i="1"/>
  <c r="AN590" i="1"/>
  <c r="AK590" i="1"/>
  <c r="AI590" i="1"/>
  <c r="AF590" i="1"/>
  <c r="AD590" i="1"/>
  <c r="AA590" i="1"/>
  <c r="Y590" i="1"/>
  <c r="V590" i="1"/>
  <c r="T590" i="1"/>
  <c r="Q590" i="1"/>
  <c r="O590" i="1"/>
  <c r="L590" i="1"/>
  <c r="J590" i="1"/>
  <c r="G590" i="1"/>
  <c r="E590" i="1"/>
  <c r="B590" i="1"/>
  <c r="AN589" i="1"/>
  <c r="AK589" i="1"/>
  <c r="AI589" i="1"/>
  <c r="AF589" i="1"/>
  <c r="AD589" i="1"/>
  <c r="AA589" i="1"/>
  <c r="Y589" i="1"/>
  <c r="V589" i="1"/>
  <c r="T589" i="1"/>
  <c r="Q589" i="1"/>
  <c r="O589" i="1"/>
  <c r="L589" i="1"/>
  <c r="J589" i="1"/>
  <c r="G589" i="1"/>
  <c r="E589" i="1"/>
  <c r="B589" i="1"/>
  <c r="AN588" i="1"/>
  <c r="AK588" i="1"/>
  <c r="AI588" i="1"/>
  <c r="AF588" i="1"/>
  <c r="AD588" i="1"/>
  <c r="AA588" i="1"/>
  <c r="Y588" i="1"/>
  <c r="V588" i="1"/>
  <c r="T588" i="1"/>
  <c r="Q588" i="1"/>
  <c r="O588" i="1"/>
  <c r="L588" i="1"/>
  <c r="J588" i="1"/>
  <c r="G588" i="1"/>
  <c r="E588" i="1"/>
  <c r="B588" i="1"/>
  <c r="AN587" i="1"/>
  <c r="AK587" i="1"/>
  <c r="AI587" i="1"/>
  <c r="AF587" i="1"/>
  <c r="AD587" i="1"/>
  <c r="AA587" i="1"/>
  <c r="Y587" i="1"/>
  <c r="V587" i="1"/>
  <c r="T587" i="1"/>
  <c r="Q587" i="1"/>
  <c r="O587" i="1"/>
  <c r="L587" i="1"/>
  <c r="J587" i="1"/>
  <c r="G587" i="1"/>
  <c r="E587" i="1"/>
  <c r="B587" i="1"/>
  <c r="AN586" i="1"/>
  <c r="AK586" i="1"/>
  <c r="AI586" i="1"/>
  <c r="AF586" i="1"/>
  <c r="AD586" i="1"/>
  <c r="AA586" i="1"/>
  <c r="Y586" i="1"/>
  <c r="V586" i="1"/>
  <c r="T586" i="1"/>
  <c r="Q586" i="1"/>
  <c r="O586" i="1"/>
  <c r="L586" i="1"/>
  <c r="J586" i="1"/>
  <c r="G586" i="1"/>
  <c r="E586" i="1"/>
  <c r="B586" i="1"/>
  <c r="AN585" i="1"/>
  <c r="AK585" i="1"/>
  <c r="AI585" i="1"/>
  <c r="AF585" i="1"/>
  <c r="AD585" i="1"/>
  <c r="AA585" i="1"/>
  <c r="Y585" i="1"/>
  <c r="V585" i="1"/>
  <c r="T585" i="1"/>
  <c r="Q585" i="1"/>
  <c r="O585" i="1"/>
  <c r="L585" i="1"/>
  <c r="J585" i="1"/>
  <c r="G585" i="1"/>
  <c r="E585" i="1"/>
  <c r="B585" i="1"/>
  <c r="AN584" i="1"/>
  <c r="AK584" i="1"/>
  <c r="AI584" i="1"/>
  <c r="AF584" i="1"/>
  <c r="AD584" i="1"/>
  <c r="AA584" i="1"/>
  <c r="Y584" i="1"/>
  <c r="V584" i="1"/>
  <c r="T584" i="1"/>
  <c r="Q584" i="1"/>
  <c r="O584" i="1"/>
  <c r="L584" i="1"/>
  <c r="J584" i="1"/>
  <c r="G584" i="1"/>
  <c r="E584" i="1"/>
  <c r="B584" i="1"/>
  <c r="AN583" i="1"/>
  <c r="AK583" i="1"/>
  <c r="AI583" i="1"/>
  <c r="AF583" i="1"/>
  <c r="AD583" i="1"/>
  <c r="AA583" i="1"/>
  <c r="Y583" i="1"/>
  <c r="V583" i="1"/>
  <c r="T583" i="1"/>
  <c r="Q583" i="1"/>
  <c r="O583" i="1"/>
  <c r="L583" i="1"/>
  <c r="J583" i="1"/>
  <c r="G583" i="1"/>
  <c r="E583" i="1"/>
  <c r="B583" i="1"/>
  <c r="AN582" i="1"/>
  <c r="AK582" i="1"/>
  <c r="AI582" i="1"/>
  <c r="AF582" i="1"/>
  <c r="AD582" i="1"/>
  <c r="AA582" i="1"/>
  <c r="Y582" i="1"/>
  <c r="V582" i="1"/>
  <c r="T582" i="1"/>
  <c r="Q582" i="1"/>
  <c r="O582" i="1"/>
  <c r="L582" i="1"/>
  <c r="J582" i="1"/>
  <c r="G582" i="1"/>
  <c r="E582" i="1"/>
  <c r="B582" i="1"/>
  <c r="AN581" i="1"/>
  <c r="AK581" i="1"/>
  <c r="AI581" i="1"/>
  <c r="AF581" i="1"/>
  <c r="AD581" i="1"/>
  <c r="AA581" i="1"/>
  <c r="Y581" i="1"/>
  <c r="V581" i="1"/>
  <c r="T581" i="1"/>
  <c r="Q581" i="1"/>
  <c r="O581" i="1"/>
  <c r="L581" i="1"/>
  <c r="J581" i="1"/>
  <c r="G581" i="1"/>
  <c r="E581" i="1"/>
  <c r="B581" i="1"/>
  <c r="AN580" i="1"/>
  <c r="AK580" i="1"/>
  <c r="AI580" i="1"/>
  <c r="AF580" i="1"/>
  <c r="AD580" i="1"/>
  <c r="AA580" i="1"/>
  <c r="Y580" i="1"/>
  <c r="V580" i="1"/>
  <c r="T580" i="1"/>
  <c r="Q580" i="1"/>
  <c r="O580" i="1"/>
  <c r="L580" i="1"/>
  <c r="J580" i="1"/>
  <c r="G580" i="1"/>
  <c r="E580" i="1"/>
  <c r="B580" i="1"/>
  <c r="AN579" i="1"/>
  <c r="AK579" i="1"/>
  <c r="AI579" i="1"/>
  <c r="AF579" i="1"/>
  <c r="AD579" i="1"/>
  <c r="AA579" i="1"/>
  <c r="Y579" i="1"/>
  <c r="V579" i="1"/>
  <c r="T579" i="1"/>
  <c r="Q579" i="1"/>
  <c r="O579" i="1"/>
  <c r="L579" i="1"/>
  <c r="J579" i="1"/>
  <c r="G579" i="1"/>
  <c r="E579" i="1"/>
  <c r="B579" i="1"/>
  <c r="AN578" i="1"/>
  <c r="AK578" i="1"/>
  <c r="AI578" i="1"/>
  <c r="AF578" i="1"/>
  <c r="AD578" i="1"/>
  <c r="AA578" i="1"/>
  <c r="Y578" i="1"/>
  <c r="V578" i="1"/>
  <c r="T578" i="1"/>
  <c r="Q578" i="1"/>
  <c r="O578" i="1"/>
  <c r="L578" i="1"/>
  <c r="J578" i="1"/>
  <c r="G578" i="1"/>
  <c r="E578" i="1"/>
  <c r="B578" i="1"/>
  <c r="AN568" i="1"/>
  <c r="AK568" i="1"/>
  <c r="AI568" i="1"/>
  <c r="AF568" i="1"/>
  <c r="AD568" i="1"/>
  <c r="AA568" i="1"/>
  <c r="Y568" i="1"/>
  <c r="V568" i="1"/>
  <c r="T568" i="1"/>
  <c r="Q568" i="1"/>
  <c r="O568" i="1"/>
  <c r="L568" i="1"/>
  <c r="J568" i="1"/>
  <c r="G568" i="1"/>
  <c r="E568" i="1"/>
  <c r="B568" i="1"/>
  <c r="AN567" i="1"/>
  <c r="AK567" i="1"/>
  <c r="AI567" i="1"/>
  <c r="AF567" i="1"/>
  <c r="AD567" i="1"/>
  <c r="AA567" i="1"/>
  <c r="Y567" i="1"/>
  <c r="V567" i="1"/>
  <c r="T567" i="1"/>
  <c r="Q567" i="1"/>
  <c r="O567" i="1"/>
  <c r="L567" i="1"/>
  <c r="J567" i="1"/>
  <c r="G567" i="1"/>
  <c r="E567" i="1"/>
  <c r="B567" i="1"/>
  <c r="AN566" i="1"/>
  <c r="AK566" i="1"/>
  <c r="AI566" i="1"/>
  <c r="AF566" i="1"/>
  <c r="AD566" i="1"/>
  <c r="AA566" i="1"/>
  <c r="Y566" i="1"/>
  <c r="V566" i="1"/>
  <c r="T566" i="1"/>
  <c r="Q566" i="1"/>
  <c r="O566" i="1"/>
  <c r="L566" i="1"/>
  <c r="J566" i="1"/>
  <c r="G566" i="1"/>
  <c r="E566" i="1"/>
  <c r="B566" i="1"/>
  <c r="AN565" i="1"/>
  <c r="AK565" i="1"/>
  <c r="AI565" i="1"/>
  <c r="AF565" i="1"/>
  <c r="AD565" i="1"/>
  <c r="AA565" i="1"/>
  <c r="Y565" i="1"/>
  <c r="V565" i="1"/>
  <c r="T565" i="1"/>
  <c r="Q565" i="1"/>
  <c r="O565" i="1"/>
  <c r="L565" i="1"/>
  <c r="J565" i="1"/>
  <c r="G565" i="1"/>
  <c r="E565" i="1"/>
  <c r="B565" i="1"/>
  <c r="AN564" i="1"/>
  <c r="AK564" i="1"/>
  <c r="AI564" i="1"/>
  <c r="AF564" i="1"/>
  <c r="AD564" i="1"/>
  <c r="AA564" i="1"/>
  <c r="Y564" i="1"/>
  <c r="V564" i="1"/>
  <c r="T564" i="1"/>
  <c r="Q564" i="1"/>
  <c r="O564" i="1"/>
  <c r="L564" i="1"/>
  <c r="J564" i="1"/>
  <c r="G564" i="1"/>
  <c r="E564" i="1"/>
  <c r="B564" i="1"/>
  <c r="AN563" i="1"/>
  <c r="AK563" i="1"/>
  <c r="AI563" i="1"/>
  <c r="AF563" i="1"/>
  <c r="AD563" i="1"/>
  <c r="AA563" i="1"/>
  <c r="Y563" i="1"/>
  <c r="V563" i="1"/>
  <c r="T563" i="1"/>
  <c r="Q563" i="1"/>
  <c r="O563" i="1"/>
  <c r="L563" i="1"/>
  <c r="J563" i="1"/>
  <c r="G563" i="1"/>
  <c r="E563" i="1"/>
  <c r="B563" i="1"/>
  <c r="AN562" i="1"/>
  <c r="AK562" i="1"/>
  <c r="AI562" i="1"/>
  <c r="AF562" i="1"/>
  <c r="AD562" i="1"/>
  <c r="AA562" i="1"/>
  <c r="Y562" i="1"/>
  <c r="V562" i="1"/>
  <c r="T562" i="1"/>
  <c r="Q562" i="1"/>
  <c r="O562" i="1"/>
  <c r="L562" i="1"/>
  <c r="J562" i="1"/>
  <c r="G562" i="1"/>
  <c r="E562" i="1"/>
  <c r="B562" i="1"/>
  <c r="AN561" i="1"/>
  <c r="AK561" i="1"/>
  <c r="AI561" i="1"/>
  <c r="AF561" i="1"/>
  <c r="AD561" i="1"/>
  <c r="AA561" i="1"/>
  <c r="Y561" i="1"/>
  <c r="V561" i="1"/>
  <c r="T561" i="1"/>
  <c r="Q561" i="1"/>
  <c r="O561" i="1"/>
  <c r="L561" i="1"/>
  <c r="J561" i="1"/>
  <c r="G561" i="1"/>
  <c r="E561" i="1"/>
  <c r="B561" i="1"/>
  <c r="AN560" i="1"/>
  <c r="AK560" i="1"/>
  <c r="AI560" i="1"/>
  <c r="AF560" i="1"/>
  <c r="AD560" i="1"/>
  <c r="AA560" i="1"/>
  <c r="Y560" i="1"/>
  <c r="V560" i="1"/>
  <c r="T560" i="1"/>
  <c r="Q560" i="1"/>
  <c r="O560" i="1"/>
  <c r="L560" i="1"/>
  <c r="J560" i="1"/>
  <c r="G560" i="1"/>
  <c r="E560" i="1"/>
  <c r="B560" i="1"/>
  <c r="AN559" i="1"/>
  <c r="AK559" i="1"/>
  <c r="AI559" i="1"/>
  <c r="AF559" i="1"/>
  <c r="AD559" i="1"/>
  <c r="AA559" i="1"/>
  <c r="Y559" i="1"/>
  <c r="V559" i="1"/>
  <c r="T559" i="1"/>
  <c r="Q559" i="1"/>
  <c r="O559" i="1"/>
  <c r="L559" i="1"/>
  <c r="J559" i="1"/>
  <c r="G559" i="1"/>
  <c r="E559" i="1"/>
  <c r="B559" i="1"/>
  <c r="AN558" i="1"/>
  <c r="AK558" i="1"/>
  <c r="AI558" i="1"/>
  <c r="AF558" i="1"/>
  <c r="AD558" i="1"/>
  <c r="AA558" i="1"/>
  <c r="Y558" i="1"/>
  <c r="V558" i="1"/>
  <c r="T558" i="1"/>
  <c r="Q558" i="1"/>
  <c r="O558" i="1"/>
  <c r="L558" i="1"/>
  <c r="J558" i="1"/>
  <c r="G558" i="1"/>
  <c r="E558" i="1"/>
  <c r="B558" i="1"/>
  <c r="AN557" i="1"/>
  <c r="AK557" i="1"/>
  <c r="AI557" i="1"/>
  <c r="AF557" i="1"/>
  <c r="AD557" i="1"/>
  <c r="AA557" i="1"/>
  <c r="Y557" i="1"/>
  <c r="V557" i="1"/>
  <c r="T557" i="1"/>
  <c r="Q557" i="1"/>
  <c r="O557" i="1"/>
  <c r="L557" i="1"/>
  <c r="J557" i="1"/>
  <c r="G557" i="1"/>
  <c r="E557" i="1"/>
  <c r="B557" i="1"/>
  <c r="AN556" i="1"/>
  <c r="AK556" i="1"/>
  <c r="AI556" i="1"/>
  <c r="AF556" i="1"/>
  <c r="AD556" i="1"/>
  <c r="AA556" i="1"/>
  <c r="Y556" i="1"/>
  <c r="V556" i="1"/>
  <c r="T556" i="1"/>
  <c r="Q556" i="1"/>
  <c r="O556" i="1"/>
  <c r="L556" i="1"/>
  <c r="J556" i="1"/>
  <c r="G556" i="1"/>
  <c r="E556" i="1"/>
  <c r="B556" i="1"/>
  <c r="AN555" i="1"/>
  <c r="AK555" i="1"/>
  <c r="AI555" i="1"/>
  <c r="AF555" i="1"/>
  <c r="AD555" i="1"/>
  <c r="AA555" i="1"/>
  <c r="Y555" i="1"/>
  <c r="V555" i="1"/>
  <c r="T555" i="1"/>
  <c r="Q555" i="1"/>
  <c r="O555" i="1"/>
  <c r="L555" i="1"/>
  <c r="J555" i="1"/>
  <c r="G555" i="1"/>
  <c r="E555" i="1"/>
  <c r="B555" i="1"/>
  <c r="AN554" i="1"/>
  <c r="AK554" i="1"/>
  <c r="AI554" i="1"/>
  <c r="AF554" i="1"/>
  <c r="AD554" i="1"/>
  <c r="AA554" i="1"/>
  <c r="Y554" i="1"/>
  <c r="V554" i="1"/>
  <c r="T554" i="1"/>
  <c r="Q554" i="1"/>
  <c r="O554" i="1"/>
  <c r="L554" i="1"/>
  <c r="J554" i="1"/>
  <c r="G554" i="1"/>
  <c r="E554" i="1"/>
  <c r="B554" i="1"/>
  <c r="AN553" i="1"/>
  <c r="AK553" i="1"/>
  <c r="AI553" i="1"/>
  <c r="AF553" i="1"/>
  <c r="AD553" i="1"/>
  <c r="AA553" i="1"/>
  <c r="Y553" i="1"/>
  <c r="V553" i="1"/>
  <c r="T553" i="1"/>
  <c r="Q553" i="1"/>
  <c r="O553" i="1"/>
  <c r="L553" i="1"/>
  <c r="J553" i="1"/>
  <c r="G553" i="1"/>
  <c r="E553" i="1"/>
  <c r="B553" i="1"/>
  <c r="AN552" i="1"/>
  <c r="AK552" i="1"/>
  <c r="AI552" i="1"/>
  <c r="AF552" i="1"/>
  <c r="AD552" i="1"/>
  <c r="AA552" i="1"/>
  <c r="Y552" i="1"/>
  <c r="V552" i="1"/>
  <c r="T552" i="1"/>
  <c r="Q552" i="1"/>
  <c r="O552" i="1"/>
  <c r="L552" i="1"/>
  <c r="J552" i="1"/>
  <c r="G552" i="1"/>
  <c r="E552" i="1"/>
  <c r="B552" i="1"/>
  <c r="AN551" i="1"/>
  <c r="AK551" i="1"/>
  <c r="AI551" i="1"/>
  <c r="AF551" i="1"/>
  <c r="AD551" i="1"/>
  <c r="AA551" i="1"/>
  <c r="Y551" i="1"/>
  <c r="V551" i="1"/>
  <c r="T551" i="1"/>
  <c r="Q551" i="1"/>
  <c r="O551" i="1"/>
  <c r="L551" i="1"/>
  <c r="J551" i="1"/>
  <c r="G551" i="1"/>
  <c r="E551" i="1"/>
  <c r="B551" i="1"/>
  <c r="AN550" i="1"/>
  <c r="AK550" i="1"/>
  <c r="AI550" i="1"/>
  <c r="AF550" i="1"/>
  <c r="AD550" i="1"/>
  <c r="AA550" i="1"/>
  <c r="Y550" i="1"/>
  <c r="V550" i="1"/>
  <c r="T550" i="1"/>
  <c r="Q550" i="1"/>
  <c r="O550" i="1"/>
  <c r="L550" i="1"/>
  <c r="J550" i="1"/>
  <c r="G550" i="1"/>
  <c r="E550" i="1"/>
  <c r="B550" i="1"/>
  <c r="AN549" i="1"/>
  <c r="AK549" i="1"/>
  <c r="AI549" i="1"/>
  <c r="AF549" i="1"/>
  <c r="AD549" i="1"/>
  <c r="AA549" i="1"/>
  <c r="Y549" i="1"/>
  <c r="V549" i="1"/>
  <c r="T549" i="1"/>
  <c r="Q549" i="1"/>
  <c r="O549" i="1"/>
  <c r="L549" i="1"/>
  <c r="J549" i="1"/>
  <c r="G549" i="1"/>
  <c r="E549" i="1"/>
  <c r="B549" i="1"/>
  <c r="AN548" i="1"/>
  <c r="AK548" i="1"/>
  <c r="AI548" i="1"/>
  <c r="AF548" i="1"/>
  <c r="AD548" i="1"/>
  <c r="AA548" i="1"/>
  <c r="Y548" i="1"/>
  <c r="V548" i="1"/>
  <c r="T548" i="1"/>
  <c r="Q548" i="1"/>
  <c r="O548" i="1"/>
  <c r="L548" i="1"/>
  <c r="J548" i="1"/>
  <c r="G548" i="1"/>
  <c r="E548" i="1"/>
  <c r="B548" i="1"/>
  <c r="AN541" i="1"/>
  <c r="AK541" i="1"/>
  <c r="AI541" i="1"/>
  <c r="AF541" i="1"/>
  <c r="AD541" i="1"/>
  <c r="AA541" i="1"/>
  <c r="Y541" i="1"/>
  <c r="V541" i="1"/>
  <c r="T541" i="1"/>
  <c r="Q541" i="1"/>
  <c r="O541" i="1"/>
  <c r="L541" i="1"/>
  <c r="J541" i="1"/>
  <c r="G541" i="1"/>
  <c r="E541" i="1"/>
  <c r="B541" i="1"/>
  <c r="AN540" i="1"/>
  <c r="AK540" i="1"/>
  <c r="AI540" i="1"/>
  <c r="AF540" i="1"/>
  <c r="AD540" i="1"/>
  <c r="AA540" i="1"/>
  <c r="Y540" i="1"/>
  <c r="V540" i="1"/>
  <c r="T540" i="1"/>
  <c r="Q540" i="1"/>
  <c r="O540" i="1"/>
  <c r="L540" i="1"/>
  <c r="J540" i="1"/>
  <c r="G540" i="1"/>
  <c r="E540" i="1"/>
  <c r="B540" i="1"/>
  <c r="AN539" i="1"/>
  <c r="AK539" i="1"/>
  <c r="AI539" i="1"/>
  <c r="AF539" i="1"/>
  <c r="AD539" i="1"/>
  <c r="AA539" i="1"/>
  <c r="Y539" i="1"/>
  <c r="V539" i="1"/>
  <c r="T539" i="1"/>
  <c r="Q539" i="1"/>
  <c r="O539" i="1"/>
  <c r="L539" i="1"/>
  <c r="J539" i="1"/>
  <c r="G539" i="1"/>
  <c r="E539" i="1"/>
  <c r="B539" i="1"/>
  <c r="AN538" i="1"/>
  <c r="AK538" i="1"/>
  <c r="AI538" i="1"/>
  <c r="AF538" i="1"/>
  <c r="AD538" i="1"/>
  <c r="AA538" i="1"/>
  <c r="Y538" i="1"/>
  <c r="V538" i="1"/>
  <c r="T538" i="1"/>
  <c r="Q538" i="1"/>
  <c r="O538" i="1"/>
  <c r="L538" i="1"/>
  <c r="J538" i="1"/>
  <c r="G538" i="1"/>
  <c r="E538" i="1"/>
  <c r="B538" i="1"/>
  <c r="AN537" i="1"/>
  <c r="AK537" i="1"/>
  <c r="AI537" i="1"/>
  <c r="AF537" i="1"/>
  <c r="AD537" i="1"/>
  <c r="AA537" i="1"/>
  <c r="Y537" i="1"/>
  <c r="V537" i="1"/>
  <c r="T537" i="1"/>
  <c r="Q537" i="1"/>
  <c r="O537" i="1"/>
  <c r="L537" i="1"/>
  <c r="J537" i="1"/>
  <c r="G537" i="1"/>
  <c r="E537" i="1"/>
  <c r="B537" i="1"/>
  <c r="AN536" i="1"/>
  <c r="AK536" i="1"/>
  <c r="AI536" i="1"/>
  <c r="AF536" i="1"/>
  <c r="AD536" i="1"/>
  <c r="AA536" i="1"/>
  <c r="Y536" i="1"/>
  <c r="V536" i="1"/>
  <c r="T536" i="1"/>
  <c r="Q536" i="1"/>
  <c r="O536" i="1"/>
  <c r="L536" i="1"/>
  <c r="J536" i="1"/>
  <c r="G536" i="1"/>
  <c r="E536" i="1"/>
  <c r="B536" i="1"/>
  <c r="AN535" i="1"/>
  <c r="AK535" i="1"/>
  <c r="AI535" i="1"/>
  <c r="AF535" i="1"/>
  <c r="AD535" i="1"/>
  <c r="AA535" i="1"/>
  <c r="Y535" i="1"/>
  <c r="V535" i="1"/>
  <c r="T535" i="1"/>
  <c r="Q535" i="1"/>
  <c r="O535" i="1"/>
  <c r="L535" i="1"/>
  <c r="J535" i="1"/>
  <c r="G535" i="1"/>
  <c r="E535" i="1"/>
  <c r="B535" i="1"/>
  <c r="AN534" i="1"/>
  <c r="AK534" i="1"/>
  <c r="AI534" i="1"/>
  <c r="AF534" i="1"/>
  <c r="AD534" i="1"/>
  <c r="AA534" i="1"/>
  <c r="Y534" i="1"/>
  <c r="V534" i="1"/>
  <c r="T534" i="1"/>
  <c r="Q534" i="1"/>
  <c r="O534" i="1"/>
  <c r="L534" i="1"/>
  <c r="J534" i="1"/>
  <c r="G534" i="1"/>
  <c r="E534" i="1"/>
  <c r="B534" i="1"/>
  <c r="AN533" i="1"/>
  <c r="AK533" i="1"/>
  <c r="AI533" i="1"/>
  <c r="AF533" i="1"/>
  <c r="AD533" i="1"/>
  <c r="AA533" i="1"/>
  <c r="Y533" i="1"/>
  <c r="V533" i="1"/>
  <c r="T533" i="1"/>
  <c r="Q533" i="1"/>
  <c r="O533" i="1"/>
  <c r="L533" i="1"/>
  <c r="J533" i="1"/>
  <c r="G533" i="1"/>
  <c r="E533" i="1"/>
  <c r="B533" i="1"/>
  <c r="AN532" i="1"/>
  <c r="AK532" i="1"/>
  <c r="AI532" i="1"/>
  <c r="AF532" i="1"/>
  <c r="AD532" i="1"/>
  <c r="AA532" i="1"/>
  <c r="Y532" i="1"/>
  <c r="V532" i="1"/>
  <c r="T532" i="1"/>
  <c r="Q532" i="1"/>
  <c r="O532" i="1"/>
  <c r="L532" i="1"/>
  <c r="J532" i="1"/>
  <c r="G532" i="1"/>
  <c r="E532" i="1"/>
  <c r="B532" i="1"/>
  <c r="AN531" i="1"/>
  <c r="AK531" i="1"/>
  <c r="AI531" i="1"/>
  <c r="AF531" i="1"/>
  <c r="AD531" i="1"/>
  <c r="AA531" i="1"/>
  <c r="Y531" i="1"/>
  <c r="V531" i="1"/>
  <c r="T531" i="1"/>
  <c r="Q531" i="1"/>
  <c r="O531" i="1"/>
  <c r="L531" i="1"/>
  <c r="J531" i="1"/>
  <c r="G531" i="1"/>
  <c r="E531" i="1"/>
  <c r="B531" i="1"/>
  <c r="AN530" i="1"/>
  <c r="AK530" i="1"/>
  <c r="AI530" i="1"/>
  <c r="AF530" i="1"/>
  <c r="AD530" i="1"/>
  <c r="AA530" i="1"/>
  <c r="Y530" i="1"/>
  <c r="V530" i="1"/>
  <c r="T530" i="1"/>
  <c r="Q530" i="1"/>
  <c r="O530" i="1"/>
  <c r="L530" i="1"/>
  <c r="J530" i="1"/>
  <c r="G530" i="1"/>
  <c r="E530" i="1"/>
  <c r="B530" i="1"/>
  <c r="AN529" i="1"/>
  <c r="AK529" i="1"/>
  <c r="AI529" i="1"/>
  <c r="AF529" i="1"/>
  <c r="AD529" i="1"/>
  <c r="AA529" i="1"/>
  <c r="Y529" i="1"/>
  <c r="V529" i="1"/>
  <c r="T529" i="1"/>
  <c r="Q529" i="1"/>
  <c r="O529" i="1"/>
  <c r="L529" i="1"/>
  <c r="J529" i="1"/>
  <c r="G529" i="1"/>
  <c r="E529" i="1"/>
  <c r="B529" i="1"/>
  <c r="AN528" i="1"/>
  <c r="AK528" i="1"/>
  <c r="AI528" i="1"/>
  <c r="AF528" i="1"/>
  <c r="AD528" i="1"/>
  <c r="AA528" i="1"/>
  <c r="Y528" i="1"/>
  <c r="V528" i="1"/>
  <c r="T528" i="1"/>
  <c r="Q528" i="1"/>
  <c r="O528" i="1"/>
  <c r="L528" i="1"/>
  <c r="J528" i="1"/>
  <c r="G528" i="1"/>
  <c r="E528" i="1"/>
  <c r="B528" i="1"/>
  <c r="AN527" i="1"/>
  <c r="AK527" i="1"/>
  <c r="AI527" i="1"/>
  <c r="AF527" i="1"/>
  <c r="AD527" i="1"/>
  <c r="AA527" i="1"/>
  <c r="Y527" i="1"/>
  <c r="V527" i="1"/>
  <c r="T527" i="1"/>
  <c r="Q527" i="1"/>
  <c r="O527" i="1"/>
  <c r="L527" i="1"/>
  <c r="J527" i="1"/>
  <c r="G527" i="1"/>
  <c r="E527" i="1"/>
  <c r="B527" i="1"/>
  <c r="AN526" i="1"/>
  <c r="AK526" i="1"/>
  <c r="AI526" i="1"/>
  <c r="AF526" i="1"/>
  <c r="AD526" i="1"/>
  <c r="AA526" i="1"/>
  <c r="Y526" i="1"/>
  <c r="V526" i="1"/>
  <c r="T526" i="1"/>
  <c r="Q526" i="1"/>
  <c r="O526" i="1"/>
  <c r="L526" i="1"/>
  <c r="J526" i="1"/>
  <c r="G526" i="1"/>
  <c r="E526" i="1"/>
  <c r="B526" i="1"/>
  <c r="AN525" i="1"/>
  <c r="AK525" i="1"/>
  <c r="AI525" i="1"/>
  <c r="AF525" i="1"/>
  <c r="AD525" i="1"/>
  <c r="AA525" i="1"/>
  <c r="Y525" i="1"/>
  <c r="V525" i="1"/>
  <c r="T525" i="1"/>
  <c r="Q525" i="1"/>
  <c r="O525" i="1"/>
  <c r="L525" i="1"/>
  <c r="J525" i="1"/>
  <c r="G525" i="1"/>
  <c r="E525" i="1"/>
  <c r="B525" i="1"/>
  <c r="AN524" i="1"/>
  <c r="AK524" i="1"/>
  <c r="AI524" i="1"/>
  <c r="AF524" i="1"/>
  <c r="AD524" i="1"/>
  <c r="AA524" i="1"/>
  <c r="Y524" i="1"/>
  <c r="V524" i="1"/>
  <c r="T524" i="1"/>
  <c r="Q524" i="1"/>
  <c r="O524" i="1"/>
  <c r="L524" i="1"/>
  <c r="J524" i="1"/>
  <c r="G524" i="1"/>
  <c r="E524" i="1"/>
  <c r="B524" i="1"/>
  <c r="AN523" i="1"/>
  <c r="AK523" i="1"/>
  <c r="AI523" i="1"/>
  <c r="AF523" i="1"/>
  <c r="AD523" i="1"/>
  <c r="AA523" i="1"/>
  <c r="Y523" i="1"/>
  <c r="V523" i="1"/>
  <c r="T523" i="1"/>
  <c r="Q523" i="1"/>
  <c r="O523" i="1"/>
  <c r="L523" i="1"/>
  <c r="J523" i="1"/>
  <c r="G523" i="1"/>
  <c r="E523" i="1"/>
  <c r="B523" i="1"/>
  <c r="AN522" i="1"/>
  <c r="AK522" i="1"/>
  <c r="AI522" i="1"/>
  <c r="AF522" i="1"/>
  <c r="AD522" i="1"/>
  <c r="AA522" i="1"/>
  <c r="Y522" i="1"/>
  <c r="V522" i="1"/>
  <c r="T522" i="1"/>
  <c r="Q522" i="1"/>
  <c r="O522" i="1"/>
  <c r="L522" i="1"/>
  <c r="J522" i="1"/>
  <c r="G522" i="1"/>
  <c r="E522" i="1"/>
  <c r="B522" i="1"/>
  <c r="AN521" i="1"/>
  <c r="AK521" i="1"/>
  <c r="AI521" i="1"/>
  <c r="AF521" i="1"/>
  <c r="AD521" i="1"/>
  <c r="AA521" i="1"/>
  <c r="Y521" i="1"/>
  <c r="V521" i="1"/>
  <c r="T521" i="1"/>
  <c r="Q521" i="1"/>
  <c r="O521" i="1"/>
  <c r="L521" i="1"/>
  <c r="J521" i="1"/>
  <c r="G521" i="1"/>
  <c r="E521" i="1"/>
  <c r="B521" i="1"/>
  <c r="AN511" i="1"/>
  <c r="AK511" i="1"/>
  <c r="AI511" i="1"/>
  <c r="AF511" i="1"/>
  <c r="AD511" i="1"/>
  <c r="AA511" i="1"/>
  <c r="Y511" i="1"/>
  <c r="V511" i="1"/>
  <c r="T511" i="1"/>
  <c r="Q511" i="1"/>
  <c r="O511" i="1"/>
  <c r="L511" i="1"/>
  <c r="J511" i="1"/>
  <c r="G511" i="1"/>
  <c r="E511" i="1"/>
  <c r="B511" i="1"/>
  <c r="AN510" i="1"/>
  <c r="AK510" i="1"/>
  <c r="AI510" i="1"/>
  <c r="AF510" i="1"/>
  <c r="AD510" i="1"/>
  <c r="AA510" i="1"/>
  <c r="Y510" i="1"/>
  <c r="V510" i="1"/>
  <c r="T510" i="1"/>
  <c r="Q510" i="1"/>
  <c r="O510" i="1"/>
  <c r="L510" i="1"/>
  <c r="J510" i="1"/>
  <c r="G510" i="1"/>
  <c r="E510" i="1"/>
  <c r="B510" i="1"/>
  <c r="AN509" i="1"/>
  <c r="AK509" i="1"/>
  <c r="AI509" i="1"/>
  <c r="AF509" i="1"/>
  <c r="AD509" i="1"/>
  <c r="AA509" i="1"/>
  <c r="Y509" i="1"/>
  <c r="V509" i="1"/>
  <c r="T509" i="1"/>
  <c r="Q509" i="1"/>
  <c r="O509" i="1"/>
  <c r="L509" i="1"/>
  <c r="J509" i="1"/>
  <c r="G509" i="1"/>
  <c r="E509" i="1"/>
  <c r="B509" i="1"/>
  <c r="AN508" i="1"/>
  <c r="AK508" i="1"/>
  <c r="AI508" i="1"/>
  <c r="AF508" i="1"/>
  <c r="AD508" i="1"/>
  <c r="AA508" i="1"/>
  <c r="Y508" i="1"/>
  <c r="V508" i="1"/>
  <c r="T508" i="1"/>
  <c r="Q508" i="1"/>
  <c r="O508" i="1"/>
  <c r="L508" i="1"/>
  <c r="J508" i="1"/>
  <c r="G508" i="1"/>
  <c r="E508" i="1"/>
  <c r="B508" i="1"/>
  <c r="AN507" i="1"/>
  <c r="AK507" i="1"/>
  <c r="AI507" i="1"/>
  <c r="AF507" i="1"/>
  <c r="AD507" i="1"/>
  <c r="AA507" i="1"/>
  <c r="Y507" i="1"/>
  <c r="V507" i="1"/>
  <c r="T507" i="1"/>
  <c r="Q507" i="1"/>
  <c r="O507" i="1"/>
  <c r="L507" i="1"/>
  <c r="J507" i="1"/>
  <c r="G507" i="1"/>
  <c r="E507" i="1"/>
  <c r="B507" i="1"/>
  <c r="AN506" i="1"/>
  <c r="AK506" i="1"/>
  <c r="AI506" i="1"/>
  <c r="AF506" i="1"/>
  <c r="AD506" i="1"/>
  <c r="AA506" i="1"/>
  <c r="Y506" i="1"/>
  <c r="V506" i="1"/>
  <c r="T506" i="1"/>
  <c r="Q506" i="1"/>
  <c r="O506" i="1"/>
  <c r="L506" i="1"/>
  <c r="J506" i="1"/>
  <c r="G506" i="1"/>
  <c r="E506" i="1"/>
  <c r="B506" i="1"/>
  <c r="AN505" i="1"/>
  <c r="AK505" i="1"/>
  <c r="AI505" i="1"/>
  <c r="AF505" i="1"/>
  <c r="AD505" i="1"/>
  <c r="AA505" i="1"/>
  <c r="Y505" i="1"/>
  <c r="V505" i="1"/>
  <c r="T505" i="1"/>
  <c r="Q505" i="1"/>
  <c r="O505" i="1"/>
  <c r="L505" i="1"/>
  <c r="J505" i="1"/>
  <c r="G505" i="1"/>
  <c r="E505" i="1"/>
  <c r="B505" i="1"/>
  <c r="AN504" i="1"/>
  <c r="AK504" i="1"/>
  <c r="AI504" i="1"/>
  <c r="AF504" i="1"/>
  <c r="AD504" i="1"/>
  <c r="AA504" i="1"/>
  <c r="Y504" i="1"/>
  <c r="V504" i="1"/>
  <c r="T504" i="1"/>
  <c r="Q504" i="1"/>
  <c r="O504" i="1"/>
  <c r="L504" i="1"/>
  <c r="J504" i="1"/>
  <c r="G504" i="1"/>
  <c r="E504" i="1"/>
  <c r="B504" i="1"/>
  <c r="AN503" i="1"/>
  <c r="AK503" i="1"/>
  <c r="AI503" i="1"/>
  <c r="AF503" i="1"/>
  <c r="AD503" i="1"/>
  <c r="AA503" i="1"/>
  <c r="Y503" i="1"/>
  <c r="V503" i="1"/>
  <c r="T503" i="1"/>
  <c r="Q503" i="1"/>
  <c r="O503" i="1"/>
  <c r="L503" i="1"/>
  <c r="J503" i="1"/>
  <c r="G503" i="1"/>
  <c r="E503" i="1"/>
  <c r="B503" i="1"/>
  <c r="AN502" i="1"/>
  <c r="AK502" i="1"/>
  <c r="AI502" i="1"/>
  <c r="AF502" i="1"/>
  <c r="AD502" i="1"/>
  <c r="AA502" i="1"/>
  <c r="Y502" i="1"/>
  <c r="V502" i="1"/>
  <c r="T502" i="1"/>
  <c r="Q502" i="1"/>
  <c r="O502" i="1"/>
  <c r="L502" i="1"/>
  <c r="J502" i="1"/>
  <c r="G502" i="1"/>
  <c r="E502" i="1"/>
  <c r="B502" i="1"/>
  <c r="AN501" i="1"/>
  <c r="AK501" i="1"/>
  <c r="AI501" i="1"/>
  <c r="AF501" i="1"/>
  <c r="AD501" i="1"/>
  <c r="AA501" i="1"/>
  <c r="Y501" i="1"/>
  <c r="V501" i="1"/>
  <c r="T501" i="1"/>
  <c r="Q501" i="1"/>
  <c r="O501" i="1"/>
  <c r="L501" i="1"/>
  <c r="J501" i="1"/>
  <c r="G501" i="1"/>
  <c r="E501" i="1"/>
  <c r="B501" i="1"/>
  <c r="AN500" i="1"/>
  <c r="AK500" i="1"/>
  <c r="AI500" i="1"/>
  <c r="AF500" i="1"/>
  <c r="AD500" i="1"/>
  <c r="AA500" i="1"/>
  <c r="Y500" i="1"/>
  <c r="V500" i="1"/>
  <c r="T500" i="1"/>
  <c r="Q500" i="1"/>
  <c r="O500" i="1"/>
  <c r="L500" i="1"/>
  <c r="J500" i="1"/>
  <c r="G500" i="1"/>
  <c r="E500" i="1"/>
  <c r="B500" i="1"/>
  <c r="AN499" i="1"/>
  <c r="AK499" i="1"/>
  <c r="AI499" i="1"/>
  <c r="AF499" i="1"/>
  <c r="AD499" i="1"/>
  <c r="AA499" i="1"/>
  <c r="Y499" i="1"/>
  <c r="V499" i="1"/>
  <c r="T499" i="1"/>
  <c r="Q499" i="1"/>
  <c r="O499" i="1"/>
  <c r="L499" i="1"/>
  <c r="J499" i="1"/>
  <c r="G499" i="1"/>
  <c r="E499" i="1"/>
  <c r="B499" i="1"/>
  <c r="AN498" i="1"/>
  <c r="AK498" i="1"/>
  <c r="AI498" i="1"/>
  <c r="AF498" i="1"/>
  <c r="AD498" i="1"/>
  <c r="AA498" i="1"/>
  <c r="Y498" i="1"/>
  <c r="V498" i="1"/>
  <c r="T498" i="1"/>
  <c r="Q498" i="1"/>
  <c r="O498" i="1"/>
  <c r="L498" i="1"/>
  <c r="J498" i="1"/>
  <c r="G498" i="1"/>
  <c r="E498" i="1"/>
  <c r="B498" i="1"/>
  <c r="AN497" i="1"/>
  <c r="AK497" i="1"/>
  <c r="AI497" i="1"/>
  <c r="AF497" i="1"/>
  <c r="AD497" i="1"/>
  <c r="AA497" i="1"/>
  <c r="Y497" i="1"/>
  <c r="V497" i="1"/>
  <c r="T497" i="1"/>
  <c r="Q497" i="1"/>
  <c r="O497" i="1"/>
  <c r="L497" i="1"/>
  <c r="J497" i="1"/>
  <c r="G497" i="1"/>
  <c r="E497" i="1"/>
  <c r="B497" i="1"/>
  <c r="AN496" i="1"/>
  <c r="AK496" i="1"/>
  <c r="AI496" i="1"/>
  <c r="AF496" i="1"/>
  <c r="AD496" i="1"/>
  <c r="AA496" i="1"/>
  <c r="Y496" i="1"/>
  <c r="V496" i="1"/>
  <c r="T496" i="1"/>
  <c r="Q496" i="1"/>
  <c r="O496" i="1"/>
  <c r="L496" i="1"/>
  <c r="J496" i="1"/>
  <c r="G496" i="1"/>
  <c r="E496" i="1"/>
  <c r="B496" i="1"/>
  <c r="AN495" i="1"/>
  <c r="AK495" i="1"/>
  <c r="AI495" i="1"/>
  <c r="AF495" i="1"/>
  <c r="AD495" i="1"/>
  <c r="AA495" i="1"/>
  <c r="Y495" i="1"/>
  <c r="V495" i="1"/>
  <c r="T495" i="1"/>
  <c r="Q495" i="1"/>
  <c r="O495" i="1"/>
  <c r="L495" i="1"/>
  <c r="J495" i="1"/>
  <c r="G495" i="1"/>
  <c r="E495" i="1"/>
  <c r="B495" i="1"/>
  <c r="AN494" i="1"/>
  <c r="AK494" i="1"/>
  <c r="AI494" i="1"/>
  <c r="AF494" i="1"/>
  <c r="AD494" i="1"/>
  <c r="AA494" i="1"/>
  <c r="Y494" i="1"/>
  <c r="V494" i="1"/>
  <c r="T494" i="1"/>
  <c r="Q494" i="1"/>
  <c r="O494" i="1"/>
  <c r="L494" i="1"/>
  <c r="J494" i="1"/>
  <c r="G494" i="1"/>
  <c r="E494" i="1"/>
  <c r="B494" i="1"/>
  <c r="AN493" i="1"/>
  <c r="AK493" i="1"/>
  <c r="AI493" i="1"/>
  <c r="AF493" i="1"/>
  <c r="AD493" i="1"/>
  <c r="AA493" i="1"/>
  <c r="Y493" i="1"/>
  <c r="V493" i="1"/>
  <c r="T493" i="1"/>
  <c r="Q493" i="1"/>
  <c r="O493" i="1"/>
  <c r="L493" i="1"/>
  <c r="J493" i="1"/>
  <c r="G493" i="1"/>
  <c r="E493" i="1"/>
  <c r="B493" i="1"/>
  <c r="AN492" i="1"/>
  <c r="AK492" i="1"/>
  <c r="AI492" i="1"/>
  <c r="AF492" i="1"/>
  <c r="AD492" i="1"/>
  <c r="AA492" i="1"/>
  <c r="Y492" i="1"/>
  <c r="V492" i="1"/>
  <c r="T492" i="1"/>
  <c r="Q492" i="1"/>
  <c r="O492" i="1"/>
  <c r="L492" i="1"/>
  <c r="J492" i="1"/>
  <c r="G492" i="1"/>
  <c r="E492" i="1"/>
  <c r="B492" i="1"/>
  <c r="AN491" i="1"/>
  <c r="AK491" i="1"/>
  <c r="AI491" i="1"/>
  <c r="AF491" i="1"/>
  <c r="AD491" i="1"/>
  <c r="AA491" i="1"/>
  <c r="Y491" i="1"/>
  <c r="V491" i="1"/>
  <c r="T491" i="1"/>
  <c r="Q491" i="1"/>
  <c r="O491" i="1"/>
  <c r="L491" i="1"/>
  <c r="J491" i="1"/>
  <c r="G491" i="1"/>
  <c r="E491" i="1"/>
  <c r="B491" i="1"/>
  <c r="AN484" i="1"/>
  <c r="AK484" i="1"/>
  <c r="AI484" i="1"/>
  <c r="AF484" i="1"/>
  <c r="AD484" i="1"/>
  <c r="AA484" i="1"/>
  <c r="Y484" i="1"/>
  <c r="V484" i="1"/>
  <c r="T484" i="1"/>
  <c r="Q484" i="1"/>
  <c r="O484" i="1"/>
  <c r="L484" i="1"/>
  <c r="J484" i="1"/>
  <c r="G484" i="1"/>
  <c r="E484" i="1"/>
  <c r="B484" i="1"/>
  <c r="AN483" i="1"/>
  <c r="AK483" i="1"/>
  <c r="AI483" i="1"/>
  <c r="AF483" i="1"/>
  <c r="AD483" i="1"/>
  <c r="AA483" i="1"/>
  <c r="Y483" i="1"/>
  <c r="V483" i="1"/>
  <c r="T483" i="1"/>
  <c r="Q483" i="1"/>
  <c r="O483" i="1"/>
  <c r="L483" i="1"/>
  <c r="J483" i="1"/>
  <c r="G483" i="1"/>
  <c r="E483" i="1"/>
  <c r="B483" i="1"/>
  <c r="AN482" i="1"/>
  <c r="AK482" i="1"/>
  <c r="AI482" i="1"/>
  <c r="AF482" i="1"/>
  <c r="AD482" i="1"/>
  <c r="AA482" i="1"/>
  <c r="Y482" i="1"/>
  <c r="V482" i="1"/>
  <c r="T482" i="1"/>
  <c r="Q482" i="1"/>
  <c r="O482" i="1"/>
  <c r="L482" i="1"/>
  <c r="J482" i="1"/>
  <c r="G482" i="1"/>
  <c r="E482" i="1"/>
  <c r="B482" i="1"/>
  <c r="AN481" i="1"/>
  <c r="AK481" i="1"/>
  <c r="AI481" i="1"/>
  <c r="AF481" i="1"/>
  <c r="AD481" i="1"/>
  <c r="AA481" i="1"/>
  <c r="Y481" i="1"/>
  <c r="V481" i="1"/>
  <c r="T481" i="1"/>
  <c r="Q481" i="1"/>
  <c r="O481" i="1"/>
  <c r="L481" i="1"/>
  <c r="J481" i="1"/>
  <c r="G481" i="1"/>
  <c r="E481" i="1"/>
  <c r="B481" i="1"/>
  <c r="AN480" i="1"/>
  <c r="AK480" i="1"/>
  <c r="AI480" i="1"/>
  <c r="AF480" i="1"/>
  <c r="AD480" i="1"/>
  <c r="AA480" i="1"/>
  <c r="Y480" i="1"/>
  <c r="V480" i="1"/>
  <c r="T480" i="1"/>
  <c r="Q480" i="1"/>
  <c r="O480" i="1"/>
  <c r="L480" i="1"/>
  <c r="J480" i="1"/>
  <c r="G480" i="1"/>
  <c r="E480" i="1"/>
  <c r="B480" i="1"/>
  <c r="AN479" i="1"/>
  <c r="AK479" i="1"/>
  <c r="AI479" i="1"/>
  <c r="AF479" i="1"/>
  <c r="AD479" i="1"/>
  <c r="AA479" i="1"/>
  <c r="Y479" i="1"/>
  <c r="V479" i="1"/>
  <c r="T479" i="1"/>
  <c r="Q479" i="1"/>
  <c r="O479" i="1"/>
  <c r="L479" i="1"/>
  <c r="J479" i="1"/>
  <c r="G479" i="1"/>
  <c r="E479" i="1"/>
  <c r="B479" i="1"/>
  <c r="AN478" i="1"/>
  <c r="AK478" i="1"/>
  <c r="AI478" i="1"/>
  <c r="AF478" i="1"/>
  <c r="AD478" i="1"/>
  <c r="AA478" i="1"/>
  <c r="Y478" i="1"/>
  <c r="V478" i="1"/>
  <c r="T478" i="1"/>
  <c r="Q478" i="1"/>
  <c r="O478" i="1"/>
  <c r="L478" i="1"/>
  <c r="J478" i="1"/>
  <c r="G478" i="1"/>
  <c r="E478" i="1"/>
  <c r="B478" i="1"/>
  <c r="AN477" i="1"/>
  <c r="AK477" i="1"/>
  <c r="AI477" i="1"/>
  <c r="AF477" i="1"/>
  <c r="AD477" i="1"/>
  <c r="AA477" i="1"/>
  <c r="Y477" i="1"/>
  <c r="V477" i="1"/>
  <c r="T477" i="1"/>
  <c r="Q477" i="1"/>
  <c r="O477" i="1"/>
  <c r="L477" i="1"/>
  <c r="J477" i="1"/>
  <c r="G477" i="1"/>
  <c r="E477" i="1"/>
  <c r="B477" i="1"/>
  <c r="AN476" i="1"/>
  <c r="AK476" i="1"/>
  <c r="AI476" i="1"/>
  <c r="AF476" i="1"/>
  <c r="AD476" i="1"/>
  <c r="AA476" i="1"/>
  <c r="Y476" i="1"/>
  <c r="V476" i="1"/>
  <c r="T476" i="1"/>
  <c r="Q476" i="1"/>
  <c r="O476" i="1"/>
  <c r="L476" i="1"/>
  <c r="J476" i="1"/>
  <c r="G476" i="1"/>
  <c r="E476" i="1"/>
  <c r="B476" i="1"/>
  <c r="AN475" i="1"/>
  <c r="AK475" i="1"/>
  <c r="AI475" i="1"/>
  <c r="AF475" i="1"/>
  <c r="AD475" i="1"/>
  <c r="AA475" i="1"/>
  <c r="Y475" i="1"/>
  <c r="V475" i="1"/>
  <c r="T475" i="1"/>
  <c r="Q475" i="1"/>
  <c r="O475" i="1"/>
  <c r="L475" i="1"/>
  <c r="J475" i="1"/>
  <c r="G475" i="1"/>
  <c r="E475" i="1"/>
  <c r="B475" i="1"/>
  <c r="AN474" i="1"/>
  <c r="AK474" i="1"/>
  <c r="AI474" i="1"/>
  <c r="AF474" i="1"/>
  <c r="AD474" i="1"/>
  <c r="AA474" i="1"/>
  <c r="Y474" i="1"/>
  <c r="V474" i="1"/>
  <c r="T474" i="1"/>
  <c r="Q474" i="1"/>
  <c r="O474" i="1"/>
  <c r="L474" i="1"/>
  <c r="J474" i="1"/>
  <c r="G474" i="1"/>
  <c r="E474" i="1"/>
  <c r="B474" i="1"/>
  <c r="AN473" i="1"/>
  <c r="AK473" i="1"/>
  <c r="AI473" i="1"/>
  <c r="AF473" i="1"/>
  <c r="AD473" i="1"/>
  <c r="AA473" i="1"/>
  <c r="Y473" i="1"/>
  <c r="V473" i="1"/>
  <c r="T473" i="1"/>
  <c r="Q473" i="1"/>
  <c r="O473" i="1"/>
  <c r="L473" i="1"/>
  <c r="J473" i="1"/>
  <c r="G473" i="1"/>
  <c r="E473" i="1"/>
  <c r="B473" i="1"/>
  <c r="AN472" i="1"/>
  <c r="AK472" i="1"/>
  <c r="AI472" i="1"/>
  <c r="AF472" i="1"/>
  <c r="AD472" i="1"/>
  <c r="AA472" i="1"/>
  <c r="Y472" i="1"/>
  <c r="V472" i="1"/>
  <c r="T472" i="1"/>
  <c r="Q472" i="1"/>
  <c r="O472" i="1"/>
  <c r="L472" i="1"/>
  <c r="J472" i="1"/>
  <c r="G472" i="1"/>
  <c r="E472" i="1"/>
  <c r="B472" i="1"/>
  <c r="AN471" i="1"/>
  <c r="AK471" i="1"/>
  <c r="AI471" i="1"/>
  <c r="AF471" i="1"/>
  <c r="AD471" i="1"/>
  <c r="AA471" i="1"/>
  <c r="Y471" i="1"/>
  <c r="V471" i="1"/>
  <c r="T471" i="1"/>
  <c r="Q471" i="1"/>
  <c r="O471" i="1"/>
  <c r="L471" i="1"/>
  <c r="J471" i="1"/>
  <c r="G471" i="1"/>
  <c r="E471" i="1"/>
  <c r="B471" i="1"/>
  <c r="AN470" i="1"/>
  <c r="AK470" i="1"/>
  <c r="AI470" i="1"/>
  <c r="AF470" i="1"/>
  <c r="AD470" i="1"/>
  <c r="AA470" i="1"/>
  <c r="Y470" i="1"/>
  <c r="V470" i="1"/>
  <c r="T470" i="1"/>
  <c r="Q470" i="1"/>
  <c r="O470" i="1"/>
  <c r="L470" i="1"/>
  <c r="J470" i="1"/>
  <c r="G470" i="1"/>
  <c r="E470" i="1"/>
  <c r="B470" i="1"/>
  <c r="AN469" i="1"/>
  <c r="AK469" i="1"/>
  <c r="AI469" i="1"/>
  <c r="AF469" i="1"/>
  <c r="AD469" i="1"/>
  <c r="AA469" i="1"/>
  <c r="Y469" i="1"/>
  <c r="V469" i="1"/>
  <c r="T469" i="1"/>
  <c r="Q469" i="1"/>
  <c r="O469" i="1"/>
  <c r="L469" i="1"/>
  <c r="J469" i="1"/>
  <c r="G469" i="1"/>
  <c r="E469" i="1"/>
  <c r="B469" i="1"/>
  <c r="AN468" i="1"/>
  <c r="AK468" i="1"/>
  <c r="AI468" i="1"/>
  <c r="AF468" i="1"/>
  <c r="AD468" i="1"/>
  <c r="AA468" i="1"/>
  <c r="Y468" i="1"/>
  <c r="V468" i="1"/>
  <c r="T468" i="1"/>
  <c r="Q468" i="1"/>
  <c r="O468" i="1"/>
  <c r="L468" i="1"/>
  <c r="J468" i="1"/>
  <c r="G468" i="1"/>
  <c r="E468" i="1"/>
  <c r="B468" i="1"/>
  <c r="AN467" i="1"/>
  <c r="AK467" i="1"/>
  <c r="AI467" i="1"/>
  <c r="AF467" i="1"/>
  <c r="AD467" i="1"/>
  <c r="AA467" i="1"/>
  <c r="Y467" i="1"/>
  <c r="V467" i="1"/>
  <c r="T467" i="1"/>
  <c r="Q467" i="1"/>
  <c r="O467" i="1"/>
  <c r="L467" i="1"/>
  <c r="J467" i="1"/>
  <c r="G467" i="1"/>
  <c r="E467" i="1"/>
  <c r="B467" i="1"/>
  <c r="AN466" i="1"/>
  <c r="AK466" i="1"/>
  <c r="AI466" i="1"/>
  <c r="AF466" i="1"/>
  <c r="AD466" i="1"/>
  <c r="AA466" i="1"/>
  <c r="Y466" i="1"/>
  <c r="V466" i="1"/>
  <c r="T466" i="1"/>
  <c r="Q466" i="1"/>
  <c r="O466" i="1"/>
  <c r="L466" i="1"/>
  <c r="J466" i="1"/>
  <c r="G466" i="1"/>
  <c r="E466" i="1"/>
  <c r="B466" i="1"/>
  <c r="AN465" i="1"/>
  <c r="AK465" i="1"/>
  <c r="AI465" i="1"/>
  <c r="AF465" i="1"/>
  <c r="AD465" i="1"/>
  <c r="AA465" i="1"/>
  <c r="Y465" i="1"/>
  <c r="V465" i="1"/>
  <c r="T465" i="1"/>
  <c r="Q465" i="1"/>
  <c r="O465" i="1"/>
  <c r="L465" i="1"/>
  <c r="J465" i="1"/>
  <c r="G465" i="1"/>
  <c r="E465" i="1"/>
  <c r="B465" i="1"/>
  <c r="AN464" i="1"/>
  <c r="AK464" i="1"/>
  <c r="AI464" i="1"/>
  <c r="AF464" i="1"/>
  <c r="AD464" i="1"/>
  <c r="AA464" i="1"/>
  <c r="Y464" i="1"/>
  <c r="V464" i="1"/>
  <c r="T464" i="1"/>
  <c r="Q464" i="1"/>
  <c r="O464" i="1"/>
  <c r="L464" i="1"/>
  <c r="J464" i="1"/>
  <c r="G464" i="1"/>
  <c r="E464" i="1"/>
  <c r="B464" i="1"/>
  <c r="AN454" i="1"/>
  <c r="AK454" i="1"/>
  <c r="AI454" i="1"/>
  <c r="AF454" i="1"/>
  <c r="AD454" i="1"/>
  <c r="AA454" i="1"/>
  <c r="Y454" i="1"/>
  <c r="V454" i="1"/>
  <c r="T454" i="1"/>
  <c r="Q454" i="1"/>
  <c r="O454" i="1"/>
  <c r="L454" i="1"/>
  <c r="J454" i="1"/>
  <c r="G454" i="1"/>
  <c r="E454" i="1"/>
  <c r="B454" i="1"/>
  <c r="AN453" i="1"/>
  <c r="AK453" i="1"/>
  <c r="AI453" i="1"/>
  <c r="AF453" i="1"/>
  <c r="AD453" i="1"/>
  <c r="AA453" i="1"/>
  <c r="Y453" i="1"/>
  <c r="V453" i="1"/>
  <c r="T453" i="1"/>
  <c r="Q453" i="1"/>
  <c r="O453" i="1"/>
  <c r="L453" i="1"/>
  <c r="J453" i="1"/>
  <c r="G453" i="1"/>
  <c r="E453" i="1"/>
  <c r="B453" i="1"/>
  <c r="AN452" i="1"/>
  <c r="AK452" i="1"/>
  <c r="AI452" i="1"/>
  <c r="AF452" i="1"/>
  <c r="AD452" i="1"/>
  <c r="AA452" i="1"/>
  <c r="Y452" i="1"/>
  <c r="V452" i="1"/>
  <c r="T452" i="1"/>
  <c r="Q452" i="1"/>
  <c r="O452" i="1"/>
  <c r="L452" i="1"/>
  <c r="J452" i="1"/>
  <c r="G452" i="1"/>
  <c r="E452" i="1"/>
  <c r="B452" i="1"/>
  <c r="AN451" i="1"/>
  <c r="AK451" i="1"/>
  <c r="AI451" i="1"/>
  <c r="AF451" i="1"/>
  <c r="AD451" i="1"/>
  <c r="AA451" i="1"/>
  <c r="Y451" i="1"/>
  <c r="V451" i="1"/>
  <c r="T451" i="1"/>
  <c r="Q451" i="1"/>
  <c r="O451" i="1"/>
  <c r="L451" i="1"/>
  <c r="J451" i="1"/>
  <c r="G451" i="1"/>
  <c r="E451" i="1"/>
  <c r="B451" i="1"/>
  <c r="AN450" i="1"/>
  <c r="AK450" i="1"/>
  <c r="AI450" i="1"/>
  <c r="AF450" i="1"/>
  <c r="AD450" i="1"/>
  <c r="AA450" i="1"/>
  <c r="Y450" i="1"/>
  <c r="V450" i="1"/>
  <c r="T450" i="1"/>
  <c r="Q450" i="1"/>
  <c r="O450" i="1"/>
  <c r="L450" i="1"/>
  <c r="J450" i="1"/>
  <c r="G450" i="1"/>
  <c r="E450" i="1"/>
  <c r="B450" i="1"/>
  <c r="AN449" i="1"/>
  <c r="AK449" i="1"/>
  <c r="AI449" i="1"/>
  <c r="AF449" i="1"/>
  <c r="AD449" i="1"/>
  <c r="AA449" i="1"/>
  <c r="Y449" i="1"/>
  <c r="V449" i="1"/>
  <c r="T449" i="1"/>
  <c r="Q449" i="1"/>
  <c r="O449" i="1"/>
  <c r="L449" i="1"/>
  <c r="J449" i="1"/>
  <c r="G449" i="1"/>
  <c r="E449" i="1"/>
  <c r="B449" i="1"/>
  <c r="AN448" i="1"/>
  <c r="AK448" i="1"/>
  <c r="AI448" i="1"/>
  <c r="AF448" i="1"/>
  <c r="AD448" i="1"/>
  <c r="AA448" i="1"/>
  <c r="Y448" i="1"/>
  <c r="V448" i="1"/>
  <c r="T448" i="1"/>
  <c r="Q448" i="1"/>
  <c r="O448" i="1"/>
  <c r="L448" i="1"/>
  <c r="J448" i="1"/>
  <c r="G448" i="1"/>
  <c r="E448" i="1"/>
  <c r="B448" i="1"/>
  <c r="AN447" i="1"/>
  <c r="AK447" i="1"/>
  <c r="AI447" i="1"/>
  <c r="AF447" i="1"/>
  <c r="AD447" i="1"/>
  <c r="AA447" i="1"/>
  <c r="Y447" i="1"/>
  <c r="V447" i="1"/>
  <c r="T447" i="1"/>
  <c r="Q447" i="1"/>
  <c r="O447" i="1"/>
  <c r="L447" i="1"/>
  <c r="J447" i="1"/>
  <c r="G447" i="1"/>
  <c r="E447" i="1"/>
  <c r="B447" i="1"/>
  <c r="AN446" i="1"/>
  <c r="AK446" i="1"/>
  <c r="AI446" i="1"/>
  <c r="AF446" i="1"/>
  <c r="AD446" i="1"/>
  <c r="AA446" i="1"/>
  <c r="Y446" i="1"/>
  <c r="V446" i="1"/>
  <c r="T446" i="1"/>
  <c r="Q446" i="1"/>
  <c r="O446" i="1"/>
  <c r="L446" i="1"/>
  <c r="J446" i="1"/>
  <c r="G446" i="1"/>
  <c r="E446" i="1"/>
  <c r="B446" i="1"/>
  <c r="AN445" i="1"/>
  <c r="AK445" i="1"/>
  <c r="AI445" i="1"/>
  <c r="AF445" i="1"/>
  <c r="AD445" i="1"/>
  <c r="AA445" i="1"/>
  <c r="Y445" i="1"/>
  <c r="V445" i="1"/>
  <c r="T445" i="1"/>
  <c r="Q445" i="1"/>
  <c r="O445" i="1"/>
  <c r="L445" i="1"/>
  <c r="J445" i="1"/>
  <c r="G445" i="1"/>
  <c r="E445" i="1"/>
  <c r="B445" i="1"/>
  <c r="AN444" i="1"/>
  <c r="AK444" i="1"/>
  <c r="AI444" i="1"/>
  <c r="AF444" i="1"/>
  <c r="AD444" i="1"/>
  <c r="AA444" i="1"/>
  <c r="Y444" i="1"/>
  <c r="V444" i="1"/>
  <c r="T444" i="1"/>
  <c r="Q444" i="1"/>
  <c r="O444" i="1"/>
  <c r="L444" i="1"/>
  <c r="J444" i="1"/>
  <c r="G444" i="1"/>
  <c r="E444" i="1"/>
  <c r="B444" i="1"/>
  <c r="AN443" i="1"/>
  <c r="AK443" i="1"/>
  <c r="AI443" i="1"/>
  <c r="AF443" i="1"/>
  <c r="AD443" i="1"/>
  <c r="AA443" i="1"/>
  <c r="Y443" i="1"/>
  <c r="V443" i="1"/>
  <c r="T443" i="1"/>
  <c r="Q443" i="1"/>
  <c r="O443" i="1"/>
  <c r="L443" i="1"/>
  <c r="J443" i="1"/>
  <c r="G443" i="1"/>
  <c r="E443" i="1"/>
  <c r="B443" i="1"/>
  <c r="AN442" i="1"/>
  <c r="AK442" i="1"/>
  <c r="AI442" i="1"/>
  <c r="AF442" i="1"/>
  <c r="AD442" i="1"/>
  <c r="AA442" i="1"/>
  <c r="Y442" i="1"/>
  <c r="V442" i="1"/>
  <c r="T442" i="1"/>
  <c r="Q442" i="1"/>
  <c r="O442" i="1"/>
  <c r="L442" i="1"/>
  <c r="J442" i="1"/>
  <c r="G442" i="1"/>
  <c r="E442" i="1"/>
  <c r="B442" i="1"/>
  <c r="AN441" i="1"/>
  <c r="AK441" i="1"/>
  <c r="AI441" i="1"/>
  <c r="AF441" i="1"/>
  <c r="AD441" i="1"/>
  <c r="AA441" i="1"/>
  <c r="Y441" i="1"/>
  <c r="V441" i="1"/>
  <c r="T441" i="1"/>
  <c r="Q441" i="1"/>
  <c r="O441" i="1"/>
  <c r="L441" i="1"/>
  <c r="J441" i="1"/>
  <c r="G441" i="1"/>
  <c r="E441" i="1"/>
  <c r="B441" i="1"/>
  <c r="AN440" i="1"/>
  <c r="AK440" i="1"/>
  <c r="AI440" i="1"/>
  <c r="AF440" i="1"/>
  <c r="AD440" i="1"/>
  <c r="AA440" i="1"/>
  <c r="Y440" i="1"/>
  <c r="V440" i="1"/>
  <c r="T440" i="1"/>
  <c r="Q440" i="1"/>
  <c r="O440" i="1"/>
  <c r="L440" i="1"/>
  <c r="J440" i="1"/>
  <c r="G440" i="1"/>
  <c r="E440" i="1"/>
  <c r="B440" i="1"/>
  <c r="AN439" i="1"/>
  <c r="AK439" i="1"/>
  <c r="AI439" i="1"/>
  <c r="AF439" i="1"/>
  <c r="AD439" i="1"/>
  <c r="AA439" i="1"/>
  <c r="Y439" i="1"/>
  <c r="V439" i="1"/>
  <c r="T439" i="1"/>
  <c r="Q439" i="1"/>
  <c r="O439" i="1"/>
  <c r="L439" i="1"/>
  <c r="J439" i="1"/>
  <c r="G439" i="1"/>
  <c r="E439" i="1"/>
  <c r="B439" i="1"/>
  <c r="AN438" i="1"/>
  <c r="AK438" i="1"/>
  <c r="AI438" i="1"/>
  <c r="AF438" i="1"/>
  <c r="AD438" i="1"/>
  <c r="AA438" i="1"/>
  <c r="Y438" i="1"/>
  <c r="V438" i="1"/>
  <c r="T438" i="1"/>
  <c r="Q438" i="1"/>
  <c r="O438" i="1"/>
  <c r="L438" i="1"/>
  <c r="J438" i="1"/>
  <c r="G438" i="1"/>
  <c r="E438" i="1"/>
  <c r="B438" i="1"/>
  <c r="AN437" i="1"/>
  <c r="AK437" i="1"/>
  <c r="AI437" i="1"/>
  <c r="AF437" i="1"/>
  <c r="AD437" i="1"/>
  <c r="AA437" i="1"/>
  <c r="Y437" i="1"/>
  <c r="V437" i="1"/>
  <c r="T437" i="1"/>
  <c r="Q437" i="1"/>
  <c r="O437" i="1"/>
  <c r="L437" i="1"/>
  <c r="J437" i="1"/>
  <c r="G437" i="1"/>
  <c r="E437" i="1"/>
  <c r="B437" i="1"/>
  <c r="AN436" i="1"/>
  <c r="AK436" i="1"/>
  <c r="AI436" i="1"/>
  <c r="AF436" i="1"/>
  <c r="AD436" i="1"/>
  <c r="AA436" i="1"/>
  <c r="Y436" i="1"/>
  <c r="V436" i="1"/>
  <c r="T436" i="1"/>
  <c r="Q436" i="1"/>
  <c r="O436" i="1"/>
  <c r="L436" i="1"/>
  <c r="J436" i="1"/>
  <c r="G436" i="1"/>
  <c r="E436" i="1"/>
  <c r="B436" i="1"/>
  <c r="AN435" i="1"/>
  <c r="AK435" i="1"/>
  <c r="AI435" i="1"/>
  <c r="AF435" i="1"/>
  <c r="AD435" i="1"/>
  <c r="AA435" i="1"/>
  <c r="Y435" i="1"/>
  <c r="V435" i="1"/>
  <c r="T435" i="1"/>
  <c r="Q435" i="1"/>
  <c r="O435" i="1"/>
  <c r="L435" i="1"/>
  <c r="J435" i="1"/>
  <c r="G435" i="1"/>
  <c r="E435" i="1"/>
  <c r="B435" i="1"/>
  <c r="AN434" i="1"/>
  <c r="AK434" i="1"/>
  <c r="AI434" i="1"/>
  <c r="AF434" i="1"/>
  <c r="AD434" i="1"/>
  <c r="AA434" i="1"/>
  <c r="Y434" i="1"/>
  <c r="V434" i="1"/>
  <c r="T434" i="1"/>
  <c r="Q434" i="1"/>
  <c r="O434" i="1"/>
  <c r="L434" i="1"/>
  <c r="J434" i="1"/>
  <c r="G434" i="1"/>
  <c r="E434" i="1"/>
  <c r="B434" i="1"/>
  <c r="AN427" i="1"/>
  <c r="AK427" i="1"/>
  <c r="AI427" i="1"/>
  <c r="AF427" i="1"/>
  <c r="AD427" i="1"/>
  <c r="AA427" i="1"/>
  <c r="Y427" i="1"/>
  <c r="V427" i="1"/>
  <c r="T427" i="1"/>
  <c r="Q427" i="1"/>
  <c r="O427" i="1"/>
  <c r="L427" i="1"/>
  <c r="J427" i="1"/>
  <c r="G427" i="1"/>
  <c r="E427" i="1"/>
  <c r="B427" i="1"/>
  <c r="AN426" i="1"/>
  <c r="AK426" i="1"/>
  <c r="AI426" i="1"/>
  <c r="AF426" i="1"/>
  <c r="AD426" i="1"/>
  <c r="AA426" i="1"/>
  <c r="Y426" i="1"/>
  <c r="V426" i="1"/>
  <c r="T426" i="1"/>
  <c r="Q426" i="1"/>
  <c r="O426" i="1"/>
  <c r="L426" i="1"/>
  <c r="J426" i="1"/>
  <c r="G426" i="1"/>
  <c r="E426" i="1"/>
  <c r="B426" i="1"/>
  <c r="AN425" i="1"/>
  <c r="AK425" i="1"/>
  <c r="AI425" i="1"/>
  <c r="AF425" i="1"/>
  <c r="AD425" i="1"/>
  <c r="AA425" i="1"/>
  <c r="Y425" i="1"/>
  <c r="V425" i="1"/>
  <c r="T425" i="1"/>
  <c r="Q425" i="1"/>
  <c r="O425" i="1"/>
  <c r="L425" i="1"/>
  <c r="J425" i="1"/>
  <c r="G425" i="1"/>
  <c r="E425" i="1"/>
  <c r="B425" i="1"/>
  <c r="AN424" i="1"/>
  <c r="AK424" i="1"/>
  <c r="AI424" i="1"/>
  <c r="AF424" i="1"/>
  <c r="AD424" i="1"/>
  <c r="AA424" i="1"/>
  <c r="Y424" i="1"/>
  <c r="V424" i="1"/>
  <c r="T424" i="1"/>
  <c r="Q424" i="1"/>
  <c r="O424" i="1"/>
  <c r="L424" i="1"/>
  <c r="J424" i="1"/>
  <c r="G424" i="1"/>
  <c r="E424" i="1"/>
  <c r="B424" i="1"/>
  <c r="AN423" i="1"/>
  <c r="AK423" i="1"/>
  <c r="AI423" i="1"/>
  <c r="AF423" i="1"/>
  <c r="AD423" i="1"/>
  <c r="AA423" i="1"/>
  <c r="Y423" i="1"/>
  <c r="V423" i="1"/>
  <c r="T423" i="1"/>
  <c r="Q423" i="1"/>
  <c r="O423" i="1"/>
  <c r="L423" i="1"/>
  <c r="J423" i="1"/>
  <c r="G423" i="1"/>
  <c r="E423" i="1"/>
  <c r="B423" i="1"/>
  <c r="AN422" i="1"/>
  <c r="AK422" i="1"/>
  <c r="AI422" i="1"/>
  <c r="AF422" i="1"/>
  <c r="AD422" i="1"/>
  <c r="AA422" i="1"/>
  <c r="Y422" i="1"/>
  <c r="V422" i="1"/>
  <c r="T422" i="1"/>
  <c r="Q422" i="1"/>
  <c r="O422" i="1"/>
  <c r="L422" i="1"/>
  <c r="J422" i="1"/>
  <c r="G422" i="1"/>
  <c r="E422" i="1"/>
  <c r="B422" i="1"/>
  <c r="AN421" i="1"/>
  <c r="AK421" i="1"/>
  <c r="AI421" i="1"/>
  <c r="AF421" i="1"/>
  <c r="AD421" i="1"/>
  <c r="AA421" i="1"/>
  <c r="Y421" i="1"/>
  <c r="V421" i="1"/>
  <c r="T421" i="1"/>
  <c r="Q421" i="1"/>
  <c r="O421" i="1"/>
  <c r="L421" i="1"/>
  <c r="J421" i="1"/>
  <c r="G421" i="1"/>
  <c r="E421" i="1"/>
  <c r="B421" i="1"/>
  <c r="AN420" i="1"/>
  <c r="AK420" i="1"/>
  <c r="AI420" i="1"/>
  <c r="AF420" i="1"/>
  <c r="AD420" i="1"/>
  <c r="AA420" i="1"/>
  <c r="Y420" i="1"/>
  <c r="V420" i="1"/>
  <c r="T420" i="1"/>
  <c r="Q420" i="1"/>
  <c r="O420" i="1"/>
  <c r="L420" i="1"/>
  <c r="J420" i="1"/>
  <c r="G420" i="1"/>
  <c r="E420" i="1"/>
  <c r="B420" i="1"/>
  <c r="AN419" i="1"/>
  <c r="AK419" i="1"/>
  <c r="AI419" i="1"/>
  <c r="AF419" i="1"/>
  <c r="AD419" i="1"/>
  <c r="AA419" i="1"/>
  <c r="Y419" i="1"/>
  <c r="V419" i="1"/>
  <c r="T419" i="1"/>
  <c r="Q419" i="1"/>
  <c r="O419" i="1"/>
  <c r="L419" i="1"/>
  <c r="J419" i="1"/>
  <c r="G419" i="1"/>
  <c r="E419" i="1"/>
  <c r="B419" i="1"/>
  <c r="AN418" i="1"/>
  <c r="AK418" i="1"/>
  <c r="AI418" i="1"/>
  <c r="AF418" i="1"/>
  <c r="AD418" i="1"/>
  <c r="AA418" i="1"/>
  <c r="Y418" i="1"/>
  <c r="V418" i="1"/>
  <c r="T418" i="1"/>
  <c r="Q418" i="1"/>
  <c r="O418" i="1"/>
  <c r="L418" i="1"/>
  <c r="J418" i="1"/>
  <c r="G418" i="1"/>
  <c r="E418" i="1"/>
  <c r="B418" i="1"/>
  <c r="AN417" i="1"/>
  <c r="AK417" i="1"/>
  <c r="AI417" i="1"/>
  <c r="AF417" i="1"/>
  <c r="AD417" i="1"/>
  <c r="AA417" i="1"/>
  <c r="Y417" i="1"/>
  <c r="V417" i="1"/>
  <c r="T417" i="1"/>
  <c r="Q417" i="1"/>
  <c r="O417" i="1"/>
  <c r="L417" i="1"/>
  <c r="J417" i="1"/>
  <c r="G417" i="1"/>
  <c r="E417" i="1"/>
  <c r="B417" i="1"/>
  <c r="AN416" i="1"/>
  <c r="AK416" i="1"/>
  <c r="AI416" i="1"/>
  <c r="AF416" i="1"/>
  <c r="AD416" i="1"/>
  <c r="AA416" i="1"/>
  <c r="Y416" i="1"/>
  <c r="V416" i="1"/>
  <c r="T416" i="1"/>
  <c r="Q416" i="1"/>
  <c r="O416" i="1"/>
  <c r="L416" i="1"/>
  <c r="J416" i="1"/>
  <c r="G416" i="1"/>
  <c r="E416" i="1"/>
  <c r="B416" i="1"/>
  <c r="AN415" i="1"/>
  <c r="AK415" i="1"/>
  <c r="AI415" i="1"/>
  <c r="AF415" i="1"/>
  <c r="AD415" i="1"/>
  <c r="AA415" i="1"/>
  <c r="Y415" i="1"/>
  <c r="V415" i="1"/>
  <c r="T415" i="1"/>
  <c r="Q415" i="1"/>
  <c r="O415" i="1"/>
  <c r="L415" i="1"/>
  <c r="J415" i="1"/>
  <c r="G415" i="1"/>
  <c r="E415" i="1"/>
  <c r="B415" i="1"/>
  <c r="AN414" i="1"/>
  <c r="AK414" i="1"/>
  <c r="AI414" i="1"/>
  <c r="AF414" i="1"/>
  <c r="AD414" i="1"/>
  <c r="AA414" i="1"/>
  <c r="Y414" i="1"/>
  <c r="V414" i="1"/>
  <c r="T414" i="1"/>
  <c r="Q414" i="1"/>
  <c r="O414" i="1"/>
  <c r="L414" i="1"/>
  <c r="J414" i="1"/>
  <c r="G414" i="1"/>
  <c r="E414" i="1"/>
  <c r="B414" i="1"/>
  <c r="AN413" i="1"/>
  <c r="AK413" i="1"/>
  <c r="AI413" i="1"/>
  <c r="AF413" i="1"/>
  <c r="AD413" i="1"/>
  <c r="AA413" i="1"/>
  <c r="Y413" i="1"/>
  <c r="V413" i="1"/>
  <c r="T413" i="1"/>
  <c r="Q413" i="1"/>
  <c r="O413" i="1"/>
  <c r="L413" i="1"/>
  <c r="J413" i="1"/>
  <c r="G413" i="1"/>
  <c r="E413" i="1"/>
  <c r="B413" i="1"/>
  <c r="AN412" i="1"/>
  <c r="AK412" i="1"/>
  <c r="AI412" i="1"/>
  <c r="AF412" i="1"/>
  <c r="AD412" i="1"/>
  <c r="AA412" i="1"/>
  <c r="Y412" i="1"/>
  <c r="V412" i="1"/>
  <c r="T412" i="1"/>
  <c r="Q412" i="1"/>
  <c r="O412" i="1"/>
  <c r="L412" i="1"/>
  <c r="J412" i="1"/>
  <c r="G412" i="1"/>
  <c r="E412" i="1"/>
  <c r="B412" i="1"/>
  <c r="AN411" i="1"/>
  <c r="AK411" i="1"/>
  <c r="AI411" i="1"/>
  <c r="AF411" i="1"/>
  <c r="AD411" i="1"/>
  <c r="AA411" i="1"/>
  <c r="Y411" i="1"/>
  <c r="V411" i="1"/>
  <c r="T411" i="1"/>
  <c r="Q411" i="1"/>
  <c r="O411" i="1"/>
  <c r="L411" i="1"/>
  <c r="J411" i="1"/>
  <c r="G411" i="1"/>
  <c r="E411" i="1"/>
  <c r="B411" i="1"/>
  <c r="AN410" i="1"/>
  <c r="AK410" i="1"/>
  <c r="AI410" i="1"/>
  <c r="AF410" i="1"/>
  <c r="AD410" i="1"/>
  <c r="AA410" i="1"/>
  <c r="Y410" i="1"/>
  <c r="V410" i="1"/>
  <c r="T410" i="1"/>
  <c r="Q410" i="1"/>
  <c r="O410" i="1"/>
  <c r="L410" i="1"/>
  <c r="J410" i="1"/>
  <c r="G410" i="1"/>
  <c r="E410" i="1"/>
  <c r="B410" i="1"/>
  <c r="AN409" i="1"/>
  <c r="AK409" i="1"/>
  <c r="AI409" i="1"/>
  <c r="AF409" i="1"/>
  <c r="AD409" i="1"/>
  <c r="AA409" i="1"/>
  <c r="Y409" i="1"/>
  <c r="V409" i="1"/>
  <c r="T409" i="1"/>
  <c r="Q409" i="1"/>
  <c r="O409" i="1"/>
  <c r="L409" i="1"/>
  <c r="J409" i="1"/>
  <c r="G409" i="1"/>
  <c r="E409" i="1"/>
  <c r="B409" i="1"/>
  <c r="AN408" i="1"/>
  <c r="AK408" i="1"/>
  <c r="AI408" i="1"/>
  <c r="AF408" i="1"/>
  <c r="AD408" i="1"/>
  <c r="AA408" i="1"/>
  <c r="Y408" i="1"/>
  <c r="V408" i="1"/>
  <c r="T408" i="1"/>
  <c r="Q408" i="1"/>
  <c r="O408" i="1"/>
  <c r="L408" i="1"/>
  <c r="J408" i="1"/>
  <c r="G408" i="1"/>
  <c r="E408" i="1"/>
  <c r="B408" i="1"/>
  <c r="AN407" i="1"/>
  <c r="AK407" i="1"/>
  <c r="AI407" i="1"/>
  <c r="AF407" i="1"/>
  <c r="AD407" i="1"/>
  <c r="AA407" i="1"/>
  <c r="Y407" i="1"/>
  <c r="V407" i="1"/>
  <c r="T407" i="1"/>
  <c r="Q407" i="1"/>
  <c r="O407" i="1"/>
  <c r="L407" i="1"/>
  <c r="J407" i="1"/>
  <c r="G407" i="1"/>
  <c r="E407" i="1"/>
  <c r="B407" i="1"/>
  <c r="AN397" i="1"/>
  <c r="AK397" i="1"/>
  <c r="AI397" i="1"/>
  <c r="AF397" i="1"/>
  <c r="AD397" i="1"/>
  <c r="AA397" i="1"/>
  <c r="Y397" i="1"/>
  <c r="V397" i="1"/>
  <c r="T397" i="1"/>
  <c r="Q397" i="1"/>
  <c r="O397" i="1"/>
  <c r="L397" i="1"/>
  <c r="J397" i="1"/>
  <c r="G397" i="1"/>
  <c r="E397" i="1"/>
  <c r="B397" i="1"/>
  <c r="AN396" i="1"/>
  <c r="AK396" i="1"/>
  <c r="AI396" i="1"/>
  <c r="AF396" i="1"/>
  <c r="AD396" i="1"/>
  <c r="AA396" i="1"/>
  <c r="Y396" i="1"/>
  <c r="V396" i="1"/>
  <c r="T396" i="1"/>
  <c r="Q396" i="1"/>
  <c r="O396" i="1"/>
  <c r="L396" i="1"/>
  <c r="J396" i="1"/>
  <c r="G396" i="1"/>
  <c r="E396" i="1"/>
  <c r="B396" i="1"/>
  <c r="AN395" i="1"/>
  <c r="AK395" i="1"/>
  <c r="AI395" i="1"/>
  <c r="AF395" i="1"/>
  <c r="AD395" i="1"/>
  <c r="AA395" i="1"/>
  <c r="Y395" i="1"/>
  <c r="V395" i="1"/>
  <c r="T395" i="1"/>
  <c r="Q395" i="1"/>
  <c r="O395" i="1"/>
  <c r="L395" i="1"/>
  <c r="J395" i="1"/>
  <c r="G395" i="1"/>
  <c r="E395" i="1"/>
  <c r="B395" i="1"/>
  <c r="AN394" i="1"/>
  <c r="AK394" i="1"/>
  <c r="AI394" i="1"/>
  <c r="AF394" i="1"/>
  <c r="AD394" i="1"/>
  <c r="AA394" i="1"/>
  <c r="Y394" i="1"/>
  <c r="V394" i="1"/>
  <c r="T394" i="1"/>
  <c r="Q394" i="1"/>
  <c r="O394" i="1"/>
  <c r="L394" i="1"/>
  <c r="J394" i="1"/>
  <c r="G394" i="1"/>
  <c r="E394" i="1"/>
  <c r="B394" i="1"/>
  <c r="AN393" i="1"/>
  <c r="AK393" i="1"/>
  <c r="AI393" i="1"/>
  <c r="AF393" i="1"/>
  <c r="AD393" i="1"/>
  <c r="AA393" i="1"/>
  <c r="Y393" i="1"/>
  <c r="V393" i="1"/>
  <c r="T393" i="1"/>
  <c r="Q393" i="1"/>
  <c r="O393" i="1"/>
  <c r="L393" i="1"/>
  <c r="J393" i="1"/>
  <c r="G393" i="1"/>
  <c r="E393" i="1"/>
  <c r="B393" i="1"/>
  <c r="AN392" i="1"/>
  <c r="AK392" i="1"/>
  <c r="AI392" i="1"/>
  <c r="AF392" i="1"/>
  <c r="AD392" i="1"/>
  <c r="AA392" i="1"/>
  <c r="Y392" i="1"/>
  <c r="V392" i="1"/>
  <c r="T392" i="1"/>
  <c r="Q392" i="1"/>
  <c r="O392" i="1"/>
  <c r="L392" i="1"/>
  <c r="J392" i="1"/>
  <c r="G392" i="1"/>
  <c r="E392" i="1"/>
  <c r="B392" i="1"/>
  <c r="AN391" i="1"/>
  <c r="AK391" i="1"/>
  <c r="AI391" i="1"/>
  <c r="AF391" i="1"/>
  <c r="AD391" i="1"/>
  <c r="AA391" i="1"/>
  <c r="Y391" i="1"/>
  <c r="V391" i="1"/>
  <c r="T391" i="1"/>
  <c r="Q391" i="1"/>
  <c r="O391" i="1"/>
  <c r="L391" i="1"/>
  <c r="J391" i="1"/>
  <c r="G391" i="1"/>
  <c r="E391" i="1"/>
  <c r="B391" i="1"/>
  <c r="AN390" i="1"/>
  <c r="AK390" i="1"/>
  <c r="AI390" i="1"/>
  <c r="AF390" i="1"/>
  <c r="AD390" i="1"/>
  <c r="AA390" i="1"/>
  <c r="Y390" i="1"/>
  <c r="V390" i="1"/>
  <c r="T390" i="1"/>
  <c r="Q390" i="1"/>
  <c r="O390" i="1"/>
  <c r="L390" i="1"/>
  <c r="J390" i="1"/>
  <c r="G390" i="1"/>
  <c r="E390" i="1"/>
  <c r="B390" i="1"/>
  <c r="AN389" i="1"/>
  <c r="AK389" i="1"/>
  <c r="AI389" i="1"/>
  <c r="AF389" i="1"/>
  <c r="AD389" i="1"/>
  <c r="AA389" i="1"/>
  <c r="Y389" i="1"/>
  <c r="V389" i="1"/>
  <c r="T389" i="1"/>
  <c r="Q389" i="1"/>
  <c r="O389" i="1"/>
  <c r="L389" i="1"/>
  <c r="J389" i="1"/>
  <c r="G389" i="1"/>
  <c r="E389" i="1"/>
  <c r="B389" i="1"/>
  <c r="AN388" i="1"/>
  <c r="AK388" i="1"/>
  <c r="AI388" i="1"/>
  <c r="AF388" i="1"/>
  <c r="AD388" i="1"/>
  <c r="AA388" i="1"/>
  <c r="Y388" i="1"/>
  <c r="V388" i="1"/>
  <c r="T388" i="1"/>
  <c r="Q388" i="1"/>
  <c r="O388" i="1"/>
  <c r="L388" i="1"/>
  <c r="J388" i="1"/>
  <c r="G388" i="1"/>
  <c r="E388" i="1"/>
  <c r="B388" i="1"/>
  <c r="AN387" i="1"/>
  <c r="AK387" i="1"/>
  <c r="AI387" i="1"/>
  <c r="AF387" i="1"/>
  <c r="AD387" i="1"/>
  <c r="AA387" i="1"/>
  <c r="Y387" i="1"/>
  <c r="V387" i="1"/>
  <c r="T387" i="1"/>
  <c r="Q387" i="1"/>
  <c r="O387" i="1"/>
  <c r="L387" i="1"/>
  <c r="J387" i="1"/>
  <c r="G387" i="1"/>
  <c r="E387" i="1"/>
  <c r="B387" i="1"/>
  <c r="AN386" i="1"/>
  <c r="AK386" i="1"/>
  <c r="AI386" i="1"/>
  <c r="AF386" i="1"/>
  <c r="AD386" i="1"/>
  <c r="AA386" i="1"/>
  <c r="Y386" i="1"/>
  <c r="V386" i="1"/>
  <c r="T386" i="1"/>
  <c r="Q386" i="1"/>
  <c r="O386" i="1"/>
  <c r="L386" i="1"/>
  <c r="J386" i="1"/>
  <c r="G386" i="1"/>
  <c r="E386" i="1"/>
  <c r="B386" i="1"/>
  <c r="AN385" i="1"/>
  <c r="AK385" i="1"/>
  <c r="AI385" i="1"/>
  <c r="AF385" i="1"/>
  <c r="AD385" i="1"/>
  <c r="AA385" i="1"/>
  <c r="Y385" i="1"/>
  <c r="V385" i="1"/>
  <c r="T385" i="1"/>
  <c r="Q385" i="1"/>
  <c r="O385" i="1"/>
  <c r="L385" i="1"/>
  <c r="J385" i="1"/>
  <c r="G385" i="1"/>
  <c r="E385" i="1"/>
  <c r="B385" i="1"/>
  <c r="AN384" i="1"/>
  <c r="AK384" i="1"/>
  <c r="AI384" i="1"/>
  <c r="AF384" i="1"/>
  <c r="AD384" i="1"/>
  <c r="AA384" i="1"/>
  <c r="Y384" i="1"/>
  <c r="V384" i="1"/>
  <c r="T384" i="1"/>
  <c r="Q384" i="1"/>
  <c r="O384" i="1"/>
  <c r="L384" i="1"/>
  <c r="J384" i="1"/>
  <c r="G384" i="1"/>
  <c r="E384" i="1"/>
  <c r="B384" i="1"/>
  <c r="AN383" i="1"/>
  <c r="AK383" i="1"/>
  <c r="AI383" i="1"/>
  <c r="AF383" i="1"/>
  <c r="AD383" i="1"/>
  <c r="AA383" i="1"/>
  <c r="Y383" i="1"/>
  <c r="V383" i="1"/>
  <c r="T383" i="1"/>
  <c r="Q383" i="1"/>
  <c r="O383" i="1"/>
  <c r="L383" i="1"/>
  <c r="J383" i="1"/>
  <c r="G383" i="1"/>
  <c r="E383" i="1"/>
  <c r="B383" i="1"/>
  <c r="AN382" i="1"/>
  <c r="AK382" i="1"/>
  <c r="AI382" i="1"/>
  <c r="AF382" i="1"/>
  <c r="AD382" i="1"/>
  <c r="AA382" i="1"/>
  <c r="Y382" i="1"/>
  <c r="V382" i="1"/>
  <c r="T382" i="1"/>
  <c r="Q382" i="1"/>
  <c r="O382" i="1"/>
  <c r="L382" i="1"/>
  <c r="J382" i="1"/>
  <c r="G382" i="1"/>
  <c r="E382" i="1"/>
  <c r="B382" i="1"/>
  <c r="AN381" i="1"/>
  <c r="AK381" i="1"/>
  <c r="AI381" i="1"/>
  <c r="AF381" i="1"/>
  <c r="AD381" i="1"/>
  <c r="AA381" i="1"/>
  <c r="Y381" i="1"/>
  <c r="V381" i="1"/>
  <c r="T381" i="1"/>
  <c r="Q381" i="1"/>
  <c r="O381" i="1"/>
  <c r="L381" i="1"/>
  <c r="J381" i="1"/>
  <c r="G381" i="1"/>
  <c r="E381" i="1"/>
  <c r="B381" i="1"/>
  <c r="AN380" i="1"/>
  <c r="AK380" i="1"/>
  <c r="AI380" i="1"/>
  <c r="AF380" i="1"/>
  <c r="AD380" i="1"/>
  <c r="AA380" i="1"/>
  <c r="Y380" i="1"/>
  <c r="V380" i="1"/>
  <c r="T380" i="1"/>
  <c r="Q380" i="1"/>
  <c r="O380" i="1"/>
  <c r="L380" i="1"/>
  <c r="J380" i="1"/>
  <c r="G380" i="1"/>
  <c r="E380" i="1"/>
  <c r="B380" i="1"/>
  <c r="AN379" i="1"/>
  <c r="AK379" i="1"/>
  <c r="AI379" i="1"/>
  <c r="AF379" i="1"/>
  <c r="AD379" i="1"/>
  <c r="AA379" i="1"/>
  <c r="Y379" i="1"/>
  <c r="V379" i="1"/>
  <c r="T379" i="1"/>
  <c r="Q379" i="1"/>
  <c r="O379" i="1"/>
  <c r="L379" i="1"/>
  <c r="J379" i="1"/>
  <c r="G379" i="1"/>
  <c r="E379" i="1"/>
  <c r="B379" i="1"/>
  <c r="AN378" i="1"/>
  <c r="AK378" i="1"/>
  <c r="AI378" i="1"/>
  <c r="AF378" i="1"/>
  <c r="AD378" i="1"/>
  <c r="AA378" i="1"/>
  <c r="Y378" i="1"/>
  <c r="V378" i="1"/>
  <c r="T378" i="1"/>
  <c r="Q378" i="1"/>
  <c r="O378" i="1"/>
  <c r="L378" i="1"/>
  <c r="J378" i="1"/>
  <c r="G378" i="1"/>
  <c r="E378" i="1"/>
  <c r="B378" i="1"/>
  <c r="AN377" i="1"/>
  <c r="AK377" i="1"/>
  <c r="AI377" i="1"/>
  <c r="AF377" i="1"/>
  <c r="AD377" i="1"/>
  <c r="AA377" i="1"/>
  <c r="Y377" i="1"/>
  <c r="V377" i="1"/>
  <c r="T377" i="1"/>
  <c r="Q377" i="1"/>
  <c r="O377" i="1"/>
  <c r="L377" i="1"/>
  <c r="J377" i="1"/>
  <c r="G377" i="1"/>
  <c r="E377" i="1"/>
  <c r="B377" i="1"/>
  <c r="AN370" i="1"/>
  <c r="AK370" i="1"/>
  <c r="AI370" i="1"/>
  <c r="AF370" i="1"/>
  <c r="AD370" i="1"/>
  <c r="AA370" i="1"/>
  <c r="Y370" i="1"/>
  <c r="V370" i="1"/>
  <c r="T370" i="1"/>
  <c r="Q370" i="1"/>
  <c r="O370" i="1"/>
  <c r="L370" i="1"/>
  <c r="J370" i="1"/>
  <c r="G370" i="1"/>
  <c r="E370" i="1"/>
  <c r="B370" i="1"/>
  <c r="AN369" i="1"/>
  <c r="AK369" i="1"/>
  <c r="AI369" i="1"/>
  <c r="AF369" i="1"/>
  <c r="AD369" i="1"/>
  <c r="AA369" i="1"/>
  <c r="Y369" i="1"/>
  <c r="V369" i="1"/>
  <c r="T369" i="1"/>
  <c r="Q369" i="1"/>
  <c r="O369" i="1"/>
  <c r="L369" i="1"/>
  <c r="J369" i="1"/>
  <c r="G369" i="1"/>
  <c r="E369" i="1"/>
  <c r="B369" i="1"/>
  <c r="AN368" i="1"/>
  <c r="AK368" i="1"/>
  <c r="AI368" i="1"/>
  <c r="AF368" i="1"/>
  <c r="AD368" i="1"/>
  <c r="AA368" i="1"/>
  <c r="Y368" i="1"/>
  <c r="V368" i="1"/>
  <c r="T368" i="1"/>
  <c r="Q368" i="1"/>
  <c r="O368" i="1"/>
  <c r="L368" i="1"/>
  <c r="J368" i="1"/>
  <c r="G368" i="1"/>
  <c r="E368" i="1"/>
  <c r="B368" i="1"/>
  <c r="AN367" i="1"/>
  <c r="AK367" i="1"/>
  <c r="AI367" i="1"/>
  <c r="AF367" i="1"/>
  <c r="AD367" i="1"/>
  <c r="AA367" i="1"/>
  <c r="Y367" i="1"/>
  <c r="V367" i="1"/>
  <c r="T367" i="1"/>
  <c r="Q367" i="1"/>
  <c r="O367" i="1"/>
  <c r="L367" i="1"/>
  <c r="J367" i="1"/>
  <c r="G367" i="1"/>
  <c r="E367" i="1"/>
  <c r="B367" i="1"/>
  <c r="AN366" i="1"/>
  <c r="AK366" i="1"/>
  <c r="AI366" i="1"/>
  <c r="AF366" i="1"/>
  <c r="AD366" i="1"/>
  <c r="AA366" i="1"/>
  <c r="Y366" i="1"/>
  <c r="V366" i="1"/>
  <c r="T366" i="1"/>
  <c r="Q366" i="1"/>
  <c r="O366" i="1"/>
  <c r="L366" i="1"/>
  <c r="J366" i="1"/>
  <c r="G366" i="1"/>
  <c r="E366" i="1"/>
  <c r="B366" i="1"/>
  <c r="AN365" i="1"/>
  <c r="AK365" i="1"/>
  <c r="AI365" i="1"/>
  <c r="AF365" i="1"/>
  <c r="AD365" i="1"/>
  <c r="AA365" i="1"/>
  <c r="Y365" i="1"/>
  <c r="V365" i="1"/>
  <c r="T365" i="1"/>
  <c r="Q365" i="1"/>
  <c r="O365" i="1"/>
  <c r="L365" i="1"/>
  <c r="J365" i="1"/>
  <c r="G365" i="1"/>
  <c r="E365" i="1"/>
  <c r="B365" i="1"/>
  <c r="AN364" i="1"/>
  <c r="AK364" i="1"/>
  <c r="AI364" i="1"/>
  <c r="AF364" i="1"/>
  <c r="AD364" i="1"/>
  <c r="AA364" i="1"/>
  <c r="Y364" i="1"/>
  <c r="V364" i="1"/>
  <c r="T364" i="1"/>
  <c r="Q364" i="1"/>
  <c r="O364" i="1"/>
  <c r="L364" i="1"/>
  <c r="J364" i="1"/>
  <c r="G364" i="1"/>
  <c r="E364" i="1"/>
  <c r="B364" i="1"/>
  <c r="AN363" i="1"/>
  <c r="AK363" i="1"/>
  <c r="AI363" i="1"/>
  <c r="AF363" i="1"/>
  <c r="AD363" i="1"/>
  <c r="AA363" i="1"/>
  <c r="Y363" i="1"/>
  <c r="V363" i="1"/>
  <c r="T363" i="1"/>
  <c r="Q363" i="1"/>
  <c r="O363" i="1"/>
  <c r="L363" i="1"/>
  <c r="J363" i="1"/>
  <c r="G363" i="1"/>
  <c r="E363" i="1"/>
  <c r="B363" i="1"/>
  <c r="AN362" i="1"/>
  <c r="AK362" i="1"/>
  <c r="AI362" i="1"/>
  <c r="AF362" i="1"/>
  <c r="AD362" i="1"/>
  <c r="AA362" i="1"/>
  <c r="Y362" i="1"/>
  <c r="V362" i="1"/>
  <c r="T362" i="1"/>
  <c r="Q362" i="1"/>
  <c r="O362" i="1"/>
  <c r="L362" i="1"/>
  <c r="J362" i="1"/>
  <c r="G362" i="1"/>
  <c r="E362" i="1"/>
  <c r="B362" i="1"/>
  <c r="AN361" i="1"/>
  <c r="AK361" i="1"/>
  <c r="AI361" i="1"/>
  <c r="AF361" i="1"/>
  <c r="AD361" i="1"/>
  <c r="AA361" i="1"/>
  <c r="Y361" i="1"/>
  <c r="V361" i="1"/>
  <c r="T361" i="1"/>
  <c r="Q361" i="1"/>
  <c r="O361" i="1"/>
  <c r="L361" i="1"/>
  <c r="J361" i="1"/>
  <c r="G361" i="1"/>
  <c r="E361" i="1"/>
  <c r="B361" i="1"/>
  <c r="AN360" i="1"/>
  <c r="AK360" i="1"/>
  <c r="AI360" i="1"/>
  <c r="AF360" i="1"/>
  <c r="AD360" i="1"/>
  <c r="AA360" i="1"/>
  <c r="Y360" i="1"/>
  <c r="V360" i="1"/>
  <c r="T360" i="1"/>
  <c r="Q360" i="1"/>
  <c r="O360" i="1"/>
  <c r="L360" i="1"/>
  <c r="J360" i="1"/>
  <c r="G360" i="1"/>
  <c r="E360" i="1"/>
  <c r="B360" i="1"/>
  <c r="AN359" i="1"/>
  <c r="AK359" i="1"/>
  <c r="AI359" i="1"/>
  <c r="AF359" i="1"/>
  <c r="AD359" i="1"/>
  <c r="AA359" i="1"/>
  <c r="Y359" i="1"/>
  <c r="V359" i="1"/>
  <c r="T359" i="1"/>
  <c r="Q359" i="1"/>
  <c r="O359" i="1"/>
  <c r="L359" i="1"/>
  <c r="J359" i="1"/>
  <c r="G359" i="1"/>
  <c r="E359" i="1"/>
  <c r="B359" i="1"/>
  <c r="AN358" i="1"/>
  <c r="AK358" i="1"/>
  <c r="AI358" i="1"/>
  <c r="AF358" i="1"/>
  <c r="AD358" i="1"/>
  <c r="AA358" i="1"/>
  <c r="Y358" i="1"/>
  <c r="V358" i="1"/>
  <c r="T358" i="1"/>
  <c r="Q358" i="1"/>
  <c r="O358" i="1"/>
  <c r="L358" i="1"/>
  <c r="J358" i="1"/>
  <c r="G358" i="1"/>
  <c r="E358" i="1"/>
  <c r="B358" i="1"/>
  <c r="AN357" i="1"/>
  <c r="AK357" i="1"/>
  <c r="AI357" i="1"/>
  <c r="AF357" i="1"/>
  <c r="AD357" i="1"/>
  <c r="AA357" i="1"/>
  <c r="Y357" i="1"/>
  <c r="V357" i="1"/>
  <c r="T357" i="1"/>
  <c r="Q357" i="1"/>
  <c r="O357" i="1"/>
  <c r="L357" i="1"/>
  <c r="J357" i="1"/>
  <c r="G357" i="1"/>
  <c r="E357" i="1"/>
  <c r="B357" i="1"/>
  <c r="AN356" i="1"/>
  <c r="AK356" i="1"/>
  <c r="AI356" i="1"/>
  <c r="AF356" i="1"/>
  <c r="AD356" i="1"/>
  <c r="AA356" i="1"/>
  <c r="Y356" i="1"/>
  <c r="V356" i="1"/>
  <c r="T356" i="1"/>
  <c r="Q356" i="1"/>
  <c r="O356" i="1"/>
  <c r="L356" i="1"/>
  <c r="J356" i="1"/>
  <c r="G356" i="1"/>
  <c r="E356" i="1"/>
  <c r="B356" i="1"/>
  <c r="AN355" i="1"/>
  <c r="AK355" i="1"/>
  <c r="AI355" i="1"/>
  <c r="AF355" i="1"/>
  <c r="AD355" i="1"/>
  <c r="AA355" i="1"/>
  <c r="Y355" i="1"/>
  <c r="V355" i="1"/>
  <c r="T355" i="1"/>
  <c r="Q355" i="1"/>
  <c r="O355" i="1"/>
  <c r="L355" i="1"/>
  <c r="J355" i="1"/>
  <c r="G355" i="1"/>
  <c r="E355" i="1"/>
  <c r="B355" i="1"/>
  <c r="AN354" i="1"/>
  <c r="AK354" i="1"/>
  <c r="AI354" i="1"/>
  <c r="AF354" i="1"/>
  <c r="AD354" i="1"/>
  <c r="AA354" i="1"/>
  <c r="Y354" i="1"/>
  <c r="V354" i="1"/>
  <c r="T354" i="1"/>
  <c r="Q354" i="1"/>
  <c r="O354" i="1"/>
  <c r="L354" i="1"/>
  <c r="J354" i="1"/>
  <c r="G354" i="1"/>
  <c r="E354" i="1"/>
  <c r="B354" i="1"/>
  <c r="AN353" i="1"/>
  <c r="AK353" i="1"/>
  <c r="AI353" i="1"/>
  <c r="AF353" i="1"/>
  <c r="AD353" i="1"/>
  <c r="AA353" i="1"/>
  <c r="Y353" i="1"/>
  <c r="V353" i="1"/>
  <c r="T353" i="1"/>
  <c r="Q353" i="1"/>
  <c r="O353" i="1"/>
  <c r="L353" i="1"/>
  <c r="J353" i="1"/>
  <c r="G353" i="1"/>
  <c r="E353" i="1"/>
  <c r="B353" i="1"/>
  <c r="AN352" i="1"/>
  <c r="AK352" i="1"/>
  <c r="AI352" i="1"/>
  <c r="AF352" i="1"/>
  <c r="AD352" i="1"/>
  <c r="AA352" i="1"/>
  <c r="Y352" i="1"/>
  <c r="V352" i="1"/>
  <c r="T352" i="1"/>
  <c r="Q352" i="1"/>
  <c r="O352" i="1"/>
  <c r="L352" i="1"/>
  <c r="J352" i="1"/>
  <c r="G352" i="1"/>
  <c r="E352" i="1"/>
  <c r="B352" i="1"/>
  <c r="AN351" i="1"/>
  <c r="AK351" i="1"/>
  <c r="AI351" i="1"/>
  <c r="AF351" i="1"/>
  <c r="AD351" i="1"/>
  <c r="AA351" i="1"/>
  <c r="Y351" i="1"/>
  <c r="V351" i="1"/>
  <c r="T351" i="1"/>
  <c r="Q351" i="1"/>
  <c r="O351" i="1"/>
  <c r="L351" i="1"/>
  <c r="J351" i="1"/>
  <c r="G351" i="1"/>
  <c r="E351" i="1"/>
  <c r="B351" i="1"/>
  <c r="AN350" i="1"/>
  <c r="AK350" i="1"/>
  <c r="AI350" i="1"/>
  <c r="AF350" i="1"/>
  <c r="AD350" i="1"/>
  <c r="AA350" i="1"/>
  <c r="Y350" i="1"/>
  <c r="V350" i="1"/>
  <c r="T350" i="1"/>
  <c r="Q350" i="1"/>
  <c r="O350" i="1"/>
  <c r="L350" i="1"/>
  <c r="J350" i="1"/>
  <c r="G350" i="1"/>
  <c r="E350" i="1"/>
  <c r="B350" i="1"/>
  <c r="AN340" i="1"/>
  <c r="AK340" i="1"/>
  <c r="AI340" i="1"/>
  <c r="AF340" i="1"/>
  <c r="AD340" i="1"/>
  <c r="AA340" i="1"/>
  <c r="Y340" i="1"/>
  <c r="V340" i="1"/>
  <c r="T340" i="1"/>
  <c r="Q340" i="1"/>
  <c r="O340" i="1"/>
  <c r="L340" i="1"/>
  <c r="J340" i="1"/>
  <c r="G340" i="1"/>
  <c r="E340" i="1"/>
  <c r="B340" i="1"/>
  <c r="AN339" i="1"/>
  <c r="AK339" i="1"/>
  <c r="AI339" i="1"/>
  <c r="AF339" i="1"/>
  <c r="AD339" i="1"/>
  <c r="AA339" i="1"/>
  <c r="Y339" i="1"/>
  <c r="V339" i="1"/>
  <c r="T339" i="1"/>
  <c r="Q339" i="1"/>
  <c r="O339" i="1"/>
  <c r="L339" i="1"/>
  <c r="J339" i="1"/>
  <c r="G339" i="1"/>
  <c r="E339" i="1"/>
  <c r="B339" i="1"/>
  <c r="AN338" i="1"/>
  <c r="AK338" i="1"/>
  <c r="AI338" i="1"/>
  <c r="AF338" i="1"/>
  <c r="AD338" i="1"/>
  <c r="AA338" i="1"/>
  <c r="Y338" i="1"/>
  <c r="V338" i="1"/>
  <c r="T338" i="1"/>
  <c r="Q338" i="1"/>
  <c r="O338" i="1"/>
  <c r="L338" i="1"/>
  <c r="J338" i="1"/>
  <c r="G338" i="1"/>
  <c r="E338" i="1"/>
  <c r="B338" i="1"/>
  <c r="AN337" i="1"/>
  <c r="AK337" i="1"/>
  <c r="AI337" i="1"/>
  <c r="AF337" i="1"/>
  <c r="AD337" i="1"/>
  <c r="AA337" i="1"/>
  <c r="Y337" i="1"/>
  <c r="V337" i="1"/>
  <c r="T337" i="1"/>
  <c r="Q337" i="1"/>
  <c r="O337" i="1"/>
  <c r="L337" i="1"/>
  <c r="J337" i="1"/>
  <c r="G337" i="1"/>
  <c r="E337" i="1"/>
  <c r="B337" i="1"/>
  <c r="AN336" i="1"/>
  <c r="AK336" i="1"/>
  <c r="AI336" i="1"/>
  <c r="AF336" i="1"/>
  <c r="AD336" i="1"/>
  <c r="AA336" i="1"/>
  <c r="Y336" i="1"/>
  <c r="V336" i="1"/>
  <c r="T336" i="1"/>
  <c r="Q336" i="1"/>
  <c r="O336" i="1"/>
  <c r="L336" i="1"/>
  <c r="J336" i="1"/>
  <c r="G336" i="1"/>
  <c r="E336" i="1"/>
  <c r="B336" i="1"/>
  <c r="AN335" i="1"/>
  <c r="AK335" i="1"/>
  <c r="AI335" i="1"/>
  <c r="AF335" i="1"/>
  <c r="AD335" i="1"/>
  <c r="AA335" i="1"/>
  <c r="Y335" i="1"/>
  <c r="V335" i="1"/>
  <c r="T335" i="1"/>
  <c r="Q335" i="1"/>
  <c r="O335" i="1"/>
  <c r="L335" i="1"/>
  <c r="J335" i="1"/>
  <c r="G335" i="1"/>
  <c r="E335" i="1"/>
  <c r="B335" i="1"/>
  <c r="AN334" i="1"/>
  <c r="AK334" i="1"/>
  <c r="AI334" i="1"/>
  <c r="AF334" i="1"/>
  <c r="AD334" i="1"/>
  <c r="AA334" i="1"/>
  <c r="Y334" i="1"/>
  <c r="V334" i="1"/>
  <c r="T334" i="1"/>
  <c r="Q334" i="1"/>
  <c r="O334" i="1"/>
  <c r="L334" i="1"/>
  <c r="J334" i="1"/>
  <c r="G334" i="1"/>
  <c r="E334" i="1"/>
  <c r="B334" i="1"/>
  <c r="AN333" i="1"/>
  <c r="AK333" i="1"/>
  <c r="AI333" i="1"/>
  <c r="AF333" i="1"/>
  <c r="AD333" i="1"/>
  <c r="AA333" i="1"/>
  <c r="Y333" i="1"/>
  <c r="V333" i="1"/>
  <c r="T333" i="1"/>
  <c r="Q333" i="1"/>
  <c r="O333" i="1"/>
  <c r="L333" i="1"/>
  <c r="J333" i="1"/>
  <c r="G333" i="1"/>
  <c r="E333" i="1"/>
  <c r="B333" i="1"/>
  <c r="AN332" i="1"/>
  <c r="AK332" i="1"/>
  <c r="AI332" i="1"/>
  <c r="AF332" i="1"/>
  <c r="AD332" i="1"/>
  <c r="AA332" i="1"/>
  <c r="Y332" i="1"/>
  <c r="V332" i="1"/>
  <c r="T332" i="1"/>
  <c r="Q332" i="1"/>
  <c r="O332" i="1"/>
  <c r="L332" i="1"/>
  <c r="J332" i="1"/>
  <c r="G332" i="1"/>
  <c r="E332" i="1"/>
  <c r="B332" i="1"/>
  <c r="AN331" i="1"/>
  <c r="AK331" i="1"/>
  <c r="AI331" i="1"/>
  <c r="AF331" i="1"/>
  <c r="AD331" i="1"/>
  <c r="AA331" i="1"/>
  <c r="Y331" i="1"/>
  <c r="V331" i="1"/>
  <c r="T331" i="1"/>
  <c r="Q331" i="1"/>
  <c r="O331" i="1"/>
  <c r="L331" i="1"/>
  <c r="J331" i="1"/>
  <c r="G331" i="1"/>
  <c r="E331" i="1"/>
  <c r="B331" i="1"/>
  <c r="AN330" i="1"/>
  <c r="AK330" i="1"/>
  <c r="AI330" i="1"/>
  <c r="AF330" i="1"/>
  <c r="AD330" i="1"/>
  <c r="AA330" i="1"/>
  <c r="Y330" i="1"/>
  <c r="V330" i="1"/>
  <c r="T330" i="1"/>
  <c r="Q330" i="1"/>
  <c r="O330" i="1"/>
  <c r="L330" i="1"/>
  <c r="J330" i="1"/>
  <c r="G330" i="1"/>
  <c r="E330" i="1"/>
  <c r="B330" i="1"/>
  <c r="AN329" i="1"/>
  <c r="AK329" i="1"/>
  <c r="AI329" i="1"/>
  <c r="AF329" i="1"/>
  <c r="AD329" i="1"/>
  <c r="AA329" i="1"/>
  <c r="Y329" i="1"/>
  <c r="V329" i="1"/>
  <c r="T329" i="1"/>
  <c r="Q329" i="1"/>
  <c r="O329" i="1"/>
  <c r="L329" i="1"/>
  <c r="J329" i="1"/>
  <c r="G329" i="1"/>
  <c r="E329" i="1"/>
  <c r="B329" i="1"/>
  <c r="AN328" i="1"/>
  <c r="AK328" i="1"/>
  <c r="AI328" i="1"/>
  <c r="AF328" i="1"/>
  <c r="AD328" i="1"/>
  <c r="AA328" i="1"/>
  <c r="Y328" i="1"/>
  <c r="V328" i="1"/>
  <c r="T328" i="1"/>
  <c r="Q328" i="1"/>
  <c r="O328" i="1"/>
  <c r="L328" i="1"/>
  <c r="J328" i="1"/>
  <c r="G328" i="1"/>
  <c r="E328" i="1"/>
  <c r="B328" i="1"/>
  <c r="AN327" i="1"/>
  <c r="AK327" i="1"/>
  <c r="AI327" i="1"/>
  <c r="AF327" i="1"/>
  <c r="AD327" i="1"/>
  <c r="AA327" i="1"/>
  <c r="Y327" i="1"/>
  <c r="V327" i="1"/>
  <c r="T327" i="1"/>
  <c r="Q327" i="1"/>
  <c r="O327" i="1"/>
  <c r="L327" i="1"/>
  <c r="J327" i="1"/>
  <c r="G327" i="1"/>
  <c r="E327" i="1"/>
  <c r="B327" i="1"/>
  <c r="AN326" i="1"/>
  <c r="AK326" i="1"/>
  <c r="AI326" i="1"/>
  <c r="AF326" i="1"/>
  <c r="AD326" i="1"/>
  <c r="AA326" i="1"/>
  <c r="Y326" i="1"/>
  <c r="V326" i="1"/>
  <c r="T326" i="1"/>
  <c r="Q326" i="1"/>
  <c r="O326" i="1"/>
  <c r="L326" i="1"/>
  <c r="J326" i="1"/>
  <c r="G326" i="1"/>
  <c r="E326" i="1"/>
  <c r="B326" i="1"/>
  <c r="AN325" i="1"/>
  <c r="AK325" i="1"/>
  <c r="AI325" i="1"/>
  <c r="AF325" i="1"/>
  <c r="AD325" i="1"/>
  <c r="AA325" i="1"/>
  <c r="Y325" i="1"/>
  <c r="V325" i="1"/>
  <c r="T325" i="1"/>
  <c r="Q325" i="1"/>
  <c r="O325" i="1"/>
  <c r="L325" i="1"/>
  <c r="J325" i="1"/>
  <c r="G325" i="1"/>
  <c r="E325" i="1"/>
  <c r="B325" i="1"/>
  <c r="AN324" i="1"/>
  <c r="AK324" i="1"/>
  <c r="AI324" i="1"/>
  <c r="AF324" i="1"/>
  <c r="AD324" i="1"/>
  <c r="AA324" i="1"/>
  <c r="Y324" i="1"/>
  <c r="V324" i="1"/>
  <c r="T324" i="1"/>
  <c r="Q324" i="1"/>
  <c r="O324" i="1"/>
  <c r="L324" i="1"/>
  <c r="J324" i="1"/>
  <c r="G324" i="1"/>
  <c r="E324" i="1"/>
  <c r="B324" i="1"/>
  <c r="AN323" i="1"/>
  <c r="AK323" i="1"/>
  <c r="AI323" i="1"/>
  <c r="AF323" i="1"/>
  <c r="AD323" i="1"/>
  <c r="AA323" i="1"/>
  <c r="Y323" i="1"/>
  <c r="V323" i="1"/>
  <c r="T323" i="1"/>
  <c r="Q323" i="1"/>
  <c r="O323" i="1"/>
  <c r="L323" i="1"/>
  <c r="J323" i="1"/>
  <c r="G323" i="1"/>
  <c r="E323" i="1"/>
  <c r="B323" i="1"/>
  <c r="AN322" i="1"/>
  <c r="AK322" i="1"/>
  <c r="AI322" i="1"/>
  <c r="AF322" i="1"/>
  <c r="AD322" i="1"/>
  <c r="AA322" i="1"/>
  <c r="Y322" i="1"/>
  <c r="V322" i="1"/>
  <c r="T322" i="1"/>
  <c r="Q322" i="1"/>
  <c r="O322" i="1"/>
  <c r="L322" i="1"/>
  <c r="J322" i="1"/>
  <c r="G322" i="1"/>
  <c r="E322" i="1"/>
  <c r="B322" i="1"/>
  <c r="AN321" i="1"/>
  <c r="AK321" i="1"/>
  <c r="AI321" i="1"/>
  <c r="AF321" i="1"/>
  <c r="AD321" i="1"/>
  <c r="AA321" i="1"/>
  <c r="Y321" i="1"/>
  <c r="V321" i="1"/>
  <c r="T321" i="1"/>
  <c r="Q321" i="1"/>
  <c r="O321" i="1"/>
  <c r="L321" i="1"/>
  <c r="J321" i="1"/>
  <c r="G321" i="1"/>
  <c r="E321" i="1"/>
  <c r="B321" i="1"/>
  <c r="AN320" i="1"/>
  <c r="AK320" i="1"/>
  <c r="AI320" i="1"/>
  <c r="AF320" i="1"/>
  <c r="AD320" i="1"/>
  <c r="AA320" i="1"/>
  <c r="Y320" i="1"/>
  <c r="V320" i="1"/>
  <c r="T320" i="1"/>
  <c r="Q320" i="1"/>
  <c r="O320" i="1"/>
  <c r="L320" i="1"/>
  <c r="J320" i="1"/>
  <c r="G320" i="1"/>
  <c r="E320" i="1"/>
  <c r="B320" i="1"/>
  <c r="AN313" i="1"/>
  <c r="AK313" i="1"/>
  <c r="AI313" i="1"/>
  <c r="AF313" i="1"/>
  <c r="AD313" i="1"/>
  <c r="AA313" i="1"/>
  <c r="Y313" i="1"/>
  <c r="V313" i="1"/>
  <c r="T313" i="1"/>
  <c r="Q313" i="1"/>
  <c r="O313" i="1"/>
  <c r="L313" i="1"/>
  <c r="J313" i="1"/>
  <c r="G313" i="1"/>
  <c r="E313" i="1"/>
  <c r="B313" i="1"/>
  <c r="AN312" i="1"/>
  <c r="AK312" i="1"/>
  <c r="AI312" i="1"/>
  <c r="AF312" i="1"/>
  <c r="AD312" i="1"/>
  <c r="AA312" i="1"/>
  <c r="Y312" i="1"/>
  <c r="V312" i="1"/>
  <c r="T312" i="1"/>
  <c r="Q312" i="1"/>
  <c r="O312" i="1"/>
  <c r="L312" i="1"/>
  <c r="J312" i="1"/>
  <c r="G312" i="1"/>
  <c r="E312" i="1"/>
  <c r="B312" i="1"/>
  <c r="AN311" i="1"/>
  <c r="AK311" i="1"/>
  <c r="AI311" i="1"/>
  <c r="AF311" i="1"/>
  <c r="AD311" i="1"/>
  <c r="AA311" i="1"/>
  <c r="Y311" i="1"/>
  <c r="V311" i="1"/>
  <c r="T311" i="1"/>
  <c r="Q311" i="1"/>
  <c r="O311" i="1"/>
  <c r="L311" i="1"/>
  <c r="J311" i="1"/>
  <c r="G311" i="1"/>
  <c r="E311" i="1"/>
  <c r="B311" i="1"/>
  <c r="AN310" i="1"/>
  <c r="AK310" i="1"/>
  <c r="AI310" i="1"/>
  <c r="AF310" i="1"/>
  <c r="AD310" i="1"/>
  <c r="AA310" i="1"/>
  <c r="Y310" i="1"/>
  <c r="V310" i="1"/>
  <c r="T310" i="1"/>
  <c r="Q310" i="1"/>
  <c r="O310" i="1"/>
  <c r="L310" i="1"/>
  <c r="J310" i="1"/>
  <c r="G310" i="1"/>
  <c r="E310" i="1"/>
  <c r="B310" i="1"/>
  <c r="AN309" i="1"/>
  <c r="AK309" i="1"/>
  <c r="AI309" i="1"/>
  <c r="AF309" i="1"/>
  <c r="AD309" i="1"/>
  <c r="AA309" i="1"/>
  <c r="Y309" i="1"/>
  <c r="V309" i="1"/>
  <c r="T309" i="1"/>
  <c r="Q309" i="1"/>
  <c r="O309" i="1"/>
  <c r="L309" i="1"/>
  <c r="J309" i="1"/>
  <c r="G309" i="1"/>
  <c r="E309" i="1"/>
  <c r="B309" i="1"/>
  <c r="AN308" i="1"/>
  <c r="AK308" i="1"/>
  <c r="AI308" i="1"/>
  <c r="AF308" i="1"/>
  <c r="AD308" i="1"/>
  <c r="AA308" i="1"/>
  <c r="Y308" i="1"/>
  <c r="V308" i="1"/>
  <c r="T308" i="1"/>
  <c r="Q308" i="1"/>
  <c r="O308" i="1"/>
  <c r="L308" i="1"/>
  <c r="J308" i="1"/>
  <c r="G308" i="1"/>
  <c r="E308" i="1"/>
  <c r="B308" i="1"/>
  <c r="AN307" i="1"/>
  <c r="AK307" i="1"/>
  <c r="AI307" i="1"/>
  <c r="AF307" i="1"/>
  <c r="AD307" i="1"/>
  <c r="AA307" i="1"/>
  <c r="Y307" i="1"/>
  <c r="V307" i="1"/>
  <c r="T307" i="1"/>
  <c r="Q307" i="1"/>
  <c r="O307" i="1"/>
  <c r="L307" i="1"/>
  <c r="J307" i="1"/>
  <c r="G307" i="1"/>
  <c r="E307" i="1"/>
  <c r="B307" i="1"/>
  <c r="AN306" i="1"/>
  <c r="AK306" i="1"/>
  <c r="AI306" i="1"/>
  <c r="AF306" i="1"/>
  <c r="AD306" i="1"/>
  <c r="AA306" i="1"/>
  <c r="Y306" i="1"/>
  <c r="V306" i="1"/>
  <c r="T306" i="1"/>
  <c r="Q306" i="1"/>
  <c r="O306" i="1"/>
  <c r="L306" i="1"/>
  <c r="J306" i="1"/>
  <c r="G306" i="1"/>
  <c r="E306" i="1"/>
  <c r="B306" i="1"/>
  <c r="AN305" i="1"/>
  <c r="AK305" i="1"/>
  <c r="AI305" i="1"/>
  <c r="AF305" i="1"/>
  <c r="AD305" i="1"/>
  <c r="AA305" i="1"/>
  <c r="Y305" i="1"/>
  <c r="V305" i="1"/>
  <c r="T305" i="1"/>
  <c r="Q305" i="1"/>
  <c r="O305" i="1"/>
  <c r="L305" i="1"/>
  <c r="J305" i="1"/>
  <c r="G305" i="1"/>
  <c r="E305" i="1"/>
  <c r="B305" i="1"/>
  <c r="AN304" i="1"/>
  <c r="AK304" i="1"/>
  <c r="AI304" i="1"/>
  <c r="AF304" i="1"/>
  <c r="AD304" i="1"/>
  <c r="AA304" i="1"/>
  <c r="Y304" i="1"/>
  <c r="V304" i="1"/>
  <c r="T304" i="1"/>
  <c r="Q304" i="1"/>
  <c r="O304" i="1"/>
  <c r="L304" i="1"/>
  <c r="J304" i="1"/>
  <c r="G304" i="1"/>
  <c r="E304" i="1"/>
  <c r="B304" i="1"/>
  <c r="AN303" i="1"/>
  <c r="AK303" i="1"/>
  <c r="AI303" i="1"/>
  <c r="AF303" i="1"/>
  <c r="AD303" i="1"/>
  <c r="AA303" i="1"/>
  <c r="Y303" i="1"/>
  <c r="V303" i="1"/>
  <c r="T303" i="1"/>
  <c r="Q303" i="1"/>
  <c r="O303" i="1"/>
  <c r="L303" i="1"/>
  <c r="J303" i="1"/>
  <c r="G303" i="1"/>
  <c r="E303" i="1"/>
  <c r="B303" i="1"/>
  <c r="AN302" i="1"/>
  <c r="AK302" i="1"/>
  <c r="AI302" i="1"/>
  <c r="AF302" i="1"/>
  <c r="AD302" i="1"/>
  <c r="AA302" i="1"/>
  <c r="Y302" i="1"/>
  <c r="V302" i="1"/>
  <c r="T302" i="1"/>
  <c r="Q302" i="1"/>
  <c r="O302" i="1"/>
  <c r="L302" i="1"/>
  <c r="J302" i="1"/>
  <c r="G302" i="1"/>
  <c r="E302" i="1"/>
  <c r="B302" i="1"/>
  <c r="AN301" i="1"/>
  <c r="AK301" i="1"/>
  <c r="AI301" i="1"/>
  <c r="AF301" i="1"/>
  <c r="AD301" i="1"/>
  <c r="AA301" i="1"/>
  <c r="Y301" i="1"/>
  <c r="V301" i="1"/>
  <c r="T301" i="1"/>
  <c r="Q301" i="1"/>
  <c r="O301" i="1"/>
  <c r="L301" i="1"/>
  <c r="J301" i="1"/>
  <c r="G301" i="1"/>
  <c r="E301" i="1"/>
  <c r="B301" i="1"/>
  <c r="AN300" i="1"/>
  <c r="AK300" i="1"/>
  <c r="AI300" i="1"/>
  <c r="AF300" i="1"/>
  <c r="AD300" i="1"/>
  <c r="AA300" i="1"/>
  <c r="Y300" i="1"/>
  <c r="V300" i="1"/>
  <c r="T300" i="1"/>
  <c r="Q300" i="1"/>
  <c r="O300" i="1"/>
  <c r="L300" i="1"/>
  <c r="J300" i="1"/>
  <c r="G300" i="1"/>
  <c r="E300" i="1"/>
  <c r="B300" i="1"/>
  <c r="AN299" i="1"/>
  <c r="AK299" i="1"/>
  <c r="AI299" i="1"/>
  <c r="AF299" i="1"/>
  <c r="AD299" i="1"/>
  <c r="AA299" i="1"/>
  <c r="Y299" i="1"/>
  <c r="V299" i="1"/>
  <c r="T299" i="1"/>
  <c r="Q299" i="1"/>
  <c r="O299" i="1"/>
  <c r="L299" i="1"/>
  <c r="J299" i="1"/>
  <c r="G299" i="1"/>
  <c r="E299" i="1"/>
  <c r="B299" i="1"/>
  <c r="AN298" i="1"/>
  <c r="AK298" i="1"/>
  <c r="AI298" i="1"/>
  <c r="AF298" i="1"/>
  <c r="AD298" i="1"/>
  <c r="AA298" i="1"/>
  <c r="Y298" i="1"/>
  <c r="V298" i="1"/>
  <c r="T298" i="1"/>
  <c r="Q298" i="1"/>
  <c r="O298" i="1"/>
  <c r="L298" i="1"/>
  <c r="J298" i="1"/>
  <c r="G298" i="1"/>
  <c r="E298" i="1"/>
  <c r="B298" i="1"/>
  <c r="AN297" i="1"/>
  <c r="AK297" i="1"/>
  <c r="AI297" i="1"/>
  <c r="AF297" i="1"/>
  <c r="AD297" i="1"/>
  <c r="AA297" i="1"/>
  <c r="Y297" i="1"/>
  <c r="V297" i="1"/>
  <c r="T297" i="1"/>
  <c r="Q297" i="1"/>
  <c r="O297" i="1"/>
  <c r="L297" i="1"/>
  <c r="J297" i="1"/>
  <c r="G297" i="1"/>
  <c r="E297" i="1"/>
  <c r="B297" i="1"/>
  <c r="AN296" i="1"/>
  <c r="AK296" i="1"/>
  <c r="AI296" i="1"/>
  <c r="AF296" i="1"/>
  <c r="AD296" i="1"/>
  <c r="AA296" i="1"/>
  <c r="Y296" i="1"/>
  <c r="V296" i="1"/>
  <c r="T296" i="1"/>
  <c r="Q296" i="1"/>
  <c r="O296" i="1"/>
  <c r="L296" i="1"/>
  <c r="J296" i="1"/>
  <c r="G296" i="1"/>
  <c r="E296" i="1"/>
  <c r="B296" i="1"/>
  <c r="AN295" i="1"/>
  <c r="AK295" i="1"/>
  <c r="AI295" i="1"/>
  <c r="AF295" i="1"/>
  <c r="AD295" i="1"/>
  <c r="AA295" i="1"/>
  <c r="Y295" i="1"/>
  <c r="V295" i="1"/>
  <c r="T295" i="1"/>
  <c r="Q295" i="1"/>
  <c r="O295" i="1"/>
  <c r="L295" i="1"/>
  <c r="J295" i="1"/>
  <c r="G295" i="1"/>
  <c r="E295" i="1"/>
  <c r="B295" i="1"/>
  <c r="AN294" i="1"/>
  <c r="AK294" i="1"/>
  <c r="AI294" i="1"/>
  <c r="AF294" i="1"/>
  <c r="AD294" i="1"/>
  <c r="AA294" i="1"/>
  <c r="Y294" i="1"/>
  <c r="V294" i="1"/>
  <c r="T294" i="1"/>
  <c r="Q294" i="1"/>
  <c r="O294" i="1"/>
  <c r="L294" i="1"/>
  <c r="J294" i="1"/>
  <c r="G294" i="1"/>
  <c r="E294" i="1"/>
  <c r="B294" i="1"/>
  <c r="AN293" i="1"/>
  <c r="AK293" i="1"/>
  <c r="AI293" i="1"/>
  <c r="AF293" i="1"/>
  <c r="AD293" i="1"/>
  <c r="AA293" i="1"/>
  <c r="Y293" i="1"/>
  <c r="V293" i="1"/>
  <c r="T293" i="1"/>
  <c r="Q293" i="1"/>
  <c r="O293" i="1"/>
  <c r="L293" i="1"/>
  <c r="J293" i="1"/>
  <c r="G293" i="1"/>
  <c r="E293" i="1"/>
  <c r="B293" i="1"/>
  <c r="AN283" i="1"/>
  <c r="AK283" i="1"/>
  <c r="AI283" i="1"/>
  <c r="AF283" i="1"/>
  <c r="AD283" i="1"/>
  <c r="AA283" i="1"/>
  <c r="Y283" i="1"/>
  <c r="V283" i="1"/>
  <c r="T283" i="1"/>
  <c r="Q283" i="1"/>
  <c r="O283" i="1"/>
  <c r="L283" i="1"/>
  <c r="J283" i="1"/>
  <c r="G283" i="1"/>
  <c r="E283" i="1"/>
  <c r="B283" i="1"/>
  <c r="AN282" i="1"/>
  <c r="AK282" i="1"/>
  <c r="AI282" i="1"/>
  <c r="AF282" i="1"/>
  <c r="AD282" i="1"/>
  <c r="AA282" i="1"/>
  <c r="Y282" i="1"/>
  <c r="V282" i="1"/>
  <c r="T282" i="1"/>
  <c r="Q282" i="1"/>
  <c r="O282" i="1"/>
  <c r="L282" i="1"/>
  <c r="J282" i="1"/>
  <c r="G282" i="1"/>
  <c r="E282" i="1"/>
  <c r="B282" i="1"/>
  <c r="AN281" i="1"/>
  <c r="AK281" i="1"/>
  <c r="AI281" i="1"/>
  <c r="AF281" i="1"/>
  <c r="AD281" i="1"/>
  <c r="AA281" i="1"/>
  <c r="Y281" i="1"/>
  <c r="V281" i="1"/>
  <c r="T281" i="1"/>
  <c r="Q281" i="1"/>
  <c r="O281" i="1"/>
  <c r="L281" i="1"/>
  <c r="J281" i="1"/>
  <c r="G281" i="1"/>
  <c r="E281" i="1"/>
  <c r="B281" i="1"/>
  <c r="AN280" i="1"/>
  <c r="AK280" i="1"/>
  <c r="AI280" i="1"/>
  <c r="AF280" i="1"/>
  <c r="AD280" i="1"/>
  <c r="AA280" i="1"/>
  <c r="Y280" i="1"/>
  <c r="V280" i="1"/>
  <c r="T280" i="1"/>
  <c r="Q280" i="1"/>
  <c r="O280" i="1"/>
  <c r="L280" i="1"/>
  <c r="J280" i="1"/>
  <c r="G280" i="1"/>
  <c r="E280" i="1"/>
  <c r="B280" i="1"/>
  <c r="AN279" i="1"/>
  <c r="AK279" i="1"/>
  <c r="AI279" i="1"/>
  <c r="AF279" i="1"/>
  <c r="AD279" i="1"/>
  <c r="AA279" i="1"/>
  <c r="Y279" i="1"/>
  <c r="V279" i="1"/>
  <c r="T279" i="1"/>
  <c r="Q279" i="1"/>
  <c r="O279" i="1"/>
  <c r="L279" i="1"/>
  <c r="J279" i="1"/>
  <c r="G279" i="1"/>
  <c r="E279" i="1"/>
  <c r="B279" i="1"/>
  <c r="AN278" i="1"/>
  <c r="AK278" i="1"/>
  <c r="AI278" i="1"/>
  <c r="AF278" i="1"/>
  <c r="AD278" i="1"/>
  <c r="AA278" i="1"/>
  <c r="Y278" i="1"/>
  <c r="V278" i="1"/>
  <c r="T278" i="1"/>
  <c r="Q278" i="1"/>
  <c r="O278" i="1"/>
  <c r="L278" i="1"/>
  <c r="J278" i="1"/>
  <c r="G278" i="1"/>
  <c r="E278" i="1"/>
  <c r="B278" i="1"/>
  <c r="AN277" i="1"/>
  <c r="AK277" i="1"/>
  <c r="AI277" i="1"/>
  <c r="AF277" i="1"/>
  <c r="AD277" i="1"/>
  <c r="AA277" i="1"/>
  <c r="Y277" i="1"/>
  <c r="V277" i="1"/>
  <c r="T277" i="1"/>
  <c r="Q277" i="1"/>
  <c r="O277" i="1"/>
  <c r="L277" i="1"/>
  <c r="J277" i="1"/>
  <c r="G277" i="1"/>
  <c r="E277" i="1"/>
  <c r="B277" i="1"/>
  <c r="AN276" i="1"/>
  <c r="AK276" i="1"/>
  <c r="AI276" i="1"/>
  <c r="AF276" i="1"/>
  <c r="AD276" i="1"/>
  <c r="AA276" i="1"/>
  <c r="Y276" i="1"/>
  <c r="V276" i="1"/>
  <c r="T276" i="1"/>
  <c r="Q276" i="1"/>
  <c r="O276" i="1"/>
  <c r="L276" i="1"/>
  <c r="J276" i="1"/>
  <c r="G276" i="1"/>
  <c r="E276" i="1"/>
  <c r="B276" i="1"/>
  <c r="AN275" i="1"/>
  <c r="AK275" i="1"/>
  <c r="AI275" i="1"/>
  <c r="AF275" i="1"/>
  <c r="AD275" i="1"/>
  <c r="AA275" i="1"/>
  <c r="Y275" i="1"/>
  <c r="V275" i="1"/>
  <c r="T275" i="1"/>
  <c r="Q275" i="1"/>
  <c r="O275" i="1"/>
  <c r="L275" i="1"/>
  <c r="J275" i="1"/>
  <c r="G275" i="1"/>
  <c r="E275" i="1"/>
  <c r="B275" i="1"/>
  <c r="AN274" i="1"/>
  <c r="AK274" i="1"/>
  <c r="AI274" i="1"/>
  <c r="AF274" i="1"/>
  <c r="AD274" i="1"/>
  <c r="AA274" i="1"/>
  <c r="Y274" i="1"/>
  <c r="V274" i="1"/>
  <c r="T274" i="1"/>
  <c r="Q274" i="1"/>
  <c r="O274" i="1"/>
  <c r="L274" i="1"/>
  <c r="J274" i="1"/>
  <c r="G274" i="1"/>
  <c r="E274" i="1"/>
  <c r="B274" i="1"/>
  <c r="AN273" i="1"/>
  <c r="AK273" i="1"/>
  <c r="AI273" i="1"/>
  <c r="AF273" i="1"/>
  <c r="AD273" i="1"/>
  <c r="AA273" i="1"/>
  <c r="Y273" i="1"/>
  <c r="V273" i="1"/>
  <c r="T273" i="1"/>
  <c r="Q273" i="1"/>
  <c r="O273" i="1"/>
  <c r="L273" i="1"/>
  <c r="J273" i="1"/>
  <c r="G273" i="1"/>
  <c r="E273" i="1"/>
  <c r="B273" i="1"/>
  <c r="AN272" i="1"/>
  <c r="AK272" i="1"/>
  <c r="AI272" i="1"/>
  <c r="AF272" i="1"/>
  <c r="AD272" i="1"/>
  <c r="AA272" i="1"/>
  <c r="Y272" i="1"/>
  <c r="V272" i="1"/>
  <c r="T272" i="1"/>
  <c r="Q272" i="1"/>
  <c r="O272" i="1"/>
  <c r="L272" i="1"/>
  <c r="J272" i="1"/>
  <c r="G272" i="1"/>
  <c r="E272" i="1"/>
  <c r="B272" i="1"/>
  <c r="AN271" i="1"/>
  <c r="AK271" i="1"/>
  <c r="AI271" i="1"/>
  <c r="AF271" i="1"/>
  <c r="AD271" i="1"/>
  <c r="AA271" i="1"/>
  <c r="Y271" i="1"/>
  <c r="V271" i="1"/>
  <c r="T271" i="1"/>
  <c r="Q271" i="1"/>
  <c r="O271" i="1"/>
  <c r="L271" i="1"/>
  <c r="J271" i="1"/>
  <c r="G271" i="1"/>
  <c r="E271" i="1"/>
  <c r="B271" i="1"/>
  <c r="AN270" i="1"/>
  <c r="AK270" i="1"/>
  <c r="AI270" i="1"/>
  <c r="AF270" i="1"/>
  <c r="AD270" i="1"/>
  <c r="AA270" i="1"/>
  <c r="Y270" i="1"/>
  <c r="V270" i="1"/>
  <c r="T270" i="1"/>
  <c r="Q270" i="1"/>
  <c r="O270" i="1"/>
  <c r="L270" i="1"/>
  <c r="J270" i="1"/>
  <c r="G270" i="1"/>
  <c r="E270" i="1"/>
  <c r="B270" i="1"/>
  <c r="AN269" i="1"/>
  <c r="AK269" i="1"/>
  <c r="AI269" i="1"/>
  <c r="AF269" i="1"/>
  <c r="AD269" i="1"/>
  <c r="AA269" i="1"/>
  <c r="Y269" i="1"/>
  <c r="V269" i="1"/>
  <c r="T269" i="1"/>
  <c r="Q269" i="1"/>
  <c r="O269" i="1"/>
  <c r="L269" i="1"/>
  <c r="J269" i="1"/>
  <c r="G269" i="1"/>
  <c r="E269" i="1"/>
  <c r="B269" i="1"/>
  <c r="AN268" i="1"/>
  <c r="AK268" i="1"/>
  <c r="AI268" i="1"/>
  <c r="AF268" i="1"/>
  <c r="AD268" i="1"/>
  <c r="AA268" i="1"/>
  <c r="Y268" i="1"/>
  <c r="V268" i="1"/>
  <c r="T268" i="1"/>
  <c r="Q268" i="1"/>
  <c r="O268" i="1"/>
  <c r="L268" i="1"/>
  <c r="J268" i="1"/>
  <c r="G268" i="1"/>
  <c r="E268" i="1"/>
  <c r="B268" i="1"/>
  <c r="AN267" i="1"/>
  <c r="AK267" i="1"/>
  <c r="AI267" i="1"/>
  <c r="AF267" i="1"/>
  <c r="AD267" i="1"/>
  <c r="AA267" i="1"/>
  <c r="Y267" i="1"/>
  <c r="V267" i="1"/>
  <c r="T267" i="1"/>
  <c r="Q267" i="1"/>
  <c r="O267" i="1"/>
  <c r="L267" i="1"/>
  <c r="J267" i="1"/>
  <c r="G267" i="1"/>
  <c r="E267" i="1"/>
  <c r="B267" i="1"/>
  <c r="AN266" i="1"/>
  <c r="AK266" i="1"/>
  <c r="AI266" i="1"/>
  <c r="AF266" i="1"/>
  <c r="AD266" i="1"/>
  <c r="AA266" i="1"/>
  <c r="Y266" i="1"/>
  <c r="V266" i="1"/>
  <c r="T266" i="1"/>
  <c r="Q266" i="1"/>
  <c r="O266" i="1"/>
  <c r="L266" i="1"/>
  <c r="J266" i="1"/>
  <c r="G266" i="1"/>
  <c r="E266" i="1"/>
  <c r="B266" i="1"/>
  <c r="AN265" i="1"/>
  <c r="AK265" i="1"/>
  <c r="AI265" i="1"/>
  <c r="AF265" i="1"/>
  <c r="AD265" i="1"/>
  <c r="AA265" i="1"/>
  <c r="Y265" i="1"/>
  <c r="V265" i="1"/>
  <c r="T265" i="1"/>
  <c r="Q265" i="1"/>
  <c r="O265" i="1"/>
  <c r="L265" i="1"/>
  <c r="J265" i="1"/>
  <c r="G265" i="1"/>
  <c r="E265" i="1"/>
  <c r="B265" i="1"/>
  <c r="AN264" i="1"/>
  <c r="AK264" i="1"/>
  <c r="AI264" i="1"/>
  <c r="AF264" i="1"/>
  <c r="AD264" i="1"/>
  <c r="AA264" i="1"/>
  <c r="Y264" i="1"/>
  <c r="V264" i="1"/>
  <c r="T264" i="1"/>
  <c r="Q264" i="1"/>
  <c r="O264" i="1"/>
  <c r="L264" i="1"/>
  <c r="J264" i="1"/>
  <c r="G264" i="1"/>
  <c r="E264" i="1"/>
  <c r="B264" i="1"/>
  <c r="AN263" i="1"/>
  <c r="AK263" i="1"/>
  <c r="AI263" i="1"/>
  <c r="AF263" i="1"/>
  <c r="AD263" i="1"/>
  <c r="AA263" i="1"/>
  <c r="Y263" i="1"/>
  <c r="V263" i="1"/>
  <c r="T263" i="1"/>
  <c r="Q263" i="1"/>
  <c r="O263" i="1"/>
  <c r="L263" i="1"/>
  <c r="J263" i="1"/>
  <c r="G263" i="1"/>
  <c r="E263" i="1"/>
  <c r="B263" i="1"/>
  <c r="AN256" i="1"/>
  <c r="AK256" i="1"/>
  <c r="AI256" i="1"/>
  <c r="AF256" i="1"/>
  <c r="AD256" i="1"/>
  <c r="AA256" i="1"/>
  <c r="Y256" i="1"/>
  <c r="V256" i="1"/>
  <c r="T256" i="1"/>
  <c r="Q256" i="1"/>
  <c r="O256" i="1"/>
  <c r="L256" i="1"/>
  <c r="J256" i="1"/>
  <c r="G256" i="1"/>
  <c r="E256" i="1"/>
  <c r="B256" i="1"/>
  <c r="AN255" i="1"/>
  <c r="AK255" i="1"/>
  <c r="AI255" i="1"/>
  <c r="AF255" i="1"/>
  <c r="AD255" i="1"/>
  <c r="AA255" i="1"/>
  <c r="Y255" i="1"/>
  <c r="V255" i="1"/>
  <c r="T255" i="1"/>
  <c r="Q255" i="1"/>
  <c r="O255" i="1"/>
  <c r="L255" i="1"/>
  <c r="J255" i="1"/>
  <c r="G255" i="1"/>
  <c r="E255" i="1"/>
  <c r="B255" i="1"/>
  <c r="AN254" i="1"/>
  <c r="AK254" i="1"/>
  <c r="AI254" i="1"/>
  <c r="AF254" i="1"/>
  <c r="AD254" i="1"/>
  <c r="AA254" i="1"/>
  <c r="Y254" i="1"/>
  <c r="V254" i="1"/>
  <c r="T254" i="1"/>
  <c r="Q254" i="1"/>
  <c r="O254" i="1"/>
  <c r="L254" i="1"/>
  <c r="J254" i="1"/>
  <c r="G254" i="1"/>
  <c r="E254" i="1"/>
  <c r="B254" i="1"/>
  <c r="AN253" i="1"/>
  <c r="AK253" i="1"/>
  <c r="AI253" i="1"/>
  <c r="AF253" i="1"/>
  <c r="AD253" i="1"/>
  <c r="AA253" i="1"/>
  <c r="Y253" i="1"/>
  <c r="V253" i="1"/>
  <c r="T253" i="1"/>
  <c r="Q253" i="1"/>
  <c r="O253" i="1"/>
  <c r="L253" i="1"/>
  <c r="J253" i="1"/>
  <c r="G253" i="1"/>
  <c r="E253" i="1"/>
  <c r="B253" i="1"/>
  <c r="AN252" i="1"/>
  <c r="AK252" i="1"/>
  <c r="AI252" i="1"/>
  <c r="AF252" i="1"/>
  <c r="AD252" i="1"/>
  <c r="AA252" i="1"/>
  <c r="Y252" i="1"/>
  <c r="V252" i="1"/>
  <c r="T252" i="1"/>
  <c r="Q252" i="1"/>
  <c r="O252" i="1"/>
  <c r="L252" i="1"/>
  <c r="J252" i="1"/>
  <c r="G252" i="1"/>
  <c r="E252" i="1"/>
  <c r="B252" i="1"/>
  <c r="AN251" i="1"/>
  <c r="AK251" i="1"/>
  <c r="AI251" i="1"/>
  <c r="AF251" i="1"/>
  <c r="AD251" i="1"/>
  <c r="AA251" i="1"/>
  <c r="Y251" i="1"/>
  <c r="V251" i="1"/>
  <c r="T251" i="1"/>
  <c r="Q251" i="1"/>
  <c r="O251" i="1"/>
  <c r="L251" i="1"/>
  <c r="J251" i="1"/>
  <c r="G251" i="1"/>
  <c r="E251" i="1"/>
  <c r="B251" i="1"/>
  <c r="AN250" i="1"/>
  <c r="AK250" i="1"/>
  <c r="AI250" i="1"/>
  <c r="AF250" i="1"/>
  <c r="AD250" i="1"/>
  <c r="AA250" i="1"/>
  <c r="Y250" i="1"/>
  <c r="V250" i="1"/>
  <c r="T250" i="1"/>
  <c r="Q250" i="1"/>
  <c r="O250" i="1"/>
  <c r="L250" i="1"/>
  <c r="J250" i="1"/>
  <c r="G250" i="1"/>
  <c r="E250" i="1"/>
  <c r="B250" i="1"/>
  <c r="AN249" i="1"/>
  <c r="AK249" i="1"/>
  <c r="AI249" i="1"/>
  <c r="AF249" i="1"/>
  <c r="AD249" i="1"/>
  <c r="AA249" i="1"/>
  <c r="Y249" i="1"/>
  <c r="V249" i="1"/>
  <c r="T249" i="1"/>
  <c r="Q249" i="1"/>
  <c r="O249" i="1"/>
  <c r="L249" i="1"/>
  <c r="J249" i="1"/>
  <c r="G249" i="1"/>
  <c r="E249" i="1"/>
  <c r="B249" i="1"/>
  <c r="AN248" i="1"/>
  <c r="AK248" i="1"/>
  <c r="AI248" i="1"/>
  <c r="AF248" i="1"/>
  <c r="AD248" i="1"/>
  <c r="AA248" i="1"/>
  <c r="Y248" i="1"/>
  <c r="V248" i="1"/>
  <c r="T248" i="1"/>
  <c r="Q248" i="1"/>
  <c r="O248" i="1"/>
  <c r="L248" i="1"/>
  <c r="J248" i="1"/>
  <c r="G248" i="1"/>
  <c r="E248" i="1"/>
  <c r="B248" i="1"/>
  <c r="AN247" i="1"/>
  <c r="AK247" i="1"/>
  <c r="AI247" i="1"/>
  <c r="AF247" i="1"/>
  <c r="AD247" i="1"/>
  <c r="AA247" i="1"/>
  <c r="Y247" i="1"/>
  <c r="V247" i="1"/>
  <c r="T247" i="1"/>
  <c r="Q247" i="1"/>
  <c r="O247" i="1"/>
  <c r="L247" i="1"/>
  <c r="J247" i="1"/>
  <c r="G247" i="1"/>
  <c r="E247" i="1"/>
  <c r="B247" i="1"/>
  <c r="AN246" i="1"/>
  <c r="AK246" i="1"/>
  <c r="AI246" i="1"/>
  <c r="AF246" i="1"/>
  <c r="AD246" i="1"/>
  <c r="AA246" i="1"/>
  <c r="Y246" i="1"/>
  <c r="V246" i="1"/>
  <c r="T246" i="1"/>
  <c r="Q246" i="1"/>
  <c r="O246" i="1"/>
  <c r="L246" i="1"/>
  <c r="J246" i="1"/>
  <c r="G246" i="1"/>
  <c r="E246" i="1"/>
  <c r="B246" i="1"/>
  <c r="AN245" i="1"/>
  <c r="AK245" i="1"/>
  <c r="AI245" i="1"/>
  <c r="AF245" i="1"/>
  <c r="AD245" i="1"/>
  <c r="AA245" i="1"/>
  <c r="Y245" i="1"/>
  <c r="V245" i="1"/>
  <c r="T245" i="1"/>
  <c r="Q245" i="1"/>
  <c r="O245" i="1"/>
  <c r="L245" i="1"/>
  <c r="J245" i="1"/>
  <c r="G245" i="1"/>
  <c r="E245" i="1"/>
  <c r="B245" i="1"/>
  <c r="AN244" i="1"/>
  <c r="AK244" i="1"/>
  <c r="AI244" i="1"/>
  <c r="AF244" i="1"/>
  <c r="AD244" i="1"/>
  <c r="AA244" i="1"/>
  <c r="Y244" i="1"/>
  <c r="V244" i="1"/>
  <c r="T244" i="1"/>
  <c r="Q244" i="1"/>
  <c r="O244" i="1"/>
  <c r="L244" i="1"/>
  <c r="J244" i="1"/>
  <c r="G244" i="1"/>
  <c r="E244" i="1"/>
  <c r="B244" i="1"/>
  <c r="AN243" i="1"/>
  <c r="AK243" i="1"/>
  <c r="AI243" i="1"/>
  <c r="AF243" i="1"/>
  <c r="AD243" i="1"/>
  <c r="AA243" i="1"/>
  <c r="Y243" i="1"/>
  <c r="V243" i="1"/>
  <c r="T243" i="1"/>
  <c r="Q243" i="1"/>
  <c r="O243" i="1"/>
  <c r="L243" i="1"/>
  <c r="J243" i="1"/>
  <c r="G243" i="1"/>
  <c r="E243" i="1"/>
  <c r="B243" i="1"/>
  <c r="AN242" i="1"/>
  <c r="AK242" i="1"/>
  <c r="AI242" i="1"/>
  <c r="AF242" i="1"/>
  <c r="AD242" i="1"/>
  <c r="AA242" i="1"/>
  <c r="Y242" i="1"/>
  <c r="V242" i="1"/>
  <c r="T242" i="1"/>
  <c r="Q242" i="1"/>
  <c r="O242" i="1"/>
  <c r="L242" i="1"/>
  <c r="J242" i="1"/>
  <c r="G242" i="1"/>
  <c r="E242" i="1"/>
  <c r="B242" i="1"/>
  <c r="AN241" i="1"/>
  <c r="AK241" i="1"/>
  <c r="AI241" i="1"/>
  <c r="AF241" i="1"/>
  <c r="AD241" i="1"/>
  <c r="AA241" i="1"/>
  <c r="Y241" i="1"/>
  <c r="V241" i="1"/>
  <c r="T241" i="1"/>
  <c r="Q241" i="1"/>
  <c r="O241" i="1"/>
  <c r="L241" i="1"/>
  <c r="J241" i="1"/>
  <c r="G241" i="1"/>
  <c r="E241" i="1"/>
  <c r="B241" i="1"/>
  <c r="AN240" i="1"/>
  <c r="AK240" i="1"/>
  <c r="AI240" i="1"/>
  <c r="AF240" i="1"/>
  <c r="AD240" i="1"/>
  <c r="AA240" i="1"/>
  <c r="Y240" i="1"/>
  <c r="V240" i="1"/>
  <c r="T240" i="1"/>
  <c r="Q240" i="1"/>
  <c r="O240" i="1"/>
  <c r="L240" i="1"/>
  <c r="J240" i="1"/>
  <c r="G240" i="1"/>
  <c r="E240" i="1"/>
  <c r="B240" i="1"/>
  <c r="AN239" i="1"/>
  <c r="AK239" i="1"/>
  <c r="AI239" i="1"/>
  <c r="AF239" i="1"/>
  <c r="AD239" i="1"/>
  <c r="AA239" i="1"/>
  <c r="Y239" i="1"/>
  <c r="V239" i="1"/>
  <c r="T239" i="1"/>
  <c r="Q239" i="1"/>
  <c r="O239" i="1"/>
  <c r="L239" i="1"/>
  <c r="J239" i="1"/>
  <c r="G239" i="1"/>
  <c r="E239" i="1"/>
  <c r="B239" i="1"/>
  <c r="AN238" i="1"/>
  <c r="AK238" i="1"/>
  <c r="AI238" i="1"/>
  <c r="AF238" i="1"/>
  <c r="AD238" i="1"/>
  <c r="AA238" i="1"/>
  <c r="Y238" i="1"/>
  <c r="V238" i="1"/>
  <c r="T238" i="1"/>
  <c r="Q238" i="1"/>
  <c r="O238" i="1"/>
  <c r="L238" i="1"/>
  <c r="J238" i="1"/>
  <c r="G238" i="1"/>
  <c r="E238" i="1"/>
  <c r="B238" i="1"/>
  <c r="AN237" i="1"/>
  <c r="AK237" i="1"/>
  <c r="AI237" i="1"/>
  <c r="AF237" i="1"/>
  <c r="AD237" i="1"/>
  <c r="AA237" i="1"/>
  <c r="Y237" i="1"/>
  <c r="V237" i="1"/>
  <c r="T237" i="1"/>
  <c r="Q237" i="1"/>
  <c r="O237" i="1"/>
  <c r="L237" i="1"/>
  <c r="J237" i="1"/>
  <c r="G237" i="1"/>
  <c r="E237" i="1"/>
  <c r="B237" i="1"/>
  <c r="AN236" i="1"/>
  <c r="AK236" i="1"/>
  <c r="AI236" i="1"/>
  <c r="AF236" i="1"/>
  <c r="AD236" i="1"/>
  <c r="AA236" i="1"/>
  <c r="Y236" i="1"/>
  <c r="V236" i="1"/>
  <c r="T236" i="1"/>
  <c r="Q236" i="1"/>
  <c r="O236" i="1"/>
  <c r="L236" i="1"/>
  <c r="J236" i="1"/>
  <c r="G236" i="1"/>
  <c r="E236" i="1"/>
  <c r="B236" i="1"/>
  <c r="AN226" i="1"/>
  <c r="AK226" i="1"/>
  <c r="AI226" i="1"/>
  <c r="AF226" i="1"/>
  <c r="AD226" i="1"/>
  <c r="AA226" i="1"/>
  <c r="Y226" i="1"/>
  <c r="V226" i="1"/>
  <c r="T226" i="1"/>
  <c r="Q226" i="1"/>
  <c r="O226" i="1"/>
  <c r="L226" i="1"/>
  <c r="J226" i="1"/>
  <c r="G226" i="1"/>
  <c r="E226" i="1"/>
  <c r="B226" i="1"/>
  <c r="AN225" i="1"/>
  <c r="AK225" i="1"/>
  <c r="AI225" i="1"/>
  <c r="AF225" i="1"/>
  <c r="AD225" i="1"/>
  <c r="AA225" i="1"/>
  <c r="Y225" i="1"/>
  <c r="V225" i="1"/>
  <c r="T225" i="1"/>
  <c r="Q225" i="1"/>
  <c r="O225" i="1"/>
  <c r="L225" i="1"/>
  <c r="J225" i="1"/>
  <c r="G225" i="1"/>
  <c r="E225" i="1"/>
  <c r="B225" i="1"/>
  <c r="AN224" i="1"/>
  <c r="AK224" i="1"/>
  <c r="AI224" i="1"/>
  <c r="AF224" i="1"/>
  <c r="AD224" i="1"/>
  <c r="AA224" i="1"/>
  <c r="Y224" i="1"/>
  <c r="V224" i="1"/>
  <c r="T224" i="1"/>
  <c r="Q224" i="1"/>
  <c r="O224" i="1"/>
  <c r="L224" i="1"/>
  <c r="J224" i="1"/>
  <c r="G224" i="1"/>
  <c r="E224" i="1"/>
  <c r="B224" i="1"/>
  <c r="AN223" i="1"/>
  <c r="AK223" i="1"/>
  <c r="AI223" i="1"/>
  <c r="AF223" i="1"/>
  <c r="AD223" i="1"/>
  <c r="AA223" i="1"/>
  <c r="Y223" i="1"/>
  <c r="V223" i="1"/>
  <c r="T223" i="1"/>
  <c r="Q223" i="1"/>
  <c r="O223" i="1"/>
  <c r="L223" i="1"/>
  <c r="J223" i="1"/>
  <c r="G223" i="1"/>
  <c r="E223" i="1"/>
  <c r="B223" i="1"/>
  <c r="AN222" i="1"/>
  <c r="AK222" i="1"/>
  <c r="AI222" i="1"/>
  <c r="AF222" i="1"/>
  <c r="AD222" i="1"/>
  <c r="AA222" i="1"/>
  <c r="Y222" i="1"/>
  <c r="V222" i="1"/>
  <c r="T222" i="1"/>
  <c r="Q222" i="1"/>
  <c r="O222" i="1"/>
  <c r="L222" i="1"/>
  <c r="J222" i="1"/>
  <c r="G222" i="1"/>
  <c r="E222" i="1"/>
  <c r="B222" i="1"/>
  <c r="AN221" i="1"/>
  <c r="AK221" i="1"/>
  <c r="AI221" i="1"/>
  <c r="AF221" i="1"/>
  <c r="AD221" i="1"/>
  <c r="AA221" i="1"/>
  <c r="Y221" i="1"/>
  <c r="V221" i="1"/>
  <c r="T221" i="1"/>
  <c r="Q221" i="1"/>
  <c r="O221" i="1"/>
  <c r="L221" i="1"/>
  <c r="J221" i="1"/>
  <c r="G221" i="1"/>
  <c r="E221" i="1"/>
  <c r="B221" i="1"/>
  <c r="AN220" i="1"/>
  <c r="AK220" i="1"/>
  <c r="AI220" i="1"/>
  <c r="AF220" i="1"/>
  <c r="AD220" i="1"/>
  <c r="AA220" i="1"/>
  <c r="Y220" i="1"/>
  <c r="V220" i="1"/>
  <c r="T220" i="1"/>
  <c r="Q220" i="1"/>
  <c r="O220" i="1"/>
  <c r="L220" i="1"/>
  <c r="J220" i="1"/>
  <c r="G220" i="1"/>
  <c r="E220" i="1"/>
  <c r="B220" i="1"/>
  <c r="AN219" i="1"/>
  <c r="AK219" i="1"/>
  <c r="AI219" i="1"/>
  <c r="AF219" i="1"/>
  <c r="AD219" i="1"/>
  <c r="AA219" i="1"/>
  <c r="Y219" i="1"/>
  <c r="V219" i="1"/>
  <c r="T219" i="1"/>
  <c r="Q219" i="1"/>
  <c r="O219" i="1"/>
  <c r="L219" i="1"/>
  <c r="J219" i="1"/>
  <c r="G219" i="1"/>
  <c r="E219" i="1"/>
  <c r="B219" i="1"/>
  <c r="AN218" i="1"/>
  <c r="AK218" i="1"/>
  <c r="AI218" i="1"/>
  <c r="AF218" i="1"/>
  <c r="AD218" i="1"/>
  <c r="AA218" i="1"/>
  <c r="Y218" i="1"/>
  <c r="V218" i="1"/>
  <c r="T218" i="1"/>
  <c r="Q218" i="1"/>
  <c r="O218" i="1"/>
  <c r="L218" i="1"/>
  <c r="J218" i="1"/>
  <c r="G218" i="1"/>
  <c r="E218" i="1"/>
  <c r="B218" i="1"/>
  <c r="AN217" i="1"/>
  <c r="AK217" i="1"/>
  <c r="AI217" i="1"/>
  <c r="AF217" i="1"/>
  <c r="AD217" i="1"/>
  <c r="AA217" i="1"/>
  <c r="Y217" i="1"/>
  <c r="V217" i="1"/>
  <c r="T217" i="1"/>
  <c r="Q217" i="1"/>
  <c r="O217" i="1"/>
  <c r="L217" i="1"/>
  <c r="J217" i="1"/>
  <c r="G217" i="1"/>
  <c r="E217" i="1"/>
  <c r="B217" i="1"/>
  <c r="AN216" i="1"/>
  <c r="AK216" i="1"/>
  <c r="AI216" i="1"/>
  <c r="AF216" i="1"/>
  <c r="AD216" i="1"/>
  <c r="AA216" i="1"/>
  <c r="Y216" i="1"/>
  <c r="V216" i="1"/>
  <c r="T216" i="1"/>
  <c r="Q216" i="1"/>
  <c r="O216" i="1"/>
  <c r="L216" i="1"/>
  <c r="J216" i="1"/>
  <c r="G216" i="1"/>
  <c r="E216" i="1"/>
  <c r="B216" i="1"/>
  <c r="AN215" i="1"/>
  <c r="AK215" i="1"/>
  <c r="AI215" i="1"/>
  <c r="AF215" i="1"/>
  <c r="AD215" i="1"/>
  <c r="AA215" i="1"/>
  <c r="Y215" i="1"/>
  <c r="V215" i="1"/>
  <c r="T215" i="1"/>
  <c r="Q215" i="1"/>
  <c r="O215" i="1"/>
  <c r="L215" i="1"/>
  <c r="J215" i="1"/>
  <c r="G215" i="1"/>
  <c r="E215" i="1"/>
  <c r="B215" i="1"/>
  <c r="AN214" i="1"/>
  <c r="AK214" i="1"/>
  <c r="AI214" i="1"/>
  <c r="AF214" i="1"/>
  <c r="AD214" i="1"/>
  <c r="AA214" i="1"/>
  <c r="Y214" i="1"/>
  <c r="V214" i="1"/>
  <c r="T214" i="1"/>
  <c r="Q214" i="1"/>
  <c r="O214" i="1"/>
  <c r="L214" i="1"/>
  <c r="J214" i="1"/>
  <c r="G214" i="1"/>
  <c r="E214" i="1"/>
  <c r="B214" i="1"/>
  <c r="AN213" i="1"/>
  <c r="AK213" i="1"/>
  <c r="AI213" i="1"/>
  <c r="AF213" i="1"/>
  <c r="AD213" i="1"/>
  <c r="AA213" i="1"/>
  <c r="Y213" i="1"/>
  <c r="V213" i="1"/>
  <c r="T213" i="1"/>
  <c r="Q213" i="1"/>
  <c r="O213" i="1"/>
  <c r="L213" i="1"/>
  <c r="J213" i="1"/>
  <c r="G213" i="1"/>
  <c r="E213" i="1"/>
  <c r="B213" i="1"/>
  <c r="AN212" i="1"/>
  <c r="AK212" i="1"/>
  <c r="AI212" i="1"/>
  <c r="AF212" i="1"/>
  <c r="AD212" i="1"/>
  <c r="AA212" i="1"/>
  <c r="Y212" i="1"/>
  <c r="V212" i="1"/>
  <c r="T212" i="1"/>
  <c r="Q212" i="1"/>
  <c r="O212" i="1"/>
  <c r="L212" i="1"/>
  <c r="J212" i="1"/>
  <c r="G212" i="1"/>
  <c r="E212" i="1"/>
  <c r="B212" i="1"/>
  <c r="AN211" i="1"/>
  <c r="AK211" i="1"/>
  <c r="AI211" i="1"/>
  <c r="AF211" i="1"/>
  <c r="AD211" i="1"/>
  <c r="AA211" i="1"/>
  <c r="Y211" i="1"/>
  <c r="V211" i="1"/>
  <c r="T211" i="1"/>
  <c r="Q211" i="1"/>
  <c r="O211" i="1"/>
  <c r="L211" i="1"/>
  <c r="J211" i="1"/>
  <c r="G211" i="1"/>
  <c r="E211" i="1"/>
  <c r="B211" i="1"/>
  <c r="AN210" i="1"/>
  <c r="AK210" i="1"/>
  <c r="AI210" i="1"/>
  <c r="AF210" i="1"/>
  <c r="AD210" i="1"/>
  <c r="AA210" i="1"/>
  <c r="Y210" i="1"/>
  <c r="V210" i="1"/>
  <c r="T210" i="1"/>
  <c r="Q210" i="1"/>
  <c r="O210" i="1"/>
  <c r="L210" i="1"/>
  <c r="J210" i="1"/>
  <c r="G210" i="1"/>
  <c r="E210" i="1"/>
  <c r="B210" i="1"/>
  <c r="AN209" i="1"/>
  <c r="AK209" i="1"/>
  <c r="AI209" i="1"/>
  <c r="AF209" i="1"/>
  <c r="AD209" i="1"/>
  <c r="AA209" i="1"/>
  <c r="Y209" i="1"/>
  <c r="V209" i="1"/>
  <c r="T209" i="1"/>
  <c r="Q209" i="1"/>
  <c r="O209" i="1"/>
  <c r="L209" i="1"/>
  <c r="J209" i="1"/>
  <c r="G209" i="1"/>
  <c r="E209" i="1"/>
  <c r="B209" i="1"/>
  <c r="AN208" i="1"/>
  <c r="AK208" i="1"/>
  <c r="AI208" i="1"/>
  <c r="AF208" i="1"/>
  <c r="AD208" i="1"/>
  <c r="AA208" i="1"/>
  <c r="Y208" i="1"/>
  <c r="V208" i="1"/>
  <c r="T208" i="1"/>
  <c r="Q208" i="1"/>
  <c r="O208" i="1"/>
  <c r="L208" i="1"/>
  <c r="J208" i="1"/>
  <c r="G208" i="1"/>
  <c r="E208" i="1"/>
  <c r="B208" i="1"/>
  <c r="AN207" i="1"/>
  <c r="AK207" i="1"/>
  <c r="AI207" i="1"/>
  <c r="AF207" i="1"/>
  <c r="AD207" i="1"/>
  <c r="AA207" i="1"/>
  <c r="Y207" i="1"/>
  <c r="V207" i="1"/>
  <c r="T207" i="1"/>
  <c r="Q207" i="1"/>
  <c r="O207" i="1"/>
  <c r="L207" i="1"/>
  <c r="J207" i="1"/>
  <c r="G207" i="1"/>
  <c r="E207" i="1"/>
  <c r="B207" i="1"/>
  <c r="AN206" i="1"/>
  <c r="AK206" i="1"/>
  <c r="AI206" i="1"/>
  <c r="AF206" i="1"/>
  <c r="AD206" i="1"/>
  <c r="AA206" i="1"/>
  <c r="Y206" i="1"/>
  <c r="V206" i="1"/>
  <c r="T206" i="1"/>
  <c r="Q206" i="1"/>
  <c r="O206" i="1"/>
  <c r="L206" i="1"/>
  <c r="J206" i="1"/>
  <c r="G206" i="1"/>
  <c r="E206" i="1"/>
  <c r="B206" i="1"/>
  <c r="AN199" i="1"/>
  <c r="AK199" i="1"/>
  <c r="AI199" i="1"/>
  <c r="AF199" i="1"/>
  <c r="AD199" i="1"/>
  <c r="AA199" i="1"/>
  <c r="Y199" i="1"/>
  <c r="V199" i="1"/>
  <c r="T199" i="1"/>
  <c r="Q199" i="1"/>
  <c r="O199" i="1"/>
  <c r="L199" i="1"/>
  <c r="J199" i="1"/>
  <c r="G199" i="1"/>
  <c r="E199" i="1"/>
  <c r="B199" i="1"/>
  <c r="AN198" i="1"/>
  <c r="AK198" i="1"/>
  <c r="AI198" i="1"/>
  <c r="AF198" i="1"/>
  <c r="AD198" i="1"/>
  <c r="AA198" i="1"/>
  <c r="Y198" i="1"/>
  <c r="V198" i="1"/>
  <c r="T198" i="1"/>
  <c r="Q198" i="1"/>
  <c r="O198" i="1"/>
  <c r="L198" i="1"/>
  <c r="J198" i="1"/>
  <c r="G198" i="1"/>
  <c r="E198" i="1"/>
  <c r="B198" i="1"/>
  <c r="AN197" i="1"/>
  <c r="AK197" i="1"/>
  <c r="AI197" i="1"/>
  <c r="AF197" i="1"/>
  <c r="AD197" i="1"/>
  <c r="AA197" i="1"/>
  <c r="Y197" i="1"/>
  <c r="V197" i="1"/>
  <c r="T197" i="1"/>
  <c r="Q197" i="1"/>
  <c r="O197" i="1"/>
  <c r="L197" i="1"/>
  <c r="J197" i="1"/>
  <c r="G197" i="1"/>
  <c r="E197" i="1"/>
  <c r="B197" i="1"/>
  <c r="AN196" i="1"/>
  <c r="AK196" i="1"/>
  <c r="AI196" i="1"/>
  <c r="AF196" i="1"/>
  <c r="AD196" i="1"/>
  <c r="AA196" i="1"/>
  <c r="Y196" i="1"/>
  <c r="V196" i="1"/>
  <c r="T196" i="1"/>
  <c r="Q196" i="1"/>
  <c r="O196" i="1"/>
  <c r="L196" i="1"/>
  <c r="J196" i="1"/>
  <c r="G196" i="1"/>
  <c r="E196" i="1"/>
  <c r="B196" i="1"/>
  <c r="AN195" i="1"/>
  <c r="AK195" i="1"/>
  <c r="AI195" i="1"/>
  <c r="AF195" i="1"/>
  <c r="AD195" i="1"/>
  <c r="AA195" i="1"/>
  <c r="Y195" i="1"/>
  <c r="V195" i="1"/>
  <c r="T195" i="1"/>
  <c r="Q195" i="1"/>
  <c r="O195" i="1"/>
  <c r="L195" i="1"/>
  <c r="J195" i="1"/>
  <c r="G195" i="1"/>
  <c r="E195" i="1"/>
  <c r="B195" i="1"/>
  <c r="AN194" i="1"/>
  <c r="AK194" i="1"/>
  <c r="AI194" i="1"/>
  <c r="AF194" i="1"/>
  <c r="AD194" i="1"/>
  <c r="AA194" i="1"/>
  <c r="Y194" i="1"/>
  <c r="V194" i="1"/>
  <c r="T194" i="1"/>
  <c r="Q194" i="1"/>
  <c r="O194" i="1"/>
  <c r="L194" i="1"/>
  <c r="J194" i="1"/>
  <c r="G194" i="1"/>
  <c r="E194" i="1"/>
  <c r="B194" i="1"/>
  <c r="AN193" i="1"/>
  <c r="AK193" i="1"/>
  <c r="AI193" i="1"/>
  <c r="AF193" i="1"/>
  <c r="AD193" i="1"/>
  <c r="AA193" i="1"/>
  <c r="Y193" i="1"/>
  <c r="V193" i="1"/>
  <c r="T193" i="1"/>
  <c r="Q193" i="1"/>
  <c r="O193" i="1"/>
  <c r="L193" i="1"/>
  <c r="J193" i="1"/>
  <c r="G193" i="1"/>
  <c r="E193" i="1"/>
  <c r="B193" i="1"/>
  <c r="AN192" i="1"/>
  <c r="AK192" i="1"/>
  <c r="AI192" i="1"/>
  <c r="AF192" i="1"/>
  <c r="AD192" i="1"/>
  <c r="AA192" i="1"/>
  <c r="Y192" i="1"/>
  <c r="V192" i="1"/>
  <c r="T192" i="1"/>
  <c r="Q192" i="1"/>
  <c r="O192" i="1"/>
  <c r="L192" i="1"/>
  <c r="J192" i="1"/>
  <c r="G192" i="1"/>
  <c r="E192" i="1"/>
  <c r="B192" i="1"/>
  <c r="AN191" i="1"/>
  <c r="AK191" i="1"/>
  <c r="AI191" i="1"/>
  <c r="AF191" i="1"/>
  <c r="AD191" i="1"/>
  <c r="AA191" i="1"/>
  <c r="Y191" i="1"/>
  <c r="V191" i="1"/>
  <c r="T191" i="1"/>
  <c r="Q191" i="1"/>
  <c r="O191" i="1"/>
  <c r="L191" i="1"/>
  <c r="J191" i="1"/>
  <c r="G191" i="1"/>
  <c r="E191" i="1"/>
  <c r="B191" i="1"/>
  <c r="AN190" i="1"/>
  <c r="AK190" i="1"/>
  <c r="AI190" i="1"/>
  <c r="AF190" i="1"/>
  <c r="AD190" i="1"/>
  <c r="AA190" i="1"/>
  <c r="Y190" i="1"/>
  <c r="V190" i="1"/>
  <c r="T190" i="1"/>
  <c r="Q190" i="1"/>
  <c r="O190" i="1"/>
  <c r="L190" i="1"/>
  <c r="J190" i="1"/>
  <c r="G190" i="1"/>
  <c r="E190" i="1"/>
  <c r="B190" i="1"/>
  <c r="AN189" i="1"/>
  <c r="AK189" i="1"/>
  <c r="AI189" i="1"/>
  <c r="AF189" i="1"/>
  <c r="AD189" i="1"/>
  <c r="AA189" i="1"/>
  <c r="Y189" i="1"/>
  <c r="V189" i="1"/>
  <c r="T189" i="1"/>
  <c r="Q189" i="1"/>
  <c r="O189" i="1"/>
  <c r="L189" i="1"/>
  <c r="J189" i="1"/>
  <c r="G189" i="1"/>
  <c r="E189" i="1"/>
  <c r="B189" i="1"/>
  <c r="AN188" i="1"/>
  <c r="AK188" i="1"/>
  <c r="AI188" i="1"/>
  <c r="AF188" i="1"/>
  <c r="AD188" i="1"/>
  <c r="AA188" i="1"/>
  <c r="Y188" i="1"/>
  <c r="V188" i="1"/>
  <c r="T188" i="1"/>
  <c r="Q188" i="1"/>
  <c r="O188" i="1"/>
  <c r="L188" i="1"/>
  <c r="J188" i="1"/>
  <c r="G188" i="1"/>
  <c r="E188" i="1"/>
  <c r="B188" i="1"/>
  <c r="AN187" i="1"/>
  <c r="AK187" i="1"/>
  <c r="AI187" i="1"/>
  <c r="AF187" i="1"/>
  <c r="AD187" i="1"/>
  <c r="AA187" i="1"/>
  <c r="Y187" i="1"/>
  <c r="V187" i="1"/>
  <c r="T187" i="1"/>
  <c r="Q187" i="1"/>
  <c r="O187" i="1"/>
  <c r="L187" i="1"/>
  <c r="J187" i="1"/>
  <c r="G187" i="1"/>
  <c r="E187" i="1"/>
  <c r="B187" i="1"/>
  <c r="AN186" i="1"/>
  <c r="AK186" i="1"/>
  <c r="AI186" i="1"/>
  <c r="AF186" i="1"/>
  <c r="AD186" i="1"/>
  <c r="AA186" i="1"/>
  <c r="Y186" i="1"/>
  <c r="V186" i="1"/>
  <c r="T186" i="1"/>
  <c r="Q186" i="1"/>
  <c r="O186" i="1"/>
  <c r="L186" i="1"/>
  <c r="J186" i="1"/>
  <c r="G186" i="1"/>
  <c r="E186" i="1"/>
  <c r="B186" i="1"/>
  <c r="AN185" i="1"/>
  <c r="AK185" i="1"/>
  <c r="AI185" i="1"/>
  <c r="AF185" i="1"/>
  <c r="AD185" i="1"/>
  <c r="AA185" i="1"/>
  <c r="Y185" i="1"/>
  <c r="V185" i="1"/>
  <c r="T185" i="1"/>
  <c r="Q185" i="1"/>
  <c r="O185" i="1"/>
  <c r="L185" i="1"/>
  <c r="J185" i="1"/>
  <c r="G185" i="1"/>
  <c r="E185" i="1"/>
  <c r="B185" i="1"/>
  <c r="AN184" i="1"/>
  <c r="AK184" i="1"/>
  <c r="AI184" i="1"/>
  <c r="AF184" i="1"/>
  <c r="AD184" i="1"/>
  <c r="AA184" i="1"/>
  <c r="Y184" i="1"/>
  <c r="V184" i="1"/>
  <c r="T184" i="1"/>
  <c r="Q184" i="1"/>
  <c r="O184" i="1"/>
  <c r="L184" i="1"/>
  <c r="J184" i="1"/>
  <c r="G184" i="1"/>
  <c r="E184" i="1"/>
  <c r="B184" i="1"/>
  <c r="AN183" i="1"/>
  <c r="AK183" i="1"/>
  <c r="AI183" i="1"/>
  <c r="AF183" i="1"/>
  <c r="AD183" i="1"/>
  <c r="AA183" i="1"/>
  <c r="Y183" i="1"/>
  <c r="V183" i="1"/>
  <c r="T183" i="1"/>
  <c r="Q183" i="1"/>
  <c r="O183" i="1"/>
  <c r="L183" i="1"/>
  <c r="J183" i="1"/>
  <c r="G183" i="1"/>
  <c r="E183" i="1"/>
  <c r="B183" i="1"/>
  <c r="AN182" i="1"/>
  <c r="AK182" i="1"/>
  <c r="AI182" i="1"/>
  <c r="AF182" i="1"/>
  <c r="AD182" i="1"/>
  <c r="AA182" i="1"/>
  <c r="Y182" i="1"/>
  <c r="V182" i="1"/>
  <c r="T182" i="1"/>
  <c r="Q182" i="1"/>
  <c r="O182" i="1"/>
  <c r="L182" i="1"/>
  <c r="J182" i="1"/>
  <c r="G182" i="1"/>
  <c r="E182" i="1"/>
  <c r="B182" i="1"/>
  <c r="AN181" i="1"/>
  <c r="AK181" i="1"/>
  <c r="AI181" i="1"/>
  <c r="AF181" i="1"/>
  <c r="AD181" i="1"/>
  <c r="AA181" i="1"/>
  <c r="Y181" i="1"/>
  <c r="V181" i="1"/>
  <c r="T181" i="1"/>
  <c r="Q181" i="1"/>
  <c r="O181" i="1"/>
  <c r="L181" i="1"/>
  <c r="J181" i="1"/>
  <c r="G181" i="1"/>
  <c r="E181" i="1"/>
  <c r="B181" i="1"/>
  <c r="AN180" i="1"/>
  <c r="AK180" i="1"/>
  <c r="AI180" i="1"/>
  <c r="AF180" i="1"/>
  <c r="AD180" i="1"/>
  <c r="AA180" i="1"/>
  <c r="Y180" i="1"/>
  <c r="V180" i="1"/>
  <c r="T180" i="1"/>
  <c r="Q180" i="1"/>
  <c r="O180" i="1"/>
  <c r="L180" i="1"/>
  <c r="J180" i="1"/>
  <c r="G180" i="1"/>
  <c r="E180" i="1"/>
  <c r="B180" i="1"/>
  <c r="AN179" i="1"/>
  <c r="AK179" i="1"/>
  <c r="AI179" i="1"/>
  <c r="AF179" i="1"/>
  <c r="AD179" i="1"/>
  <c r="AA179" i="1"/>
  <c r="Y179" i="1"/>
  <c r="V179" i="1"/>
  <c r="T179" i="1"/>
  <c r="Q179" i="1"/>
  <c r="O179" i="1"/>
  <c r="L179" i="1"/>
  <c r="J179" i="1"/>
  <c r="G179" i="1"/>
  <c r="E179" i="1"/>
  <c r="B179" i="1"/>
  <c r="AN169" i="1"/>
  <c r="AK169" i="1"/>
  <c r="AI169" i="1"/>
  <c r="AF169" i="1"/>
  <c r="AD169" i="1"/>
  <c r="AA169" i="1"/>
  <c r="Y169" i="1"/>
  <c r="V169" i="1"/>
  <c r="T169" i="1"/>
  <c r="Q169" i="1"/>
  <c r="O169" i="1"/>
  <c r="L169" i="1"/>
  <c r="J169" i="1"/>
  <c r="G169" i="1"/>
  <c r="E169" i="1"/>
  <c r="B169" i="1"/>
  <c r="AN168" i="1"/>
  <c r="AK168" i="1"/>
  <c r="AI168" i="1"/>
  <c r="AF168" i="1"/>
  <c r="AD168" i="1"/>
  <c r="AA168" i="1"/>
  <c r="Y168" i="1"/>
  <c r="V168" i="1"/>
  <c r="T168" i="1"/>
  <c r="Q168" i="1"/>
  <c r="O168" i="1"/>
  <c r="L168" i="1"/>
  <c r="J168" i="1"/>
  <c r="G168" i="1"/>
  <c r="E168" i="1"/>
  <c r="B168" i="1"/>
  <c r="AN167" i="1"/>
  <c r="AK167" i="1"/>
  <c r="AI167" i="1"/>
  <c r="AF167" i="1"/>
  <c r="AD167" i="1"/>
  <c r="AA167" i="1"/>
  <c r="Y167" i="1"/>
  <c r="V167" i="1"/>
  <c r="T167" i="1"/>
  <c r="Q167" i="1"/>
  <c r="O167" i="1"/>
  <c r="L167" i="1"/>
  <c r="J167" i="1"/>
  <c r="G167" i="1"/>
  <c r="E167" i="1"/>
  <c r="B167" i="1"/>
  <c r="AN166" i="1"/>
  <c r="AK166" i="1"/>
  <c r="AI166" i="1"/>
  <c r="AF166" i="1"/>
  <c r="AD166" i="1"/>
  <c r="AA166" i="1"/>
  <c r="Y166" i="1"/>
  <c r="V166" i="1"/>
  <c r="T166" i="1"/>
  <c r="Q166" i="1"/>
  <c r="O166" i="1"/>
  <c r="L166" i="1"/>
  <c r="J166" i="1"/>
  <c r="G166" i="1"/>
  <c r="E166" i="1"/>
  <c r="B166" i="1"/>
  <c r="AN165" i="1"/>
  <c r="AK165" i="1"/>
  <c r="AI165" i="1"/>
  <c r="AF165" i="1"/>
  <c r="AD165" i="1"/>
  <c r="AA165" i="1"/>
  <c r="Y165" i="1"/>
  <c r="V165" i="1"/>
  <c r="T165" i="1"/>
  <c r="Q165" i="1"/>
  <c r="O165" i="1"/>
  <c r="L165" i="1"/>
  <c r="J165" i="1"/>
  <c r="G165" i="1"/>
  <c r="E165" i="1"/>
  <c r="B165" i="1"/>
  <c r="AN164" i="1"/>
  <c r="AK164" i="1"/>
  <c r="AI164" i="1"/>
  <c r="AF164" i="1"/>
  <c r="AD164" i="1"/>
  <c r="AA164" i="1"/>
  <c r="Y164" i="1"/>
  <c r="V164" i="1"/>
  <c r="T164" i="1"/>
  <c r="Q164" i="1"/>
  <c r="O164" i="1"/>
  <c r="L164" i="1"/>
  <c r="J164" i="1"/>
  <c r="G164" i="1"/>
  <c r="E164" i="1"/>
  <c r="B164" i="1"/>
  <c r="AN163" i="1"/>
  <c r="AK163" i="1"/>
  <c r="AI163" i="1"/>
  <c r="AF163" i="1"/>
  <c r="AD163" i="1"/>
  <c r="AA163" i="1"/>
  <c r="Y163" i="1"/>
  <c r="V163" i="1"/>
  <c r="T163" i="1"/>
  <c r="Q163" i="1"/>
  <c r="O163" i="1"/>
  <c r="L163" i="1"/>
  <c r="J163" i="1"/>
  <c r="G163" i="1"/>
  <c r="E163" i="1"/>
  <c r="B163" i="1"/>
  <c r="AN162" i="1"/>
  <c r="AK162" i="1"/>
  <c r="AI162" i="1"/>
  <c r="AF162" i="1"/>
  <c r="AD162" i="1"/>
  <c r="AA162" i="1"/>
  <c r="Y162" i="1"/>
  <c r="V162" i="1"/>
  <c r="T162" i="1"/>
  <c r="Q162" i="1"/>
  <c r="O162" i="1"/>
  <c r="L162" i="1"/>
  <c r="J162" i="1"/>
  <c r="G162" i="1"/>
  <c r="E162" i="1"/>
  <c r="B162" i="1"/>
  <c r="AN161" i="1"/>
  <c r="AK161" i="1"/>
  <c r="AI161" i="1"/>
  <c r="AF161" i="1"/>
  <c r="AD161" i="1"/>
  <c r="AA161" i="1"/>
  <c r="Y161" i="1"/>
  <c r="V161" i="1"/>
  <c r="T161" i="1"/>
  <c r="Q161" i="1"/>
  <c r="O161" i="1"/>
  <c r="L161" i="1"/>
  <c r="J161" i="1"/>
  <c r="G161" i="1"/>
  <c r="E161" i="1"/>
  <c r="B161" i="1"/>
  <c r="AN160" i="1"/>
  <c r="AK160" i="1"/>
  <c r="AI160" i="1"/>
  <c r="AF160" i="1"/>
  <c r="AD160" i="1"/>
  <c r="AA160" i="1"/>
  <c r="Y160" i="1"/>
  <c r="V160" i="1"/>
  <c r="T160" i="1"/>
  <c r="Q160" i="1"/>
  <c r="O160" i="1"/>
  <c r="L160" i="1"/>
  <c r="J160" i="1"/>
  <c r="G160" i="1"/>
  <c r="E160" i="1"/>
  <c r="B160" i="1"/>
  <c r="AN159" i="1"/>
  <c r="AK159" i="1"/>
  <c r="AI159" i="1"/>
  <c r="AF159" i="1"/>
  <c r="AD159" i="1"/>
  <c r="AA159" i="1"/>
  <c r="Y159" i="1"/>
  <c r="V159" i="1"/>
  <c r="T159" i="1"/>
  <c r="Q159" i="1"/>
  <c r="O159" i="1"/>
  <c r="L159" i="1"/>
  <c r="J159" i="1"/>
  <c r="G159" i="1"/>
  <c r="E159" i="1"/>
  <c r="B159" i="1"/>
  <c r="AN158" i="1"/>
  <c r="AK158" i="1"/>
  <c r="AI158" i="1"/>
  <c r="AF158" i="1"/>
  <c r="AD158" i="1"/>
  <c r="AA158" i="1"/>
  <c r="Y158" i="1"/>
  <c r="V158" i="1"/>
  <c r="T158" i="1"/>
  <c r="Q158" i="1"/>
  <c r="O158" i="1"/>
  <c r="L158" i="1"/>
  <c r="J158" i="1"/>
  <c r="G158" i="1"/>
  <c r="E158" i="1"/>
  <c r="B158" i="1"/>
  <c r="AN157" i="1"/>
  <c r="AK157" i="1"/>
  <c r="AI157" i="1"/>
  <c r="AF157" i="1"/>
  <c r="AD157" i="1"/>
  <c r="AA157" i="1"/>
  <c r="Y157" i="1"/>
  <c r="V157" i="1"/>
  <c r="T157" i="1"/>
  <c r="Q157" i="1"/>
  <c r="O157" i="1"/>
  <c r="L157" i="1"/>
  <c r="J157" i="1"/>
  <c r="G157" i="1"/>
  <c r="E157" i="1"/>
  <c r="B157" i="1"/>
  <c r="AN156" i="1"/>
  <c r="AK156" i="1"/>
  <c r="AI156" i="1"/>
  <c r="AF156" i="1"/>
  <c r="AD156" i="1"/>
  <c r="AA156" i="1"/>
  <c r="Y156" i="1"/>
  <c r="V156" i="1"/>
  <c r="T156" i="1"/>
  <c r="Q156" i="1"/>
  <c r="O156" i="1"/>
  <c r="L156" i="1"/>
  <c r="J156" i="1"/>
  <c r="G156" i="1"/>
  <c r="E156" i="1"/>
  <c r="B156" i="1"/>
  <c r="AN155" i="1"/>
  <c r="AK155" i="1"/>
  <c r="AI155" i="1"/>
  <c r="AF155" i="1"/>
  <c r="AD155" i="1"/>
  <c r="AA155" i="1"/>
  <c r="Y155" i="1"/>
  <c r="V155" i="1"/>
  <c r="T155" i="1"/>
  <c r="Q155" i="1"/>
  <c r="O155" i="1"/>
  <c r="L155" i="1"/>
  <c r="J155" i="1"/>
  <c r="G155" i="1"/>
  <c r="E155" i="1"/>
  <c r="B155" i="1"/>
  <c r="AN154" i="1"/>
  <c r="AK154" i="1"/>
  <c r="AI154" i="1"/>
  <c r="AF154" i="1"/>
  <c r="AD154" i="1"/>
  <c r="AA154" i="1"/>
  <c r="Y154" i="1"/>
  <c r="V154" i="1"/>
  <c r="T154" i="1"/>
  <c r="Q154" i="1"/>
  <c r="O154" i="1"/>
  <c r="L154" i="1"/>
  <c r="J154" i="1"/>
  <c r="G154" i="1"/>
  <c r="E154" i="1"/>
  <c r="B154" i="1"/>
  <c r="AN153" i="1"/>
  <c r="AK153" i="1"/>
  <c r="AI153" i="1"/>
  <c r="AF153" i="1"/>
  <c r="AD153" i="1"/>
  <c r="AA153" i="1"/>
  <c r="Y153" i="1"/>
  <c r="V153" i="1"/>
  <c r="T153" i="1"/>
  <c r="Q153" i="1"/>
  <c r="O153" i="1"/>
  <c r="L153" i="1"/>
  <c r="J153" i="1"/>
  <c r="G153" i="1"/>
  <c r="E153" i="1"/>
  <c r="B153" i="1"/>
  <c r="AN152" i="1"/>
  <c r="AK152" i="1"/>
  <c r="AI152" i="1"/>
  <c r="AF152" i="1"/>
  <c r="AD152" i="1"/>
  <c r="AA152" i="1"/>
  <c r="Y152" i="1"/>
  <c r="V152" i="1"/>
  <c r="T152" i="1"/>
  <c r="Q152" i="1"/>
  <c r="O152" i="1"/>
  <c r="L152" i="1"/>
  <c r="J152" i="1"/>
  <c r="G152" i="1"/>
  <c r="E152" i="1"/>
  <c r="B152" i="1"/>
  <c r="AN151" i="1"/>
  <c r="AK151" i="1"/>
  <c r="AI151" i="1"/>
  <c r="AF151" i="1"/>
  <c r="AD151" i="1"/>
  <c r="AA151" i="1"/>
  <c r="Y151" i="1"/>
  <c r="V151" i="1"/>
  <c r="T151" i="1"/>
  <c r="Q151" i="1"/>
  <c r="O151" i="1"/>
  <c r="L151" i="1"/>
  <c r="J151" i="1"/>
  <c r="G151" i="1"/>
  <c r="E151" i="1"/>
  <c r="B151" i="1"/>
  <c r="AN150" i="1"/>
  <c r="AK150" i="1"/>
  <c r="AI150" i="1"/>
  <c r="AF150" i="1"/>
  <c r="AD150" i="1"/>
  <c r="AA150" i="1"/>
  <c r="Y150" i="1"/>
  <c r="V150" i="1"/>
  <c r="T150" i="1"/>
  <c r="Q150" i="1"/>
  <c r="O150" i="1"/>
  <c r="L150" i="1"/>
  <c r="J150" i="1"/>
  <c r="G150" i="1"/>
  <c r="E150" i="1"/>
  <c r="B150" i="1"/>
  <c r="AN149" i="1"/>
  <c r="AK149" i="1"/>
  <c r="AI149" i="1"/>
  <c r="AF149" i="1"/>
  <c r="AD149" i="1"/>
  <c r="AA149" i="1"/>
  <c r="Y149" i="1"/>
  <c r="V149" i="1"/>
  <c r="T149" i="1"/>
  <c r="Q149" i="1"/>
  <c r="O149" i="1"/>
  <c r="L149" i="1"/>
  <c r="J149" i="1"/>
  <c r="G149" i="1"/>
  <c r="E149" i="1"/>
  <c r="B149" i="1"/>
  <c r="AN142" i="1"/>
  <c r="AK142" i="1"/>
  <c r="AI142" i="1"/>
  <c r="AF142" i="1"/>
  <c r="AD142" i="1"/>
  <c r="AA142" i="1"/>
  <c r="Y142" i="1"/>
  <c r="V142" i="1"/>
  <c r="T142" i="1"/>
  <c r="Q142" i="1"/>
  <c r="O142" i="1"/>
  <c r="L142" i="1"/>
  <c r="J142" i="1"/>
  <c r="G142" i="1"/>
  <c r="E142" i="1"/>
  <c r="B142" i="1"/>
  <c r="AN141" i="1"/>
  <c r="AK141" i="1"/>
  <c r="AI141" i="1"/>
  <c r="AF141" i="1"/>
  <c r="AD141" i="1"/>
  <c r="AA141" i="1"/>
  <c r="Y141" i="1"/>
  <c r="V141" i="1"/>
  <c r="T141" i="1"/>
  <c r="Q141" i="1"/>
  <c r="O141" i="1"/>
  <c r="L141" i="1"/>
  <c r="J141" i="1"/>
  <c r="G141" i="1"/>
  <c r="E141" i="1"/>
  <c r="B141" i="1"/>
  <c r="AN140" i="1"/>
  <c r="AK140" i="1"/>
  <c r="AI140" i="1"/>
  <c r="AF140" i="1"/>
  <c r="AD140" i="1"/>
  <c r="AA140" i="1"/>
  <c r="Y140" i="1"/>
  <c r="V140" i="1"/>
  <c r="T140" i="1"/>
  <c r="Q140" i="1"/>
  <c r="O140" i="1"/>
  <c r="L140" i="1"/>
  <c r="J140" i="1"/>
  <c r="G140" i="1"/>
  <c r="E140" i="1"/>
  <c r="B140" i="1"/>
  <c r="AN139" i="1"/>
  <c r="AK139" i="1"/>
  <c r="AI139" i="1"/>
  <c r="AF139" i="1"/>
  <c r="AD139" i="1"/>
  <c r="AA139" i="1"/>
  <c r="Y139" i="1"/>
  <c r="V139" i="1"/>
  <c r="T139" i="1"/>
  <c r="Q139" i="1"/>
  <c r="O139" i="1"/>
  <c r="L139" i="1"/>
  <c r="J139" i="1"/>
  <c r="G139" i="1"/>
  <c r="E139" i="1"/>
  <c r="B139" i="1"/>
  <c r="AN138" i="1"/>
  <c r="AK138" i="1"/>
  <c r="AI138" i="1"/>
  <c r="AF138" i="1"/>
  <c r="AD138" i="1"/>
  <c r="AA138" i="1"/>
  <c r="Y138" i="1"/>
  <c r="V138" i="1"/>
  <c r="T138" i="1"/>
  <c r="Q138" i="1"/>
  <c r="O138" i="1"/>
  <c r="L138" i="1"/>
  <c r="J138" i="1"/>
  <c r="G138" i="1"/>
  <c r="E138" i="1"/>
  <c r="B138" i="1"/>
  <c r="AN137" i="1"/>
  <c r="AK137" i="1"/>
  <c r="AI137" i="1"/>
  <c r="AF137" i="1"/>
  <c r="AD137" i="1"/>
  <c r="AA137" i="1"/>
  <c r="Y137" i="1"/>
  <c r="V137" i="1"/>
  <c r="T137" i="1"/>
  <c r="Q137" i="1"/>
  <c r="O137" i="1"/>
  <c r="L137" i="1"/>
  <c r="J137" i="1"/>
  <c r="G137" i="1"/>
  <c r="E137" i="1"/>
  <c r="B137" i="1"/>
  <c r="AN136" i="1"/>
  <c r="AK136" i="1"/>
  <c r="AI136" i="1"/>
  <c r="AF136" i="1"/>
  <c r="AD136" i="1"/>
  <c r="AA136" i="1"/>
  <c r="Y136" i="1"/>
  <c r="V136" i="1"/>
  <c r="T136" i="1"/>
  <c r="Q136" i="1"/>
  <c r="O136" i="1"/>
  <c r="L136" i="1"/>
  <c r="J136" i="1"/>
  <c r="G136" i="1"/>
  <c r="E136" i="1"/>
  <c r="B136" i="1"/>
  <c r="AN135" i="1"/>
  <c r="AK135" i="1"/>
  <c r="AI135" i="1"/>
  <c r="AF135" i="1"/>
  <c r="AD135" i="1"/>
  <c r="AA135" i="1"/>
  <c r="Y135" i="1"/>
  <c r="V135" i="1"/>
  <c r="T135" i="1"/>
  <c r="Q135" i="1"/>
  <c r="O135" i="1"/>
  <c r="L135" i="1"/>
  <c r="J135" i="1"/>
  <c r="G135" i="1"/>
  <c r="E135" i="1"/>
  <c r="B135" i="1"/>
  <c r="AN134" i="1"/>
  <c r="AK134" i="1"/>
  <c r="AI134" i="1"/>
  <c r="AF134" i="1"/>
  <c r="AD134" i="1"/>
  <c r="AA134" i="1"/>
  <c r="Y134" i="1"/>
  <c r="V134" i="1"/>
  <c r="T134" i="1"/>
  <c r="Q134" i="1"/>
  <c r="O134" i="1"/>
  <c r="L134" i="1"/>
  <c r="J134" i="1"/>
  <c r="G134" i="1"/>
  <c r="E134" i="1"/>
  <c r="B134" i="1"/>
  <c r="AN133" i="1"/>
  <c r="AK133" i="1"/>
  <c r="AI133" i="1"/>
  <c r="AF133" i="1"/>
  <c r="AD133" i="1"/>
  <c r="AA133" i="1"/>
  <c r="Y133" i="1"/>
  <c r="V133" i="1"/>
  <c r="T133" i="1"/>
  <c r="Q133" i="1"/>
  <c r="O133" i="1"/>
  <c r="L133" i="1"/>
  <c r="J133" i="1"/>
  <c r="G133" i="1"/>
  <c r="E133" i="1"/>
  <c r="B133" i="1"/>
  <c r="AN132" i="1"/>
  <c r="AK132" i="1"/>
  <c r="AI132" i="1"/>
  <c r="AF132" i="1"/>
  <c r="AD132" i="1"/>
  <c r="AA132" i="1"/>
  <c r="Y132" i="1"/>
  <c r="V132" i="1"/>
  <c r="T132" i="1"/>
  <c r="Q132" i="1"/>
  <c r="O132" i="1"/>
  <c r="L132" i="1"/>
  <c r="J132" i="1"/>
  <c r="G132" i="1"/>
  <c r="E132" i="1"/>
  <c r="B132" i="1"/>
  <c r="AN131" i="1"/>
  <c r="AK131" i="1"/>
  <c r="AI131" i="1"/>
  <c r="AF131" i="1"/>
  <c r="AD131" i="1"/>
  <c r="AA131" i="1"/>
  <c r="Y131" i="1"/>
  <c r="V131" i="1"/>
  <c r="T131" i="1"/>
  <c r="Q131" i="1"/>
  <c r="O131" i="1"/>
  <c r="L131" i="1"/>
  <c r="J131" i="1"/>
  <c r="G131" i="1"/>
  <c r="E131" i="1"/>
  <c r="B131" i="1"/>
  <c r="AN130" i="1"/>
  <c r="AK130" i="1"/>
  <c r="AI130" i="1"/>
  <c r="AF130" i="1"/>
  <c r="AD130" i="1"/>
  <c r="AA130" i="1"/>
  <c r="Y130" i="1"/>
  <c r="V130" i="1"/>
  <c r="T130" i="1"/>
  <c r="Q130" i="1"/>
  <c r="O130" i="1"/>
  <c r="L130" i="1"/>
  <c r="J130" i="1"/>
  <c r="G130" i="1"/>
  <c r="E130" i="1"/>
  <c r="B130" i="1"/>
  <c r="AN129" i="1"/>
  <c r="AK129" i="1"/>
  <c r="AI129" i="1"/>
  <c r="AF129" i="1"/>
  <c r="AD129" i="1"/>
  <c r="AA129" i="1"/>
  <c r="Y129" i="1"/>
  <c r="V129" i="1"/>
  <c r="T129" i="1"/>
  <c r="Q129" i="1"/>
  <c r="O129" i="1"/>
  <c r="L129" i="1"/>
  <c r="J129" i="1"/>
  <c r="G129" i="1"/>
  <c r="E129" i="1"/>
  <c r="B129" i="1"/>
  <c r="AN128" i="1"/>
  <c r="AK128" i="1"/>
  <c r="AI128" i="1"/>
  <c r="AF128" i="1"/>
  <c r="AD128" i="1"/>
  <c r="AA128" i="1"/>
  <c r="Y128" i="1"/>
  <c r="V128" i="1"/>
  <c r="T128" i="1"/>
  <c r="Q128" i="1"/>
  <c r="O128" i="1"/>
  <c r="L128" i="1"/>
  <c r="J128" i="1"/>
  <c r="G128" i="1"/>
  <c r="E128" i="1"/>
  <c r="B128" i="1"/>
  <c r="AN127" i="1"/>
  <c r="AK127" i="1"/>
  <c r="AI127" i="1"/>
  <c r="AF127" i="1"/>
  <c r="AD127" i="1"/>
  <c r="AA127" i="1"/>
  <c r="Y127" i="1"/>
  <c r="V127" i="1"/>
  <c r="T127" i="1"/>
  <c r="Q127" i="1"/>
  <c r="O127" i="1"/>
  <c r="L127" i="1"/>
  <c r="J127" i="1"/>
  <c r="G127" i="1"/>
  <c r="E127" i="1"/>
  <c r="B127" i="1"/>
  <c r="AN126" i="1"/>
  <c r="AK126" i="1"/>
  <c r="AI126" i="1"/>
  <c r="AF126" i="1"/>
  <c r="AD126" i="1"/>
  <c r="AA126" i="1"/>
  <c r="Y126" i="1"/>
  <c r="V126" i="1"/>
  <c r="T126" i="1"/>
  <c r="Q126" i="1"/>
  <c r="O126" i="1"/>
  <c r="L126" i="1"/>
  <c r="J126" i="1"/>
  <c r="G126" i="1"/>
  <c r="E126" i="1"/>
  <c r="B126" i="1"/>
  <c r="AN125" i="1"/>
  <c r="AK125" i="1"/>
  <c r="AI125" i="1"/>
  <c r="AF125" i="1"/>
  <c r="AD125" i="1"/>
  <c r="AA125" i="1"/>
  <c r="Y125" i="1"/>
  <c r="V125" i="1"/>
  <c r="T125" i="1"/>
  <c r="Q125" i="1"/>
  <c r="O125" i="1"/>
  <c r="L125" i="1"/>
  <c r="J125" i="1"/>
  <c r="G125" i="1"/>
  <c r="E125" i="1"/>
  <c r="B125" i="1"/>
  <c r="AN124" i="1"/>
  <c r="AK124" i="1"/>
  <c r="AI124" i="1"/>
  <c r="AF124" i="1"/>
  <c r="AD124" i="1"/>
  <c r="AA124" i="1"/>
  <c r="Y124" i="1"/>
  <c r="V124" i="1"/>
  <c r="T124" i="1"/>
  <c r="Q124" i="1"/>
  <c r="O124" i="1"/>
  <c r="L124" i="1"/>
  <c r="J124" i="1"/>
  <c r="G124" i="1"/>
  <c r="E124" i="1"/>
  <c r="B124" i="1"/>
  <c r="AN123" i="1"/>
  <c r="AK123" i="1"/>
  <c r="AI123" i="1"/>
  <c r="AF123" i="1"/>
  <c r="AD123" i="1"/>
  <c r="AA123" i="1"/>
  <c r="Y123" i="1"/>
  <c r="V123" i="1"/>
  <c r="T123" i="1"/>
  <c r="Q123" i="1"/>
  <c r="O123" i="1"/>
  <c r="L123" i="1"/>
  <c r="J123" i="1"/>
  <c r="G123" i="1"/>
  <c r="E123" i="1"/>
  <c r="B123" i="1"/>
  <c r="AN122" i="1"/>
  <c r="AK122" i="1"/>
  <c r="AI122" i="1"/>
  <c r="AF122" i="1"/>
  <c r="AD122" i="1"/>
  <c r="AA122" i="1"/>
  <c r="Y122" i="1"/>
  <c r="V122" i="1"/>
  <c r="T122" i="1"/>
  <c r="Q122" i="1"/>
  <c r="O122" i="1"/>
  <c r="L122" i="1"/>
  <c r="J122" i="1"/>
  <c r="G122" i="1"/>
  <c r="E122" i="1"/>
  <c r="B122" i="1"/>
  <c r="AN112" i="1"/>
  <c r="AK112" i="1"/>
  <c r="AI112" i="1"/>
  <c r="AF112" i="1"/>
  <c r="AD112" i="1"/>
  <c r="AA112" i="1"/>
  <c r="Y112" i="1"/>
  <c r="V112" i="1"/>
  <c r="T112" i="1"/>
  <c r="Q112" i="1"/>
  <c r="O112" i="1"/>
  <c r="L112" i="1"/>
  <c r="J112" i="1"/>
  <c r="G112" i="1"/>
  <c r="E112" i="1"/>
  <c r="B112" i="1"/>
  <c r="AN111" i="1"/>
  <c r="AK111" i="1"/>
  <c r="AI111" i="1"/>
  <c r="AF111" i="1"/>
  <c r="AD111" i="1"/>
  <c r="AA111" i="1"/>
  <c r="Y111" i="1"/>
  <c r="V111" i="1"/>
  <c r="T111" i="1"/>
  <c r="Q111" i="1"/>
  <c r="O111" i="1"/>
  <c r="L111" i="1"/>
  <c r="J111" i="1"/>
  <c r="G111" i="1"/>
  <c r="E111" i="1"/>
  <c r="B111" i="1"/>
  <c r="AN110" i="1"/>
  <c r="AK110" i="1"/>
  <c r="AI110" i="1"/>
  <c r="AF110" i="1"/>
  <c r="AD110" i="1"/>
  <c r="AA110" i="1"/>
  <c r="Y110" i="1"/>
  <c r="V110" i="1"/>
  <c r="T110" i="1"/>
  <c r="Q110" i="1"/>
  <c r="O110" i="1"/>
  <c r="L110" i="1"/>
  <c r="J110" i="1"/>
  <c r="G110" i="1"/>
  <c r="E110" i="1"/>
  <c r="B110" i="1"/>
  <c r="AN109" i="1"/>
  <c r="AK109" i="1"/>
  <c r="AI109" i="1"/>
  <c r="AF109" i="1"/>
  <c r="AD109" i="1"/>
  <c r="AA109" i="1"/>
  <c r="Y109" i="1"/>
  <c r="V109" i="1"/>
  <c r="T109" i="1"/>
  <c r="Q109" i="1"/>
  <c r="O109" i="1"/>
  <c r="L109" i="1"/>
  <c r="J109" i="1"/>
  <c r="G109" i="1"/>
  <c r="E109" i="1"/>
  <c r="B109" i="1"/>
  <c r="AN108" i="1"/>
  <c r="AK108" i="1"/>
  <c r="AI108" i="1"/>
  <c r="AF108" i="1"/>
  <c r="AD108" i="1"/>
  <c r="AA108" i="1"/>
  <c r="Y108" i="1"/>
  <c r="V108" i="1"/>
  <c r="T108" i="1"/>
  <c r="Q108" i="1"/>
  <c r="O108" i="1"/>
  <c r="L108" i="1"/>
  <c r="J108" i="1"/>
  <c r="G108" i="1"/>
  <c r="E108" i="1"/>
  <c r="B108" i="1"/>
  <c r="AN107" i="1"/>
  <c r="AK107" i="1"/>
  <c r="AI107" i="1"/>
  <c r="AF107" i="1"/>
  <c r="AD107" i="1"/>
  <c r="AA107" i="1"/>
  <c r="Y107" i="1"/>
  <c r="V107" i="1"/>
  <c r="T107" i="1"/>
  <c r="Q107" i="1"/>
  <c r="O107" i="1"/>
  <c r="L107" i="1"/>
  <c r="J107" i="1"/>
  <c r="G107" i="1"/>
  <c r="E107" i="1"/>
  <c r="B107" i="1"/>
  <c r="AN106" i="1"/>
  <c r="AK106" i="1"/>
  <c r="AI106" i="1"/>
  <c r="AF106" i="1"/>
  <c r="AD106" i="1"/>
  <c r="AA106" i="1"/>
  <c r="Y106" i="1"/>
  <c r="V106" i="1"/>
  <c r="T106" i="1"/>
  <c r="Q106" i="1"/>
  <c r="O106" i="1"/>
  <c r="L106" i="1"/>
  <c r="J106" i="1"/>
  <c r="G106" i="1"/>
  <c r="E106" i="1"/>
  <c r="B106" i="1"/>
  <c r="AN105" i="1"/>
  <c r="AK105" i="1"/>
  <c r="AI105" i="1"/>
  <c r="AF105" i="1"/>
  <c r="AD105" i="1"/>
  <c r="AA105" i="1"/>
  <c r="Y105" i="1"/>
  <c r="V105" i="1"/>
  <c r="T105" i="1"/>
  <c r="Q105" i="1"/>
  <c r="O105" i="1"/>
  <c r="L105" i="1"/>
  <c r="J105" i="1"/>
  <c r="G105" i="1"/>
  <c r="E105" i="1"/>
  <c r="B105" i="1"/>
  <c r="AN104" i="1"/>
  <c r="AK104" i="1"/>
  <c r="AI104" i="1"/>
  <c r="AF104" i="1"/>
  <c r="AD104" i="1"/>
  <c r="AA104" i="1"/>
  <c r="Y104" i="1"/>
  <c r="V104" i="1"/>
  <c r="T104" i="1"/>
  <c r="Q104" i="1"/>
  <c r="O104" i="1"/>
  <c r="L104" i="1"/>
  <c r="J104" i="1"/>
  <c r="G104" i="1"/>
  <c r="E104" i="1"/>
  <c r="B104" i="1"/>
  <c r="AN103" i="1"/>
  <c r="AK103" i="1"/>
  <c r="AI103" i="1"/>
  <c r="AF103" i="1"/>
  <c r="AD103" i="1"/>
  <c r="AA103" i="1"/>
  <c r="Y103" i="1"/>
  <c r="V103" i="1"/>
  <c r="T103" i="1"/>
  <c r="Q103" i="1"/>
  <c r="O103" i="1"/>
  <c r="L103" i="1"/>
  <c r="J103" i="1"/>
  <c r="G103" i="1"/>
  <c r="E103" i="1"/>
  <c r="B103" i="1"/>
  <c r="AN102" i="1"/>
  <c r="AK102" i="1"/>
  <c r="AI102" i="1"/>
  <c r="AF102" i="1"/>
  <c r="AD102" i="1"/>
  <c r="AA102" i="1"/>
  <c r="Y102" i="1"/>
  <c r="V102" i="1"/>
  <c r="T102" i="1"/>
  <c r="Q102" i="1"/>
  <c r="O102" i="1"/>
  <c r="L102" i="1"/>
  <c r="J102" i="1"/>
  <c r="G102" i="1"/>
  <c r="E102" i="1"/>
  <c r="B102" i="1"/>
  <c r="AN101" i="1"/>
  <c r="AK101" i="1"/>
  <c r="AI101" i="1"/>
  <c r="AF101" i="1"/>
  <c r="AD101" i="1"/>
  <c r="AA101" i="1"/>
  <c r="Y101" i="1"/>
  <c r="V101" i="1"/>
  <c r="T101" i="1"/>
  <c r="Q101" i="1"/>
  <c r="O101" i="1"/>
  <c r="L101" i="1"/>
  <c r="J101" i="1"/>
  <c r="G101" i="1"/>
  <c r="E101" i="1"/>
  <c r="B101" i="1"/>
  <c r="AN100" i="1"/>
  <c r="AK100" i="1"/>
  <c r="AI100" i="1"/>
  <c r="AF100" i="1"/>
  <c r="AD100" i="1"/>
  <c r="AA100" i="1"/>
  <c r="Y100" i="1"/>
  <c r="V100" i="1"/>
  <c r="T100" i="1"/>
  <c r="Q100" i="1"/>
  <c r="O100" i="1"/>
  <c r="L100" i="1"/>
  <c r="J100" i="1"/>
  <c r="G100" i="1"/>
  <c r="E100" i="1"/>
  <c r="B100" i="1"/>
  <c r="AN99" i="1"/>
  <c r="AK99" i="1"/>
  <c r="AI99" i="1"/>
  <c r="AF99" i="1"/>
  <c r="AD99" i="1"/>
  <c r="AA99" i="1"/>
  <c r="Y99" i="1"/>
  <c r="V99" i="1"/>
  <c r="T99" i="1"/>
  <c r="Q99" i="1"/>
  <c r="O99" i="1"/>
  <c r="L99" i="1"/>
  <c r="J99" i="1"/>
  <c r="G99" i="1"/>
  <c r="E99" i="1"/>
  <c r="B99" i="1"/>
  <c r="AN98" i="1"/>
  <c r="AK98" i="1"/>
  <c r="AI98" i="1"/>
  <c r="AF98" i="1"/>
  <c r="AD98" i="1"/>
  <c r="AA98" i="1"/>
  <c r="Y98" i="1"/>
  <c r="V98" i="1"/>
  <c r="T98" i="1"/>
  <c r="Q98" i="1"/>
  <c r="O98" i="1"/>
  <c r="L98" i="1"/>
  <c r="J98" i="1"/>
  <c r="G98" i="1"/>
  <c r="E98" i="1"/>
  <c r="B98" i="1"/>
  <c r="AN97" i="1"/>
  <c r="AK97" i="1"/>
  <c r="AI97" i="1"/>
  <c r="AF97" i="1"/>
  <c r="AD97" i="1"/>
  <c r="AA97" i="1"/>
  <c r="Y97" i="1"/>
  <c r="V97" i="1"/>
  <c r="T97" i="1"/>
  <c r="Q97" i="1"/>
  <c r="O97" i="1"/>
  <c r="L97" i="1"/>
  <c r="J97" i="1"/>
  <c r="G97" i="1"/>
  <c r="E97" i="1"/>
  <c r="B97" i="1"/>
  <c r="AN96" i="1"/>
  <c r="AK96" i="1"/>
  <c r="AI96" i="1"/>
  <c r="AF96" i="1"/>
  <c r="AD96" i="1"/>
  <c r="AA96" i="1"/>
  <c r="Y96" i="1"/>
  <c r="V96" i="1"/>
  <c r="T96" i="1"/>
  <c r="Q96" i="1"/>
  <c r="O96" i="1"/>
  <c r="L96" i="1"/>
  <c r="J96" i="1"/>
  <c r="G96" i="1"/>
  <c r="E96" i="1"/>
  <c r="B96" i="1"/>
  <c r="AN95" i="1"/>
  <c r="AK95" i="1"/>
  <c r="AI95" i="1"/>
  <c r="AF95" i="1"/>
  <c r="AD95" i="1"/>
  <c r="AA95" i="1"/>
  <c r="Y95" i="1"/>
  <c r="V95" i="1"/>
  <c r="T95" i="1"/>
  <c r="Q95" i="1"/>
  <c r="O95" i="1"/>
  <c r="L95" i="1"/>
  <c r="J95" i="1"/>
  <c r="G95" i="1"/>
  <c r="E95" i="1"/>
  <c r="B95" i="1"/>
  <c r="AN94" i="1"/>
  <c r="AK94" i="1"/>
  <c r="AI94" i="1"/>
  <c r="AF94" i="1"/>
  <c r="AD94" i="1"/>
  <c r="AA94" i="1"/>
  <c r="Y94" i="1"/>
  <c r="V94" i="1"/>
  <c r="T94" i="1"/>
  <c r="Q94" i="1"/>
  <c r="O94" i="1"/>
  <c r="L94" i="1"/>
  <c r="J94" i="1"/>
  <c r="G94" i="1"/>
  <c r="E94" i="1"/>
  <c r="B94" i="1"/>
  <c r="AN93" i="1"/>
  <c r="AK93" i="1"/>
  <c r="AI93" i="1"/>
  <c r="AF93" i="1"/>
  <c r="AD93" i="1"/>
  <c r="AA93" i="1"/>
  <c r="Y93" i="1"/>
  <c r="V93" i="1"/>
  <c r="T93" i="1"/>
  <c r="Q93" i="1"/>
  <c r="O93" i="1"/>
  <c r="L93" i="1"/>
  <c r="J93" i="1"/>
  <c r="G93" i="1"/>
  <c r="E93" i="1"/>
  <c r="B93" i="1"/>
  <c r="AN92" i="1"/>
  <c r="AK92" i="1"/>
  <c r="AI92" i="1"/>
  <c r="AF92" i="1"/>
  <c r="AD92" i="1"/>
  <c r="AA92" i="1"/>
  <c r="Y92" i="1"/>
  <c r="V92" i="1"/>
  <c r="T92" i="1"/>
  <c r="Q92" i="1"/>
  <c r="O92" i="1"/>
  <c r="L92" i="1"/>
  <c r="J92" i="1"/>
  <c r="G92" i="1"/>
  <c r="E92" i="1"/>
  <c r="B92" i="1"/>
  <c r="AN85" i="1"/>
  <c r="AK85" i="1"/>
  <c r="AI85" i="1"/>
  <c r="AF85" i="1"/>
  <c r="AD85" i="1"/>
  <c r="AA85" i="1"/>
  <c r="Y85" i="1"/>
  <c r="V85" i="1"/>
  <c r="T85" i="1"/>
  <c r="Q85" i="1"/>
  <c r="O85" i="1"/>
  <c r="L85" i="1"/>
  <c r="J85" i="1"/>
  <c r="G85" i="1"/>
  <c r="E85" i="1"/>
  <c r="B85" i="1"/>
  <c r="AN84" i="1"/>
  <c r="AK84" i="1"/>
  <c r="AI84" i="1"/>
  <c r="AF84" i="1"/>
  <c r="AD84" i="1"/>
  <c r="AA84" i="1"/>
  <c r="Y84" i="1"/>
  <c r="V84" i="1"/>
  <c r="T84" i="1"/>
  <c r="Q84" i="1"/>
  <c r="O84" i="1"/>
  <c r="L84" i="1"/>
  <c r="J84" i="1"/>
  <c r="G84" i="1"/>
  <c r="E84" i="1"/>
  <c r="B84" i="1"/>
  <c r="AN83" i="1"/>
  <c r="AK83" i="1"/>
  <c r="AI83" i="1"/>
  <c r="AF83" i="1"/>
  <c r="AD83" i="1"/>
  <c r="AA83" i="1"/>
  <c r="Y83" i="1"/>
  <c r="V83" i="1"/>
  <c r="T83" i="1"/>
  <c r="Q83" i="1"/>
  <c r="O83" i="1"/>
  <c r="L83" i="1"/>
  <c r="J83" i="1"/>
  <c r="G83" i="1"/>
  <c r="E83" i="1"/>
  <c r="B83" i="1"/>
  <c r="AN82" i="1"/>
  <c r="AK82" i="1"/>
  <c r="AI82" i="1"/>
  <c r="AF82" i="1"/>
  <c r="AD82" i="1"/>
  <c r="AA82" i="1"/>
  <c r="Y82" i="1"/>
  <c r="V82" i="1"/>
  <c r="T82" i="1"/>
  <c r="Q82" i="1"/>
  <c r="O82" i="1"/>
  <c r="L82" i="1"/>
  <c r="J82" i="1"/>
  <c r="G82" i="1"/>
  <c r="E82" i="1"/>
  <c r="B82" i="1"/>
  <c r="AN81" i="1"/>
  <c r="AK81" i="1"/>
  <c r="AI81" i="1"/>
  <c r="AF81" i="1"/>
  <c r="AD81" i="1"/>
  <c r="AA81" i="1"/>
  <c r="Y81" i="1"/>
  <c r="V81" i="1"/>
  <c r="T81" i="1"/>
  <c r="Q81" i="1"/>
  <c r="O81" i="1"/>
  <c r="L81" i="1"/>
  <c r="J81" i="1"/>
  <c r="G81" i="1"/>
  <c r="E81" i="1"/>
  <c r="B81" i="1"/>
  <c r="AN80" i="1"/>
  <c r="AK80" i="1"/>
  <c r="AI80" i="1"/>
  <c r="AF80" i="1"/>
  <c r="AD80" i="1"/>
  <c r="AA80" i="1"/>
  <c r="Y80" i="1"/>
  <c r="V80" i="1"/>
  <c r="T80" i="1"/>
  <c r="Q80" i="1"/>
  <c r="O80" i="1"/>
  <c r="L80" i="1"/>
  <c r="J80" i="1"/>
  <c r="G80" i="1"/>
  <c r="E80" i="1"/>
  <c r="B80" i="1"/>
  <c r="AN79" i="1"/>
  <c r="AK79" i="1"/>
  <c r="AI79" i="1"/>
  <c r="AF79" i="1"/>
  <c r="AD79" i="1"/>
  <c r="AA79" i="1"/>
  <c r="Y79" i="1"/>
  <c r="V79" i="1"/>
  <c r="T79" i="1"/>
  <c r="Q79" i="1"/>
  <c r="O79" i="1"/>
  <c r="L79" i="1"/>
  <c r="J79" i="1"/>
  <c r="G79" i="1"/>
  <c r="E79" i="1"/>
  <c r="B79" i="1"/>
  <c r="AN78" i="1"/>
  <c r="AK78" i="1"/>
  <c r="AI78" i="1"/>
  <c r="AF78" i="1"/>
  <c r="AD78" i="1"/>
  <c r="AA78" i="1"/>
  <c r="Y78" i="1"/>
  <c r="V78" i="1"/>
  <c r="T78" i="1"/>
  <c r="Q78" i="1"/>
  <c r="O78" i="1"/>
  <c r="L78" i="1"/>
  <c r="J78" i="1"/>
  <c r="G78" i="1"/>
  <c r="E78" i="1"/>
  <c r="B78" i="1"/>
  <c r="AN77" i="1"/>
  <c r="AK77" i="1"/>
  <c r="AI77" i="1"/>
  <c r="AF77" i="1"/>
  <c r="AD77" i="1"/>
  <c r="AA77" i="1"/>
  <c r="Y77" i="1"/>
  <c r="V77" i="1"/>
  <c r="T77" i="1"/>
  <c r="Q77" i="1"/>
  <c r="O77" i="1"/>
  <c r="L77" i="1"/>
  <c r="J77" i="1"/>
  <c r="G77" i="1"/>
  <c r="E77" i="1"/>
  <c r="B77" i="1"/>
  <c r="AN76" i="1"/>
  <c r="AK76" i="1"/>
  <c r="AI76" i="1"/>
  <c r="AF76" i="1"/>
  <c r="AD76" i="1"/>
  <c r="AA76" i="1"/>
  <c r="Y76" i="1"/>
  <c r="V76" i="1"/>
  <c r="T76" i="1"/>
  <c r="Q76" i="1"/>
  <c r="O76" i="1"/>
  <c r="L76" i="1"/>
  <c r="J76" i="1"/>
  <c r="G76" i="1"/>
  <c r="E76" i="1"/>
  <c r="B76" i="1"/>
  <c r="AN75" i="1"/>
  <c r="AK75" i="1"/>
  <c r="AI75" i="1"/>
  <c r="AF75" i="1"/>
  <c r="AD75" i="1"/>
  <c r="AA75" i="1"/>
  <c r="Y75" i="1"/>
  <c r="V75" i="1"/>
  <c r="T75" i="1"/>
  <c r="Q75" i="1"/>
  <c r="O75" i="1"/>
  <c r="L75" i="1"/>
  <c r="J75" i="1"/>
  <c r="G75" i="1"/>
  <c r="E75" i="1"/>
  <c r="B75" i="1"/>
  <c r="AN74" i="1"/>
  <c r="AK74" i="1"/>
  <c r="AI74" i="1"/>
  <c r="AF74" i="1"/>
  <c r="AD74" i="1"/>
  <c r="AA74" i="1"/>
  <c r="Y74" i="1"/>
  <c r="V74" i="1"/>
  <c r="T74" i="1"/>
  <c r="Q74" i="1"/>
  <c r="O74" i="1"/>
  <c r="L74" i="1"/>
  <c r="J74" i="1"/>
  <c r="G74" i="1"/>
  <c r="E74" i="1"/>
  <c r="B74" i="1"/>
  <c r="AN73" i="1"/>
  <c r="AK73" i="1"/>
  <c r="AI73" i="1"/>
  <c r="AF73" i="1"/>
  <c r="AD73" i="1"/>
  <c r="AA73" i="1"/>
  <c r="Y73" i="1"/>
  <c r="V73" i="1"/>
  <c r="T73" i="1"/>
  <c r="Q73" i="1"/>
  <c r="O73" i="1"/>
  <c r="L73" i="1"/>
  <c r="J73" i="1"/>
  <c r="G73" i="1"/>
  <c r="E73" i="1"/>
  <c r="B73" i="1"/>
  <c r="AN72" i="1"/>
  <c r="AK72" i="1"/>
  <c r="AI72" i="1"/>
  <c r="AF72" i="1"/>
  <c r="AD72" i="1"/>
  <c r="AA72" i="1"/>
  <c r="Y72" i="1"/>
  <c r="V72" i="1"/>
  <c r="T72" i="1"/>
  <c r="Q72" i="1"/>
  <c r="O72" i="1"/>
  <c r="L72" i="1"/>
  <c r="J72" i="1"/>
  <c r="G72" i="1"/>
  <c r="E72" i="1"/>
  <c r="B72" i="1"/>
  <c r="AN71" i="1"/>
  <c r="AK71" i="1"/>
  <c r="AI71" i="1"/>
  <c r="AF71" i="1"/>
  <c r="AD71" i="1"/>
  <c r="AA71" i="1"/>
  <c r="Y71" i="1"/>
  <c r="V71" i="1"/>
  <c r="T71" i="1"/>
  <c r="Q71" i="1"/>
  <c r="O71" i="1"/>
  <c r="L71" i="1"/>
  <c r="J71" i="1"/>
  <c r="G71" i="1"/>
  <c r="E71" i="1"/>
  <c r="B71" i="1"/>
  <c r="AN70" i="1"/>
  <c r="AK70" i="1"/>
  <c r="AI70" i="1"/>
  <c r="AF70" i="1"/>
  <c r="AD70" i="1"/>
  <c r="AA70" i="1"/>
  <c r="Y70" i="1"/>
  <c r="V70" i="1"/>
  <c r="T70" i="1"/>
  <c r="Q70" i="1"/>
  <c r="O70" i="1"/>
  <c r="L70" i="1"/>
  <c r="J70" i="1"/>
  <c r="G70" i="1"/>
  <c r="E70" i="1"/>
  <c r="B70" i="1"/>
  <c r="AN69" i="1"/>
  <c r="AK69" i="1"/>
  <c r="AI69" i="1"/>
  <c r="AF69" i="1"/>
  <c r="AD69" i="1"/>
  <c r="AA69" i="1"/>
  <c r="Y69" i="1"/>
  <c r="V69" i="1"/>
  <c r="T69" i="1"/>
  <c r="Q69" i="1"/>
  <c r="O69" i="1"/>
  <c r="L69" i="1"/>
  <c r="J69" i="1"/>
  <c r="G69" i="1"/>
  <c r="E69" i="1"/>
  <c r="B69" i="1"/>
  <c r="AN68" i="1"/>
  <c r="AK68" i="1"/>
  <c r="AI68" i="1"/>
  <c r="AF68" i="1"/>
  <c r="AD68" i="1"/>
  <c r="AA68" i="1"/>
  <c r="Y68" i="1"/>
  <c r="V68" i="1"/>
  <c r="T68" i="1"/>
  <c r="Q68" i="1"/>
  <c r="O68" i="1"/>
  <c r="L68" i="1"/>
  <c r="J68" i="1"/>
  <c r="G68" i="1"/>
  <c r="E68" i="1"/>
  <c r="B68" i="1"/>
  <c r="AN67" i="1"/>
  <c r="AK67" i="1"/>
  <c r="AI67" i="1"/>
  <c r="AF67" i="1"/>
  <c r="AD67" i="1"/>
  <c r="AA67" i="1"/>
  <c r="Y67" i="1"/>
  <c r="V67" i="1"/>
  <c r="T67" i="1"/>
  <c r="Q67" i="1"/>
  <c r="O67" i="1"/>
  <c r="L67" i="1"/>
  <c r="J67" i="1"/>
  <c r="G67" i="1"/>
  <c r="E67" i="1"/>
  <c r="B67" i="1"/>
  <c r="AN66" i="1"/>
  <c r="AK66" i="1"/>
  <c r="AI66" i="1"/>
  <c r="AF66" i="1"/>
  <c r="AD66" i="1"/>
  <c r="AA66" i="1"/>
  <c r="Y66" i="1"/>
  <c r="V66" i="1"/>
  <c r="T66" i="1"/>
  <c r="Q66" i="1"/>
  <c r="O66" i="1"/>
  <c r="L66" i="1"/>
  <c r="J66" i="1"/>
  <c r="G66" i="1"/>
  <c r="E66" i="1"/>
  <c r="B66" i="1"/>
  <c r="AN65" i="1"/>
  <c r="AK65" i="1"/>
  <c r="AI65" i="1"/>
  <c r="AF65" i="1"/>
  <c r="AD65" i="1"/>
  <c r="AA65" i="1"/>
  <c r="Y65" i="1"/>
  <c r="V65" i="1"/>
  <c r="T65" i="1"/>
  <c r="Q65" i="1"/>
  <c r="O65" i="1"/>
  <c r="L65" i="1"/>
  <c r="J65" i="1"/>
  <c r="G65" i="1"/>
  <c r="E65" i="1"/>
  <c r="B65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7" i="1"/>
  <c r="AK37" i="1"/>
  <c r="AI37" i="1"/>
  <c r="AF37" i="1"/>
  <c r="AD37" i="1"/>
  <c r="AA37" i="1"/>
  <c r="Y37" i="1"/>
  <c r="V37" i="1"/>
  <c r="T37" i="1"/>
  <c r="Q37" i="1"/>
  <c r="O37" i="1"/>
  <c r="L37" i="1"/>
  <c r="J37" i="1"/>
  <c r="G37" i="1"/>
  <c r="E37" i="1"/>
  <c r="B37" i="1"/>
  <c r="AN36" i="1"/>
  <c r="AK36" i="1"/>
  <c r="AI36" i="1"/>
  <c r="AF36" i="1"/>
  <c r="AD36" i="1"/>
  <c r="AA36" i="1"/>
  <c r="Y36" i="1"/>
  <c r="V36" i="1"/>
  <c r="T36" i="1"/>
  <c r="Q36" i="1"/>
  <c r="O36" i="1"/>
  <c r="L36" i="1"/>
  <c r="J36" i="1"/>
  <c r="G36" i="1"/>
  <c r="E36" i="1"/>
  <c r="B36" i="1"/>
  <c r="AN35" i="1"/>
  <c r="AK35" i="1"/>
  <c r="AI35" i="1"/>
  <c r="AF35" i="1"/>
  <c r="AD35" i="1"/>
  <c r="AA35" i="1"/>
  <c r="Y35" i="1"/>
  <c r="V35" i="1"/>
  <c r="T35" i="1"/>
  <c r="Q35" i="1"/>
  <c r="O35" i="1"/>
  <c r="L35" i="1"/>
  <c r="J35" i="1"/>
  <c r="G35" i="1"/>
  <c r="E35" i="1"/>
  <c r="B35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  <c r="AN9" i="1"/>
  <c r="AK9" i="1"/>
  <c r="AI9" i="1"/>
  <c r="AF9" i="1"/>
  <c r="AD9" i="1"/>
  <c r="AA9" i="1"/>
  <c r="Y9" i="1"/>
  <c r="V9" i="1"/>
  <c r="T9" i="1"/>
  <c r="Q9" i="1"/>
  <c r="O9" i="1"/>
  <c r="L9" i="1"/>
  <c r="J9" i="1"/>
  <c r="G9" i="1"/>
  <c r="E9" i="1"/>
  <c r="B9" i="1"/>
  <c r="AN8" i="1"/>
  <c r="AK8" i="1"/>
  <c r="AI8" i="1"/>
  <c r="AF8" i="1"/>
  <c r="AD8" i="1"/>
  <c r="AA8" i="1"/>
  <c r="Y8" i="1"/>
  <c r="V8" i="1"/>
  <c r="T8" i="1"/>
  <c r="Q8" i="1"/>
  <c r="O8" i="1"/>
  <c r="L8" i="1"/>
  <c r="J8" i="1"/>
  <c r="G8" i="1"/>
  <c r="E8" i="1"/>
  <c r="B8" i="1"/>
</calcChain>
</file>

<file path=xl/sharedStrings.xml><?xml version="1.0" encoding="utf-8"?>
<sst xmlns="http://schemas.openxmlformats.org/spreadsheetml/2006/main" count="1595" uniqueCount="82">
  <si>
    <t>Model 1</t>
  </si>
  <si>
    <t>4N Slide Slide Tether</t>
  </si>
  <si>
    <t>facet stress = facet contact force magnitude/facet contact area</t>
  </si>
  <si>
    <t>S2_4N_SlideSlide_Tether.odb</t>
  </si>
  <si>
    <t>units=</t>
  </si>
  <si>
    <t>(N/mm^2)=MPa</t>
  </si>
  <si>
    <t>moment is negative bc of rotation</t>
  </si>
  <si>
    <t>6LR_7UR</t>
  </si>
  <si>
    <t>6LL_7UL</t>
  </si>
  <si>
    <t>5LR_6UR</t>
  </si>
  <si>
    <t>5LL_6UR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</si>
  <si>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</si>
  <si>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</si>
  <si>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</si>
  <si>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</si>
  <si>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</si>
  <si>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</si>
  <si>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</si>
  <si>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CFNM</t>
  </si>
  <si>
    <t>CFNM/Total area contact</t>
  </si>
  <si>
    <t>CAREA</t>
  </si>
  <si>
    <t>4P Slide Slide Tether</t>
  </si>
  <si>
    <t>S2_4P_SlideSlide_Tether.odb</t>
  </si>
  <si>
    <t>Model 2</t>
  </si>
  <si>
    <t>4N slide slide No tether</t>
  </si>
  <si>
    <t>S2_4N_SlideSlide_NoTether.odb</t>
  </si>
  <si>
    <t>5LL_6UL</t>
  </si>
  <si>
    <t>4P slide slide No tether</t>
  </si>
  <si>
    <t>S2_4P_SlideSlide_NoTether.odb</t>
  </si>
  <si>
    <t>Model 3</t>
  </si>
  <si>
    <t xml:space="preserve">S2_4N_APSlide_Tether.odb </t>
  </si>
  <si>
    <t xml:space="preserve">4P AP slide tether </t>
  </si>
  <si>
    <t>S2_4P_APSlide_Tether.odb</t>
  </si>
  <si>
    <t>Model 4</t>
  </si>
  <si>
    <t xml:space="preserve">S2_4N_APSlide_NoTether.odb </t>
  </si>
  <si>
    <t xml:space="preserve">4P AP Slide No Tether </t>
  </si>
  <si>
    <t>S2_4P_APSlide_NoTether.odb</t>
  </si>
  <si>
    <t>Model 5</t>
  </si>
  <si>
    <t xml:space="preserve">S2_4N_LatSlide_Tether.odb </t>
  </si>
  <si>
    <t xml:space="preserve">4P Lat Slide Tether  </t>
  </si>
  <si>
    <t>S2_4P_LatSlide_Tether.odb</t>
  </si>
  <si>
    <t>Model 6</t>
  </si>
  <si>
    <t xml:space="preserve">S2_4N_LatSlide_NoTether.odb </t>
  </si>
  <si>
    <t xml:space="preserve">4P Lat Slide No Tether  </t>
  </si>
  <si>
    <t>S2_4P_LatSlide_NoTether.odb</t>
  </si>
  <si>
    <t>Model 7</t>
  </si>
  <si>
    <t xml:space="preserve">S2_4N_PhysPhys_Tether.odb </t>
  </si>
  <si>
    <t xml:space="preserve">4P PhysPhys Tether  </t>
  </si>
  <si>
    <t>S2_4P_PhysPhys_Tether.odb</t>
  </si>
  <si>
    <t>Model 8</t>
  </si>
  <si>
    <t xml:space="preserve">S2_4N_PhysPhys_NoTether.odb </t>
  </si>
  <si>
    <t xml:space="preserve">4P PhysPhys No Tether  </t>
  </si>
  <si>
    <t>S2_4P_PhysPhys_NoTether.odb</t>
  </si>
  <si>
    <t>Model 9</t>
  </si>
  <si>
    <t xml:space="preserve">S2_4N_APPhys_Tether.odb </t>
  </si>
  <si>
    <t xml:space="preserve">4P AP Phys Tether </t>
  </si>
  <si>
    <t>S2_4P_APPhys_Tether.odb</t>
  </si>
  <si>
    <t>Model 10</t>
  </si>
  <si>
    <t xml:space="preserve">S2_4N_APPhys_NoTether.odb </t>
  </si>
  <si>
    <t xml:space="preserve">4P AP Phys NoTether  </t>
  </si>
  <si>
    <t>S2_4P_APPhys_NoTether.odb</t>
  </si>
  <si>
    <t>Model 11</t>
  </si>
  <si>
    <t xml:space="preserve">S2_4N_LatPhys_Tether.odb </t>
  </si>
  <si>
    <t xml:space="preserve">4P LatPhys Tether  </t>
  </si>
  <si>
    <t>S2_4P_LatPhys_Tether.odb</t>
  </si>
  <si>
    <t>Model 12</t>
  </si>
  <si>
    <t xml:space="preserve">S2_4N_LatPhys_NoTether.odb </t>
  </si>
  <si>
    <t xml:space="preserve">4P LatPhys NoTether  </t>
  </si>
  <si>
    <t>S2_4P_LatPhys_NoTether.odb</t>
  </si>
  <si>
    <t>Model 13</t>
  </si>
  <si>
    <t xml:space="preserve">S2_4N_Fixed_Tether.odb </t>
  </si>
  <si>
    <t xml:space="preserve">4P Fixed Tether  </t>
  </si>
  <si>
    <t>S2_4P_Fixed_Tether.odb</t>
  </si>
  <si>
    <t>Model 14</t>
  </si>
  <si>
    <t xml:space="preserve">S2_4N_Fixed_NoTether.odb </t>
  </si>
  <si>
    <t xml:space="preserve">4P Fixed NoTether  </t>
  </si>
  <si>
    <t>S2_4P_Fixed_NoTether.odb</t>
  </si>
  <si>
    <t>Model 15</t>
  </si>
  <si>
    <t xml:space="preserve">4N intact </t>
  </si>
  <si>
    <t>TLC_4N_1-26.odb</t>
  </si>
  <si>
    <t xml:space="preserve">4P intact </t>
  </si>
  <si>
    <t>TLC_4P_1-26.odb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</si>
</sst>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4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34E3AE48-F4BA-494E-98F4-595B2F6C4A75}" name="Table1" displayName="Table1" ref="A34:E55" totalsRowShown="0">
  <autoFilter ref="A34:E55" xr:uid="{34E3AE48-F4BA-494E-98F4-595B2F6C4A75}"/>
  <tableColumns count="5">
    <tableColumn id="1" xr3:uid="{D6D778B3-F829-497D-8635-D7A441A2E315}" name="time"/>
    <tableColumn id="2" xr3:uid="{1A0D1CEE-0025-461F-8D75-23B00E3DBBDF}" name="moment" dataDxfId="479">
      <calculatedColumnFormula>(Table1[[#This Row],[time]]-2)*2</calculatedColumnFormula>
    </tableColumn>
    <tableColumn id="3" xr3:uid="{87E15438-FF59-46EF-8FFC-F798963641CB}" name="CAREA"/>
    <tableColumn id="4" xr3:uid="{269300B3-4460-4068-9058-646BD5A96367}" name="CFNM"/>
    <tableColumn id="5" xr3:uid="{B0425CA9-8D29-43B9-A713-A655AD72932E}" name="CFNM/Total area contact" dataDxfId="478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6D2AA387-2393-4456-A4FB-E5EC25A17064}" name="Table320267" displayName="Table320267" ref="F7:J28" totalsRowShown="0">
  <autoFilter ref="F7:J28" xr:uid="{6D2AA387-2393-4456-A4FB-E5EC25A17064}"/>
  <tableColumns count="5">
    <tableColumn id="1" xr3:uid="{968C5867-D19B-4A37-BA8C-2FA3E14EA5E0}" name="time"/>
    <tableColumn id="5" xr3:uid="{3462C764-1D92-44C6-8C93-42AD280BC099}" name="moment" dataDxfId="461">
      <calculatedColumnFormula>-(Table320267[[#This Row],[time]]-2)*2</calculatedColumnFormula>
    </tableColumn>
    <tableColumn id="2" xr3:uid="{19B979EE-C263-48FC-99C6-B992D011454A}" name="CAREA "/>
    <tableColumn id="3" xr3:uid="{A937691D-9CBE-4826-95DE-F1769ACB80CB}" name="CFNM"/>
    <tableColumn id="4" xr3:uid="{DF5493D7-430C-44D6-AE1F-14C8F0EA5C09}" name="CFNM/Total area contact" dataDxfId="460">
      <calculatedColumnFormula>Table320267[[#This Row],[CFNM]]/Table320267[[#This Row],[CAREA ]]</calculatedColumnFormula>
    </tableColumn>
  </tableColumns>
  <tableStyleInfo name="TableStyleLight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4" xr:uid="{8FB8E4AC-6242-4E9F-A8B7-2E99ABA078B8}" name="Table4405" displayName="Table4405" ref="P349:T370" totalsRowShown="0">
  <autoFilter ref="P349:T370" xr:uid="{8FB8E4AC-6242-4E9F-A8B7-2E99ABA078B8}"/>
  <tableColumns count="5">
    <tableColumn id="1" xr3:uid="{2CDDA02B-47B6-44AC-BA04-655A4DC4D41F}" name="time"/>
    <tableColumn id="2" xr3:uid="{826B57E1-C158-4A98-8418-E162DBB314B6}" name="moment" dataDxfId="281">
      <calculatedColumnFormula>-(Table4405[[#This Row],[time]]-2)*2</calculatedColumnFormula>
    </tableColumn>
    <tableColumn id="3" xr3:uid="{9810D047-303C-4D76-90EE-8F12E568E5B8}" name="CAREA"/>
    <tableColumn id="4" xr3:uid="{3DE02FF7-90F8-40E0-AC1C-D415E1136D6E}" name="CFNM"/>
    <tableColumn id="5" xr3:uid="{014F6B54-EDEE-44B2-85D2-DD9075BD2918}" name="CFNM/Total area contact" dataDxfId="280">
      <calculatedColumnFormula>Table4405[[#This Row],[CFNM]]/Table4405[[#This Row],[CAREA]]</calculatedColumnFormula>
    </tableColumn>
  </tableColumns>
  <tableStyleInfo name="TableStyleLight4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5" xr:uid="{8659AF64-6C47-4CA6-9185-D8750B0AE48F}" name="Table5406" displayName="Table5406" ref="U349:Y370" totalsRowShown="0">
  <autoFilter ref="U349:Y370" xr:uid="{8659AF64-6C47-4CA6-9185-D8750B0AE48F}"/>
  <tableColumns count="5">
    <tableColumn id="1" xr3:uid="{4689AD25-5C12-4233-970A-28C34CD9EF9B}" name="time"/>
    <tableColumn id="2" xr3:uid="{DC251AD8-C76E-4F9F-A379-D29AF69EA6F9}" name="moment" dataDxfId="279">
      <calculatedColumnFormula>-(Table5406[[#This Row],[time]]-2)*2</calculatedColumnFormula>
    </tableColumn>
    <tableColumn id="3" xr3:uid="{54BE84A5-12CB-4CE9-AAB6-32F00B76C1E3}" name="CAREA"/>
    <tableColumn id="4" xr3:uid="{021F6DA2-D160-4554-8896-F1E000563769}" name="CFNM"/>
    <tableColumn id="5" xr3:uid="{20B75726-0203-4467-A486-7341C2D5DD1C}" name="CFNM/Total area contact" dataDxfId="278">
      <calculatedColumnFormula>Table5406[[#This Row],[CFNM]]/Table5406[[#This Row],[CAREA]]</calculatedColumnFormula>
    </tableColumn>
  </tableColumns>
  <tableStyleInfo name="TableStyleLight5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6" xr:uid="{CF9B9D7D-E3DF-4620-8AFB-C470F248194F}" name="Table6407" displayName="Table6407" ref="Z349:AD370" totalsRowShown="0">
  <autoFilter ref="Z349:AD370" xr:uid="{CF9B9D7D-E3DF-4620-8AFB-C470F248194F}"/>
  <tableColumns count="5">
    <tableColumn id="1" xr3:uid="{1B96B31B-C827-4DC9-A182-0BBD3CC724BA}" name="time"/>
    <tableColumn id="2" xr3:uid="{3CD9426C-9051-43A1-85D8-88E1A4D5D4A3}" name="moment" dataDxfId="277">
      <calculatedColumnFormula>-(Table6407[[#This Row],[time]]-2)*2</calculatedColumnFormula>
    </tableColumn>
    <tableColumn id="3" xr3:uid="{3B07B003-7DA5-4F67-8B41-859A2BF469BB}" name="CAREA"/>
    <tableColumn id="4" xr3:uid="{0114AF11-3AEB-4F77-BF44-13CFA20A0287}" name="CFNM"/>
    <tableColumn id="5" xr3:uid="{5D7BE88D-7E55-4290-BCA4-BB698295401F}" name="CFNM/Total area contact" dataDxfId="276">
      <calculatedColumnFormula>Table6407[[#This Row],[CFNM]]/Table6407[[#This Row],[CAREA]]</calculatedColumnFormula>
    </tableColumn>
  </tableColumns>
  <tableStyleInfo name="TableStyleLight6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7" xr:uid="{51B8BC7A-20DC-4EE7-839C-30734469D428}" name="Table7408" displayName="Table7408" ref="AE349:AI370" totalsRowShown="0">
  <autoFilter ref="AE349:AI370" xr:uid="{51B8BC7A-20DC-4EE7-839C-30734469D428}"/>
  <tableColumns count="5">
    <tableColumn id="1" xr3:uid="{CBD69F2C-C508-457B-8B02-12D22513592A}" name="time"/>
    <tableColumn id="2" xr3:uid="{BD2D0D79-DB33-43B7-9EB4-365987E29120}" name="moment" dataDxfId="275">
      <calculatedColumnFormula>-(Table7408[[#This Row],[time]]-2)*2</calculatedColumnFormula>
    </tableColumn>
    <tableColumn id="3" xr3:uid="{01F44372-944E-449F-B4D9-BA7DA47C73FC}" name="CAREA"/>
    <tableColumn id="4" xr3:uid="{E0DCE8D3-1694-46F0-A7EA-8D1C98F32191}" name="CFNM"/>
    <tableColumn id="5" xr3:uid="{F0F90483-2A59-4A0E-8506-97EED06EDBA0}" name="CFNM/Total area contact" dataDxfId="274">
      <calculatedColumnFormula>Table7408[[#This Row],[CFNM]]/Table7408[[#This Row],[CAREA]]</calculatedColumnFormula>
    </tableColumn>
  </tableColumns>
  <tableStyleInfo name="TableStyleLight7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8" xr:uid="{7E7454CB-0536-45C6-B972-EEE447203782}" name="Table8409" displayName="Table8409" ref="AJ349:AN370" totalsRowShown="0">
  <autoFilter ref="AJ349:AN370" xr:uid="{7E7454CB-0536-45C6-B972-EEE447203782}"/>
  <tableColumns count="5">
    <tableColumn id="1" xr3:uid="{FCF119E4-6CDC-4AA8-B045-140C310559CF}" name="time"/>
    <tableColumn id="2" xr3:uid="{E056B2D0-953B-4132-9CD3-CA0BAED4C13A}" name="moment" dataDxfId="273">
      <calculatedColumnFormula>-(Table8409[[#This Row],[time]]-2)*2</calculatedColumnFormula>
    </tableColumn>
    <tableColumn id="3" xr3:uid="{B4BA8AE9-5816-409B-9555-B409A4D6060E}" name="CAREA"/>
    <tableColumn id="4" xr3:uid="{743D6BE8-0259-4EEC-969D-6C56D936EF2E}" name="CFNM"/>
    <tableColumn id="5" xr3:uid="{629E1F77-2161-4645-B770-B161208CA9F0}" name="CFNM/Total area contact" dataDxfId="272">
      <calculatedColumnFormula>Table8409[[#This Row],[CFNM]]/Table8409[[#This Row],[CAREA]]</calculatedColumnFormula>
    </tableColumn>
  </tableColumns>
  <tableStyleInfo name="TableStyleLight15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9" xr:uid="{B1C66CD9-0D25-4D00-8E3E-BAB316F7FF67}" name="Table110410" displayName="Table110410" ref="A376:E397" totalsRowShown="0">
  <autoFilter ref="A376:E397" xr:uid="{B1C66CD9-0D25-4D00-8E3E-BAB316F7FF67}"/>
  <tableColumns count="5">
    <tableColumn id="1" xr3:uid="{E9DD5A7A-ED67-4EC7-A39C-FDAF8338B3EA}" name="time"/>
    <tableColumn id="2" xr3:uid="{B9CBE6F0-55B5-4D76-A763-7298768D7371}" name="moment" dataDxfId="271">
      <calculatedColumnFormula>(Table110410[[#This Row],[time]]-2)*2</calculatedColumnFormula>
    </tableColumn>
    <tableColumn id="3" xr3:uid="{6C3A7D74-8FC6-40D8-AB13-7F6135A132F1}" name="CAREA"/>
    <tableColumn id="4" xr3:uid="{7917CDA8-8FAA-4BD8-9744-73D568B2FFB3}" name="CFNM"/>
    <tableColumn id="5" xr3:uid="{48603155-A5D8-4D4A-AFE8-588E3D6B426A}" name="CFNM/Total area contact" dataDxfId="270">
      <calculatedColumnFormula>Table110410[[#This Row],[CFNM]]/Table110410[[#This Row],[CAREA]]</calculatedColumnFormula>
    </tableColumn>
  </tableColumns>
  <tableStyleInfo name="TableStyleLight1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0" xr:uid="{60DF3901-6211-4D72-870E-4951CB6D687F}" name="Table211411" displayName="Table211411" ref="F376:J397" totalsRowShown="0">
  <autoFilter ref="F376:J397" xr:uid="{60DF3901-6211-4D72-870E-4951CB6D687F}"/>
  <tableColumns count="5">
    <tableColumn id="1" xr3:uid="{609319D5-B589-44E1-971D-DBF2D82A852A}" name="time"/>
    <tableColumn id="2" xr3:uid="{2242E789-6E9C-477A-B1A6-6E4E2AEC3565}" name="moment" dataDxfId="269">
      <calculatedColumnFormula>(Table211411[[#This Row],[time]]-2)*2</calculatedColumnFormula>
    </tableColumn>
    <tableColumn id="3" xr3:uid="{0DDA98E7-5A6B-48AB-B679-A3DA89D5E558}" name="CAREA"/>
    <tableColumn id="4" xr3:uid="{8DD720F0-FD37-4AFE-ABE8-F0DF23EF9B97}" name="CFNM"/>
    <tableColumn id="5" xr3:uid="{95D41539-3CE0-4FA7-937F-BC0843C2C29C}" name="CFNM/Total area contact" dataDxfId="268">
      <calculatedColumnFormula>Table211411[[#This Row],[CFNM]]/Table211411[[#This Row],[CAREA]]</calculatedColumnFormula>
    </tableColumn>
  </tableColumns>
  <tableStyleInfo name="TableStyleLight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1" xr:uid="{FAC42AE4-ADD3-46A4-B7A6-A50F3C5AFDBD}" name="Table312412" displayName="Table312412" ref="K376:O397" totalsRowShown="0">
  <autoFilter ref="K376:O397" xr:uid="{FAC42AE4-ADD3-46A4-B7A6-A50F3C5AFDBD}"/>
  <tableColumns count="5">
    <tableColumn id="1" xr3:uid="{90D48CE6-76CD-44E6-B573-D2EA4CE00189}" name="time"/>
    <tableColumn id="2" xr3:uid="{87174A5B-1E01-449C-A4C2-A8ADDDFD9537}" name="moment" dataDxfId="267">
      <calculatedColumnFormula>(Table312412[[#This Row],[time]]-2)*2</calculatedColumnFormula>
    </tableColumn>
    <tableColumn id="3" xr3:uid="{68D37E2A-FCB4-487B-93DF-5D92C942E389}" name="CAREA"/>
    <tableColumn id="4" xr3:uid="{B08A7ADD-428B-4991-AD0D-EB6D437253FC}" name="CFNM"/>
    <tableColumn id="5" xr3:uid="{6FCB7386-4579-4260-B310-665D9B8D7167}" name="CFNM/Total area contact" dataDxfId="266">
      <calculatedColumnFormula>Table312412[[#This Row],[CFNM]]/Table312412[[#This Row],[CAREA]]</calculatedColumnFormula>
    </tableColumn>
  </tableColumns>
  <tableStyleInfo name="TableStyleLight3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2" xr:uid="{8ECA77A5-A70F-4472-B702-65C552BFA925}" name="Table413413" displayName="Table413413" ref="P376:T397" totalsRowShown="0">
  <autoFilter ref="P376:T397" xr:uid="{8ECA77A5-A70F-4472-B702-65C552BFA925}"/>
  <tableColumns count="5">
    <tableColumn id="1" xr3:uid="{817F73B8-F618-46EB-BA6D-A54EEC12D69B}" name="time"/>
    <tableColumn id="2" xr3:uid="{3029F930-167C-41B0-9654-FEC1A8F58A75}" name="moment" dataDxfId="265">
      <calculatedColumnFormula>(Table413413[[#This Row],[time]]-2)*2</calculatedColumnFormula>
    </tableColumn>
    <tableColumn id="3" xr3:uid="{43EADD10-3202-43A5-8983-7C10AF6575AD}" name="CAREA"/>
    <tableColumn id="4" xr3:uid="{7975664C-DB6A-40E2-9F24-2DA4E26B98EB}" name="CFNM"/>
    <tableColumn id="5" xr3:uid="{206E7D15-9FC9-4B47-B611-7D347F6E3BE6}" name="CFNM/Total area contact" dataDxfId="264">
      <calculatedColumnFormula>Table413413[[#This Row],[CFNM]]/Table413413[[#This Row],[CAREA]]</calculatedColumnFormula>
    </tableColumn>
  </tableColumns>
  <tableStyleInfo name="TableStyleLight4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3" xr:uid="{7747E761-9DDC-45B6-BCA2-7AFEF18C8DEB}" name="Table514414" displayName="Table514414" ref="U376:Y397" totalsRowShown="0">
  <autoFilter ref="U376:Y397" xr:uid="{7747E761-9DDC-45B6-BCA2-7AFEF18C8DEB}"/>
  <tableColumns count="5">
    <tableColumn id="1" xr3:uid="{2B9ADC4A-34A7-4961-88C5-27AAC4015992}" name="time"/>
    <tableColumn id="2" xr3:uid="{1527063B-FE76-4C88-B9BD-8B386275EDC5}" name="moment" dataDxfId="263">
      <calculatedColumnFormula>(Table514414[[#This Row],[time]]-2)*2</calculatedColumnFormula>
    </tableColumn>
    <tableColumn id="3" xr3:uid="{03AD5F77-51BE-41D1-ADDF-BDDA7077CF90}" name="CAREA"/>
    <tableColumn id="4" xr3:uid="{9A10B921-295B-4E90-843E-B7578C0B7E3E}" name="CFNM"/>
    <tableColumn id="5" xr3:uid="{174EE6FA-B344-48AC-A9AE-210213CC045B}" name="CFNM/Total area contact" dataDxfId="262">
      <calculatedColumnFormula>Table514414[[#This Row],[CFNM]]/Table514414[[#This Row],[CAREA]]</calculatedColumnFormula>
    </tableColumn>
  </tableColumns>
  <tableStyleInfo name="TableStyleLight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AB43E63B-AB70-4738-916C-24E38C71D4AD}" name="Table421268" displayName="Table421268" ref="K7:O28" totalsRowShown="0">
  <autoFilter ref="K7:O28" xr:uid="{AB43E63B-AB70-4738-916C-24E38C71D4AD}"/>
  <tableColumns count="5">
    <tableColumn id="1" xr3:uid="{94EE69FB-C9ED-4326-A980-5DC8C50775F9}" name="time"/>
    <tableColumn id="5" xr3:uid="{ABFBC3AB-105B-423D-8504-E2D35714D0E8}" name="moment" dataDxfId="459">
      <calculatedColumnFormula>-(Table421268[[#This Row],[time]]-2)*2</calculatedColumnFormula>
    </tableColumn>
    <tableColumn id="2" xr3:uid="{80508D8A-8C0F-478F-92CA-2C9E89F0CDD7}" name="CAREA"/>
    <tableColumn id="3" xr3:uid="{AA00CA72-5102-400E-94BD-AD7FE5FC4659}" name="CFNM"/>
    <tableColumn id="4" xr3:uid="{8BA407C2-1940-47B6-AC07-98EA334B1925}" name="CFNM/Total area contact" dataDxfId="458">
      <calculatedColumnFormula>Table421268[[#This Row],[CFNM]]/Table421268[[#This Row],[CAREA]]</calculatedColumnFormula>
    </tableColumn>
  </tableColumns>
  <tableStyleInfo name="TableStyleLight3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4" xr:uid="{2C088930-3368-4FAB-9AC0-A33E2E343533}" name="Table615415" displayName="Table615415" ref="Z376:AD397" totalsRowShown="0">
  <autoFilter ref="Z376:AD397" xr:uid="{2C088930-3368-4FAB-9AC0-A33E2E343533}"/>
  <tableColumns count="5">
    <tableColumn id="1" xr3:uid="{D569136A-F1BD-42E4-975F-F9DAD04140C9}" name="time"/>
    <tableColumn id="2" xr3:uid="{1F9B9186-4352-4349-A9EB-093871D12E6A}" name="moment" dataDxfId="261">
      <calculatedColumnFormula>(Table615415[[#This Row],[time]]-2)*2</calculatedColumnFormula>
    </tableColumn>
    <tableColumn id="3" xr3:uid="{68E3FE73-7514-4E68-81C2-BC2FB4780373}" name="CAREA"/>
    <tableColumn id="4" xr3:uid="{731395F5-B339-42FD-A1AB-191C1620357E}" name="CFNM"/>
    <tableColumn id="5" xr3:uid="{A26B2634-2DDD-42A9-A16A-CC068B24F959}" name="CFNM/Total area contact" dataDxfId="260">
      <calculatedColumnFormula>Table615415[[#This Row],[CFNM]]/Table615415[[#This Row],[CAREA]]</calculatedColumnFormula>
    </tableColumn>
  </tableColumns>
  <tableStyleInfo name="TableStyleLight6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5" xr:uid="{FDB27E64-8F73-425A-8EB3-AF47090C3338}" name="Table716416" displayName="Table716416" ref="AE376:AI397" totalsRowShown="0">
  <autoFilter ref="AE376:AI397" xr:uid="{FDB27E64-8F73-425A-8EB3-AF47090C3338}"/>
  <tableColumns count="5">
    <tableColumn id="1" xr3:uid="{32C0D10C-55D1-49CD-B94C-893B07C6175B}" name="time"/>
    <tableColumn id="2" xr3:uid="{38D2947B-DDD3-49E7-BA33-B4BB9FD13351}" name="moment" dataDxfId="259">
      <calculatedColumnFormula>(Table716416[[#This Row],[time]]-2)*2</calculatedColumnFormula>
    </tableColumn>
    <tableColumn id="3" xr3:uid="{8161000C-C7D8-49B9-A152-6E5AA21495AB}" name="CAREA"/>
    <tableColumn id="4" xr3:uid="{F40ECE7E-79C1-4686-B202-1F78FA728381}" name="CFNM"/>
    <tableColumn id="5" xr3:uid="{C132167D-5ACC-4BE5-B7F9-0E0D0FE6F6C4}" name="CFNM/Total area contact" dataDxfId="258">
      <calculatedColumnFormula>Table716416[[#This Row],[CFNM]]/Table716416[[#This Row],[CAREA]]</calculatedColumnFormula>
    </tableColumn>
  </tableColumns>
  <tableStyleInfo name="TableStyleLight7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6" xr:uid="{E7D9A81A-CAAB-4AC7-8E1D-D540A21AA1BE}" name="Table817417" displayName="Table817417" ref="AJ376:AN397" totalsRowShown="0">
  <autoFilter ref="AJ376:AN397" xr:uid="{E7D9A81A-CAAB-4AC7-8E1D-D540A21AA1BE}"/>
  <tableColumns count="5">
    <tableColumn id="1" xr3:uid="{24C55929-68D6-4B33-AB1D-E6C87D2BA840}" name="time"/>
    <tableColumn id="2" xr3:uid="{7696A6CC-DC51-435F-80CD-E8D17AB66AFC}" name="moment" dataDxfId="257">
      <calculatedColumnFormula>(Table817417[[#This Row],[time]]-2)*2</calculatedColumnFormula>
    </tableColumn>
    <tableColumn id="3" xr3:uid="{BC70C1E0-6245-42D8-84B2-71C09B9186B0}" name="CAREA"/>
    <tableColumn id="4" xr3:uid="{C351F78F-8FC5-45BF-B481-3734B97B81F8}" name="CFNM"/>
    <tableColumn id="5" xr3:uid="{309C8151-975E-4D8B-87CC-E7FAFC232D71}" name="CFNM/Total area contact" dataDxfId="256">
      <calculatedColumnFormula>Table817417[[#This Row],[CFNM]]/Table817417[[#This Row],[CAREA]]</calculatedColumnFormula>
    </tableColumn>
  </tableColumns>
  <tableStyleInfo name="TableStyleLight15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7" xr:uid="{7899344D-100E-42E6-AF36-326EFDF34558}" name="Table1418" displayName="Table1418" ref="A406:E427" totalsRowShown="0">
  <autoFilter ref="A406:E427" xr:uid="{7899344D-100E-42E6-AF36-326EFDF34558}"/>
  <tableColumns count="5">
    <tableColumn id="1" xr3:uid="{1D4DCC8C-8196-47E7-86E0-D697294CC6FD}" name="time"/>
    <tableColumn id="2" xr3:uid="{AE036FD1-1388-4B6C-B580-F6010A6C48C6}" name="moment" dataDxfId="255">
      <calculatedColumnFormula>-(Table1418[[#This Row],[time]]-2)*2</calculatedColumnFormula>
    </tableColumn>
    <tableColumn id="3" xr3:uid="{C2AB171C-5285-4AB3-B7DE-302B54ABD0FA}" name="CAREA"/>
    <tableColumn id="4" xr3:uid="{AFAE0280-F227-4347-BDFC-3658B8C0F2F1}" name="CFNM"/>
    <tableColumn id="5" xr3:uid="{E34074F3-1250-4551-A11B-F2E03274550C}" name="CFNM/Total area contact" dataDxfId="254">
      <calculatedColumnFormula>Table1418[[#This Row],[CFNM]]/Table1418[[#This Row],[CAREA]]</calculatedColumnFormula>
    </tableColumn>
  </tableColumns>
  <tableStyleInfo name="TableStyleLight1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8" xr:uid="{0417E8A2-37B2-4525-A4F7-7BE5F94E958C}" name="Table2419" displayName="Table2419" ref="F406:J427" totalsRowShown="0">
  <autoFilter ref="F406:J427" xr:uid="{0417E8A2-37B2-4525-A4F7-7BE5F94E958C}"/>
  <tableColumns count="5">
    <tableColumn id="1" xr3:uid="{D1BF5EC0-1355-41DD-8EA2-8AAEF7C1CED6}" name="time"/>
    <tableColumn id="2" xr3:uid="{8B5FB881-AC57-444D-BB6A-B3934311CC5F}" name="moment" dataDxfId="253">
      <calculatedColumnFormula>-(Table2419[[#This Row],[time]]-2)*2</calculatedColumnFormula>
    </tableColumn>
    <tableColumn id="3" xr3:uid="{1BDBF860-DA97-41AD-8D06-851E518621F7}" name="CAREA"/>
    <tableColumn id="4" xr3:uid="{864C63F8-4C3A-4386-A4CA-017A910A04DB}" name="CFNM"/>
    <tableColumn id="5" xr3:uid="{BFA62ECA-9E78-4E3F-A1EB-B19EC47EEB6D}" name="CFNM/Total area contact" dataDxfId="252">
      <calculatedColumnFormula>Table2419[[#This Row],[CFNM]]/Table2419[[#This Row],[CAREA]]</calculatedColumnFormula>
    </tableColumn>
  </tableColumns>
  <tableStyleInfo name="TableStyleLight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9" xr:uid="{F6ED7C0F-A3BC-4546-B699-37FFBE2C86DD}" name="Table3420" displayName="Table3420" ref="K406:O427" totalsRowShown="0">
  <autoFilter ref="K406:O427" xr:uid="{F6ED7C0F-A3BC-4546-B699-37FFBE2C86DD}"/>
  <tableColumns count="5">
    <tableColumn id="1" xr3:uid="{4B1FD5F1-680E-4FC2-B7C7-0B909FED1131}" name="time"/>
    <tableColumn id="2" xr3:uid="{2BB8272D-7A5E-486C-99FA-96ABF4A1E1B6}" name="moment" dataDxfId="251">
      <calculatedColumnFormula>-(Table3420[[#This Row],[time]]-2)*2</calculatedColumnFormula>
    </tableColumn>
    <tableColumn id="3" xr3:uid="{CCD46B28-F5FD-47FD-850B-0F5287BC8E7E}" name="CAREA"/>
    <tableColumn id="4" xr3:uid="{9F168059-590A-4696-8BFA-0EA803A61184}" name="CFNM"/>
    <tableColumn id="5" xr3:uid="{F2683771-0074-4932-AEC5-FFD645219FFC}" name="CFNM/Total area contact" dataDxfId="250">
      <calculatedColumnFormula>Table3420[[#This Row],[CFNM]]/Table3420[[#This Row],[CAREA]]</calculatedColumnFormula>
    </tableColumn>
  </tableColumns>
  <tableStyleInfo name="TableStyleLight3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0" xr:uid="{23145314-CB99-437D-AF8E-8F3F0D4A9644}" name="Table4421" displayName="Table4421" ref="P406:T427" totalsRowShown="0">
  <autoFilter ref="P406:T427" xr:uid="{23145314-CB99-437D-AF8E-8F3F0D4A9644}"/>
  <tableColumns count="5">
    <tableColumn id="1" xr3:uid="{DB5BE784-E96C-42AD-B8BF-775E9EA67426}" name="time"/>
    <tableColumn id="2" xr3:uid="{29F3A018-410D-44B4-873D-3156C2CE20F5}" name="moment" dataDxfId="249">
      <calculatedColumnFormula>-(Table4421[[#This Row],[time]]-2)*2</calculatedColumnFormula>
    </tableColumn>
    <tableColumn id="3" xr3:uid="{C05679D8-1790-49C3-A2FB-135814182FFD}" name="CAREA"/>
    <tableColumn id="4" xr3:uid="{7F680E87-535E-4A85-ABA7-AA643E8FE23F}" name="CFNM"/>
    <tableColumn id="5" xr3:uid="{FE1D4B80-17B5-48AC-B80F-CBB3CAF392F5}" name="CFNM/Total area contact" dataDxfId="248">
      <calculatedColumnFormula>Table4421[[#This Row],[CFNM]]/Table4421[[#This Row],[CAREA]]</calculatedColumnFormula>
    </tableColumn>
  </tableColumns>
  <tableStyleInfo name="TableStyleLight4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1" xr:uid="{88A2531D-5BCA-4F2C-BF98-9DD7770770BF}" name="Table5422" displayName="Table5422" ref="U406:Y427" totalsRowShown="0">
  <autoFilter ref="U406:Y427" xr:uid="{88A2531D-5BCA-4F2C-BF98-9DD7770770BF}"/>
  <tableColumns count="5">
    <tableColumn id="1" xr3:uid="{6C26F611-E4FB-4031-BB63-26EC14FD228D}" name="time"/>
    <tableColumn id="2" xr3:uid="{13FC3B68-7A9A-48A8-8CF4-1C8804E7348D}" name="moment" dataDxfId="247">
      <calculatedColumnFormula>-(Table5422[[#This Row],[time]]-2)*2</calculatedColumnFormula>
    </tableColumn>
    <tableColumn id="3" xr3:uid="{E7BE74EB-9FCD-4996-9822-3D6DA4FEA552}" name="CAREA"/>
    <tableColumn id="4" xr3:uid="{AAF2BDD2-381B-4E08-8D56-6D4A9E015901}" name="CFNM"/>
    <tableColumn id="5" xr3:uid="{AAD0472E-D576-4CDD-96DE-BA38816A39E7}" name="CFNM/Total area contact" dataDxfId="246">
      <calculatedColumnFormula>Table5422[[#This Row],[CFNM]]/Table5422[[#This Row],[CAREA]]</calculatedColumnFormula>
    </tableColumn>
  </tableColumns>
  <tableStyleInfo name="TableStyleLight5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2" xr:uid="{ABB040B7-B7AB-44CA-80CA-35CFBF8BE2F5}" name="Table6423" displayName="Table6423" ref="Z406:AD427" totalsRowShown="0">
  <autoFilter ref="Z406:AD427" xr:uid="{ABB040B7-B7AB-44CA-80CA-35CFBF8BE2F5}"/>
  <tableColumns count="5">
    <tableColumn id="1" xr3:uid="{53342689-D54E-427C-8C07-1AF70E2D84C3}" name="time"/>
    <tableColumn id="2" xr3:uid="{6DA808DE-8D64-4BC1-AB23-3E802E74875D}" name="moment" dataDxfId="245">
      <calculatedColumnFormula>-(Table6423[[#This Row],[time]]-2)*2</calculatedColumnFormula>
    </tableColumn>
    <tableColumn id="3" xr3:uid="{7FE87448-3470-4F11-8606-F998C4EE296F}" name="CAREA"/>
    <tableColumn id="4" xr3:uid="{5499EA62-3536-49A5-9751-394AA502B991}" name="CFNM"/>
    <tableColumn id="5" xr3:uid="{2D262596-9C06-40FB-BB23-62724D51DC47}" name="CFNM/Total area contact" dataDxfId="244">
      <calculatedColumnFormula>Table6423[[#This Row],[CFNM]]/Table6423[[#This Row],[CAREA]]</calculatedColumnFormula>
    </tableColumn>
  </tableColumns>
  <tableStyleInfo name="TableStyleLight6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3" xr:uid="{B26A7DFD-8827-4689-857C-CD565974E26A}" name="Table7424" displayName="Table7424" ref="AE406:AI427" totalsRowShown="0">
  <autoFilter ref="AE406:AI427" xr:uid="{B26A7DFD-8827-4689-857C-CD565974E26A}"/>
  <tableColumns count="5">
    <tableColumn id="1" xr3:uid="{AA5549AE-2A26-4963-A72A-8A353201598A}" name="time"/>
    <tableColumn id="2" xr3:uid="{334305E2-902F-410E-9FC7-909C99EC6145}" name="moment" dataDxfId="243">
      <calculatedColumnFormula>-(Table7424[[#This Row],[time]]-2)*2</calculatedColumnFormula>
    </tableColumn>
    <tableColumn id="3" xr3:uid="{2040FC29-29D1-493E-8A44-C3A2B60BEF9C}" name="CAREA"/>
    <tableColumn id="4" xr3:uid="{9BED27DA-780F-4E46-8752-793424150B35}" name="CFNM"/>
    <tableColumn id="5" xr3:uid="{55131230-CAF3-4E23-B103-F250424D1F64}" name="CFNM/Total area contact" dataDxfId="242">
      <calculatedColumnFormula>Table7424[[#This Row],[CFNM]]/Table7424[[#This Row],[CAREA]]</calculatedColumnFormula>
    </tableColumn>
  </tableColumns>
  <tableStyleInfo name="TableStyleLight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FD70D608-4C5A-4226-92A8-C81777B005FD}" name="Table622269" displayName="Table622269" ref="U7:Y28" totalsRowShown="0">
  <autoFilter ref="U7:Y28" xr:uid="{FD70D608-4C5A-4226-92A8-C81777B005FD}"/>
  <tableColumns count="5">
    <tableColumn id="1" xr3:uid="{03E70055-FD75-4D0C-AB48-16F6BCFAEE89}" name="time"/>
    <tableColumn id="5" xr3:uid="{5C389305-D9AD-4180-BC1D-90C89E824844}" name="moment" dataDxfId="457">
      <calculatedColumnFormula>-(Table622269[[#This Row],[time]]-2)*2</calculatedColumnFormula>
    </tableColumn>
    <tableColumn id="2" xr3:uid="{CC907354-3FD6-4870-A9F1-534E09BEDEB1}" name="CAREA"/>
    <tableColumn id="3" xr3:uid="{2D8DB86D-F1DC-4974-AC43-9854B15CEF22}" name="CFNM"/>
    <tableColumn id="4" xr3:uid="{C06520EF-1C77-4459-867A-5A458B38AB8D}" name="CFNM/Total area contact" dataDxfId="456">
      <calculatedColumnFormula>Table622269[[#This Row],[CFNM]]/Table622269[[#This Row],[CAREA]]</calculatedColumnFormula>
    </tableColumn>
  </tableColumns>
  <tableStyleInfo name="TableStyleLight5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4" xr:uid="{D2AFD56F-454B-4A2B-87D2-6C3B78D78D7E}" name="Table8425" displayName="Table8425" ref="AJ406:AN427" totalsRowShown="0">
  <autoFilter ref="AJ406:AN427" xr:uid="{D2AFD56F-454B-4A2B-87D2-6C3B78D78D7E}"/>
  <tableColumns count="5">
    <tableColumn id="1" xr3:uid="{0F3C3832-DD83-4B73-83E3-14E9EBEC0410}" name="time"/>
    <tableColumn id="2" xr3:uid="{F0F61401-6796-425F-9D4B-58324F328CD8}" name="moment" dataDxfId="241">
      <calculatedColumnFormula>-(Table8425[[#This Row],[time]]-2)*2</calculatedColumnFormula>
    </tableColumn>
    <tableColumn id="3" xr3:uid="{32AE68BD-810A-4815-974B-9C102382C269}" name="CAREA"/>
    <tableColumn id="4" xr3:uid="{A3AFA47F-909C-4FB2-8DC2-CB6AC2A905D9}" name="CFNM"/>
    <tableColumn id="5" xr3:uid="{589BDC97-C7C4-4F42-A0D4-B7673A51E1A4}" name="CFNM/Total area contact" dataDxfId="240">
      <calculatedColumnFormula>Table8425[[#This Row],[CFNM]]/Table8425[[#This Row],[CAREA]]</calculatedColumnFormula>
    </tableColumn>
  </tableColumns>
  <tableStyleInfo name="TableStyleLight15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5" xr:uid="{A526C09A-87FC-44E2-99A1-0B2E65BD83E2}" name="Table110426" displayName="Table110426" ref="A433:E454" totalsRowShown="0">
  <autoFilter ref="A433:E454" xr:uid="{A526C09A-87FC-44E2-99A1-0B2E65BD83E2}"/>
  <tableColumns count="5">
    <tableColumn id="1" xr3:uid="{492AF7B4-3C4F-411C-87A3-2C16C3F6E82F}" name="time"/>
    <tableColumn id="2" xr3:uid="{7BF5ED1C-2115-492F-8B27-6C256F447C8D}" name="moment" dataDxfId="239">
      <calculatedColumnFormula>(Table110426[[#This Row],[time]]-2)*2</calculatedColumnFormula>
    </tableColumn>
    <tableColumn id="3" xr3:uid="{956BF1F5-12CF-4582-96F0-41F677E7A563}" name="CAREA"/>
    <tableColumn id="4" xr3:uid="{C52106C9-8219-4D1B-9CBF-42DB9BFC50A2}" name="CFNM"/>
    <tableColumn id="5" xr3:uid="{DF21E3F7-AC87-4A5C-BB41-A410695291BB}" name="CFNM/Total area contact" dataDxfId="238">
      <calculatedColumnFormula>Table110426[[#This Row],[CFNM]]/Table110426[[#This Row],[CAREA]]</calculatedColumnFormula>
    </tableColumn>
  </tableColumns>
  <tableStyleInfo name="TableStyleLight1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6" xr:uid="{C30156A7-0AB7-408C-A76A-D70F08CBBC75}" name="Table211427" displayName="Table211427" ref="F433:J454" totalsRowShown="0">
  <autoFilter ref="F433:J454" xr:uid="{C30156A7-0AB7-408C-A76A-D70F08CBBC75}"/>
  <tableColumns count="5">
    <tableColumn id="1" xr3:uid="{B715C336-1582-4B99-9498-36CE7E51CE03}" name="time"/>
    <tableColumn id="2" xr3:uid="{7C64B61B-2050-426B-B2AB-8006EA2C42A6}" name="moment" dataDxfId="237">
      <calculatedColumnFormula>(Table211427[[#This Row],[time]]-2)*2</calculatedColumnFormula>
    </tableColumn>
    <tableColumn id="3" xr3:uid="{2629C8CA-6FDC-4D43-A0E3-57BF536DCFA9}" name="CAREA"/>
    <tableColumn id="4" xr3:uid="{5A7F4677-11A2-4F2E-A5BA-26CCABFF552F}" name="CFNM"/>
    <tableColumn id="5" xr3:uid="{1B1E9F44-F7D9-43A8-AFD0-384DBB4753C7}" name="CFNM/Total area contact" dataDxfId="236">
      <calculatedColumnFormula>Table211427[[#This Row],[CFNM]]/Table211427[[#This Row],[CAREA]]</calculatedColumnFormula>
    </tableColumn>
  </tableColumns>
  <tableStyleInfo name="TableStyleLight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7" xr:uid="{3DD61C2B-C614-4A4A-8CC6-3F9923CF1664}" name="Table312428" displayName="Table312428" ref="K433:O454" totalsRowShown="0">
  <autoFilter ref="K433:O454" xr:uid="{3DD61C2B-C614-4A4A-8CC6-3F9923CF1664}"/>
  <tableColumns count="5">
    <tableColumn id="1" xr3:uid="{0B5489BF-BF72-4BD7-894E-80B33837A9FA}" name="time"/>
    <tableColumn id="2" xr3:uid="{C59C00AE-AB01-4261-BC96-271E6C587CA9}" name="moment" dataDxfId="235">
      <calculatedColumnFormula>(Table312428[[#This Row],[time]]-2)*2</calculatedColumnFormula>
    </tableColumn>
    <tableColumn id="3" xr3:uid="{8E1E8825-F4CB-43A4-AC85-A81F9371B5F1}" name="CAREA"/>
    <tableColumn id="4" xr3:uid="{D58D8EF6-CFC0-4763-BE16-A2F96E20B757}" name="CFNM"/>
    <tableColumn id="5" xr3:uid="{790F1621-94B5-4566-9670-0A03EC65B0FE}" name="CFNM/Total area contact" dataDxfId="234">
      <calculatedColumnFormula>Table312428[[#This Row],[CFNM]]/Table312428[[#This Row],[CAREA]]</calculatedColumnFormula>
    </tableColumn>
  </tableColumns>
  <tableStyleInfo name="TableStyleLight3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8" xr:uid="{AD4C9B2D-F7C6-4487-9513-E1E81A30F5E5}" name="Table413429" displayName="Table413429" ref="P433:T454" totalsRowShown="0">
  <autoFilter ref="P433:T454" xr:uid="{AD4C9B2D-F7C6-4487-9513-E1E81A30F5E5}"/>
  <tableColumns count="5">
    <tableColumn id="1" xr3:uid="{B831722C-9DBB-4B20-A2BA-482C26580FF2}" name="time"/>
    <tableColumn id="2" xr3:uid="{68919FB2-CA85-49CF-BD0F-A74DDDF363FA}" name="moment" dataDxfId="233">
      <calculatedColumnFormula>(Table413429[[#This Row],[time]]-2)*2</calculatedColumnFormula>
    </tableColumn>
    <tableColumn id="3" xr3:uid="{7654CA8E-E42A-47E4-8BBD-5C5F7A394B5F}" name="CAREA"/>
    <tableColumn id="4" xr3:uid="{2705A73E-E62E-496E-ABB5-ADBB15D0A3DA}" name="CFNM"/>
    <tableColumn id="5" xr3:uid="{4F943193-2DCD-4220-B09B-EB7D50AB2EF2}" name="CFNM/Total area contact" dataDxfId="232">
      <calculatedColumnFormula>Table413429[[#This Row],[CFNM]]/Table413429[[#This Row],[CAREA]]</calculatedColumnFormula>
    </tableColumn>
  </tableColumns>
  <tableStyleInfo name="TableStyleLight4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9" xr:uid="{82341208-CFA3-45CB-8C41-6D96A88D2F06}" name="Table514430" displayName="Table514430" ref="U433:Y454" totalsRowShown="0">
  <autoFilter ref="U433:Y454" xr:uid="{82341208-CFA3-45CB-8C41-6D96A88D2F06}"/>
  <tableColumns count="5">
    <tableColumn id="1" xr3:uid="{C5EC593F-1DBF-49A0-937B-D93CC085A537}" name="time"/>
    <tableColumn id="2" xr3:uid="{B2C9673E-9029-4B73-9DA6-F497CFE0761F}" name="moment" dataDxfId="231">
      <calculatedColumnFormula>(Table514430[[#This Row],[time]]-2)*2</calculatedColumnFormula>
    </tableColumn>
    <tableColumn id="3" xr3:uid="{4EA239A9-B53B-4A69-843D-E458B9189A03}" name="CAREA"/>
    <tableColumn id="4" xr3:uid="{9B041CBF-33C8-43B3-BE2C-34850F29E9FB}" name="CFNM"/>
    <tableColumn id="5" xr3:uid="{5B786268-FAD0-492F-9ED4-12F6D210CF42}" name="CFNM/Total area contact" dataDxfId="230">
      <calculatedColumnFormula>Table514430[[#This Row],[CFNM]]/Table514430[[#This Row],[CAREA]]</calculatedColumnFormula>
    </tableColumn>
  </tableColumns>
  <tableStyleInfo name="TableStyleLight5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0" xr:uid="{99D757F2-2E2A-4E8F-BD36-29ADECA21374}" name="Table615431" displayName="Table615431" ref="Z433:AD454" totalsRowShown="0">
  <autoFilter ref="Z433:AD454" xr:uid="{99D757F2-2E2A-4E8F-BD36-29ADECA21374}"/>
  <tableColumns count="5">
    <tableColumn id="1" xr3:uid="{51D259B7-8643-4B5C-9FB4-0DF19CD1D1EA}" name="time"/>
    <tableColumn id="2" xr3:uid="{69CCA945-549C-40E4-B8F2-59B34B53DDAA}" name="moment" dataDxfId="229">
      <calculatedColumnFormula>(Table615431[[#This Row],[time]]-2)*2</calculatedColumnFormula>
    </tableColumn>
    <tableColumn id="3" xr3:uid="{D90D79D1-0D6C-480B-A48C-3C3746141CA5}" name="CAREA"/>
    <tableColumn id="4" xr3:uid="{D30153E3-E36B-4471-B4B2-2A710AC72DFA}" name="CFNM"/>
    <tableColumn id="5" xr3:uid="{E323B294-E7E6-4C73-BE88-46FA8FE00173}" name="CFNM/Total area contact" dataDxfId="228">
      <calculatedColumnFormula>Table615431[[#This Row],[CFNM]]/Table615431[[#This Row],[CAREA]]</calculatedColumnFormula>
    </tableColumn>
  </tableColumns>
  <tableStyleInfo name="TableStyleLight6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1" xr:uid="{4EB44C83-844E-43AA-A1EE-989736DA2066}" name="Table716432" displayName="Table716432" ref="AE433:AI454" totalsRowShown="0">
  <autoFilter ref="AE433:AI454" xr:uid="{4EB44C83-844E-43AA-A1EE-989736DA2066}"/>
  <tableColumns count="5">
    <tableColumn id="1" xr3:uid="{3DC88B54-BBEC-4543-89E2-BFC4A031E9F2}" name="time"/>
    <tableColumn id="2" xr3:uid="{3DFCEDBF-DBD3-4E23-B257-2C82369E70AE}" name="moment" dataDxfId="227">
      <calculatedColumnFormula>(Table716432[[#This Row],[time]]-2)*2</calculatedColumnFormula>
    </tableColumn>
    <tableColumn id="3" xr3:uid="{BB811C19-F1EC-465B-9E3A-82EA5A7CF10A}" name="CAREA"/>
    <tableColumn id="4" xr3:uid="{1404650B-03D2-416F-A9FC-2A1682229234}" name="CFNM"/>
    <tableColumn id="5" xr3:uid="{31DD409D-C2C2-434C-8E4B-968D332C4127}" name="CFNM/Total area contact" dataDxfId="226">
      <calculatedColumnFormula>Table716432[[#This Row],[CFNM]]/Table716432[[#This Row],[CAREA]]</calculatedColumnFormula>
    </tableColumn>
  </tableColumns>
  <tableStyleInfo name="TableStyleLight7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2" xr:uid="{54D3BCD3-75C7-4071-81B0-CEBABFA7D871}" name="Table817433" displayName="Table817433" ref="AJ433:AN454" totalsRowShown="0">
  <autoFilter ref="AJ433:AN454" xr:uid="{54D3BCD3-75C7-4071-81B0-CEBABFA7D871}"/>
  <tableColumns count="5">
    <tableColumn id="1" xr3:uid="{4254A915-6B87-403E-8FE4-E9D8076CC14B}" name="time"/>
    <tableColumn id="2" xr3:uid="{F56A7BEC-786D-4D92-A13C-29D259DE14CD}" name="moment" dataDxfId="225">
      <calculatedColumnFormula>(Table817433[[#This Row],[time]]-2)*2</calculatedColumnFormula>
    </tableColumn>
    <tableColumn id="3" xr3:uid="{F6C3A418-D187-4931-8FE7-0D4BCFC65FBF}" name="CAREA"/>
    <tableColumn id="4" xr3:uid="{D76111AB-6297-41DA-B0B4-7C546468DDBA}" name="CFNM"/>
    <tableColumn id="5" xr3:uid="{3043B36D-EEFB-4175-86DD-C8A9ABF5346C}" name="CFNM/Total area contact" dataDxfId="224">
      <calculatedColumnFormula>Table817433[[#This Row],[CFNM]]/Table817433[[#This Row],[CAREA]]</calculatedColumnFormula>
    </tableColumn>
  </tableColumns>
  <tableStyleInfo name="TableStyleLight15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3" xr:uid="{3CD8464F-1893-4230-B553-6056319F0AC3}" name="Table1434" displayName="Table1434" ref="A463:E484" totalsRowShown="0">
  <autoFilter ref="A463:E484" xr:uid="{3CD8464F-1893-4230-B553-6056319F0AC3}"/>
  <tableColumns count="5">
    <tableColumn id="1" xr3:uid="{BD8ABF4B-31C3-46DA-A8B0-D8919682B3AC}" name="time"/>
    <tableColumn id="2" xr3:uid="{FA3C2749-666A-4980-A427-10C5DBB5DB82}" name="moment" dataDxfId="223">
      <calculatedColumnFormula>-(Table1434[[#This Row],[time]]-2)*2</calculatedColumnFormula>
    </tableColumn>
    <tableColumn id="3" xr3:uid="{1EDE9554-4297-4E21-A778-CBA4AE3809BB}" name="CAREA"/>
    <tableColumn id="4" xr3:uid="{068A1BD6-3B43-49B2-8904-762183164AB4}" name="CFNM"/>
    <tableColumn id="5" xr3:uid="{8B1A3893-208E-4480-BA2D-D54257D5DA8F}" name="CFNM/Total area contact" dataDxfId="222">
      <calculatedColumnFormula>Table1434[[#This Row],[CFNM]]/Table1434[[#This Row],[CAREA]]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6D2FA169-2E2D-4975-8A1E-1372255B533B}" name="Table723270" displayName="Table723270" ref="Z7:AD28" totalsRowShown="0">
  <autoFilter ref="Z7:AD28" xr:uid="{6D2FA169-2E2D-4975-8A1E-1372255B533B}"/>
  <tableColumns count="5">
    <tableColumn id="1" xr3:uid="{0EC96044-B35E-4B3C-BB6C-04F89C180904}" name="time"/>
    <tableColumn id="5" xr3:uid="{0F0FA1CF-D75A-4CA7-8620-38E3C620CC35}" name="moment" dataDxfId="455">
      <calculatedColumnFormula>-(Table723270[[#This Row],[time]]-2)*2</calculatedColumnFormula>
    </tableColumn>
    <tableColumn id="2" xr3:uid="{B69B4944-0ACF-42D4-82EE-A1E86D2DC190}" name="CAREA"/>
    <tableColumn id="3" xr3:uid="{0583F6F2-EBCB-4166-ACEF-0008E7949474}" name="CFNM"/>
    <tableColumn id="4" xr3:uid="{EC72DCF2-11DF-4A54-AA6B-9E9D53193C48}" name="CFNM/Total area contact" dataDxfId="454">
      <calculatedColumnFormula>Table723270[[#This Row],[CFNM]]/Table723270[[#This Row],[CAREA]]</calculatedColumnFormula>
    </tableColumn>
  </tableColumns>
  <tableStyleInfo name="TableStyleLight6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4" xr:uid="{60191785-F650-4BEB-BC69-9832D5860855}" name="Table2435" displayName="Table2435" ref="F463:J484" totalsRowShown="0">
  <autoFilter ref="F463:J484" xr:uid="{60191785-F650-4BEB-BC69-9832D5860855}"/>
  <tableColumns count="5">
    <tableColumn id="1" xr3:uid="{7E6655D8-2B31-42C2-A78D-78676C3D1DF9}" name="time"/>
    <tableColumn id="2" xr3:uid="{DA55EE3E-3B62-458F-A3E5-EF29A64D4638}" name="moment" dataDxfId="221">
      <calculatedColumnFormula>-(Table2435[[#This Row],[time]]-2)*2</calculatedColumnFormula>
    </tableColumn>
    <tableColumn id="3" xr3:uid="{B2127AD8-D813-4A31-8C4D-513BB86278DB}" name="CAREA"/>
    <tableColumn id="4" xr3:uid="{F82B41D5-246D-4C07-B787-C86DF3C4AF0D}" name="CFNM"/>
    <tableColumn id="5" xr3:uid="{2B440F65-F579-4C8B-A4E6-FA6D7F5D2AFB}" name="CFNM/Total area contact" dataDxfId="220">
      <calculatedColumnFormula>Table2435[[#This Row],[CFNM]]/Table2435[[#This Row],[CAREA]]</calculatedColumnFormula>
    </tableColumn>
  </tableColumns>
  <tableStyleInfo name="TableStyleLight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5" xr:uid="{7D6150BF-D44B-4565-B4E1-069EBD3532FE}" name="Table3436" displayName="Table3436" ref="K463:O484" totalsRowShown="0">
  <autoFilter ref="K463:O484" xr:uid="{7D6150BF-D44B-4565-B4E1-069EBD3532FE}"/>
  <tableColumns count="5">
    <tableColumn id="1" xr3:uid="{EC2B6F57-5B20-4DC7-8FE5-EAF0C3C7A75C}" name="time"/>
    <tableColumn id="2" xr3:uid="{BE88BA01-11F7-4F66-A27A-130B79F40FE1}" name="moment" dataDxfId="219">
      <calculatedColumnFormula>-(Table3436[[#This Row],[time]]-2)*2</calculatedColumnFormula>
    </tableColumn>
    <tableColumn id="3" xr3:uid="{8A2F95F1-6EB4-4424-88BE-35A836CA4E08}" name="CAREA"/>
    <tableColumn id="4" xr3:uid="{C3C30B85-A770-44A3-9709-5AE18ADA624D}" name="CFNM"/>
    <tableColumn id="5" xr3:uid="{FF378255-4677-4854-A11A-DD52524D1CEC}" name="CFNM/Total area contact" dataDxfId="218">
      <calculatedColumnFormula>Table3436[[#This Row],[CFNM]]/Table3436[[#This Row],[CAREA]]</calculatedColumnFormula>
    </tableColumn>
  </tableColumns>
  <tableStyleInfo name="TableStyleLight3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6" xr:uid="{7ECC0B90-03B2-45B8-9D91-DFB84AFF9B54}" name="Table4437" displayName="Table4437" ref="P463:T484" totalsRowShown="0">
  <autoFilter ref="P463:T484" xr:uid="{7ECC0B90-03B2-45B8-9D91-DFB84AFF9B54}"/>
  <tableColumns count="5">
    <tableColumn id="1" xr3:uid="{F5355B9A-D388-477E-9759-3B2FD68682FB}" name="time"/>
    <tableColumn id="2" xr3:uid="{3D8392D9-6464-43E7-AB6E-F1454BAA1D8C}" name="moment" dataDxfId="217">
      <calculatedColumnFormula>-(Table4437[[#This Row],[time]]-2)*2</calculatedColumnFormula>
    </tableColumn>
    <tableColumn id="3" xr3:uid="{F113B3F4-ACFA-4987-8CFB-C0E3F0B0412F}" name="CAREA"/>
    <tableColumn id="4" xr3:uid="{2988901E-2BAC-46B2-A1CE-6CC6B837869A}" name="CFNM"/>
    <tableColumn id="5" xr3:uid="{3F1910A3-848C-43AE-91EF-6A64B30217F3}" name="CFNM/Total area contact" dataDxfId="216">
      <calculatedColumnFormula>Table4437[[#This Row],[CFNM]]/Table4437[[#This Row],[CAREA]]</calculatedColumnFormula>
    </tableColumn>
  </tableColumns>
  <tableStyleInfo name="TableStyleLight4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7" xr:uid="{67AD93F4-C828-4BB8-BE28-EB7B31CD9501}" name="Table5438" displayName="Table5438" ref="U463:Y484" totalsRowShown="0">
  <autoFilter ref="U463:Y484" xr:uid="{67AD93F4-C828-4BB8-BE28-EB7B31CD9501}"/>
  <tableColumns count="5">
    <tableColumn id="1" xr3:uid="{19EA74CF-A8F1-4DB7-AA65-E294D5212535}" name="time"/>
    <tableColumn id="2" xr3:uid="{512582A3-E550-4FF2-8B7D-6B9BD3882F01}" name="moment" dataDxfId="215">
      <calculatedColumnFormula>-(Table5438[[#This Row],[time]]-2)*2</calculatedColumnFormula>
    </tableColumn>
    <tableColumn id="3" xr3:uid="{52028B8F-6543-414F-8A0A-1863AA884A03}" name="CAREA"/>
    <tableColumn id="4" xr3:uid="{092D454E-D7F0-4064-8790-30BB58323BD6}" name="CFNM"/>
    <tableColumn id="5" xr3:uid="{74B2FA93-5256-404E-960D-388C3E3C744A}" name="CFNM/Total area contact" dataDxfId="214">
      <calculatedColumnFormula>Table5438[[#This Row],[CFNM]]/Table5438[[#This Row],[CAREA]]</calculatedColumnFormula>
    </tableColumn>
  </tableColumns>
  <tableStyleInfo name="TableStyleLight5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8" xr:uid="{B35ABAA5-6F3D-43A3-9E0E-A82944E8AA71}" name="Table6439" displayName="Table6439" ref="Z463:AD484" totalsRowShown="0">
  <autoFilter ref="Z463:AD484" xr:uid="{B35ABAA5-6F3D-43A3-9E0E-A82944E8AA71}"/>
  <tableColumns count="5">
    <tableColumn id="1" xr3:uid="{48BD61DE-2B69-43B4-B873-664E7050235F}" name="time"/>
    <tableColumn id="2" xr3:uid="{8B130DE9-079F-4B7B-83FE-17CA99C25A30}" name="moment" dataDxfId="213">
      <calculatedColumnFormula>-(Table6439[[#This Row],[time]]-2)*2</calculatedColumnFormula>
    </tableColumn>
    <tableColumn id="3" xr3:uid="{9D0EF27F-F26F-4B16-9CDE-5BB332135671}" name="CAREA"/>
    <tableColumn id="4" xr3:uid="{D8EFF857-8FEA-454B-A77F-CF244F55CDFE}" name="CFNM"/>
    <tableColumn id="5" xr3:uid="{B34B0AA1-3564-45AD-8567-F43A7F96A8D0}" name="CFNM/Total area contact" dataDxfId="212">
      <calculatedColumnFormula>Table6439[[#This Row],[CFNM]]/Table6439[[#This Row],[CAREA]]</calculatedColumnFormula>
    </tableColumn>
  </tableColumns>
  <tableStyleInfo name="TableStyleLight6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9" xr:uid="{D0458EF5-F7BF-4349-9E81-1C71755AAEB6}" name="Table7440" displayName="Table7440" ref="AE463:AI484" totalsRowShown="0">
  <autoFilter ref="AE463:AI484" xr:uid="{D0458EF5-F7BF-4349-9E81-1C71755AAEB6}"/>
  <tableColumns count="5">
    <tableColumn id="1" xr3:uid="{A24A7716-7754-41B6-B5C5-22E7E70F08FB}" name="time"/>
    <tableColumn id="2" xr3:uid="{546B596E-BE2F-49EC-8739-E89EE9A5A21A}" name="moment" dataDxfId="211">
      <calculatedColumnFormula>-(Table7440[[#This Row],[time]]-2)*2</calculatedColumnFormula>
    </tableColumn>
    <tableColumn id="3" xr3:uid="{EE59C67F-DDA8-4A5C-A4DD-2A8C92709FFF}" name="CAREA"/>
    <tableColumn id="4" xr3:uid="{44D419E2-C00C-4678-8877-8212D167C29A}" name="CFNM"/>
    <tableColumn id="5" xr3:uid="{4AD86E5E-090D-4BDF-BB69-9170004982C9}" name="CFNM/Total area contact" dataDxfId="210">
      <calculatedColumnFormula>Table7440[[#This Row],[CFNM]]/Table7440[[#This Row],[CAREA]]</calculatedColumnFormula>
    </tableColumn>
  </tableColumns>
  <tableStyleInfo name="TableStyleLight7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0" xr:uid="{EA544EA5-BAFE-43B3-964C-46D5EDD8F770}" name="Table8441" displayName="Table8441" ref="AJ463:AN484" totalsRowShown="0">
  <autoFilter ref="AJ463:AN484" xr:uid="{EA544EA5-BAFE-43B3-964C-46D5EDD8F770}"/>
  <tableColumns count="5">
    <tableColumn id="1" xr3:uid="{CBB3B24F-30C8-4E58-9D28-17A2ABB1F0C1}" name="time"/>
    <tableColumn id="2" xr3:uid="{EB82F80F-3FA2-4CB4-AC27-48554B452DDA}" name="moment" dataDxfId="209">
      <calculatedColumnFormula>-(Table8441[[#This Row],[time]]-2)*2</calculatedColumnFormula>
    </tableColumn>
    <tableColumn id="3" xr3:uid="{35C1D7F6-A4CD-4CBE-8F4E-BAE35C435980}" name="CAREA"/>
    <tableColumn id="4" xr3:uid="{E375C5C5-64F5-4DA5-9609-DBC1E5B9E221}" name="CFNM"/>
    <tableColumn id="5" xr3:uid="{F3B59B32-059C-4751-9001-D0910A6DA78C}" name="CFNM/Total area contact" dataDxfId="208">
      <calculatedColumnFormula>Table8441[[#This Row],[CFNM]]/Table8441[[#This Row],[CAREA]]</calculatedColumnFormula>
    </tableColumn>
  </tableColumns>
  <tableStyleInfo name="TableStyleLight15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1" xr:uid="{194B832A-1C0D-412E-94F5-7346AD447DC2}" name="Table110442" displayName="Table110442" ref="A490:E511" totalsRowShown="0">
  <autoFilter ref="A490:E511" xr:uid="{194B832A-1C0D-412E-94F5-7346AD447DC2}"/>
  <tableColumns count="5">
    <tableColumn id="1" xr3:uid="{78738521-283C-45A3-B853-D9F46EBC0D51}" name="time"/>
    <tableColumn id="2" xr3:uid="{CCC13757-DD17-4D84-915F-1BF5DE817F48}" name="moment" dataDxfId="207">
      <calculatedColumnFormula>(Table110442[[#This Row],[time]]-2)*2</calculatedColumnFormula>
    </tableColumn>
    <tableColumn id="3" xr3:uid="{D2A28E9D-3B6F-407F-B453-F2055D64CF39}" name="CAREA"/>
    <tableColumn id="4" xr3:uid="{A0581003-8E48-484E-A4F2-017762FC7E58}" name="CFNM"/>
    <tableColumn id="5" xr3:uid="{D9B21280-559F-4A40-946F-62CCCF1A7E06}" name="CFNM/Total area contact" dataDxfId="206">
      <calculatedColumnFormula>Table110442[[#This Row],[CFNM]]/Table110442[[#This Row],[CAREA]]</calculatedColumnFormula>
    </tableColumn>
  </tableColumns>
  <tableStyleInfo name="TableStyleLight1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2" xr:uid="{072FBB10-3BF8-47CA-BF82-890AE88DB0BA}" name="Table211443" displayName="Table211443" ref="F490:J511" totalsRowShown="0">
  <autoFilter ref="F490:J511" xr:uid="{072FBB10-3BF8-47CA-BF82-890AE88DB0BA}"/>
  <tableColumns count="5">
    <tableColumn id="1" xr3:uid="{FABCD698-C3BD-4FD5-A641-BA0291D7ED03}" name="time"/>
    <tableColumn id="2" xr3:uid="{BEF25304-B21B-4946-B955-10CB187E10D1}" name="moment" dataDxfId="205">
      <calculatedColumnFormula>(Table211443[[#This Row],[time]]-2)*2</calculatedColumnFormula>
    </tableColumn>
    <tableColumn id="3" xr3:uid="{BCCA555F-44C0-4DEC-8014-78C682725220}" name="CAREA"/>
    <tableColumn id="4" xr3:uid="{C09D3384-B7F4-4AFE-A5B9-14D8C54E9EB2}" name="CFNM"/>
    <tableColumn id="5" xr3:uid="{0D205941-EEC5-4CFD-8840-C1ED0275FE32}" name="CFNM/Total area contact" dataDxfId="204">
      <calculatedColumnFormula>Table211443[[#This Row],[CFNM]]/Table211443[[#This Row],[CAREA]]</calculatedColumnFormula>
    </tableColumn>
  </tableColumns>
  <tableStyleInfo name="TableStyleLight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3" xr:uid="{2526664E-E8A8-4BB9-B59D-FE0983B9BAB9}" name="Table312444" displayName="Table312444" ref="K490:O511" totalsRowShown="0">
  <autoFilter ref="K490:O511" xr:uid="{2526664E-E8A8-4BB9-B59D-FE0983B9BAB9}"/>
  <tableColumns count="5">
    <tableColumn id="1" xr3:uid="{A13CEEC4-046E-4498-B6D4-56B54F341857}" name="time"/>
    <tableColumn id="2" xr3:uid="{44E86F0B-2A43-4E75-BAEB-90F885B78503}" name="moment" dataDxfId="203">
      <calculatedColumnFormula>(Table312444[[#This Row],[time]]-2)*2</calculatedColumnFormula>
    </tableColumn>
    <tableColumn id="3" xr3:uid="{38E94220-EBC2-423F-AA24-3DA2352FC771}" name="CAREA"/>
    <tableColumn id="4" xr3:uid="{CF32EC32-1F81-4FB6-B467-E57C3BCA9914}" name="CFNM"/>
    <tableColumn id="5" xr3:uid="{1916CB03-0777-48B2-91BF-BEC6F241134D}" name="CFNM/Total area contact" dataDxfId="202">
      <calculatedColumnFormula>Table312444[[#This Row],[CFNM]]/Table312444[[#This Row],[CAREA]]</calculatedColumnFormula>
    </tableColumn>
  </tableColumns>
  <tableStyleInfo name="TableStyleLight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2F92F933-08D2-4093-9EDE-17AFD24D5B9D}" name="Table824271" displayName="Table824271" ref="AE7:AI28" totalsRowShown="0">
  <autoFilter ref="AE7:AI28" xr:uid="{2F92F933-08D2-4093-9EDE-17AFD24D5B9D}"/>
  <tableColumns count="5">
    <tableColumn id="1" xr3:uid="{6677DE20-9C53-4EFB-9382-40D55C03A134}" name="time"/>
    <tableColumn id="5" xr3:uid="{88CD358D-CF2F-4F69-9BCD-24A267B6B6AB}" name="moment" dataDxfId="453">
      <calculatedColumnFormula>-(Table824271[[#This Row],[time]]-2)*2</calculatedColumnFormula>
    </tableColumn>
    <tableColumn id="2" xr3:uid="{C6A3721F-9C5B-47AD-A596-87462862A91E}" name="CAREA"/>
    <tableColumn id="3" xr3:uid="{3760B55A-FE9E-4B26-BD66-F399C58D8B2C}" name="CFNM"/>
    <tableColumn id="4" xr3:uid="{0BF877B0-2A36-4327-B56B-DB11A1B11531}" name="CFNM/Total area contact" dataDxfId="452">
      <calculatedColumnFormula>Table824271[[#This Row],[CFNM]]/Table824271[[#This Row],[CAREA]]</calculatedColumnFormula>
    </tableColumn>
  </tableColumns>
  <tableStyleInfo name="TableStyleLight7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4" xr:uid="{8A254CA1-D321-41D5-AE6A-9D754B6C19F7}" name="Table413445" displayName="Table413445" ref="P490:T511" totalsRowShown="0">
  <autoFilter ref="P490:T511" xr:uid="{8A254CA1-D321-41D5-AE6A-9D754B6C19F7}"/>
  <tableColumns count="5">
    <tableColumn id="1" xr3:uid="{4E3207C2-47B1-4606-A24E-6B67A351A4EC}" name="time"/>
    <tableColumn id="2" xr3:uid="{D4BCBE59-EDDF-4548-83DD-1FCDCF158203}" name="moment" dataDxfId="201">
      <calculatedColumnFormula>(Table413445[[#This Row],[time]]-2)*2</calculatedColumnFormula>
    </tableColumn>
    <tableColumn id="3" xr3:uid="{B1C579BF-418C-4E10-8AFA-88D8F199BEF8}" name="CAREA"/>
    <tableColumn id="4" xr3:uid="{F1DD9752-8976-418A-A923-8906F7984850}" name="CFNM"/>
    <tableColumn id="5" xr3:uid="{5530B03B-314C-4FB7-9D89-5B326BDF80FC}" name="CFNM/Total area contact" dataDxfId="200">
      <calculatedColumnFormula>Table413445[[#This Row],[CFNM]]/Table413445[[#This Row],[CAREA]]</calculatedColumnFormula>
    </tableColumn>
  </tableColumns>
  <tableStyleInfo name="TableStyleLight4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5" xr:uid="{19B5031E-051F-4080-AF4C-DBB77E4F69D0}" name="Table514446" displayName="Table514446" ref="U490:Y511" totalsRowShown="0">
  <autoFilter ref="U490:Y511" xr:uid="{19B5031E-051F-4080-AF4C-DBB77E4F69D0}"/>
  <tableColumns count="5">
    <tableColumn id="1" xr3:uid="{1645A14B-9812-411B-9B70-32D4F50132CF}" name="time"/>
    <tableColumn id="2" xr3:uid="{0A85BEBD-BBA9-4418-99D8-402BD3621073}" name="moment" dataDxfId="199">
      <calculatedColumnFormula>(Table514446[[#This Row],[time]]-2)*2</calculatedColumnFormula>
    </tableColumn>
    <tableColumn id="3" xr3:uid="{025AA73D-E01B-4CA0-90EA-8A6A9B683C29}" name="CAREA"/>
    <tableColumn id="4" xr3:uid="{7B5F14E4-1C92-4C33-BB41-97F251E2248F}" name="CFNM"/>
    <tableColumn id="5" xr3:uid="{F49E9A7D-058C-492B-9CEE-1F5798F9C407}" name="CFNM/Total area contact" dataDxfId="198">
      <calculatedColumnFormula>Table514446[[#This Row],[CFNM]]/Table514446[[#This Row],[CAREA]]</calculatedColumnFormula>
    </tableColumn>
  </tableColumns>
  <tableStyleInfo name="TableStyleLight5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6" xr:uid="{CC148EA9-912E-4469-9C04-1AD6A5F6B9B8}" name="Table615447" displayName="Table615447" ref="Z490:AD511" totalsRowShown="0">
  <autoFilter ref="Z490:AD511" xr:uid="{CC148EA9-912E-4469-9C04-1AD6A5F6B9B8}"/>
  <tableColumns count="5">
    <tableColumn id="1" xr3:uid="{72F304DD-D55F-4652-AFB4-EC958EB29014}" name="time"/>
    <tableColumn id="2" xr3:uid="{FD2F21B3-0F1F-455C-8633-1B43B752F968}" name="moment" dataDxfId="197">
      <calculatedColumnFormula>(Table615447[[#This Row],[time]]-2)*2</calculatedColumnFormula>
    </tableColumn>
    <tableColumn id="3" xr3:uid="{6862F20F-34F8-4943-8F12-2F047676371E}" name="CAREA"/>
    <tableColumn id="4" xr3:uid="{BC3EA5F4-8DC0-485D-9E58-E31357824F89}" name="CFNM"/>
    <tableColumn id="5" xr3:uid="{32372FBE-C4E7-4C7A-8336-8872160F34D1}" name="CFNM/Total area contact" dataDxfId="196">
      <calculatedColumnFormula>Table615447[[#This Row],[CFNM]]/Table615447[[#This Row],[CAREA]]</calculatedColumnFormula>
    </tableColumn>
  </tableColumns>
  <tableStyleInfo name="TableStyleLight6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7" xr:uid="{EC81480F-F1EB-40E1-95CA-EB47A7B8A791}" name="Table716448" displayName="Table716448" ref="AE490:AI511" totalsRowShown="0">
  <autoFilter ref="AE490:AI511" xr:uid="{EC81480F-F1EB-40E1-95CA-EB47A7B8A791}"/>
  <tableColumns count="5">
    <tableColumn id="1" xr3:uid="{7050C7F4-3FBA-4B54-A020-D57B22D9C909}" name="time"/>
    <tableColumn id="2" xr3:uid="{6B0FE348-7E36-4FC7-90CD-A6102A741FC1}" name="moment" dataDxfId="195">
      <calculatedColumnFormula>(Table716448[[#This Row],[time]]-2)*2</calculatedColumnFormula>
    </tableColumn>
    <tableColumn id="3" xr3:uid="{D5DE0A6A-78C4-433C-9735-CAD81D54D570}" name="CAREA"/>
    <tableColumn id="4" xr3:uid="{93E0B1D4-042F-47DE-8B72-3F82DBB30D3D}" name="CFNM"/>
    <tableColumn id="5" xr3:uid="{705CD121-30D9-458C-97C9-8F784C1BE1AC}" name="CFNM/Total area contact" dataDxfId="194">
      <calculatedColumnFormula>Table716448[[#This Row],[CFNM]]/Table716448[[#This Row],[CAREA]]</calculatedColumnFormula>
    </tableColumn>
  </tableColumns>
  <tableStyleInfo name="TableStyleLight7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8" xr:uid="{FD2459B3-2673-4FC2-9275-5313FA4F8B50}" name="Table817449" displayName="Table817449" ref="AJ490:AN511" totalsRowShown="0">
  <autoFilter ref="AJ490:AN511" xr:uid="{FD2459B3-2673-4FC2-9275-5313FA4F8B50}"/>
  <tableColumns count="5">
    <tableColumn id="1" xr3:uid="{A671F7BE-6ABF-43B4-B438-46A42416E837}" name="time"/>
    <tableColumn id="2" xr3:uid="{75F5C577-339B-4F03-9EC7-14EA3E3CC0E8}" name="moment" dataDxfId="193">
      <calculatedColumnFormula>(Table817449[[#This Row],[time]]-2)*2</calculatedColumnFormula>
    </tableColumn>
    <tableColumn id="3" xr3:uid="{8A0C67F0-B43D-467B-9530-B5C4B1D36BF9}" name="CAREA"/>
    <tableColumn id="4" xr3:uid="{5E9391FE-ABA1-4E46-B828-36B24992EEE1}" name="CFNM"/>
    <tableColumn id="5" xr3:uid="{C440602B-7A41-408C-8671-A147C081CC50}" name="CFNM/Total area contact" dataDxfId="192">
      <calculatedColumnFormula>Table817449[[#This Row],[CFNM]]/Table817449[[#This Row],[CAREA]]</calculatedColumnFormula>
    </tableColumn>
  </tableColumns>
  <tableStyleInfo name="TableStyleLight15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9" xr:uid="{C750D1FB-178C-4BA6-BD17-BEBC8021DBEC}" name="Table1450" displayName="Table1450" ref="A520:E541" totalsRowShown="0">
  <autoFilter ref="A520:E541" xr:uid="{C750D1FB-178C-4BA6-BD17-BEBC8021DBEC}"/>
  <tableColumns count="5">
    <tableColumn id="1" xr3:uid="{90E5FD7E-0CFD-4BFF-9939-3F4FCC6B2451}" name="time"/>
    <tableColumn id="2" xr3:uid="{296E087B-4D75-42EB-A881-3BA623166C69}" name="moment" dataDxfId="191">
      <calculatedColumnFormula>-(Table1450[[#This Row],[time]]-2)*2</calculatedColumnFormula>
    </tableColumn>
    <tableColumn id="3" xr3:uid="{0078D622-377B-4C8A-95A9-0C6B674A30A2}" name="CAREA"/>
    <tableColumn id="4" xr3:uid="{C46B7B13-FE33-4FB3-8CB8-0E876C318C33}" name="CFNM"/>
    <tableColumn id="5" xr3:uid="{AF6E5481-2DC2-4A1E-9EEB-CFB75A9C63F6}" name="CFNM/Total area contact" dataDxfId="190">
      <calculatedColumnFormula>Table1450[[#This Row],[CFNM]]/Table1450[[#This Row],[CAREA]]</calculatedColumnFormula>
    </tableColumn>
  </tableColumns>
  <tableStyleInfo name="TableStyleLight1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0" xr:uid="{FDB2494A-E6B7-4B02-ABEF-3DBE955BB5DD}" name="Table2451" displayName="Table2451" ref="F520:J541" totalsRowShown="0">
  <autoFilter ref="F520:J541" xr:uid="{FDB2494A-E6B7-4B02-ABEF-3DBE955BB5DD}"/>
  <tableColumns count="5">
    <tableColumn id="1" xr3:uid="{A3DBB91E-F377-4FAA-B7E8-8073CD701440}" name="time"/>
    <tableColumn id="2" xr3:uid="{0B2DD473-6A8A-43C3-9094-77EA54D3B7D1}" name="moment" dataDxfId="189">
      <calculatedColumnFormula>-(Table2451[[#This Row],[time]]-2)*2</calculatedColumnFormula>
    </tableColumn>
    <tableColumn id="3" xr3:uid="{C97E8DB5-B7ED-47A5-B99F-514D7C4B2E01}" name="CAREA"/>
    <tableColumn id="4" xr3:uid="{803DD8AA-C6E6-4F44-B78C-A686CD91D3F1}" name="CFNM"/>
    <tableColumn id="5" xr3:uid="{3BF3F0EB-90B5-4055-A529-E63248360BA3}" name="CFNM/Total area contact" dataDxfId="188">
      <calculatedColumnFormula>Table2451[[#This Row],[CFNM]]/Table2451[[#This Row],[CAREA]]</calculatedColumnFormula>
    </tableColumn>
  </tableColumns>
  <tableStyleInfo name="TableStyleLight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1" xr:uid="{E8A6F346-05BC-464C-8424-B49A9E746C31}" name="Table3452" displayName="Table3452" ref="K520:O541" totalsRowShown="0">
  <autoFilter ref="K520:O541" xr:uid="{E8A6F346-05BC-464C-8424-B49A9E746C31}"/>
  <tableColumns count="5">
    <tableColumn id="1" xr3:uid="{5FCE03AA-09FA-47FA-8373-A0D4FC54BAA5}" name="time"/>
    <tableColumn id="2" xr3:uid="{7BF7F5AD-9A09-4B02-9314-E632B0DDBF1D}" name="moment" dataDxfId="187">
      <calculatedColumnFormula>-(Table3452[[#This Row],[time]]-2)*2</calculatedColumnFormula>
    </tableColumn>
    <tableColumn id="3" xr3:uid="{2852FA72-3C88-400F-888C-18E59677172F}" name="CAREA"/>
    <tableColumn id="4" xr3:uid="{5232B506-2822-4DE7-9E4C-AD06D5AC868F}" name="CFNM"/>
    <tableColumn id="5" xr3:uid="{63DC24C1-60FE-463D-8433-526461873D7B}" name="CFNM/Total area contact" dataDxfId="186">
      <calculatedColumnFormula>Table3452[[#This Row],[CFNM]]/Table3452[[#This Row],[CAREA]]</calculatedColumnFormula>
    </tableColumn>
  </tableColumns>
  <tableStyleInfo name="TableStyleLight3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2" xr:uid="{E0D0EA5A-D0F4-4B19-B45A-CA7E0B84A5A8}" name="Table4453" displayName="Table4453" ref="P520:T541" totalsRowShown="0">
  <autoFilter ref="P520:T541" xr:uid="{E0D0EA5A-D0F4-4B19-B45A-CA7E0B84A5A8}"/>
  <tableColumns count="5">
    <tableColumn id="1" xr3:uid="{24755574-D710-41D2-BE7D-7F79A97325E9}" name="time"/>
    <tableColumn id="2" xr3:uid="{26F42C59-BD05-4D66-85E4-C7E36C1D5E22}" name="moment" dataDxfId="185">
      <calculatedColumnFormula>-(Table4453[[#This Row],[time]]-2)*2</calculatedColumnFormula>
    </tableColumn>
    <tableColumn id="3" xr3:uid="{76CE1512-D46B-4BE8-8D58-12F35CD14EC9}" name="CAREA"/>
    <tableColumn id="4" xr3:uid="{16AB56C7-1ABC-4426-AAF9-41F8409BCCA0}" name="CFNM"/>
    <tableColumn id="5" xr3:uid="{E32D4DC8-4DAC-41EF-B2C5-C253724F963E}" name="CFNM/Total area contact" dataDxfId="184">
      <calculatedColumnFormula>Table4453[[#This Row],[CFNM]]/Table4453[[#This Row],[CAREA]]</calculatedColumnFormula>
    </tableColumn>
  </tableColumns>
  <tableStyleInfo name="TableStyleLight4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3" xr:uid="{1874A373-5F46-433D-ADFB-C5D24916F32C}" name="Table5454" displayName="Table5454" ref="U520:Y541" totalsRowShown="0">
  <autoFilter ref="U520:Y541" xr:uid="{1874A373-5F46-433D-ADFB-C5D24916F32C}"/>
  <tableColumns count="5">
    <tableColumn id="1" xr3:uid="{197A5758-409E-4ACB-A15B-7AD36F90D619}" name="time"/>
    <tableColumn id="2" xr3:uid="{3FBB191A-BCED-4B64-B701-FB216CB9D004}" name="moment" dataDxfId="183">
      <calculatedColumnFormula>-(Table5454[[#This Row],[time]]-2)*2</calculatedColumnFormula>
    </tableColumn>
    <tableColumn id="3" xr3:uid="{F95106E2-49A6-40C7-B63A-18FCEC316EFD}" name="CAREA"/>
    <tableColumn id="4" xr3:uid="{AE39DC9F-648A-4628-BF69-BA8FA31E84E1}" name="CFNM"/>
    <tableColumn id="5" xr3:uid="{5D2B102B-30FA-4AD3-A384-F3E369955014}" name="CFNM/Total area contact" dataDxfId="182">
      <calculatedColumnFormula>Table5454[[#This Row],[CFNM]]/Table5454[[#This Row],[CAREA]]</calculatedColumnFormula>
    </tableColumn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A958B2A5-D505-4FE9-980E-2E8D6E984870}" name="Table925272" displayName="Table925272" ref="AJ7:AN28" totalsRowShown="0">
  <autoFilter ref="AJ7:AN28" xr:uid="{A958B2A5-D505-4FE9-980E-2E8D6E984870}"/>
  <tableColumns count="5">
    <tableColumn id="1" xr3:uid="{4E5AD28C-F8D7-44D1-9FD4-912291571D93}" name="time"/>
    <tableColumn id="5" xr3:uid="{69DF6ECD-1732-40F3-A3DB-25FC6DE38B7B}" name="moment" dataDxfId="451">
      <calculatedColumnFormula>-(Table925272[[#This Row],[time]]-2)*2</calculatedColumnFormula>
    </tableColumn>
    <tableColumn id="2" xr3:uid="{6C4FE1B3-94B1-499D-AF22-DAD7588FD203}" name="CAREA"/>
    <tableColumn id="3" xr3:uid="{3A62D2CA-E97D-4996-8308-4CBF0B51F36B}" name="CFNM"/>
    <tableColumn id="4" xr3:uid="{C2EE7471-E37A-40F2-9068-6EAAE1FCAA01}" name="CFNM/Total area contact" dataDxfId="450">
      <calculatedColumnFormula>Table925272[[#This Row],[CFNM]]/Table925272[[#This Row],[CAREA]]</calculatedColumnFormula>
    </tableColumn>
  </tableColumns>
  <tableStyleInfo name="TableStyleLight15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4" xr:uid="{C0024369-4144-4B77-8C79-BBEB34832679}" name="Table6455" displayName="Table6455" ref="Z520:AD541" totalsRowShown="0">
  <autoFilter ref="Z520:AD541" xr:uid="{C0024369-4144-4B77-8C79-BBEB34832679}"/>
  <tableColumns count="5">
    <tableColumn id="1" xr3:uid="{BB613974-D027-43A5-8850-0FA0E4F4A7F3}" name="time"/>
    <tableColumn id="2" xr3:uid="{FAFD9D1C-0E18-439C-81E0-E9B000F4945C}" name="moment" dataDxfId="181">
      <calculatedColumnFormula>-(Table6455[[#This Row],[time]]-2)*2</calculatedColumnFormula>
    </tableColumn>
    <tableColumn id="3" xr3:uid="{22FD7D2E-5BD3-423B-86B0-26F6D439984D}" name="CAREA"/>
    <tableColumn id="4" xr3:uid="{44E0B485-2F7A-4EFC-B513-9B17616505A6}" name="CFNM"/>
    <tableColumn id="5" xr3:uid="{5F709E61-52BB-48B0-A55C-89A7CEECBBC8}" name="CFNM/Total area contact" dataDxfId="180">
      <calculatedColumnFormula>Table6455[[#This Row],[CFNM]]/Table6455[[#This Row],[CAREA]]</calculatedColumnFormula>
    </tableColumn>
  </tableColumns>
  <tableStyleInfo name="TableStyleLight6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5" xr:uid="{D32F64D5-491D-479A-B12D-6AF2300E8689}" name="Table7456" displayName="Table7456" ref="AE520:AI541" totalsRowShown="0">
  <autoFilter ref="AE520:AI541" xr:uid="{D32F64D5-491D-479A-B12D-6AF2300E8689}"/>
  <tableColumns count="5">
    <tableColumn id="1" xr3:uid="{AD8984B2-5D38-4C93-BE6F-8FB43868670A}" name="time"/>
    <tableColumn id="2" xr3:uid="{3E2B300A-EE8B-473E-A892-0BCFB5E7EB31}" name="moment" dataDxfId="179">
      <calculatedColumnFormula>-(Table7456[[#This Row],[time]]-2)*2</calculatedColumnFormula>
    </tableColumn>
    <tableColumn id="3" xr3:uid="{1137EB8A-6938-4892-A7DE-5B029BF55322}" name="CAREA"/>
    <tableColumn id="4" xr3:uid="{0F55E5F6-A920-4A44-90AB-2F86790756E4}" name="CFNM"/>
    <tableColumn id="5" xr3:uid="{F2BA6D14-31D0-463E-9144-7D062F643FBF}" name="CFNM/Total area contact" dataDxfId="178">
      <calculatedColumnFormula>Table7456[[#This Row],[CFNM]]/Table7456[[#This Row],[CAREA]]</calculatedColumnFormula>
    </tableColumn>
  </tableColumns>
  <tableStyleInfo name="TableStyleLight7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6" xr:uid="{165F47AE-7DBB-40C2-BD83-8C07B48DB3E1}" name="Table8457" displayName="Table8457" ref="AJ520:AN541" totalsRowShown="0">
  <autoFilter ref="AJ520:AN541" xr:uid="{165F47AE-7DBB-40C2-BD83-8C07B48DB3E1}"/>
  <tableColumns count="5">
    <tableColumn id="1" xr3:uid="{2B1E3A9E-908B-4E38-A355-22EF55A1BB64}" name="time"/>
    <tableColumn id="2" xr3:uid="{3D099A9D-502D-42A2-9DCF-41B8299C8B39}" name="moment" dataDxfId="177">
      <calculatedColumnFormula>-(Table8457[[#This Row],[time]]-2)*2</calculatedColumnFormula>
    </tableColumn>
    <tableColumn id="3" xr3:uid="{7C06F6A3-4F67-4E08-BDD1-F3C5F44A0A65}" name="CAREA"/>
    <tableColumn id="4" xr3:uid="{D8A501B7-640A-4761-87A8-7DC3186E9D96}" name="CFNM"/>
    <tableColumn id="5" xr3:uid="{E616D0FE-020E-43D2-A3FB-5E664CFB7E42}" name="CFNM/Total area contact" dataDxfId="176">
      <calculatedColumnFormula>Table8457[[#This Row],[CFNM]]/Table8457[[#This Row],[CAREA]]</calculatedColumnFormula>
    </tableColumn>
  </tableColumns>
  <tableStyleInfo name="TableStyleLight15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7" xr:uid="{EC744981-4097-4573-B4C0-857B316C59A5}" name="Table110458" displayName="Table110458" ref="A547:E568" totalsRowShown="0">
  <autoFilter ref="A547:E568" xr:uid="{EC744981-4097-4573-B4C0-857B316C59A5}"/>
  <tableColumns count="5">
    <tableColumn id="1" xr3:uid="{0BC1D986-9E04-42B5-A643-02D8B2505126}" name="time"/>
    <tableColumn id="2" xr3:uid="{B6C0ABF7-497F-4278-A639-C94CF2CF3110}" name="moment" dataDxfId="175">
      <calculatedColumnFormula>(Table110458[[#This Row],[time]]-2)*2</calculatedColumnFormula>
    </tableColumn>
    <tableColumn id="3" xr3:uid="{2864B78E-D25A-4AA4-9287-CC69B4693B05}" name="CAREA"/>
    <tableColumn id="4" xr3:uid="{DA105264-5722-49DF-A883-480671D3E242}" name="CFNM"/>
    <tableColumn id="5" xr3:uid="{4FCE4656-A3B5-4455-AD6C-5A00B9BB7903}" name="CFNM/Total area contact" dataDxfId="174">
      <calculatedColumnFormula>Table110458[[#This Row],[CFNM]]/Table110458[[#This Row],[CAREA]]</calculatedColumnFormula>
    </tableColumn>
  </tableColumns>
  <tableStyleInfo name="TableStyleLight1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8" xr:uid="{D73B7DF8-8F91-4242-92A5-8918794667F5}" name="Table211459" displayName="Table211459" ref="F547:J568" totalsRowShown="0">
  <autoFilter ref="F547:J568" xr:uid="{D73B7DF8-8F91-4242-92A5-8918794667F5}"/>
  <tableColumns count="5">
    <tableColumn id="1" xr3:uid="{CD81F4A3-0D02-4B41-B0B6-C8268CBA1FCE}" name="time"/>
    <tableColumn id="2" xr3:uid="{9AA1A018-7A23-4F06-B76D-BC2FDCE0EC34}" name="moment" dataDxfId="173">
      <calculatedColumnFormula>(Table211459[[#This Row],[time]]-2)*2</calculatedColumnFormula>
    </tableColumn>
    <tableColumn id="3" xr3:uid="{A80E00EC-A705-4389-B75B-AC91A1E01515}" name="CAREA"/>
    <tableColumn id="4" xr3:uid="{0DADC011-636B-425D-8817-359D5F0B3C0D}" name="CFNM"/>
    <tableColumn id="5" xr3:uid="{E03CBB84-9C3C-4A0D-BA5F-E3A478609976}" name="CFNM/Total area contact" dataDxfId="172">
      <calculatedColumnFormula>Table211459[[#This Row],[CFNM]]/Table211459[[#This Row],[CAREA]]</calculatedColumnFormula>
    </tableColumn>
  </tableColumns>
  <tableStyleInfo name="TableStyleLight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9" xr:uid="{9AE18659-EF08-41D1-AEBE-E229E35D052C}" name="Table312460" displayName="Table312460" ref="K547:O568" totalsRowShown="0">
  <autoFilter ref="K547:O568" xr:uid="{9AE18659-EF08-41D1-AEBE-E229E35D052C}"/>
  <tableColumns count="5">
    <tableColumn id="1" xr3:uid="{76D53FF7-C539-4016-93EA-A206E8013EBB}" name="time"/>
    <tableColumn id="2" xr3:uid="{D6155FC4-DDA8-42B0-B5D7-AF91411D5DB2}" name="moment" dataDxfId="171">
      <calculatedColumnFormula>(Table312460[[#This Row],[time]]-2)*2</calculatedColumnFormula>
    </tableColumn>
    <tableColumn id="3" xr3:uid="{34EB83CA-AEED-4345-8933-B33EE427C6F6}" name="CAREA"/>
    <tableColumn id="4" xr3:uid="{B88631F8-D0B5-4AD4-92E4-402611C2DCFC}" name="CFNM"/>
    <tableColumn id="5" xr3:uid="{EED99500-FC14-49FC-8969-F68AA20E8819}" name="CFNM/Total area contact" dataDxfId="170">
      <calculatedColumnFormula>Table312460[[#This Row],[CFNM]]/Table312460[[#This Row],[CAREA]]</calculatedColumnFormula>
    </tableColumn>
  </tableColumns>
  <tableStyleInfo name="TableStyleLight3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0" xr:uid="{14528287-FF2C-4FFC-88A9-2418CC219ED0}" name="Table413461" displayName="Table413461" ref="P547:T568" totalsRowShown="0">
  <autoFilter ref="P547:T568" xr:uid="{14528287-FF2C-4FFC-88A9-2418CC219ED0}"/>
  <tableColumns count="5">
    <tableColumn id="1" xr3:uid="{6E1679F0-5522-4F3F-9B1E-AAAB8FE13F28}" name="time"/>
    <tableColumn id="2" xr3:uid="{8FAE99F0-0DED-498D-B60B-71D09FD34822}" name="moment" dataDxfId="169">
      <calculatedColumnFormula>(Table413461[[#This Row],[time]]-2)*2</calculatedColumnFormula>
    </tableColumn>
    <tableColumn id="3" xr3:uid="{3D6802AB-E653-4A81-B8E6-E00F3383758C}" name="CAREA"/>
    <tableColumn id="4" xr3:uid="{F9BD4F6E-DBB8-44E8-A610-B413ADA9FD62}" name="CFNM"/>
    <tableColumn id="5" xr3:uid="{8E353153-092E-4A24-844B-083C4FC8B471}" name="CFNM/Total area contact" dataDxfId="168">
      <calculatedColumnFormula>Table413461[[#This Row],[CFNM]]/Table413461[[#This Row],[CAREA]]</calculatedColumnFormula>
    </tableColumn>
  </tableColumns>
  <tableStyleInfo name="TableStyleLight4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1" xr:uid="{04A191BF-B07D-430A-8020-9DE05DDE5B3F}" name="Table514462" displayName="Table514462" ref="U547:Y568" totalsRowShown="0">
  <autoFilter ref="U547:Y568" xr:uid="{04A191BF-B07D-430A-8020-9DE05DDE5B3F}"/>
  <tableColumns count="5">
    <tableColumn id="1" xr3:uid="{B93D44E5-68FF-4FFE-9AFB-55688251CB03}" name="time"/>
    <tableColumn id="2" xr3:uid="{359D6DF1-D2FB-4082-93C4-B86089119C1D}" name="moment" dataDxfId="167">
      <calculatedColumnFormula>(Table514462[[#This Row],[time]]-2)*2</calculatedColumnFormula>
    </tableColumn>
    <tableColumn id="3" xr3:uid="{D4B3E3BB-47C4-4A6A-818E-4380AFED4AE5}" name="CAREA"/>
    <tableColumn id="4" xr3:uid="{5FD6DB19-16BD-46AF-B0AC-2127D0168E79}" name="CFNM"/>
    <tableColumn id="5" xr3:uid="{09B4F488-D760-4C0C-A49F-16C66DC05313}" name="CFNM/Total area contact" dataDxfId="166">
      <calculatedColumnFormula>Table514462[[#This Row],[CFNM]]/Table514462[[#This Row],[CAREA]]</calculatedColumnFormula>
    </tableColumn>
  </tableColumns>
  <tableStyleInfo name="TableStyleLight5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2" xr:uid="{0675F1FF-3947-42D3-8172-62B641E25747}" name="Table615463" displayName="Table615463" ref="Z547:AD568" totalsRowShown="0">
  <autoFilter ref="Z547:AD568" xr:uid="{0675F1FF-3947-42D3-8172-62B641E25747}"/>
  <tableColumns count="5">
    <tableColumn id="1" xr3:uid="{B3CDBB31-49D1-4E7E-99AE-CAFE5BB559B4}" name="time"/>
    <tableColumn id="2" xr3:uid="{9BA6F371-43EE-4EEC-A4CD-F0E376E25C6F}" name="moment" dataDxfId="165">
      <calculatedColumnFormula>(Table615463[[#This Row],[time]]-2)*2</calculatedColumnFormula>
    </tableColumn>
    <tableColumn id="3" xr3:uid="{F5D8140E-1387-4540-9DC3-3A87EAC97FA3}" name="CAREA"/>
    <tableColumn id="4" xr3:uid="{A6DFAEEA-D3F1-414E-A955-59E57D613A96}" name="CFNM"/>
    <tableColumn id="5" xr3:uid="{4E565136-3286-4B5F-9667-4CCDBC5F0C68}" name="CFNM/Total area contact" dataDxfId="164">
      <calculatedColumnFormula>Table615463[[#This Row],[CFNM]]/Table615463[[#This Row],[CAREA]]</calculatedColumnFormula>
    </tableColumn>
  </tableColumns>
  <tableStyleInfo name="TableStyleLight6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3" xr:uid="{5AAE1602-218A-4E79-AA55-165A2C6725FD}" name="Table716464" displayName="Table716464" ref="AE547:AI568" totalsRowShown="0">
  <autoFilter ref="AE547:AI568" xr:uid="{5AAE1602-218A-4E79-AA55-165A2C6725FD}"/>
  <tableColumns count="5">
    <tableColumn id="1" xr3:uid="{E304E335-7A17-422E-B98A-B2A9C7296C27}" name="time"/>
    <tableColumn id="2" xr3:uid="{6D9A5C75-F5C6-4211-BE3E-1AD0F038517F}" name="moment" dataDxfId="163">
      <calculatedColumnFormula>(Table716464[[#This Row],[time]]-2)*2</calculatedColumnFormula>
    </tableColumn>
    <tableColumn id="3" xr3:uid="{98EF880E-8FD9-4416-8915-E0013A38CCF7}" name="CAREA"/>
    <tableColumn id="4" xr3:uid="{9EE97B4C-91EE-4528-A291-CFEB0C71B7AD}" name="CFNM"/>
    <tableColumn id="5" xr3:uid="{D72D8EEE-FCEB-426D-B343-E782B5FBD298}" name="CFNM/Total area contact" dataDxfId="162">
      <calculatedColumnFormula>Table716464[[#This Row],[CFNM]]/Table716464[[#This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566F6203-DA5B-4082-A4CA-763A5E5F2CE8}" name="Table16273" displayName="Table16273" ref="P7:T28" totalsRowShown="0">
  <autoFilter ref="P7:T28" xr:uid="{566F6203-DA5B-4082-A4CA-763A5E5F2CE8}"/>
  <tableColumns count="5">
    <tableColumn id="1" xr3:uid="{78BE0415-22A9-4309-99D2-328774C414C1}" name="time"/>
    <tableColumn id="2" xr3:uid="{9304EFE3-2E85-4201-9D56-82E33A7778C6}" name="moment" dataDxfId="449">
      <calculatedColumnFormula>-(Table16273[[#This Row],[time]]-2)*2</calculatedColumnFormula>
    </tableColumn>
    <tableColumn id="3" xr3:uid="{96A857BD-03B2-41DF-9278-C2F78AD3F290}" name="CAREA"/>
    <tableColumn id="4" xr3:uid="{92EA2F87-3244-40B0-A349-2F3F0A36D322}" name="CFNM"/>
    <tableColumn id="5" xr3:uid="{F391F498-0A5B-489E-905D-AA420D7B5C1B}" name="CFNM/Total area contact" dataDxfId="448">
      <calculatedColumnFormula>Table16273[[#This Row],[CFNM]]/Table16273[[#This Row],[CAREA]]</calculatedColumnFormula>
    </tableColumn>
  </tableColumns>
  <tableStyleInfo name="TableStyleLight4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4" xr:uid="{01E1B99A-ABCD-414D-89A5-5B5942ADA3F8}" name="Table817465" displayName="Table817465" ref="AJ547:AN568" totalsRowShown="0">
  <autoFilter ref="AJ547:AN568" xr:uid="{01E1B99A-ABCD-414D-89A5-5B5942ADA3F8}"/>
  <tableColumns count="5">
    <tableColumn id="1" xr3:uid="{6E8EB2CC-AEC1-4FC8-A621-7A4223D8ECFC}" name="time"/>
    <tableColumn id="2" xr3:uid="{94CAA781-051F-4298-896B-6CE9CFF996DD}" name="moment" dataDxfId="161">
      <calculatedColumnFormula>(Table817465[[#This Row],[time]]-2)*2</calculatedColumnFormula>
    </tableColumn>
    <tableColumn id="3" xr3:uid="{0A7C35E4-20D7-41B3-B905-57DBA9CF3661}" name="CAREA"/>
    <tableColumn id="4" xr3:uid="{27784E2C-BD7D-4085-AE7D-5F204867D711}" name="CFNM"/>
    <tableColumn id="5" xr3:uid="{B7C7A08C-D938-4B9A-B3DE-6EA3C0C664B1}" name="CFNM/Total area contact" dataDxfId="160">
      <calculatedColumnFormula>Table817465[[#This Row],[CFNM]]/Table817465[[#This Row],[CAREA]]</calculatedColumnFormula>
    </tableColumn>
  </tableColumns>
  <tableStyleInfo name="TableStyleLight15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5" xr:uid="{01DB674F-7992-413E-80A9-62C5A2E55806}" name="Table1466" displayName="Table1466" ref="A577:E598" totalsRowShown="0">
  <autoFilter ref="A577:E598" xr:uid="{01DB674F-7992-413E-80A9-62C5A2E55806}"/>
  <tableColumns count="5">
    <tableColumn id="1" xr3:uid="{B9B2F44E-7D74-4FF5-9ADF-8343B824C7F7}" name="time"/>
    <tableColumn id="2" xr3:uid="{9E8EC9B7-6472-4500-B0A1-77A527C7055A}" name="moment" dataDxfId="159">
      <calculatedColumnFormula>-(Table1466[[#This Row],[time]]-2)*2</calculatedColumnFormula>
    </tableColumn>
    <tableColumn id="3" xr3:uid="{170078E5-D408-4F98-905D-E3F88CD3F130}" name="CAREA"/>
    <tableColumn id="4" xr3:uid="{5C381B2E-6B8C-45F1-A08A-EB3A873A72A5}" name="CFNM"/>
    <tableColumn id="5" xr3:uid="{844E82FF-250B-40D8-9960-C90FAECFA94B}" name="CFNM/Total area contact" dataDxfId="158">
      <calculatedColumnFormula>Table1466[[#This Row],[CFNM]]/Table1466[[#This Row],[CAREA]]</calculatedColumnFormula>
    </tableColumn>
  </tableColumns>
  <tableStyleInfo name="TableStyleLight1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6" xr:uid="{7B41BAA4-A574-49E6-A82F-0DFC61C11270}" name="Table2467" displayName="Table2467" ref="F577:J598" totalsRowShown="0">
  <autoFilter ref="F577:J598" xr:uid="{7B41BAA4-A574-49E6-A82F-0DFC61C11270}"/>
  <tableColumns count="5">
    <tableColumn id="1" xr3:uid="{8710C139-2D6D-463C-B3E3-824DFE9753EA}" name="time"/>
    <tableColumn id="2" xr3:uid="{D054697E-ADDB-42A0-AA59-1EC309187CD7}" name="moment" dataDxfId="157">
      <calculatedColumnFormula>-(Table2467[[#This Row],[time]]-2)*2</calculatedColumnFormula>
    </tableColumn>
    <tableColumn id="3" xr3:uid="{93FEC9CB-2DB3-421B-AC16-D8F4B961FD81}" name="CAREA"/>
    <tableColumn id="4" xr3:uid="{9B1229FD-9CE0-4080-B638-E5DD3E5864EC}" name="CFNM"/>
    <tableColumn id="5" xr3:uid="{CCF8881B-594E-483A-8138-042EA02D71B0}" name="CFNM/Total area contact" dataDxfId="156">
      <calculatedColumnFormula>Table2467[[#This Row],[CFNM]]/Table2467[[#This Row],[CAREA]]</calculatedColumnFormula>
    </tableColumn>
  </tableColumns>
  <tableStyleInfo name="TableStyleLight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7" xr:uid="{B5F6EAA2-EC83-4AD5-84FA-DF73F86ABD5B}" name="Table3468" displayName="Table3468" ref="K577:O598" totalsRowShown="0">
  <autoFilter ref="K577:O598" xr:uid="{B5F6EAA2-EC83-4AD5-84FA-DF73F86ABD5B}"/>
  <tableColumns count="5">
    <tableColumn id="1" xr3:uid="{17D1D632-2FE7-4A61-8766-21B697D64C78}" name="time"/>
    <tableColumn id="2" xr3:uid="{E9B6B4EF-E03D-48FE-91F1-98AB1695CFCF}" name="moment" dataDxfId="155">
      <calculatedColumnFormula>-(Table3468[[#This Row],[time]]-2)*2</calculatedColumnFormula>
    </tableColumn>
    <tableColumn id="3" xr3:uid="{5499902E-A72E-4BD7-AF38-F28B5D89161F}" name="CAREA"/>
    <tableColumn id="4" xr3:uid="{8C3504A0-3A75-4AC5-B743-CA66FF7AE693}" name="CFNM"/>
    <tableColumn id="5" xr3:uid="{6A472FEB-876C-49B6-BF5C-3DD97821BEFA}" name="CFNM/Total area contact" dataDxfId="154">
      <calculatedColumnFormula>Table3468[[#This Row],[CFNM]]/Table3468[[#This Row],[CAREA]]</calculatedColumnFormula>
    </tableColumn>
  </tableColumns>
  <tableStyleInfo name="TableStyleLight3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8" xr:uid="{A0EB0349-AF86-4A51-9554-4D87CEB423A4}" name="Table4469" displayName="Table4469" ref="P577:T598" totalsRowShown="0">
  <autoFilter ref="P577:T598" xr:uid="{A0EB0349-AF86-4A51-9554-4D87CEB423A4}"/>
  <tableColumns count="5">
    <tableColumn id="1" xr3:uid="{D1A6E0B0-C930-406E-9550-19D370E37B67}" name="time"/>
    <tableColumn id="2" xr3:uid="{92664955-9CCB-4566-90DE-1C063CEA9A13}" name="moment" dataDxfId="153">
      <calculatedColumnFormula>-(Table4469[[#This Row],[time]]-2)*2</calculatedColumnFormula>
    </tableColumn>
    <tableColumn id="3" xr3:uid="{5EA30D2E-BCEE-465B-8A6B-58EEB60ED918}" name="CAREA"/>
    <tableColumn id="4" xr3:uid="{30263F92-7D76-49CC-8EDE-2048B08435DC}" name="CFNM"/>
    <tableColumn id="5" xr3:uid="{F575F5F9-6D33-47A5-A682-3A481E04813E}" name="CFNM/Total area contact" dataDxfId="152">
      <calculatedColumnFormula>Table4469[[#This Row],[CFNM]]/Table4469[[#This Row],[CAREA]]</calculatedColumnFormula>
    </tableColumn>
  </tableColumns>
  <tableStyleInfo name="TableStyleLight4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9" xr:uid="{19112776-9EE4-47B2-A222-1D62F4011032}" name="Table5470" displayName="Table5470" ref="U577:Y598" totalsRowShown="0">
  <autoFilter ref="U577:Y598" xr:uid="{19112776-9EE4-47B2-A222-1D62F4011032}"/>
  <tableColumns count="5">
    <tableColumn id="1" xr3:uid="{7DE767BE-F99F-41E3-BC6C-967E60A6CEEF}" name="time"/>
    <tableColumn id="2" xr3:uid="{33A6DF2F-4768-4B1B-A035-D50CD58E1235}" name="moment" dataDxfId="151">
      <calculatedColumnFormula>-(Table5470[[#This Row],[time]]-2)*2</calculatedColumnFormula>
    </tableColumn>
    <tableColumn id="3" xr3:uid="{767B1C02-5A28-4F46-A16F-7360DB016C24}" name="CAREA"/>
    <tableColumn id="4" xr3:uid="{B81DBA0E-0436-4762-A692-00208836382C}" name="CFNM"/>
    <tableColumn id="5" xr3:uid="{0820639B-9B85-4391-BB6F-F02BDD9712C2}" name="CFNM/Total area contact" dataDxfId="150">
      <calculatedColumnFormula>Table5470[[#This Row],[CFNM]]/Table5470[[#This Row],[CAREA]]</calculatedColumnFormula>
    </tableColumn>
  </tableColumns>
  <tableStyleInfo name="TableStyleLight5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0" xr:uid="{0A83C1BF-2B91-4EF7-A63C-A70D39290162}" name="Table6471" displayName="Table6471" ref="Z577:AD598" totalsRowShown="0">
  <autoFilter ref="Z577:AD598" xr:uid="{0A83C1BF-2B91-4EF7-A63C-A70D39290162}"/>
  <tableColumns count="5">
    <tableColumn id="1" xr3:uid="{7BCE30BE-B13A-45CF-8B3C-06D832810157}" name="time"/>
    <tableColumn id="2" xr3:uid="{97F85E42-8975-4D0B-B07C-80270E6FE7FB}" name="moment" dataDxfId="149">
      <calculatedColumnFormula>-(Table6471[[#This Row],[time]]-2)*2</calculatedColumnFormula>
    </tableColumn>
    <tableColumn id="3" xr3:uid="{556BCC9D-8DE4-463D-8674-166441B40915}" name="CAREA"/>
    <tableColumn id="4" xr3:uid="{D925BE2B-587D-42ED-860E-5440E78A99CE}" name="CFNM"/>
    <tableColumn id="5" xr3:uid="{1B265909-109B-415E-9326-7536C2E1DB91}" name="CFNM/Total area contact" dataDxfId="148">
      <calculatedColumnFormula>Table6471[[#This Row],[CFNM]]/Table6471[[#This Row],[CAREA]]</calculatedColumnFormula>
    </tableColumn>
  </tableColumns>
  <tableStyleInfo name="TableStyleLight6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1" xr:uid="{B54942F0-2306-4EA4-BC4E-4BE67DEA2CDF}" name="Table7472" displayName="Table7472" ref="AE577:AI598" totalsRowShown="0">
  <autoFilter ref="AE577:AI598" xr:uid="{B54942F0-2306-4EA4-BC4E-4BE67DEA2CDF}"/>
  <tableColumns count="5">
    <tableColumn id="1" xr3:uid="{69C2F263-13CE-4C00-82D8-81E1E1EEF81F}" name="time"/>
    <tableColumn id="2" xr3:uid="{B654363A-D2F3-403B-A583-97EC28501B28}" name="moment" dataDxfId="147">
      <calculatedColumnFormula>-(Table7472[[#This Row],[time]]-2)*2</calculatedColumnFormula>
    </tableColumn>
    <tableColumn id="3" xr3:uid="{8A76471B-A336-43EF-A475-E1E1EE54C3D2}" name="CAREA"/>
    <tableColumn id="4" xr3:uid="{D8D0A4CA-0A62-439C-96FE-1817303CFA01}" name="CFNM"/>
    <tableColumn id="5" xr3:uid="{7ACEB382-DE60-4334-93D8-5FEE19FFF86D}" name="CFNM/Total area contact" dataDxfId="146">
      <calculatedColumnFormula>Table7472[[#This Row],[CFNM]]/Table7472[[#This Row],[CAREA]]</calculatedColumnFormula>
    </tableColumn>
  </tableColumns>
  <tableStyleInfo name="TableStyleLight7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2" xr:uid="{97C939F4-4787-4968-92A8-3B57C5202DCD}" name="Table8473" displayName="Table8473" ref="AJ577:AN598" totalsRowShown="0">
  <autoFilter ref="AJ577:AN598" xr:uid="{97C939F4-4787-4968-92A8-3B57C5202DCD}"/>
  <tableColumns count="5">
    <tableColumn id="1" xr3:uid="{DD64FD56-57B9-4B09-87BC-FE194E6F363C}" name="time"/>
    <tableColumn id="2" xr3:uid="{98E345E4-3EC3-41EC-BB17-9D656ABCDEB6}" name="moment" dataDxfId="145">
      <calculatedColumnFormula>-(Table8473[[#This Row],[time]]-2)*2</calculatedColumnFormula>
    </tableColumn>
    <tableColumn id="3" xr3:uid="{85D67D49-F450-4327-97C6-CE39DD37C51D}" name="CAREA"/>
    <tableColumn id="4" xr3:uid="{9B7C7394-289F-495B-874B-BBF9FCCC7E71}" name="CFNM"/>
    <tableColumn id="5" xr3:uid="{0485E05B-4F30-4C82-97FC-F0C274405C5C}" name="CFNM/Total area contact" dataDxfId="144">
      <calculatedColumnFormula>Table8473[[#This Row],[CFNM]]/Table8473[[#This Row],[CAREA]]</calculatedColumnFormula>
    </tableColumn>
  </tableColumns>
  <tableStyleInfo name="TableStyleLight15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3" xr:uid="{D305B2FE-04DD-483D-8F28-8D8E8656444B}" name="Table110474" displayName="Table110474" ref="A604:E625" totalsRowShown="0">
  <autoFilter ref="A604:E625" xr:uid="{D305B2FE-04DD-483D-8F28-8D8E8656444B}"/>
  <tableColumns count="5">
    <tableColumn id="1" xr3:uid="{41C9B4D5-7E19-4CAB-9789-A913AEE082AC}" name="time"/>
    <tableColumn id="2" xr3:uid="{07C40487-3984-40FA-B4C7-A71334645A68}" name="moment" dataDxfId="143">
      <calculatedColumnFormula>(Table110474[[#This Row],[time]]-2)*2</calculatedColumnFormula>
    </tableColumn>
    <tableColumn id="3" xr3:uid="{1DD42DC5-6927-4AFB-98F1-A70CFEBDA72C}" name="CAREA"/>
    <tableColumn id="4" xr3:uid="{A927A3CA-5545-4EED-8C04-BCCEE4187444}" name="CFNM"/>
    <tableColumn id="5" xr3:uid="{135ACD6B-ADF6-46C0-A61F-E7E2FC818329}" name="CFNM/Total area contact" dataDxfId="142">
      <calculatedColumnFormula>Table110474[[#This Row],[CFNM]]/Table110474[[#This Row],[CAREA]]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1CAC107D-B265-4E24-B313-6D34CEE63937}" name="Table1274" displayName="Table1274" ref="A91:E112" totalsRowShown="0">
  <autoFilter ref="A91:E112" xr:uid="{1CAC107D-B265-4E24-B313-6D34CEE63937}"/>
  <tableColumns count="5">
    <tableColumn id="1" xr3:uid="{1CB7C839-8792-4385-A9C3-24EAA08CE0FA}" name="time"/>
    <tableColumn id="2" xr3:uid="{67CEC4B6-DB53-4E73-9312-C07772D3B5A1}" name="moment" dataDxfId="447">
      <calculatedColumnFormula>(Table1274[[#This Row],[time]]-2)*2</calculatedColumnFormula>
    </tableColumn>
    <tableColumn id="3" xr3:uid="{CBD7477C-F5AC-472D-90EF-292ECA928B2B}" name="CAREA"/>
    <tableColumn id="4" xr3:uid="{90B9A045-1657-40CF-9ED6-90B3B389A240}" name="CFNM"/>
    <tableColumn id="5" xr3:uid="{87D680EF-B22B-4A0D-9F0B-3D3EF15FB900}" name="CFNM/Total area contact" dataDxfId="446">
      <calculatedColumnFormula>Table1274[[#This Row],[CFNM]]/Table1274[[#This Row],[CAREA]]</calculatedColumnFormula>
    </tableColumn>
  </tableColumns>
  <tableStyleInfo name="TableStyleLight1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4" xr:uid="{724CCEBB-D45A-48EC-849A-E30D43FD9AA7}" name="Table211475" displayName="Table211475" ref="F604:J625" totalsRowShown="0">
  <autoFilter ref="F604:J625" xr:uid="{724CCEBB-D45A-48EC-849A-E30D43FD9AA7}"/>
  <tableColumns count="5">
    <tableColumn id="1" xr3:uid="{7C93B85F-004F-4EC7-8B1E-5EA37F7B568E}" name="time"/>
    <tableColumn id="2" xr3:uid="{F3406072-1835-4D7C-93FA-BE08F5B1C26D}" name="moment" dataDxfId="141">
      <calculatedColumnFormula>(Table211475[[#This Row],[time]]-2)*2</calculatedColumnFormula>
    </tableColumn>
    <tableColumn id="3" xr3:uid="{7412A12F-7B58-4935-9237-9444A16BFF91}" name="CAREA"/>
    <tableColumn id="4" xr3:uid="{97AB96BE-8267-4A3F-A431-2F6FA287E486}" name="CFNM"/>
    <tableColumn id="5" xr3:uid="{9EC9500A-DE18-42FD-A2FE-FE20D301F1A8}" name="CFNM/Total area contact" dataDxfId="140">
      <calculatedColumnFormula>Table211475[[#This Row],[CFNM]]/Table211475[[#This Row],[CAREA]]</calculatedColumnFormula>
    </tableColumn>
  </tableColumns>
  <tableStyleInfo name="TableStyleLight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5" xr:uid="{1191BBB7-7ACC-456D-A28D-4519C522D581}" name="Table312476" displayName="Table312476" ref="K604:O625" totalsRowShown="0">
  <autoFilter ref="K604:O625" xr:uid="{1191BBB7-7ACC-456D-A28D-4519C522D581}"/>
  <tableColumns count="5">
    <tableColumn id="1" xr3:uid="{12ED67C9-1B74-4862-B843-4D642D126AD2}" name="time"/>
    <tableColumn id="2" xr3:uid="{8D98D2C3-3CC8-4258-89B0-9199C2B7CEAB}" name="moment" dataDxfId="139">
      <calculatedColumnFormula>(Table312476[[#This Row],[time]]-2)*2</calculatedColumnFormula>
    </tableColumn>
    <tableColumn id="3" xr3:uid="{0D926829-4B34-4DBD-A724-B1D7E9EC0780}" name="CAREA"/>
    <tableColumn id="4" xr3:uid="{20BBDD5C-25AE-4B56-AB74-8FF7A2564519}" name="CFNM"/>
    <tableColumn id="5" xr3:uid="{1EE370E7-3D09-41F8-9286-A3A952137311}" name="CFNM/Total area contact" dataDxfId="138">
      <calculatedColumnFormula>Table312476[[#This Row],[CFNM]]/Table312476[[#This Row],[CAREA]]</calculatedColumnFormula>
    </tableColumn>
  </tableColumns>
  <tableStyleInfo name="TableStyleLight3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6" xr:uid="{DB01E7BE-5249-4042-B668-8D4B7AEA951C}" name="Table413477" displayName="Table413477" ref="P604:T625" totalsRowShown="0">
  <autoFilter ref="P604:T625" xr:uid="{DB01E7BE-5249-4042-B668-8D4B7AEA951C}"/>
  <tableColumns count="5">
    <tableColumn id="1" xr3:uid="{4BF5C97C-7DDF-4A9C-932B-8CE22C12D12F}" name="time"/>
    <tableColumn id="2" xr3:uid="{F5E55E21-CBAA-4992-9C3E-20EB3330840E}" name="moment" dataDxfId="137">
      <calculatedColumnFormula>(Table413477[[#This Row],[time]]-2)*2</calculatedColumnFormula>
    </tableColumn>
    <tableColumn id="3" xr3:uid="{45A56849-0C36-4598-AA91-C3B427D469A9}" name="CAREA"/>
    <tableColumn id="4" xr3:uid="{8E792656-924F-45D3-9083-B92D009D1158}" name="CFNM"/>
    <tableColumn id="5" xr3:uid="{BF8AC8AA-993B-44C5-BA96-EDC3A0FA1908}" name="CFNM/Total area contact" dataDxfId="136">
      <calculatedColumnFormula>Table413477[[#This Row],[CFNM]]/Table413477[[#This Row],[CAREA]]</calculatedColumnFormula>
    </tableColumn>
  </tableColumns>
  <tableStyleInfo name="TableStyleLight4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7" xr:uid="{CEEE907D-F754-4D17-8A7F-B38E9AE66A9F}" name="Table514478" displayName="Table514478" ref="U604:Y625" totalsRowShown="0">
  <autoFilter ref="U604:Y625" xr:uid="{CEEE907D-F754-4D17-8A7F-B38E9AE66A9F}"/>
  <tableColumns count="5">
    <tableColumn id="1" xr3:uid="{E8443A26-74E5-4B04-B40F-DEFB61B3104A}" name="time"/>
    <tableColumn id="2" xr3:uid="{86665C4C-21D8-49C8-81C9-22BB52D442F0}" name="moment" dataDxfId="135">
      <calculatedColumnFormula>(Table514478[[#This Row],[time]]-2)*2</calculatedColumnFormula>
    </tableColumn>
    <tableColumn id="3" xr3:uid="{4DB17610-F227-4BFE-9C41-F2862FD40841}" name="CAREA"/>
    <tableColumn id="4" xr3:uid="{47EDD7A0-DE50-427E-A883-8E857EDB0B49}" name="CFNM"/>
    <tableColumn id="5" xr3:uid="{CFF7D9B9-77D7-4D6B-9A0C-660A38493AE9}" name="CFNM/Total area contact" dataDxfId="134">
      <calculatedColumnFormula>Table514478[[#This Row],[CFNM]]/Table514478[[#This Row],[CAREA]]</calculatedColumnFormula>
    </tableColumn>
  </tableColumns>
  <tableStyleInfo name="TableStyleLight5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8" xr:uid="{362DA8FE-966A-4E3A-8E03-E23C25F046EF}" name="Table615479" displayName="Table615479" ref="Z604:AD625" totalsRowShown="0">
  <autoFilter ref="Z604:AD625" xr:uid="{362DA8FE-966A-4E3A-8E03-E23C25F046EF}"/>
  <tableColumns count="5">
    <tableColumn id="1" xr3:uid="{99E9BEF4-A93C-4456-8974-A8C25BDA6DF9}" name="time"/>
    <tableColumn id="2" xr3:uid="{CD0EF5F8-9BE1-4E92-BB1B-6E4906F0A198}" name="moment" dataDxfId="133">
      <calculatedColumnFormula>(Table615479[[#This Row],[time]]-2)*2</calculatedColumnFormula>
    </tableColumn>
    <tableColumn id="3" xr3:uid="{59CAC489-EF9F-4CD2-A7BA-3D76F25E62D2}" name="CAREA"/>
    <tableColumn id="4" xr3:uid="{29789C74-B698-4A78-BCCF-8D8AE261B024}" name="CFNM"/>
    <tableColumn id="5" xr3:uid="{8411EA36-74D7-450C-BD1E-DBA2AD843C28}" name="CFNM/Total area contact" dataDxfId="132">
      <calculatedColumnFormula>Table615479[[#This Row],[CFNM]]/Table615479[[#This Row],[CAREA]]</calculatedColumnFormula>
    </tableColumn>
  </tableColumns>
  <tableStyleInfo name="TableStyleLight6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9" xr:uid="{8CEEA1D6-7AE1-4025-8C6F-98BCA93F778B}" name="Table716480" displayName="Table716480" ref="AE604:AI625" totalsRowShown="0">
  <autoFilter ref="AE604:AI625" xr:uid="{8CEEA1D6-7AE1-4025-8C6F-98BCA93F778B}"/>
  <tableColumns count="5">
    <tableColumn id="1" xr3:uid="{5F8DB3F7-95A9-4D1B-855D-BFBA9D52435E}" name="time"/>
    <tableColumn id="2" xr3:uid="{81D1B921-44E8-49EA-B759-35FBA9262D1A}" name="moment" dataDxfId="131">
      <calculatedColumnFormula>(Table716480[[#This Row],[time]]-2)*2</calculatedColumnFormula>
    </tableColumn>
    <tableColumn id="3" xr3:uid="{D9B76F06-02A9-410B-BB25-F1054A642828}" name="CAREA"/>
    <tableColumn id="4" xr3:uid="{01D39B1B-9A85-4281-98EC-69BBC2256433}" name="CFNM"/>
    <tableColumn id="5" xr3:uid="{8DD152D3-FACD-44B4-B9D9-D591D850652E}" name="CFNM/Total area contact" dataDxfId="130">
      <calculatedColumnFormula>Table716480[[#This Row],[CFNM]]/Table716480[[#This Row],[CAREA]]</calculatedColumnFormula>
    </tableColumn>
  </tableColumns>
  <tableStyleInfo name="TableStyleLight7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0" xr:uid="{8C7170BB-C54F-4105-A6EE-A5478729205D}" name="Table817481" displayName="Table817481" ref="AJ604:AN625" totalsRowShown="0">
  <autoFilter ref="AJ604:AN625" xr:uid="{8C7170BB-C54F-4105-A6EE-A5478729205D}"/>
  <tableColumns count="5">
    <tableColumn id="1" xr3:uid="{5793EB9C-9A00-4D2A-949B-6647E1DD452F}" name="time"/>
    <tableColumn id="2" xr3:uid="{83771ABD-B0BF-4F1C-A358-927D9F76E3E1}" name="moment" dataDxfId="129">
      <calculatedColumnFormula>(Table817481[[#This Row],[time]]-2)*2</calculatedColumnFormula>
    </tableColumn>
    <tableColumn id="3" xr3:uid="{C14493C8-04B1-4F86-9C67-A2E745B50113}" name="CAREA"/>
    <tableColumn id="4" xr3:uid="{3B9D13BB-443A-4DA2-8750-5E79EA0A5F8F}" name="CFNM"/>
    <tableColumn id="5" xr3:uid="{FC858C80-81EB-4D3E-8C64-1D2E94238169}" name="CFNM/Total area contact" dataDxfId="128">
      <calculatedColumnFormula>Table817481[[#This Row],[CFNM]]/Table817481[[#This Row],[CAREA]]</calculatedColumnFormula>
    </tableColumn>
  </tableColumns>
  <tableStyleInfo name="TableStyleLight15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1" xr:uid="{1026CD07-DCE3-4F7B-930E-9FD9C87C2B91}" name="Table1482" displayName="Table1482" ref="A634:E655" totalsRowShown="0">
  <autoFilter ref="A634:E655" xr:uid="{1026CD07-DCE3-4F7B-930E-9FD9C87C2B91}"/>
  <tableColumns count="5">
    <tableColumn id="1" xr3:uid="{451C5266-58FC-4C2E-AEBF-1AF58102F84C}" name="time"/>
    <tableColumn id="2" xr3:uid="{90528920-22A2-43EE-A973-022E6C37BF60}" name="moment" dataDxfId="127">
      <calculatedColumnFormula>-(Table1482[[#This Row],[time]]-2)*2</calculatedColumnFormula>
    </tableColumn>
    <tableColumn id="3" xr3:uid="{4A873080-00E6-4947-A0AF-DDB631091BD7}" name="CAREA"/>
    <tableColumn id="4" xr3:uid="{1F4C22E3-ED99-4B53-A86E-C950EFBA90AD}" name="CFNM"/>
    <tableColumn id="5" xr3:uid="{ECB3A560-A10E-4839-9B71-0C1C16FAFC95}" name="CFNM/Total area contact" dataDxfId="126">
      <calculatedColumnFormula>Table1482[[#This Row],[CFNM]]/Table1482[[#This Row],[CAREA]]</calculatedColumnFormula>
    </tableColumn>
  </tableColumns>
  <tableStyleInfo name="TableStyleLight1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2" xr:uid="{5E62081B-D4C6-464D-813D-5C23D2B89BEF}" name="Table2483" displayName="Table2483" ref="F634:J655" totalsRowShown="0">
  <autoFilter ref="F634:J655" xr:uid="{5E62081B-D4C6-464D-813D-5C23D2B89BEF}"/>
  <tableColumns count="5">
    <tableColumn id="1" xr3:uid="{9DF1CD99-44B6-451E-98A8-B0E10F0A481A}" name="time"/>
    <tableColumn id="2" xr3:uid="{C75D0798-B145-4E86-8958-EBA9C1825CC1}" name="moment" dataDxfId="125">
      <calculatedColumnFormula>-(Table2483[[#This Row],[time]]-2)*2</calculatedColumnFormula>
    </tableColumn>
    <tableColumn id="3" xr3:uid="{DEFF9630-3461-463C-A7E4-0391986929D9}" name="CAREA"/>
    <tableColumn id="4" xr3:uid="{15C39F4A-B1AF-4D53-8189-94AEAA58BF04}" name="CFNM"/>
    <tableColumn id="5" xr3:uid="{B10C30DB-ABDB-43A5-B6CE-0663233E82CE}" name="CFNM/Total area contact" dataDxfId="124">
      <calculatedColumnFormula>Table2483[[#This Row],[CFNM]]/Table2483[[#This Row],[CAREA]]</calculatedColumnFormula>
    </tableColumn>
  </tableColumns>
  <tableStyleInfo name="TableStyleLight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3" xr:uid="{80330B50-9CCF-4FAE-BA19-6F4EE276B638}" name="Table3484" displayName="Table3484" ref="K634:O655" totalsRowShown="0">
  <autoFilter ref="K634:O655" xr:uid="{80330B50-9CCF-4FAE-BA19-6F4EE276B638}"/>
  <tableColumns count="5">
    <tableColumn id="1" xr3:uid="{F9828AF9-0500-4494-8479-F4A2E7764B96}" name="time"/>
    <tableColumn id="2" xr3:uid="{7DDF5A1F-E2D2-47B0-9320-A593E2DA5A07}" name="moment" dataDxfId="123">
      <calculatedColumnFormula>-(Table3484[[#This Row],[time]]-2)*2</calculatedColumnFormula>
    </tableColumn>
    <tableColumn id="3" xr3:uid="{FA0B1CB3-A726-4BD0-A8F5-626B0D56F04C}" name="CAREA"/>
    <tableColumn id="4" xr3:uid="{08AB5BD1-57EE-4840-912E-4F432695AA80}" name="CFNM"/>
    <tableColumn id="5" xr3:uid="{9992C12C-EB1B-42B5-ADB3-18F8233CDF55}" name="CFNM/Total area contact" dataDxfId="122">
      <calculatedColumnFormula>Table3484[[#This Row],[CFNM]]/Table3484[[#This Row],[CAREA]]</calculatedColumnFormula>
    </tableColumn>
  </tableColumns>
  <tableStyleInfo name="TableStyleLight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1C312E92-C934-4616-B8BE-9CB1BA8D4AF0}" name="Table2275" displayName="Table2275" ref="F91:J112" totalsRowShown="0">
  <autoFilter ref="F91:J112" xr:uid="{1C312E92-C934-4616-B8BE-9CB1BA8D4AF0}"/>
  <tableColumns count="5">
    <tableColumn id="1" xr3:uid="{0EE09C1A-A3CB-41C8-8978-D712FD2E5DE5}" name="time"/>
    <tableColumn id="2" xr3:uid="{778ED2B5-84C4-4FE5-976F-49CA5174244F}" name="moment" dataDxfId="445">
      <calculatedColumnFormula>(Table2275[[#This Row],[time]]-2)*2</calculatedColumnFormula>
    </tableColumn>
    <tableColumn id="3" xr3:uid="{7A24B202-401F-4DE1-B769-A34086484A7A}" name="CAREA"/>
    <tableColumn id="4" xr3:uid="{E1714274-CA52-41D1-AE14-A36F673F53EB}" name="CFNM"/>
    <tableColumn id="5" xr3:uid="{50836DC5-D1C0-447D-8760-E528DCF66624}" name="CFNM/Total area contact" dataDxfId="444">
      <calculatedColumnFormula>Table2275[[#This Row],[CFNM]]/Table2275[[#This Row],[CAREA]]</calculatedColumnFormula>
    </tableColumn>
  </tableColumns>
  <tableStyleInfo name="TableStyleLight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4" xr:uid="{4F508F45-4A75-4623-8B6B-90DC99A71CD9}" name="Table4485" displayName="Table4485" ref="P634:T655" totalsRowShown="0">
  <autoFilter ref="P634:T655" xr:uid="{4F508F45-4A75-4623-8B6B-90DC99A71CD9}"/>
  <tableColumns count="5">
    <tableColumn id="1" xr3:uid="{FC88140B-1A73-4755-8C73-DE8336066127}" name="time"/>
    <tableColumn id="2" xr3:uid="{B3730EEE-90FE-40C6-A9EC-3D38AA0574A2}" name="moment" dataDxfId="121">
      <calculatedColumnFormula>-(Table4485[[#This Row],[time]]-2)*2</calculatedColumnFormula>
    </tableColumn>
    <tableColumn id="3" xr3:uid="{5516EFAD-3B34-4CF2-8B1A-3EB39A860692}" name="CAREA"/>
    <tableColumn id="4" xr3:uid="{94CE5B04-2E9E-46C6-8742-DDA14D004832}" name="CFNM"/>
    <tableColumn id="5" xr3:uid="{3C23AB97-68C6-470B-8C1E-BA16D3218B8E}" name="CFNM/Total area contact" dataDxfId="120">
      <calculatedColumnFormula>Table4485[[#This Row],[CFNM]]/Table4485[[#This Row],[CAREA]]</calculatedColumnFormula>
    </tableColumn>
  </tableColumns>
  <tableStyleInfo name="TableStyleLight4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5" xr:uid="{15527F9A-26C4-4D2F-A903-3F7BE94127D0}" name="Table5486" displayName="Table5486" ref="U634:Y655" totalsRowShown="0">
  <autoFilter ref="U634:Y655" xr:uid="{15527F9A-26C4-4D2F-A903-3F7BE94127D0}"/>
  <tableColumns count="5">
    <tableColumn id="1" xr3:uid="{65FB2AE2-27AE-4E68-8F27-102CE7AB4B02}" name="time"/>
    <tableColumn id="2" xr3:uid="{B422CD76-323C-4E66-9BD3-9785E62E57B4}" name="moment" dataDxfId="119">
      <calculatedColumnFormula>-(Table5486[[#This Row],[time]]-2)*2</calculatedColumnFormula>
    </tableColumn>
    <tableColumn id="3" xr3:uid="{DE2781E2-5777-45B8-9DE1-D533CBEB0EBE}" name="CAREA"/>
    <tableColumn id="4" xr3:uid="{78347789-6EA5-4821-9E2E-7926871AEB5D}" name="CFNM"/>
    <tableColumn id="5" xr3:uid="{E374DE23-784A-41C7-B782-B53FDD14B204}" name="CFNM/Total area contact" dataDxfId="118">
      <calculatedColumnFormula>Table5486[[#This Row],[CFNM]]/Table5486[[#This Row],[CAREA]]</calculatedColumnFormula>
    </tableColumn>
  </tableColumns>
  <tableStyleInfo name="TableStyleLight5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6" xr:uid="{75D078DD-0A9C-4086-B259-82398AF975D1}" name="Table6487" displayName="Table6487" ref="Z634:AD655" totalsRowShown="0">
  <autoFilter ref="Z634:AD655" xr:uid="{75D078DD-0A9C-4086-B259-82398AF975D1}"/>
  <tableColumns count="5">
    <tableColumn id="1" xr3:uid="{CE33E566-412E-4001-894E-1967B2F81316}" name="time"/>
    <tableColumn id="2" xr3:uid="{92E51A7D-A8DE-4029-A7B9-2FCAD129B94C}" name="moment" dataDxfId="117">
      <calculatedColumnFormula>-(Table6487[[#This Row],[time]]-2)*2</calculatedColumnFormula>
    </tableColumn>
    <tableColumn id="3" xr3:uid="{00D7E7AB-4C22-401B-962D-52CC79B22D8A}" name="CAREA"/>
    <tableColumn id="4" xr3:uid="{6C7A2E45-3AF0-481F-B419-6D6405DB34FC}" name="CFNM"/>
    <tableColumn id="5" xr3:uid="{29A26880-4EC8-4166-8889-8EF35D23C10C}" name="CFNM/Total area contact" dataDxfId="116">
      <calculatedColumnFormula>Table6487[[#This Row],[CFNM]]/Table6487[[#This Row],[CAREA]]</calculatedColumnFormula>
    </tableColumn>
  </tableColumns>
  <tableStyleInfo name="TableStyleLight6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7" xr:uid="{023A0ADA-1A0D-4530-A25B-8ADBA6A589AE}" name="Table7488" displayName="Table7488" ref="AE634:AI655" totalsRowShown="0">
  <autoFilter ref="AE634:AI655" xr:uid="{023A0ADA-1A0D-4530-A25B-8ADBA6A589AE}"/>
  <tableColumns count="5">
    <tableColumn id="1" xr3:uid="{4D110BC2-C231-430A-8E37-D3F415F4D169}" name="time"/>
    <tableColumn id="2" xr3:uid="{48A5FAD8-E994-47E4-BCBF-C2723A20DBD3}" name="moment" dataDxfId="115">
      <calculatedColumnFormula>-(Table7488[[#This Row],[time]]-2)*2</calculatedColumnFormula>
    </tableColumn>
    <tableColumn id="3" xr3:uid="{75093C3E-0028-4F4B-B5ED-2B50B4204C62}" name="CAREA"/>
    <tableColumn id="4" xr3:uid="{604F8299-71AE-4689-AF44-4250EA1D5E6B}" name="CFNM"/>
    <tableColumn id="5" xr3:uid="{C4F72DDE-624E-4859-9DE0-DEF1D5BF7519}" name="CFNM/Total area contact" dataDxfId="114">
      <calculatedColumnFormula>Table7488[[#This Row],[CFNM]]/Table7488[[#This Row],[CAREA]]</calculatedColumnFormula>
    </tableColumn>
  </tableColumns>
  <tableStyleInfo name="TableStyleLight7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8" xr:uid="{0594FAC9-B243-48AC-9775-5149EC0E1C28}" name="Table8489" displayName="Table8489" ref="AJ634:AN655" totalsRowShown="0">
  <autoFilter ref="AJ634:AN655" xr:uid="{0594FAC9-B243-48AC-9775-5149EC0E1C28}"/>
  <tableColumns count="5">
    <tableColumn id="1" xr3:uid="{5663F644-A651-434F-A32C-57E97B10A861}" name="time"/>
    <tableColumn id="2" xr3:uid="{00F52358-E107-4A5D-93D2-702C3CA77A9A}" name="moment" dataDxfId="113">
      <calculatedColumnFormula>-(Table8489[[#This Row],[time]]-2)*2</calculatedColumnFormula>
    </tableColumn>
    <tableColumn id="3" xr3:uid="{4DD91FC0-124D-4450-A832-1B4D64C16737}" name="CAREA"/>
    <tableColumn id="4" xr3:uid="{FF36517F-ABEC-4F32-BC9B-27AF4F4E27B5}" name="CFNM"/>
    <tableColumn id="5" xr3:uid="{581D22D6-BDF9-4EED-944A-C91A9E4848DB}" name="CFNM/Total area contact" dataDxfId="112">
      <calculatedColumnFormula>Table8489[[#This Row],[CFNM]]/Table8489[[#This Row],[CAREA]]</calculatedColumnFormula>
    </tableColumn>
  </tableColumns>
  <tableStyleInfo name="TableStyleLight15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9" xr:uid="{D647E3F6-A6C9-4A0A-9E82-2E7327DA34B6}" name="Table110490" displayName="Table110490" ref="A661:E682" totalsRowShown="0">
  <autoFilter ref="A661:E682" xr:uid="{D647E3F6-A6C9-4A0A-9E82-2E7327DA34B6}"/>
  <tableColumns count="5">
    <tableColumn id="1" xr3:uid="{9207677C-4A74-4ADA-8686-71908199C194}" name="time"/>
    <tableColumn id="2" xr3:uid="{2373DB14-9BFF-4EEE-B5B5-9BCB39A4A66A}" name="moment" dataDxfId="111">
      <calculatedColumnFormula>(Table110490[[#This Row],[time]]-2)*2</calculatedColumnFormula>
    </tableColumn>
    <tableColumn id="3" xr3:uid="{FDAC0141-149F-457D-BC2A-C4B36130C3FF}" name="CAREA"/>
    <tableColumn id="4" xr3:uid="{9E040C50-83F4-47AB-8A59-9E1F54001194}" name="CFNM"/>
    <tableColumn id="5" xr3:uid="{D92824AC-4C3B-4790-AE49-DF5C5F5678D1}" name="CFNM/Total area contact" dataDxfId="110">
      <calculatedColumnFormula>Table110490[[#This Row],[CFNM]]/Table110490[[#This Row],[CAREA]]</calculatedColumnFormula>
    </tableColumn>
  </tableColumns>
  <tableStyleInfo name="TableStyleLight1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0" xr:uid="{1DFA4438-B5D1-4AC1-8476-4BAD1B4916D7}" name="Table211491" displayName="Table211491" ref="F661:J682" totalsRowShown="0">
  <autoFilter ref="F661:J682" xr:uid="{1DFA4438-B5D1-4AC1-8476-4BAD1B4916D7}"/>
  <tableColumns count="5">
    <tableColumn id="1" xr3:uid="{89B37D80-E8A5-4FBE-A19F-09AB662F9F09}" name="time"/>
    <tableColumn id="2" xr3:uid="{05EC693C-2B74-453E-A5C7-5932C5FDF6B1}" name="moment" dataDxfId="109">
      <calculatedColumnFormula>(Table211491[[#This Row],[time]]-2)*2</calculatedColumnFormula>
    </tableColumn>
    <tableColumn id="3" xr3:uid="{7AAFDD34-E45A-4204-A1A0-640BD966199B}" name="CAREA"/>
    <tableColumn id="4" xr3:uid="{28867260-6AF4-4381-B88A-B705D9B74825}" name="CFNM"/>
    <tableColumn id="5" xr3:uid="{12067462-307D-4E8F-824F-851EB0BC085C}" name="CFNM/Total area contact" dataDxfId="108">
      <calculatedColumnFormula>Table211491[[#This Row],[CFNM]]/Table211491[[#This Row],[CAREA]]</calculatedColumnFormula>
    </tableColumn>
  </tableColumns>
  <tableStyleInfo name="TableStyleLight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1" xr:uid="{510A852C-DC36-480B-87CE-850D584FAEB8}" name="Table312492" displayName="Table312492" ref="K661:O682" totalsRowShown="0">
  <autoFilter ref="K661:O682" xr:uid="{510A852C-DC36-480B-87CE-850D584FAEB8}"/>
  <tableColumns count="5">
    <tableColumn id="1" xr3:uid="{CA9E8B66-FBBC-48A1-A7EB-9EE10C3DC924}" name="time"/>
    <tableColumn id="2" xr3:uid="{115B82EC-6173-4D44-9464-8D65B31F8A3B}" name="moment" dataDxfId="107">
      <calculatedColumnFormula>(Table312492[[#This Row],[time]]-2)*2</calculatedColumnFormula>
    </tableColumn>
    <tableColumn id="3" xr3:uid="{4E98E54C-017E-403C-9733-03D199B943A7}" name="CAREA"/>
    <tableColumn id="4" xr3:uid="{17D9EFDF-1027-4EC4-BC50-151D276BA3A5}" name="CFNM"/>
    <tableColumn id="5" xr3:uid="{DD7D04BC-E54F-4C24-BB47-E55C72261F1C}" name="CFNM/Total area contact" dataDxfId="106">
      <calculatedColumnFormula>Table312492[[#This Row],[CFNM]]/Table312492[[#This Row],[CAREA]]</calculatedColumnFormula>
    </tableColumn>
  </tableColumns>
  <tableStyleInfo name="TableStyleLight3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2" xr:uid="{98A5047C-6148-47C6-A32A-2ADFFC9A8E85}" name="Table413493" displayName="Table413493" ref="P661:T682" totalsRowShown="0">
  <autoFilter ref="P661:T682" xr:uid="{98A5047C-6148-47C6-A32A-2ADFFC9A8E85}"/>
  <tableColumns count="5">
    <tableColumn id="1" xr3:uid="{B115789F-DC93-47D4-9D61-7BF832BECE7E}" name="time"/>
    <tableColumn id="2" xr3:uid="{EE0336DE-24B9-4B3B-9726-CD17F39E7118}" name="moment" dataDxfId="105">
      <calculatedColumnFormula>(Table413493[[#This Row],[time]]-2)*2</calculatedColumnFormula>
    </tableColumn>
    <tableColumn id="3" xr3:uid="{F5CA5473-B738-4EFF-BC4E-BF6945E4216C}" name="CAREA"/>
    <tableColumn id="4" xr3:uid="{00380E9F-449F-4A3E-A868-E34E18B2B4B1}" name="CFNM"/>
    <tableColumn id="5" xr3:uid="{8ABD6BC8-C4C7-49BF-AB0C-D89AD4004FDC}" name="CFNM/Total area contact" dataDxfId="104">
      <calculatedColumnFormula>Table413493[[#This Row],[CFNM]]/Table413493[[#This Row],[CAREA]]</calculatedColumnFormula>
    </tableColumn>
  </tableColumns>
  <tableStyleInfo name="TableStyleLight4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3" xr:uid="{F0AE494D-21C3-4679-BA34-8DC19754006A}" name="Table514494" displayName="Table514494" ref="U661:Y682" totalsRowShown="0">
  <autoFilter ref="U661:Y682" xr:uid="{F0AE494D-21C3-4679-BA34-8DC19754006A}"/>
  <tableColumns count="5">
    <tableColumn id="1" xr3:uid="{7E1F00EC-F201-42E1-9A36-3807832DD4FC}" name="time"/>
    <tableColumn id="2" xr3:uid="{91F22848-A581-4958-B63E-210BFC729E20}" name="moment" dataDxfId="103">
      <calculatedColumnFormula>(Table514494[[#This Row],[time]]-2)*2</calculatedColumnFormula>
    </tableColumn>
    <tableColumn id="3" xr3:uid="{671A0F01-2B80-4AA3-8A06-D6F02131A958}" name="CAREA"/>
    <tableColumn id="4" xr3:uid="{40F54435-BC07-4B1C-90B3-E09B66F90F96}" name="CFNM"/>
    <tableColumn id="5" xr3:uid="{0E60419A-59A3-4454-BFC3-E2C05CD5E420}" name="CFNM/Total area contact" dataDxfId="102">
      <calculatedColumnFormula>Table514494[[#This Row],[CFNM]]/Table514494[[#This Row],[CAREA]]</calculatedColumnFormula>
    </tableColumn>
  </tableColumns>
  <tableStyleInfo name="TableStyleLight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3F390FB1-4B3F-4225-9E71-FE5E78846705}" name="Table3276" displayName="Table3276" ref="K91:O112" totalsRowShown="0">
  <autoFilter ref="K91:O112" xr:uid="{3F390FB1-4B3F-4225-9E71-FE5E78846705}"/>
  <tableColumns count="5">
    <tableColumn id="1" xr3:uid="{26B2FDC7-8D76-497B-B8B3-D2E951854C07}" name="time"/>
    <tableColumn id="2" xr3:uid="{568408F1-0069-43F6-9497-A8EB5959ACD0}" name="moment" dataDxfId="443">
      <calculatedColumnFormula>(Table3276[[#This Row],[time]]-2)*2</calculatedColumnFormula>
    </tableColumn>
    <tableColumn id="3" xr3:uid="{7311F713-40FB-4685-9AE8-AE2B0E04D1C6}" name="CAREA"/>
    <tableColumn id="4" xr3:uid="{BE02D4DF-F7EA-4ECD-A934-F4415F359C43}" name="CFNM"/>
    <tableColumn id="5" xr3:uid="{FCE66537-1D65-4B45-9BA8-B71DE1963521}" name="CFNM/Total area contact" dataDxfId="442">
      <calculatedColumnFormula>Table3276[[#This Row],[CFNM]]/Table3276[[#This Row],[CAREA]]</calculatedColumnFormula>
    </tableColumn>
  </tableColumns>
  <tableStyleInfo name="TableStyleLight3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4" xr:uid="{9E29FC33-63BB-493A-80BB-689AF9A2991F}" name="Table615495" displayName="Table615495" ref="Z661:AD682" totalsRowShown="0">
  <autoFilter ref="Z661:AD682" xr:uid="{9E29FC33-63BB-493A-80BB-689AF9A2991F}"/>
  <tableColumns count="5">
    <tableColumn id="1" xr3:uid="{93D130CB-6632-4D08-B416-0DF5D883EA98}" name="time"/>
    <tableColumn id="2" xr3:uid="{BD287114-3DCC-4DB2-9E3B-F1509249D712}" name="moment" dataDxfId="101">
      <calculatedColumnFormula>(Table615495[[#This Row],[time]]-2)*2</calculatedColumnFormula>
    </tableColumn>
    <tableColumn id="3" xr3:uid="{D47C8C5E-3CCD-49AD-8D7D-CD59A62D6EDA}" name="CAREA"/>
    <tableColumn id="4" xr3:uid="{DE8714E6-5BDB-440B-9A03-A3FDEC762DD2}" name="CFNM"/>
    <tableColumn id="5" xr3:uid="{B877F3FB-73C0-4FDC-A535-3DFA52F3EBD2}" name="CFNM/Total area contact" dataDxfId="100">
      <calculatedColumnFormula>Table615495[[#This Row],[CFNM]]/Table615495[[#This Row],[CAREA]]</calculatedColumnFormula>
    </tableColumn>
  </tableColumns>
  <tableStyleInfo name="TableStyleLight6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5" xr:uid="{23A48B21-D5BA-4A4D-A99F-A761E26A9F46}" name="Table716496" displayName="Table716496" ref="AE661:AI682" totalsRowShown="0">
  <autoFilter ref="AE661:AI682" xr:uid="{23A48B21-D5BA-4A4D-A99F-A761E26A9F46}"/>
  <tableColumns count="5">
    <tableColumn id="1" xr3:uid="{62E78DFB-32C8-4229-BC1D-DCFCE51BEC38}" name="time"/>
    <tableColumn id="2" xr3:uid="{91900951-8E95-4BDB-B3B0-E12E63090A91}" name="moment" dataDxfId="99">
      <calculatedColumnFormula>(Table716496[[#This Row],[time]]-2)*2</calculatedColumnFormula>
    </tableColumn>
    <tableColumn id="3" xr3:uid="{EF57F53E-B98F-4014-BD49-A1982F5FD521}" name="CAREA"/>
    <tableColumn id="4" xr3:uid="{2E8713A1-FD39-44AC-A0ED-4AEB6BE0007C}" name="CFNM"/>
    <tableColumn id="5" xr3:uid="{3A55D11B-244F-4D2C-9307-BF432C333C76}" name="CFNM/Total area contact" dataDxfId="98">
      <calculatedColumnFormula>Table716496[[#This Row],[CFNM]]/Table716496[[#This Row],[CAREA]]</calculatedColumnFormula>
    </tableColumn>
  </tableColumns>
  <tableStyleInfo name="TableStyleLight7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6" xr:uid="{CC2A7A9A-CD5B-4849-9397-E754AD3B890B}" name="Table817497" displayName="Table817497" ref="AJ661:AN682" totalsRowShown="0">
  <autoFilter ref="AJ661:AN682" xr:uid="{CC2A7A9A-CD5B-4849-9397-E754AD3B890B}"/>
  <tableColumns count="5">
    <tableColumn id="1" xr3:uid="{46B0E14E-C883-48B6-AE79-2BD5C5D3563E}" name="time"/>
    <tableColumn id="2" xr3:uid="{AE877BD3-AB18-49D0-8878-8950E4369E77}" name="moment" dataDxfId="97">
      <calculatedColumnFormula>(Table817497[[#This Row],[time]]-2)*2</calculatedColumnFormula>
    </tableColumn>
    <tableColumn id="3" xr3:uid="{90ACA6FE-0306-42BA-AD5D-FCD03FFE8BCC}" name="CAREA"/>
    <tableColumn id="4" xr3:uid="{9EE625A0-78FA-4485-95CB-3654051927B7}" name="CFNM"/>
    <tableColumn id="5" xr3:uid="{4F50D007-757E-4FD6-8D7B-DB5B7E0715AF}" name="CFNM/Total area contact" dataDxfId="96">
      <calculatedColumnFormula>Table817497[[#This Row],[CFNM]]/Table817497[[#This Row],[CAREA]]</calculatedColumnFormula>
    </tableColumn>
  </tableColumns>
  <tableStyleInfo name="TableStyleLight15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7" xr:uid="{188AE800-C343-471A-AB99-1A84970DC554}" name="Table1498" displayName="Table1498" ref="A691:E712" totalsRowShown="0">
  <autoFilter ref="A691:E712" xr:uid="{188AE800-C343-471A-AB99-1A84970DC554}"/>
  <tableColumns count="5">
    <tableColumn id="1" xr3:uid="{60316D45-4E05-4CCD-B4E1-BD21F1B287D8}" name="time"/>
    <tableColumn id="2" xr3:uid="{FA3856CE-3C8A-495C-B3B1-AAA163EA7F99}" name="moment" dataDxfId="95">
      <calculatedColumnFormula>-(Table1498[[#This Row],[time]]-2)*2</calculatedColumnFormula>
    </tableColumn>
    <tableColumn id="3" xr3:uid="{64C88551-EC53-4C45-BC40-8D0FF4BEFA35}" name="CAREA"/>
    <tableColumn id="4" xr3:uid="{9944D209-EB71-4EAC-9E09-62625BD1B42D}" name="CFNM"/>
    <tableColumn id="5" xr3:uid="{548FD05E-41C2-4E8F-9F95-ED60EC69CECE}" name="CFNM/Total area contact" dataDxfId="94">
      <calculatedColumnFormula>Table1498[[#This Row],[CFNM]]/Table1498[[#This Row],[CAREA]]</calculatedColumnFormula>
    </tableColumn>
  </tableColumns>
  <tableStyleInfo name="TableStyleLight1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8" xr:uid="{4DF82A81-8FB2-4B07-8775-736A232535CD}" name="Table2499" displayName="Table2499" ref="F691:J712" totalsRowShown="0">
  <autoFilter ref="F691:J712" xr:uid="{4DF82A81-8FB2-4B07-8775-736A232535CD}"/>
  <tableColumns count="5">
    <tableColumn id="1" xr3:uid="{50D1559D-2002-475B-A24A-8FA46168F957}" name="time"/>
    <tableColumn id="2" xr3:uid="{7848E734-F722-4024-9A05-4AD7D30160EB}" name="moment" dataDxfId="93">
      <calculatedColumnFormula>-(Table2499[[#This Row],[time]]-2)*2</calculatedColumnFormula>
    </tableColumn>
    <tableColumn id="3" xr3:uid="{DC29A6C2-3CA7-4B03-99C4-D6323E740318}" name="CAREA"/>
    <tableColumn id="4" xr3:uid="{7E4B20E2-84A1-4EAD-9CC5-B63320AB2E92}" name="CFNM"/>
    <tableColumn id="5" xr3:uid="{C01651C7-DF87-433C-96F3-483F17BF9BF3}" name="CFNM/Total area contact" dataDxfId="92">
      <calculatedColumnFormula>Table2499[[#This Row],[CFNM]]/Table2499[[#This Row],[CAREA]]</calculatedColumnFormula>
    </tableColumn>
  </tableColumns>
  <tableStyleInfo name="TableStyleLight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9" xr:uid="{76523A51-372A-468C-8430-58CC41BBBCAB}" name="Table3500" displayName="Table3500" ref="K691:O712" totalsRowShown="0">
  <autoFilter ref="K691:O712" xr:uid="{76523A51-372A-468C-8430-58CC41BBBCAB}"/>
  <tableColumns count="5">
    <tableColumn id="1" xr3:uid="{22AC0A43-E8DA-4DCD-A1F1-E311DC1635AA}" name="time"/>
    <tableColumn id="2" xr3:uid="{F8200D69-8941-4020-B6C5-97D13AED42CD}" name="moment" dataDxfId="91">
      <calculatedColumnFormula>-(Table3500[[#This Row],[time]]-2)*2</calculatedColumnFormula>
    </tableColumn>
    <tableColumn id="3" xr3:uid="{8CAACC1E-4F8F-492B-883B-693822817394}" name="CAREA"/>
    <tableColumn id="4" xr3:uid="{54A88168-153F-4EA8-A23C-23C50AF361FF}" name="CFNM"/>
    <tableColumn id="5" xr3:uid="{24FCAE16-E815-4A19-88BC-C98DD3832DAD}" name="CFNM/Total area contact" dataDxfId="90">
      <calculatedColumnFormula>Table3500[[#This Row],[CFNM]]/Table3500[[#This Row],[CAREA]]</calculatedColumnFormula>
    </tableColumn>
  </tableColumns>
  <tableStyleInfo name="TableStyleLight3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0" xr:uid="{E5334945-8A85-4C3D-8741-C8346D0888A5}" name="Table4501" displayName="Table4501" ref="P691:T712" totalsRowShown="0">
  <autoFilter ref="P691:T712" xr:uid="{E5334945-8A85-4C3D-8741-C8346D0888A5}"/>
  <tableColumns count="5">
    <tableColumn id="1" xr3:uid="{F39A51D6-A9EE-43AE-9848-F8DBE25E0AD9}" name="time"/>
    <tableColumn id="2" xr3:uid="{2B3DEA4B-4A5B-4325-9521-841526231FAC}" name="moment" dataDxfId="89">
      <calculatedColumnFormula>-(Table4501[[#This Row],[time]]-2)*2</calculatedColumnFormula>
    </tableColumn>
    <tableColumn id="3" xr3:uid="{7244C99A-FCC3-43D7-8204-9BDE85EBE9E3}" name="CAREA"/>
    <tableColumn id="4" xr3:uid="{6F8035F8-2C1B-4AD5-966D-E02406FCBAA7}" name="CFNM"/>
    <tableColumn id="5" xr3:uid="{A57D3A8B-C741-48A9-B5F2-A4A5DA965B48}" name="CFNM/Total area contact" dataDxfId="88">
      <calculatedColumnFormula>Table4501[[#This Row],[CFNM]]/Table4501[[#This Row],[CAREA]]</calculatedColumnFormula>
    </tableColumn>
  </tableColumns>
  <tableStyleInfo name="TableStyleLight4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1" xr:uid="{11E41D8C-E136-4B0E-AED8-06F8A47B4A9D}" name="Table5502" displayName="Table5502" ref="U691:Y712" totalsRowShown="0">
  <autoFilter ref="U691:Y712" xr:uid="{11E41D8C-E136-4B0E-AED8-06F8A47B4A9D}"/>
  <tableColumns count="5">
    <tableColumn id="1" xr3:uid="{FC13FA84-F7AF-4845-83DA-2EFF72877D3B}" name="time"/>
    <tableColumn id="2" xr3:uid="{FF0C594C-92F1-4156-8B16-019073F0C37D}" name="moment" dataDxfId="87">
      <calculatedColumnFormula>-(Table5502[[#This Row],[time]]-2)*2</calculatedColumnFormula>
    </tableColumn>
    <tableColumn id="3" xr3:uid="{5798FBA8-2D89-418F-B73B-E3F912EBCCFE}" name="CAREA"/>
    <tableColumn id="4" xr3:uid="{5890613E-B3DD-4A80-BB87-C32B1BA0AFA8}" name="CFNM"/>
    <tableColumn id="5" xr3:uid="{A1AAD27F-BAEB-49DE-8D09-79A112873062}" name="CFNM/Total area contact" dataDxfId="86">
      <calculatedColumnFormula>Table5502[[#This Row],[CFNM]]/Table5502[[#This Row],[CAREA]]</calculatedColumnFormula>
    </tableColumn>
  </tableColumns>
  <tableStyleInfo name="TableStyleLight5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2" xr:uid="{8DEED986-7FBD-44C9-AE6B-2082D8137263}" name="Table6503" displayName="Table6503" ref="Z691:AD712" totalsRowShown="0">
  <autoFilter ref="Z691:AD712" xr:uid="{8DEED986-7FBD-44C9-AE6B-2082D8137263}"/>
  <tableColumns count="5">
    <tableColumn id="1" xr3:uid="{9C945121-A70A-498A-A202-C20F3925D410}" name="time"/>
    <tableColumn id="2" xr3:uid="{071870D2-6BBD-4011-BA41-9E134C142C22}" name="moment" dataDxfId="85">
      <calculatedColumnFormula>-(Table6503[[#This Row],[time]]-2)*2</calculatedColumnFormula>
    </tableColumn>
    <tableColumn id="3" xr3:uid="{70AE48E7-0DEC-487F-AA2A-13AA4C51A34C}" name="CAREA"/>
    <tableColumn id="4" xr3:uid="{AAA0AE0E-B885-47ED-AD9F-27E82E85712E}" name="CFNM"/>
    <tableColumn id="5" xr3:uid="{73654B0B-5D8A-4DBC-A212-6AF0035B8364}" name="CFNM/Total area contact" dataDxfId="84">
      <calculatedColumnFormula>Table6503[[#This Row],[CFNM]]/Table6503[[#This Row],[CAREA]]</calculatedColumnFormula>
    </tableColumn>
  </tableColumns>
  <tableStyleInfo name="TableStyleLight6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3" xr:uid="{BF9EB8C2-E2B5-44A0-9E0B-BE940575E2FC}" name="Table7504" displayName="Table7504" ref="AE691:AI712" totalsRowShown="0">
  <autoFilter ref="AE691:AI712" xr:uid="{BF9EB8C2-E2B5-44A0-9E0B-BE940575E2FC}"/>
  <tableColumns count="5">
    <tableColumn id="1" xr3:uid="{8AC4BDE6-0268-4B09-A0DF-04D6E194BB4F}" name="time"/>
    <tableColumn id="2" xr3:uid="{5E044906-882D-4D5A-B59D-9A843C1B9D7B}" name="moment" dataDxfId="83">
      <calculatedColumnFormula>-(Table7504[[#This Row],[time]]-2)*2</calculatedColumnFormula>
    </tableColumn>
    <tableColumn id="3" xr3:uid="{8C14A6BA-2D80-41FB-AA3F-E60346E21C6C}" name="CAREA"/>
    <tableColumn id="4" xr3:uid="{AEEC81A4-A300-4817-8F27-4160941F0F84}" name="CFNM"/>
    <tableColumn id="5" xr3:uid="{A72FD84D-8579-4C0B-B977-80B94BBA1F4D}" name="CFNM/Total area contact" dataDxfId="82">
      <calculatedColumnFormula>Table7504[[#This Row],[CFNM]]/Table7504[[#This Row],[CAREA]]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649C2F49-E9AB-4285-AE41-5DDA4C601958}" name="Table2" displayName="Table2" ref="F34:J55" totalsRowShown="0">
  <autoFilter ref="F34:J55" xr:uid="{649C2F49-E9AB-4285-AE41-5DDA4C601958}"/>
  <tableColumns count="5">
    <tableColumn id="1" xr3:uid="{48888E58-190C-46BA-96FD-BCAD05FEC3A7}" name="time"/>
    <tableColumn id="2" xr3:uid="{8AEE3B25-7C1E-4786-979C-6D0978BFEA8F}" name="moment" dataDxfId="477">
      <calculatedColumnFormula>(Table2[[#This Row],[time]]-2)*2</calculatedColumnFormula>
    </tableColumn>
    <tableColumn id="3" xr3:uid="{D786E748-EA65-47E1-AC55-B7C62C6F6F22}" name="CAREA"/>
    <tableColumn id="4" xr3:uid="{3F5FA7A7-4056-4D74-83BC-4592BF523EAC}" name="CFNM"/>
    <tableColumn id="5" xr3:uid="{850D09FA-42EF-4281-819C-855129A1FA6F}" name="CFNM/Total area contact" dataDxfId="476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4FDB33F4-12F2-4145-8DFF-64A6E42AFC5C}" name="Table4277" displayName="Table4277" ref="P91:T112" totalsRowShown="0">
  <autoFilter ref="P91:T112" xr:uid="{4FDB33F4-12F2-4145-8DFF-64A6E42AFC5C}"/>
  <tableColumns count="5">
    <tableColumn id="1" xr3:uid="{23E041A2-8F72-470D-8161-2C5282E47743}" name="time"/>
    <tableColumn id="2" xr3:uid="{50C5F10E-ADC9-43AB-9741-8441BEB31399}" name="moment" dataDxfId="441">
      <calculatedColumnFormula>(Table4277[[#This Row],[time]]-2)*2</calculatedColumnFormula>
    </tableColumn>
    <tableColumn id="3" xr3:uid="{C5B900B3-9515-4C68-9A38-F4714A9E5606}" name="CAREA"/>
    <tableColumn id="4" xr3:uid="{08A4C6F4-B0D6-465B-B9B7-596E6D3C631A}" name="CFNM"/>
    <tableColumn id="5" xr3:uid="{9AD18DBE-0136-4F13-8DD2-537DF37E667B}" name="CFNM/Total area contact" dataDxfId="440">
      <calculatedColumnFormula>Table4277[[#This Row],[CFNM]]/Table4277[[#This Row],[CAREA]]</calculatedColumnFormula>
    </tableColumn>
  </tableColumns>
  <tableStyleInfo name="TableStyleLight4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4" xr:uid="{C1B80636-F937-446C-91B5-7074E2AB9DA0}" name="Table8505" displayName="Table8505" ref="AJ691:AN712" totalsRowShown="0">
  <autoFilter ref="AJ691:AN712" xr:uid="{C1B80636-F937-446C-91B5-7074E2AB9DA0}"/>
  <tableColumns count="5">
    <tableColumn id="1" xr3:uid="{3F24B8D4-CD78-4204-9423-DDF3B47D056C}" name="time"/>
    <tableColumn id="2" xr3:uid="{A549629F-146B-47AE-9430-6F0C8587FB8A}" name="moment" dataDxfId="81">
      <calculatedColumnFormula>-(Table8505[[#This Row],[time]]-2)*2</calculatedColumnFormula>
    </tableColumn>
    <tableColumn id="3" xr3:uid="{64FCE37C-BB13-4C33-B830-F12117733289}" name="CAREA"/>
    <tableColumn id="4" xr3:uid="{4D7A2118-4B92-4683-A159-C1C4CF372DB9}" name="CFNM"/>
    <tableColumn id="5" xr3:uid="{2393AD28-7D2F-474D-BDAA-195C0BFB054F}" name="CFNM/Total area contact" dataDxfId="80">
      <calculatedColumnFormula>Table8505[[#This Row],[CFNM]]/Table8505[[#This Row],[CAREA]]</calculatedColumnFormula>
    </tableColumn>
  </tableColumns>
  <tableStyleInfo name="TableStyleLight15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5" xr:uid="{293F892B-3CB6-49A0-A5EA-B5AC5EFA0641}" name="Table110506" displayName="Table110506" ref="A718:E739" totalsRowShown="0">
  <autoFilter ref="A718:E739" xr:uid="{293F892B-3CB6-49A0-A5EA-B5AC5EFA0641}"/>
  <tableColumns count="5">
    <tableColumn id="1" xr3:uid="{124192FC-3ACB-4F1D-A79F-37AA8E0C01D5}" name="time"/>
    <tableColumn id="2" xr3:uid="{AB98C729-5B78-4325-B9D8-B666FA7E0554}" name="moment" dataDxfId="79">
      <calculatedColumnFormula>(Table110506[[#This Row],[time]]-2)*2</calculatedColumnFormula>
    </tableColumn>
    <tableColumn id="3" xr3:uid="{31C74E22-B652-468A-A83E-DCB2F313382D}" name="CAREA"/>
    <tableColumn id="4" xr3:uid="{5029DCED-517B-436F-9CC3-A567A509325F}" name="CFNM"/>
    <tableColumn id="5" xr3:uid="{B89AAC7E-4CAD-4B12-A3F3-A7E73AB06902}" name="CFNM/Total area contact" dataDxfId="78">
      <calculatedColumnFormula>Table110506[[#This Row],[CFNM]]/Table110506[[#This Row],[CAREA]]</calculatedColumnFormula>
    </tableColumn>
  </tableColumns>
  <tableStyleInfo name="TableStyleLight1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6" xr:uid="{2F6F02FD-B50A-4D2A-8D97-F0A3B41A3448}" name="Table211507" displayName="Table211507" ref="F718:J739" totalsRowShown="0">
  <autoFilter ref="F718:J739" xr:uid="{2F6F02FD-B50A-4D2A-8D97-F0A3B41A3448}"/>
  <tableColumns count="5">
    <tableColumn id="1" xr3:uid="{EF692382-498F-4F47-9C63-1C302A500AF3}" name="time"/>
    <tableColumn id="2" xr3:uid="{B9CD6715-2ABB-40BC-932A-E2219E479926}" name="moment" dataDxfId="77">
      <calculatedColumnFormula>(Table211507[[#This Row],[time]]-2)*2</calculatedColumnFormula>
    </tableColumn>
    <tableColumn id="3" xr3:uid="{050E462C-0F07-45E6-AD7C-6BEF743887F3}" name="CAREA"/>
    <tableColumn id="4" xr3:uid="{02180342-EB72-4335-9D9B-C93854568C00}" name="CFNM"/>
    <tableColumn id="5" xr3:uid="{76705009-69BB-4619-B6F3-4039BA72842D}" name="CFNM/Total area contact" dataDxfId="76">
      <calculatedColumnFormula>Table211507[[#This Row],[CFNM]]/Table211507[[#This Row],[CAREA]]</calculatedColumnFormula>
    </tableColumn>
  </tableColumns>
  <tableStyleInfo name="TableStyleLight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7" xr:uid="{7FFEAC0C-FC42-4715-9293-B67CA80E6E81}" name="Table312508" displayName="Table312508" ref="K718:O739" totalsRowShown="0">
  <autoFilter ref="K718:O739" xr:uid="{7FFEAC0C-FC42-4715-9293-B67CA80E6E81}"/>
  <tableColumns count="5">
    <tableColumn id="1" xr3:uid="{2E13574A-3B4F-4BDB-8669-30A5FD502271}" name="time"/>
    <tableColumn id="2" xr3:uid="{03FF70EE-1BAA-40B5-A50A-CBDF68BA333C}" name="moment" dataDxfId="75">
      <calculatedColumnFormula>(Table312508[[#This Row],[time]]-2)*2</calculatedColumnFormula>
    </tableColumn>
    <tableColumn id="3" xr3:uid="{D07D3B29-32B3-446B-B492-DF8BBEBD88B8}" name="CAREA"/>
    <tableColumn id="4" xr3:uid="{41E98D0A-8747-4CA8-B7F8-F2A016F82E15}" name="CFNM"/>
    <tableColumn id="5" xr3:uid="{ADBEF020-76CD-474B-B43A-D133F6E9697A}" name="CFNM/Total area contact" dataDxfId="74">
      <calculatedColumnFormula>Table312508[[#This Row],[CFNM]]/Table312508[[#This Row],[CAREA]]</calculatedColumnFormula>
    </tableColumn>
  </tableColumns>
  <tableStyleInfo name="TableStyleLight3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8" xr:uid="{82828378-A4BB-4F10-81F8-84CA37142117}" name="Table413509" displayName="Table413509" ref="P718:T739" totalsRowShown="0">
  <autoFilter ref="P718:T739" xr:uid="{82828378-A4BB-4F10-81F8-84CA37142117}"/>
  <tableColumns count="5">
    <tableColumn id="1" xr3:uid="{9109EC33-1536-47AB-96CB-3A6CB5578F99}" name="time"/>
    <tableColumn id="2" xr3:uid="{7A8D1B8D-7931-465A-BD3D-87736B5B9878}" name="moment" dataDxfId="73">
      <calculatedColumnFormula>(Table413509[[#This Row],[time]]-2)*2</calculatedColumnFormula>
    </tableColumn>
    <tableColumn id="3" xr3:uid="{4F9E5608-A39A-4CF0-B9C3-7A94CA23B7C3}" name="CAREA"/>
    <tableColumn id="4" xr3:uid="{B5C4D59F-A4F8-444B-85E1-592517FF7C68}" name="CFNM"/>
    <tableColumn id="5" xr3:uid="{375A59B1-223B-468F-BD16-D8FC0C99C579}" name="CFNM/Total area contact" dataDxfId="72">
      <calculatedColumnFormula>Table413509[[#This Row],[CFNM]]/Table413509[[#This Row],[CAREA]]</calculatedColumnFormula>
    </tableColumn>
  </tableColumns>
  <tableStyleInfo name="TableStyleLight4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9" xr:uid="{DEA90B46-D713-4B69-9F12-C6C16DF5B323}" name="Table514510" displayName="Table514510" ref="U718:Y739" totalsRowShown="0">
  <autoFilter ref="U718:Y739" xr:uid="{DEA90B46-D713-4B69-9F12-C6C16DF5B323}"/>
  <tableColumns count="5">
    <tableColumn id="1" xr3:uid="{A0F2CD9A-410B-4123-B832-F34203766A3E}" name="time"/>
    <tableColumn id="2" xr3:uid="{7A005A20-BDA6-4FA5-B9B9-132876B77DF2}" name="moment" dataDxfId="71">
      <calculatedColumnFormula>(Table514510[[#This Row],[time]]-2)*2</calculatedColumnFormula>
    </tableColumn>
    <tableColumn id="3" xr3:uid="{BA38B846-3E7C-4A44-859D-1534221BC30F}" name="CAREA"/>
    <tableColumn id="4" xr3:uid="{11CD0659-0A66-46EA-87CB-811032600CDD}" name="CFNM"/>
    <tableColumn id="5" xr3:uid="{3FC800D2-F8C3-404B-9626-9BE1DCB14772}" name="CFNM/Total area contact" dataDxfId="70">
      <calculatedColumnFormula>Table514510[[#This Row],[CFNM]]/Table514510[[#This Row],[CAREA]]</calculatedColumnFormula>
    </tableColumn>
  </tableColumns>
  <tableStyleInfo name="TableStyleLight5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0" xr:uid="{A693EFAC-EA5D-4555-BBB9-384CC7A9271A}" name="Table615511" displayName="Table615511" ref="Z718:AD739" totalsRowShown="0">
  <autoFilter ref="Z718:AD739" xr:uid="{A693EFAC-EA5D-4555-BBB9-384CC7A9271A}"/>
  <tableColumns count="5">
    <tableColumn id="1" xr3:uid="{B54B0672-0BB9-43EC-A330-22B4BA0E570D}" name="time"/>
    <tableColumn id="2" xr3:uid="{4B2527BB-F394-4398-A192-98B653EDE682}" name="moment" dataDxfId="69">
      <calculatedColumnFormula>(Table615511[[#This Row],[time]]-2)*2</calculatedColumnFormula>
    </tableColumn>
    <tableColumn id="3" xr3:uid="{345F57E1-6006-497F-9DBE-DC73EB79C17C}" name="CAREA"/>
    <tableColumn id="4" xr3:uid="{8CE8FF4D-BD60-47E2-8915-0F8D6E35417E}" name="CFNM"/>
    <tableColumn id="5" xr3:uid="{8B79A63F-8534-43E7-81E8-29ED7B2A9EBB}" name="CFNM/Total area contact" dataDxfId="68">
      <calculatedColumnFormula>Table615511[[#This Row],[CFNM]]/Table615511[[#This Row],[CAREA]]</calculatedColumnFormula>
    </tableColumn>
  </tableColumns>
  <tableStyleInfo name="TableStyleLight6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1" xr:uid="{B9B0FBD6-F9F7-475A-8541-E8488117EC8C}" name="Table716512" displayName="Table716512" ref="AE718:AI739" totalsRowShown="0">
  <autoFilter ref="AE718:AI739" xr:uid="{B9B0FBD6-F9F7-475A-8541-E8488117EC8C}"/>
  <tableColumns count="5">
    <tableColumn id="1" xr3:uid="{656DD6E6-D12B-4CD5-84A0-69B49B56260A}" name="time"/>
    <tableColumn id="2" xr3:uid="{5B17031D-951D-4DD7-A366-AB4E763FF4E2}" name="moment" dataDxfId="67">
      <calculatedColumnFormula>(Table716512[[#This Row],[time]]-2)*2</calculatedColumnFormula>
    </tableColumn>
    <tableColumn id="3" xr3:uid="{77442599-0AC3-4368-8C5E-BF405F39093A}" name="CAREA"/>
    <tableColumn id="4" xr3:uid="{923598BF-5CCB-4591-8CAD-429B0AC81F8B}" name="CFNM"/>
    <tableColumn id="5" xr3:uid="{934C685A-6C17-4C70-829D-DA09F96F2070}" name="CFNM/Total area contact" dataDxfId="66">
      <calculatedColumnFormula>Table716512[[#This Row],[CFNM]]/Table716512[[#This Row],[CAREA]]</calculatedColumnFormula>
    </tableColumn>
  </tableColumns>
  <tableStyleInfo name="TableStyleLight7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2" xr:uid="{2AEBE39D-3EA9-4789-BEF9-F489EA4038C4}" name="Table817513" displayName="Table817513" ref="AJ718:AN739" totalsRowShown="0">
  <autoFilter ref="AJ718:AN739" xr:uid="{2AEBE39D-3EA9-4789-BEF9-F489EA4038C4}"/>
  <tableColumns count="5">
    <tableColumn id="1" xr3:uid="{086E0136-2091-485D-A0AB-F8B4C12A688F}" name="time"/>
    <tableColumn id="2" xr3:uid="{ED363894-0227-4251-B522-C5E818CD1575}" name="moment" dataDxfId="65">
      <calculatedColumnFormula>(Table817513[[#This Row],[time]]-2)*2</calculatedColumnFormula>
    </tableColumn>
    <tableColumn id="3" xr3:uid="{367C7433-4514-4630-A550-F45E6B3E9E59}" name="CAREA"/>
    <tableColumn id="4" xr3:uid="{3D6EF4E8-441D-48E9-A2F3-142C9F521A97}" name="CFNM"/>
    <tableColumn id="5" xr3:uid="{ACD72B0D-B6A8-4C93-B3A9-5CC20D6CAE98}" name="CFNM/Total area contact" dataDxfId="64">
      <calculatedColumnFormula>Table817513[[#This Row],[CFNM]]/Table817513[[#This Row],[CAREA]]</calculatedColumnFormula>
    </tableColumn>
  </tableColumns>
  <tableStyleInfo name="TableStyleLight15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3" xr:uid="{DF09A6E8-0E4C-4782-B393-EBB0E519950B}" name="Table1514" displayName="Table1514" ref="A748:E769" totalsRowShown="0">
  <autoFilter ref="A748:E769" xr:uid="{DF09A6E8-0E4C-4782-B393-EBB0E519950B}"/>
  <tableColumns count="5">
    <tableColumn id="1" xr3:uid="{6B9DD264-F0E5-4E0B-B7A1-1E0AB57EEF10}" name="time"/>
    <tableColumn id="2" xr3:uid="{C4B5B442-8E86-44CA-86E7-ECAD544F8E53}" name="moment" dataDxfId="63">
      <calculatedColumnFormula>-(Table1514[[#This Row],[time]]-2)*2</calculatedColumnFormula>
    </tableColumn>
    <tableColumn id="3" xr3:uid="{CD94C12D-3AB7-4CB3-9F42-06F8138EE470}" name="CAREA"/>
    <tableColumn id="4" xr3:uid="{70A5FF87-B73D-433A-ADB5-80350368D1A5}" name="CFNM"/>
    <tableColumn id="5" xr3:uid="{A3CD2676-3CFB-42CD-8E0B-B622FFBA2053}" name="CFNM/Total area contact" dataDxfId="62">
      <calculatedColumnFormula>Table1514[[#This Row],[CFNM]]/Table1514[[#This Row],[CAREA]]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F1033753-0ABC-444B-A5E0-83CD6005B4A4}" name="Table5278" displayName="Table5278" ref="U91:Y112" totalsRowShown="0">
  <autoFilter ref="U91:Y112" xr:uid="{F1033753-0ABC-444B-A5E0-83CD6005B4A4}"/>
  <tableColumns count="5">
    <tableColumn id="1" xr3:uid="{6DEEE551-A154-4A92-A991-60F2B80A12D5}" name="time"/>
    <tableColumn id="2" xr3:uid="{25B11100-D9F0-4431-98E7-C0FE8AFE52E1}" name="moment" dataDxfId="439">
      <calculatedColumnFormula>(Table5278[[#This Row],[time]]-2)*2</calculatedColumnFormula>
    </tableColumn>
    <tableColumn id="3" xr3:uid="{C1AEEDC7-C74C-454B-8967-03E17EEF62CD}" name="CAREA"/>
    <tableColumn id="4" xr3:uid="{C04411AA-E097-4446-B677-CB8B6530B7D2}" name="CFNM"/>
    <tableColumn id="5" xr3:uid="{2FE93D18-5699-481D-8284-6AB76BDC698E}" name="CFNM/Total area contact" dataDxfId="438">
      <calculatedColumnFormula>Table5278[[#This Row],[CFNM]]/Table5278[[#This Row],[CAREA]]</calculatedColumnFormula>
    </tableColumn>
  </tableColumns>
  <tableStyleInfo name="TableStyleLight5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4" xr:uid="{7933083A-90E1-4BEA-9593-DAD765B3DFC9}" name="Table2515" displayName="Table2515" ref="F748:J769" totalsRowShown="0">
  <autoFilter ref="F748:J769" xr:uid="{7933083A-90E1-4BEA-9593-DAD765B3DFC9}"/>
  <tableColumns count="5">
    <tableColumn id="1" xr3:uid="{F04112FE-8F53-4E4C-8E31-9CC0BF3151EC}" name="time"/>
    <tableColumn id="2" xr3:uid="{E4B119D3-9698-418E-BD47-41730E3277DB}" name="moment" dataDxfId="61">
      <calculatedColumnFormula>-(Table2515[[#This Row],[time]]-2)*2</calculatedColumnFormula>
    </tableColumn>
    <tableColumn id="3" xr3:uid="{C707582E-E716-4C13-BCD5-C206416A4AE7}" name="CAREA"/>
    <tableColumn id="4" xr3:uid="{4ABA716E-F1FF-4550-BFF0-030B844F170A}" name="CFNM"/>
    <tableColumn id="5" xr3:uid="{50FE2D77-FBEF-4D2D-A9C5-07DBD0BBEE59}" name="CFNM/Total area contact" dataDxfId="60">
      <calculatedColumnFormula>Table2515[[#This Row],[CFNM]]/Table2515[[#This Row],[CAREA]]</calculatedColumnFormula>
    </tableColumn>
  </tableColumns>
  <tableStyleInfo name="TableStyleLight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5" xr:uid="{CCBC55F7-A09A-45F1-A1DA-CFB545E627C6}" name="Table3516" displayName="Table3516" ref="K748:O769" totalsRowShown="0">
  <autoFilter ref="K748:O769" xr:uid="{CCBC55F7-A09A-45F1-A1DA-CFB545E627C6}"/>
  <tableColumns count="5">
    <tableColumn id="1" xr3:uid="{D94BE219-C708-45AE-9507-6D9E0F486F61}" name="time"/>
    <tableColumn id="2" xr3:uid="{6235D4D5-400C-4DCD-AB86-71FE0A5B6CCC}" name="moment" dataDxfId="59">
      <calculatedColumnFormula>-(Table3516[[#This Row],[time]]-2)*2</calculatedColumnFormula>
    </tableColumn>
    <tableColumn id="3" xr3:uid="{F5CC541D-B634-45FA-84B2-A8E91570E632}" name="CAREA"/>
    <tableColumn id="4" xr3:uid="{06A245D8-75F6-4AA0-9952-58712286BE20}" name="CFNM"/>
    <tableColumn id="5" xr3:uid="{ACBC5802-E11F-412E-9D02-099571DF385C}" name="CFNM/Total area contact" dataDxfId="58">
      <calculatedColumnFormula>Table3516[[#This Row],[CFNM]]/Table3516[[#This Row],[CAREA]]</calculatedColumnFormula>
    </tableColumn>
  </tableColumns>
  <tableStyleInfo name="TableStyleLight3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6" xr:uid="{3600DFEE-B0AF-4925-8A76-8A307B0B26F2}" name="Table4517" displayName="Table4517" ref="P748:T769" totalsRowShown="0">
  <autoFilter ref="P748:T769" xr:uid="{3600DFEE-B0AF-4925-8A76-8A307B0B26F2}"/>
  <tableColumns count="5">
    <tableColumn id="1" xr3:uid="{E325CA18-3710-4E3D-8C9E-A004B374A949}" name="time"/>
    <tableColumn id="2" xr3:uid="{9082F79B-ED6E-42D5-BBD3-C29480407436}" name="moment" dataDxfId="57">
      <calculatedColumnFormula>-(Table4517[[#This Row],[time]]-2)*2</calculatedColumnFormula>
    </tableColumn>
    <tableColumn id="3" xr3:uid="{06121B9F-204A-4D25-848E-89005D94E006}" name="CAREA"/>
    <tableColumn id="4" xr3:uid="{D2EE5235-A018-4C01-BAA7-8F1B72E1F987}" name="CFNM"/>
    <tableColumn id="5" xr3:uid="{CDF04881-7FE4-4870-8D2E-8E96E3DDBEA5}" name="CFNM/Total area contact" dataDxfId="56">
      <calculatedColumnFormula>Table4517[[#This Row],[CFNM]]/Table4517[[#This Row],[CAREA]]</calculatedColumnFormula>
    </tableColumn>
  </tableColumns>
  <tableStyleInfo name="TableStyleLight4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7" xr:uid="{04514C27-DB62-4510-94A1-89E62CB92C1D}" name="Table5518" displayName="Table5518" ref="U748:Y769" totalsRowShown="0">
  <autoFilter ref="U748:Y769" xr:uid="{04514C27-DB62-4510-94A1-89E62CB92C1D}"/>
  <tableColumns count="5">
    <tableColumn id="1" xr3:uid="{88EFF315-B4DD-4D63-A1FE-F67EF6CADC9A}" name="time"/>
    <tableColumn id="2" xr3:uid="{4604BB5A-5958-4B72-A2E5-6D86BE0A1120}" name="moment" dataDxfId="55">
      <calculatedColumnFormula>-(Table5518[[#This Row],[time]]-2)*2</calculatedColumnFormula>
    </tableColumn>
    <tableColumn id="3" xr3:uid="{BEC3AE0B-E30E-41BF-B513-CF3DEF8163A8}" name="CAREA"/>
    <tableColumn id="4" xr3:uid="{586A5754-E522-48FE-9D91-BA3A9AF59B15}" name="CFNM"/>
    <tableColumn id="5" xr3:uid="{153A4C13-C46A-4335-B7CA-9BE098FB6CAE}" name="CFNM/Total area contact" dataDxfId="54">
      <calculatedColumnFormula>Table5518[[#This Row],[CFNM]]/Table5518[[#This Row],[CAREA]]</calculatedColumnFormula>
    </tableColumn>
  </tableColumns>
  <tableStyleInfo name="TableStyleLight5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8" xr:uid="{8C03DE23-26E6-49BA-8A11-7A26DC6C764C}" name="Table6519" displayName="Table6519" ref="Z748:AD769" totalsRowShown="0">
  <autoFilter ref="Z748:AD769" xr:uid="{8C03DE23-26E6-49BA-8A11-7A26DC6C764C}"/>
  <tableColumns count="5">
    <tableColumn id="1" xr3:uid="{7D2FFF09-D3FD-4028-AE67-54B481FC2221}" name="time"/>
    <tableColumn id="2" xr3:uid="{02E7CD70-AFD2-4575-AF34-F4DFA174953A}" name="moment" dataDxfId="53">
      <calculatedColumnFormula>-(Table6519[[#This Row],[time]]-2)*2</calculatedColumnFormula>
    </tableColumn>
    <tableColumn id="3" xr3:uid="{D4DC5EB0-D142-4806-8003-E167CDC832CE}" name="CAREA"/>
    <tableColumn id="4" xr3:uid="{7D1CC6D0-E1BC-425C-9A64-51B55F09FA52}" name="CFNM"/>
    <tableColumn id="5" xr3:uid="{E2D79B9F-B813-48AD-9C8A-19BB72B5A45C}" name="CFNM/Total area contact" dataDxfId="52">
      <calculatedColumnFormula>Table6519[[#This Row],[CFNM]]/Table6519[[#This Row],[CAREA]]</calculatedColumnFormula>
    </tableColumn>
  </tableColumns>
  <tableStyleInfo name="TableStyleLight6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9" xr:uid="{F90D5B4B-C7CC-4A0C-AC96-485145E379F4}" name="Table7520" displayName="Table7520" ref="AE748:AI769" totalsRowShown="0">
  <autoFilter ref="AE748:AI769" xr:uid="{F90D5B4B-C7CC-4A0C-AC96-485145E379F4}"/>
  <tableColumns count="5">
    <tableColumn id="1" xr3:uid="{8AA7925A-9DFB-42AB-8A0F-593854CFC975}" name="time"/>
    <tableColumn id="2" xr3:uid="{246FC739-8062-4C4C-A200-3A9E79507782}" name="moment" dataDxfId="51">
      <calculatedColumnFormula>-(Table7520[[#This Row],[time]]-2)*2</calculatedColumnFormula>
    </tableColumn>
    <tableColumn id="3" xr3:uid="{BC0D1209-B732-4F08-8C23-A5FA7720AEA7}" name="CAREA"/>
    <tableColumn id="4" xr3:uid="{563D3E83-75D6-4C5A-846C-96CD2531D1CC}" name="CFNM"/>
    <tableColumn id="5" xr3:uid="{D8B35160-BE07-48EB-BF46-192A5DE7BC34}" name="CFNM/Total area contact" dataDxfId="50">
      <calculatedColumnFormula>Table7520[[#This Row],[CFNM]]/Table7520[[#This Row],[CAREA]]</calculatedColumnFormula>
    </tableColumn>
  </tableColumns>
  <tableStyleInfo name="TableStyleLight7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0" xr:uid="{4A26FE0D-E326-4F03-8949-3DAF6FBB269F}" name="Table8521" displayName="Table8521" ref="AJ748:AN769" totalsRowShown="0">
  <autoFilter ref="AJ748:AN769" xr:uid="{4A26FE0D-E326-4F03-8949-3DAF6FBB269F}"/>
  <tableColumns count="5">
    <tableColumn id="1" xr3:uid="{636B7E67-68D6-40A8-87CD-28D8B49795EF}" name="time"/>
    <tableColumn id="2" xr3:uid="{6F8402E1-F9D1-49A3-B25A-0D54BB782B09}" name="moment" dataDxfId="49">
      <calculatedColumnFormula>-(Table8521[[#This Row],[time]]-2)*2</calculatedColumnFormula>
    </tableColumn>
    <tableColumn id="3" xr3:uid="{4EBB2EB0-31FB-41FE-92F0-F0BD21691B6C}" name="CAREA"/>
    <tableColumn id="4" xr3:uid="{E3F997E7-DAA1-44EE-958F-F4EA2C176549}" name="CFNM"/>
    <tableColumn id="5" xr3:uid="{F633BBD8-3522-4CAD-B04D-FB54FDB4AFFF}" name="CFNM/Total area contact" dataDxfId="48">
      <calculatedColumnFormula>Table8521[[#This Row],[CFNM]]/Table8521[[#This Row],[CAREA]]</calculatedColumnFormula>
    </tableColumn>
  </tableColumns>
  <tableStyleInfo name="TableStyleLight15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1" xr:uid="{5A9A9314-18F8-4718-ADC3-8601A055EF44}" name="Table110522" displayName="Table110522" ref="A775:E796" totalsRowShown="0">
  <autoFilter ref="A775:E796" xr:uid="{5A9A9314-18F8-4718-ADC3-8601A055EF44}"/>
  <tableColumns count="5">
    <tableColumn id="1" xr3:uid="{A192BDE7-BB1D-4BC9-A5A3-248070F95592}" name="time"/>
    <tableColumn id="2" xr3:uid="{AF791359-78CD-4A20-B19C-7D539DA42EE4}" name="moment" dataDxfId="47">
      <calculatedColumnFormula>(Table110522[[#This Row],[time]]-2)*2</calculatedColumnFormula>
    </tableColumn>
    <tableColumn id="3" xr3:uid="{F54291A2-F8A0-4615-BBCE-9F4BB8B1CD71}" name="CAREA"/>
    <tableColumn id="4" xr3:uid="{D57F0E76-3C0E-47FC-B659-AD6C55D84DDC}" name="CFNM"/>
    <tableColumn id="5" xr3:uid="{99493678-6376-4B0E-88CC-C0C2914719E2}" name="CFNM/Total area contact" dataDxfId="46">
      <calculatedColumnFormula>Table110522[[#This Row],[CFNM]]/Table110522[[#This Row],[CAREA]]</calculatedColumnFormula>
    </tableColumn>
  </tableColumns>
  <tableStyleInfo name="TableStyleLight1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2" xr:uid="{1C99C79E-CC6D-47A8-B59F-C32EADE68857}" name="Table211523" displayName="Table211523" ref="F775:J796" totalsRowShown="0">
  <autoFilter ref="F775:J796" xr:uid="{1C99C79E-CC6D-47A8-B59F-C32EADE68857}"/>
  <tableColumns count="5">
    <tableColumn id="1" xr3:uid="{21BD910A-2D0E-444B-B218-256E56EC5051}" name="time"/>
    <tableColumn id="2" xr3:uid="{8DE1438F-CD01-4E41-BCE7-20C4D43512DE}" name="moment" dataDxfId="45">
      <calculatedColumnFormula>(Table211523[[#This Row],[time]]-2)*2</calculatedColumnFormula>
    </tableColumn>
    <tableColumn id="3" xr3:uid="{4B545A56-D8DD-4839-90B5-69046828452E}" name="CAREA"/>
    <tableColumn id="4" xr3:uid="{15C5E975-64EA-491F-AE0E-64ED435B1DA0}" name="CFNM"/>
    <tableColumn id="5" xr3:uid="{48A2A533-65D4-45E6-92F7-0F24FDC36C51}" name="CFNM/Total area contact" dataDxfId="44">
      <calculatedColumnFormula>Table211523[[#This Row],[CFNM]]/Table211523[[#This Row],[CAREA]]</calculatedColumnFormula>
    </tableColumn>
  </tableColumns>
  <tableStyleInfo name="TableStyleLight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3" xr:uid="{E01DF19D-261E-4531-9ECF-77C268BF7980}" name="Table312524" displayName="Table312524" ref="K775:O796" totalsRowShown="0">
  <autoFilter ref="K775:O796" xr:uid="{E01DF19D-261E-4531-9ECF-77C268BF7980}"/>
  <tableColumns count="5">
    <tableColumn id="1" xr3:uid="{E0C1C2B5-148F-4139-9A43-2CCAA0164D8E}" name="time"/>
    <tableColumn id="2" xr3:uid="{486A82D8-F4F4-4A18-A9EE-84A0DE13AC82}" name="moment" dataDxfId="43">
      <calculatedColumnFormula>(Table312524[[#This Row],[time]]-2)*2</calculatedColumnFormula>
    </tableColumn>
    <tableColumn id="3" xr3:uid="{4DE85F0A-3556-45FC-9009-ADC0D840EE5A}" name="CAREA"/>
    <tableColumn id="4" xr3:uid="{62580157-A803-4863-8A9D-B78A685150C6}" name="CFNM"/>
    <tableColumn id="5" xr3:uid="{191B5098-0647-43C7-AB05-50985D43D8BE}" name="CFNM/Total area contact" dataDxfId="42">
      <calculatedColumnFormula>Table312524[[#This Row],[CFNM]]/Table312524[[#This Row],[CAREA]]</calculatedColumnFormula>
    </tableColumn>
  </tableColumns>
  <tableStyleInfo name="TableStyleLight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9B88BBDF-0854-4D0F-9B27-B9CF9CC3F2A3}" name="Table6279" displayName="Table6279" ref="Z91:AD112" totalsRowShown="0">
  <autoFilter ref="Z91:AD112" xr:uid="{9B88BBDF-0854-4D0F-9B27-B9CF9CC3F2A3}"/>
  <tableColumns count="5">
    <tableColumn id="1" xr3:uid="{F712C197-FDF2-4B21-8C2D-DCE29B30293E}" name="time"/>
    <tableColumn id="2" xr3:uid="{CF07D36C-6724-4B46-AC33-39D0E98174EF}" name="moment" dataDxfId="437">
      <calculatedColumnFormula>(Table6279[[#This Row],[time]]-2)*2</calculatedColumnFormula>
    </tableColumn>
    <tableColumn id="3" xr3:uid="{A2B62C2F-D4E0-44D0-B8D4-730A3871731C}" name="CAREA"/>
    <tableColumn id="4" xr3:uid="{FD5C608D-3899-4C62-A753-1DCC73F8857C}" name="CFNM"/>
    <tableColumn id="5" xr3:uid="{0EAAFDD7-E805-4C29-B0CD-DEB39D790E8B}" name="CFNM/Total area contact" dataDxfId="436">
      <calculatedColumnFormula>Table6279[[#This Row],[CFNM]]/Table6279[[#This Row],[CAREA]]</calculatedColumnFormula>
    </tableColumn>
  </tableColumns>
  <tableStyleInfo name="TableStyleLight6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4" xr:uid="{7F48539A-6DD0-4C28-876F-266B659DA7D7}" name="Table413525" displayName="Table413525" ref="P775:T796" totalsRowShown="0">
  <autoFilter ref="P775:T796" xr:uid="{7F48539A-6DD0-4C28-876F-266B659DA7D7}"/>
  <tableColumns count="5">
    <tableColumn id="1" xr3:uid="{7A5D2FD0-DCE4-4E44-ACCD-79E0447C6195}" name="time"/>
    <tableColumn id="2" xr3:uid="{510B066C-56E0-4B86-A6D1-EA0C6E8567C1}" name="moment" dataDxfId="41">
      <calculatedColumnFormula>(Table413525[[#This Row],[time]]-2)*2</calculatedColumnFormula>
    </tableColumn>
    <tableColumn id="3" xr3:uid="{2AB3961E-8081-44A0-8259-1DFA7B20FB86}" name="CAREA"/>
    <tableColumn id="4" xr3:uid="{09DAEC4C-D356-4E77-B5AF-9A6AFE3FBC29}" name="CFNM"/>
    <tableColumn id="5" xr3:uid="{7C781436-2DB7-42BF-94C3-771A00A87ECF}" name="CFNM/Total area contact" dataDxfId="40">
      <calculatedColumnFormula>Table413525[[#This Row],[CFNM]]/Table413525[[#This Row],[CAREA]]</calculatedColumnFormula>
    </tableColumn>
  </tableColumns>
  <tableStyleInfo name="TableStyleLight4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5" xr:uid="{A571675A-07E8-4E43-81BF-AD928D5333ED}" name="Table514526" displayName="Table514526" ref="U775:Y796" totalsRowShown="0">
  <autoFilter ref="U775:Y796" xr:uid="{A571675A-07E8-4E43-81BF-AD928D5333ED}"/>
  <tableColumns count="5">
    <tableColumn id="1" xr3:uid="{C7826DD0-D864-4C2E-ACBF-60ED618BA566}" name="time"/>
    <tableColumn id="2" xr3:uid="{7C332D2B-B949-489B-AD38-574F5CD9458D}" name="moment" dataDxfId="39">
      <calculatedColumnFormula>(Table514526[[#This Row],[time]]-2)*2</calculatedColumnFormula>
    </tableColumn>
    <tableColumn id="3" xr3:uid="{30AC19A0-E525-44BA-9492-DF9303CE3ABA}" name="CAREA"/>
    <tableColumn id="4" xr3:uid="{E52A0DF6-6D29-401C-B131-DDB5508EEA31}" name="CFNM"/>
    <tableColumn id="5" xr3:uid="{335549A7-C1AD-44ED-9F08-3EF05C2283A7}" name="CFNM/Total area contact" dataDxfId="38">
      <calculatedColumnFormula>Table514526[[#This Row],[CFNM]]/Table514526[[#This Row],[CAREA]]</calculatedColumnFormula>
    </tableColumn>
  </tableColumns>
  <tableStyleInfo name="TableStyleLight5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6" xr:uid="{8D68DFEC-A8DE-4E7D-AB20-48E2E1DAD52A}" name="Table615527" displayName="Table615527" ref="Z775:AD796" totalsRowShown="0">
  <autoFilter ref="Z775:AD796" xr:uid="{8D68DFEC-A8DE-4E7D-AB20-48E2E1DAD52A}"/>
  <tableColumns count="5">
    <tableColumn id="1" xr3:uid="{7925A1D8-6FF9-4B5A-B685-C4F34EECA37B}" name="time"/>
    <tableColumn id="2" xr3:uid="{DE9A05F5-38A4-4868-9DBA-0CB1191EB49A}" name="moment" dataDxfId="37">
      <calculatedColumnFormula>(Table615527[[#This Row],[time]]-2)*2</calculatedColumnFormula>
    </tableColumn>
    <tableColumn id="3" xr3:uid="{64BFE1CF-3224-4A8E-B1BD-669A2D1F2154}" name="CAREA"/>
    <tableColumn id="4" xr3:uid="{805663AF-EE31-4B1B-B9D4-AD721861A557}" name="CFNM"/>
    <tableColumn id="5" xr3:uid="{156B0383-94A5-4CB2-A81C-3E6E77F4E8F1}" name="CFNM/Total area contact" dataDxfId="36">
      <calculatedColumnFormula>Table615527[[#This Row],[CFNM]]/Table615527[[#This Row],[CAREA]]</calculatedColumnFormula>
    </tableColumn>
  </tableColumns>
  <tableStyleInfo name="TableStyleLight6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7" xr:uid="{26DFAFEA-669F-4C16-9679-FB3DC620516F}" name="Table716528" displayName="Table716528" ref="AE775:AI796" totalsRowShown="0">
  <autoFilter ref="AE775:AI796" xr:uid="{26DFAFEA-669F-4C16-9679-FB3DC620516F}"/>
  <tableColumns count="5">
    <tableColumn id="1" xr3:uid="{16293317-14BC-4AC7-8702-0FA5C668EE47}" name="time"/>
    <tableColumn id="2" xr3:uid="{23E5C14E-B8AC-4248-AA1C-ECB3EA3FFE97}" name="moment" dataDxfId="35">
      <calculatedColumnFormula>(Table716528[[#This Row],[time]]-2)*2</calculatedColumnFormula>
    </tableColumn>
    <tableColumn id="3" xr3:uid="{AEAA94EB-5C3D-43FB-8311-AB1B594F0ABB}" name="CAREA"/>
    <tableColumn id="4" xr3:uid="{BFFCB1F6-D7E1-4948-8CF9-8C5F9C8B98E8}" name="CFNM"/>
    <tableColumn id="5" xr3:uid="{CD032621-CBCB-45BA-8B14-A14120997733}" name="CFNM/Total area contact" dataDxfId="34">
      <calculatedColumnFormula>Table716528[[#This Row],[CFNM]]/Table716528[[#This Row],[CAREA]]</calculatedColumnFormula>
    </tableColumn>
  </tableColumns>
  <tableStyleInfo name="TableStyleLight7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8" xr:uid="{352B553B-67BE-4324-8BC5-E9813293056A}" name="Table817529" displayName="Table817529" ref="AJ775:AN796" totalsRowShown="0">
  <autoFilter ref="AJ775:AN796" xr:uid="{352B553B-67BE-4324-8BC5-E9813293056A}"/>
  <tableColumns count="5">
    <tableColumn id="1" xr3:uid="{7385521E-FE58-4F7B-A243-615DED6D4622}" name="time"/>
    <tableColumn id="2" xr3:uid="{F06B2167-B345-4EF5-802F-DF6F3E5482D3}" name="moment" dataDxfId="33">
      <calculatedColumnFormula>(Table817529[[#This Row],[time]]-2)*2</calculatedColumnFormula>
    </tableColumn>
    <tableColumn id="3" xr3:uid="{FEC597E2-97E1-4B9E-A198-68A71B8E597C}" name="CAREA"/>
    <tableColumn id="4" xr3:uid="{A8923086-FEE3-483F-9772-834661AA9A00}" name="CFNM"/>
    <tableColumn id="5" xr3:uid="{E5D1524F-D75B-4B01-9ABA-810BCD74D254}" name="CFNM/Total area contact" dataDxfId="32">
      <calculatedColumnFormula>Table817529[[#This Row],[CFNM]]/Table817529[[#This Row],[CAREA]]</calculatedColumnFormula>
    </tableColumn>
  </tableColumns>
  <tableStyleInfo name="TableStyleLight15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9" xr:uid="{1546F4AC-9B9E-432A-BC99-CEC397FFAD87}" name="Table1530" displayName="Table1530" ref="A804:E825" totalsRowShown="0">
  <autoFilter ref="A804:E825" xr:uid="{1546F4AC-9B9E-432A-BC99-CEC397FFAD87}"/>
  <tableColumns count="5">
    <tableColumn id="1" xr3:uid="{87F45326-C79D-40BF-8F05-67F968CFD47F}" name="time"/>
    <tableColumn id="2" xr3:uid="{2247F74C-8563-49DD-B03C-DC3CA0189FE3}" name="moment" dataDxfId="31">
      <calculatedColumnFormula>-(Table1530[[#This Row],[time]]-2)*2</calculatedColumnFormula>
    </tableColumn>
    <tableColumn id="3" xr3:uid="{1C981618-4B03-467F-BCB2-A036EEEB69EB}" name="CAREA"/>
    <tableColumn id="4" xr3:uid="{002F1D90-B4E7-48CB-A187-FF3001F21850}" name="CFNM"/>
    <tableColumn id="5" xr3:uid="{6A2144EF-B5AD-4B5E-B8B4-550217DF3976}" name="CFNM/Total area contact" dataDxfId="30">
      <calculatedColumnFormula>Table1530[[#This Row],[CFNM]]/Table1530[[#This Row],[CAREA]]</calculatedColumnFormula>
    </tableColumn>
  </tableColumns>
  <tableStyleInfo name="TableStyleLight1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0" xr:uid="{1F395B2B-E748-4F6C-9151-D7882A694D0F}" name="Table2531" displayName="Table2531" ref="F804:J825" totalsRowShown="0">
  <autoFilter ref="F804:J825" xr:uid="{1F395B2B-E748-4F6C-9151-D7882A694D0F}"/>
  <tableColumns count="5">
    <tableColumn id="1" xr3:uid="{A47EBB7E-34E0-45FD-B6EF-22AA20851F78}" name="time"/>
    <tableColumn id="2" xr3:uid="{2173AE62-66A0-4F6C-9B88-18D6452144C3}" name="moment" dataDxfId="29">
      <calculatedColumnFormula>-(Table2531[[#This Row],[time]]-2)*2</calculatedColumnFormula>
    </tableColumn>
    <tableColumn id="3" xr3:uid="{10DF9C79-A273-43BE-923D-1682CB778B0F}" name="CAREA"/>
    <tableColumn id="4" xr3:uid="{8ED0F0F9-CC5D-4A42-8C84-27519328176B}" name="CFNM"/>
    <tableColumn id="5" xr3:uid="{44D7689C-847D-4146-8959-7521E0105BC5}" name="CFNM/Total area contact" dataDxfId="28">
      <calculatedColumnFormula>Table2531[[#This Row],[CFNM]]/Table2531[[#This Row],[CAREA]]</calculatedColumnFormula>
    </tableColumn>
  </tableColumns>
  <tableStyleInfo name="TableStyleLight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1" xr:uid="{8C781048-DC29-45C1-B954-763DDEF324C4}" name="Table3532" displayName="Table3532" ref="K804:O825" totalsRowShown="0">
  <autoFilter ref="K804:O825" xr:uid="{8C781048-DC29-45C1-B954-763DDEF324C4}"/>
  <tableColumns count="5">
    <tableColumn id="1" xr3:uid="{5559805D-99AC-4278-ACAF-45148F109369}" name="time"/>
    <tableColumn id="2" xr3:uid="{DA6487BC-1C7F-4B7B-A7E1-5DE2E938354E}" name="moment" dataDxfId="27">
      <calculatedColumnFormula>-(Table3532[[#This Row],[time]]-2)*2</calculatedColumnFormula>
    </tableColumn>
    <tableColumn id="3" xr3:uid="{F8C3F2A4-1B8D-4421-B320-1B2923FF0461}" name="CAREA"/>
    <tableColumn id="4" xr3:uid="{F684E963-D7C7-49B4-AEA7-DC2EAF7D3064}" name="CFNM"/>
    <tableColumn id="5" xr3:uid="{25B2169D-7E3B-4E3B-88FD-49EC89DCFE18}" name="CFNM/Total area contact" dataDxfId="26">
      <calculatedColumnFormula>Table3532[[#This Row],[CFNM]]/Table3532[[#This Row],[CAREA]]</calculatedColumnFormula>
    </tableColumn>
  </tableColumns>
  <tableStyleInfo name="TableStyleLight3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2" xr:uid="{75812149-CDEF-4106-8D2C-A73E45FC767E}" name="Table4533" displayName="Table4533" ref="P804:T825" totalsRowShown="0">
  <autoFilter ref="P804:T825" xr:uid="{75812149-CDEF-4106-8D2C-A73E45FC767E}"/>
  <tableColumns count="5">
    <tableColumn id="1" xr3:uid="{E575DEB4-E9EC-4C04-92E8-47B5CF509159}" name="time"/>
    <tableColumn id="2" xr3:uid="{9D5F16F9-017D-4FC6-9311-DAEE7BF5674F}" name="moment" dataDxfId="25">
      <calculatedColumnFormula>-(Table4533[[#This Row],[time]]-2)*2</calculatedColumnFormula>
    </tableColumn>
    <tableColumn id="3" xr3:uid="{068FDD37-3F0C-4F20-943C-C004A48C0A49}" name="CAREA"/>
    <tableColumn id="4" xr3:uid="{02A77789-E29E-4893-89D1-1706D44E8E0B}" name="CFNM"/>
    <tableColumn id="5" xr3:uid="{ED9B28F8-A2BD-4750-B1B1-D9B338B8FE7B}" name="CFNM/Total area contact" dataDxfId="24">
      <calculatedColumnFormula>Table4533[[#This Row],[CFNM]]/Table4533[[#This Row],[CAREA]]</calculatedColumnFormula>
    </tableColumn>
  </tableColumns>
  <tableStyleInfo name="TableStyleLight4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3" xr:uid="{9689177B-3607-47BA-8E8D-E20818B38EBB}" name="Table5534" displayName="Table5534" ref="U804:Y825" totalsRowShown="0">
  <autoFilter ref="U804:Y825" xr:uid="{9689177B-3607-47BA-8E8D-E20818B38EBB}"/>
  <tableColumns count="5">
    <tableColumn id="1" xr3:uid="{EA7BC150-E8D2-411F-9599-3B895BDBCFF4}" name="time"/>
    <tableColumn id="2" xr3:uid="{9C128170-A5D0-4344-A54B-E25636AC3348}" name="moment" dataDxfId="23">
      <calculatedColumnFormula>-(Table5534[[#This Row],[time]]-2)*2</calculatedColumnFormula>
    </tableColumn>
    <tableColumn id="3" xr3:uid="{FFB11C54-D526-4A5C-8047-815C0D7F0E97}" name="CAREA"/>
    <tableColumn id="4" xr3:uid="{54D8A9E0-42A6-4491-A7C0-FEA350D18CA5}" name="CFNM"/>
    <tableColumn id="5" xr3:uid="{66E4BB98-5FDB-427A-9008-9FFB3F291A4F}" name="CFNM/Total area contact" dataDxfId="22">
      <calculatedColumnFormula>Table5534[[#This Row],[CFNM]]/Table5534[[#This Row],[CAREA]]</calculatedColumnFormula>
    </tableColumn>
  </tableColumns>
  <tableStyleInfo name="TableStyleLight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B2934A86-A493-43F5-9EA5-DA5050B6CF01}" name="Table7280" displayName="Table7280" ref="AE91:AI112" totalsRowShown="0">
  <autoFilter ref="AE91:AI112" xr:uid="{B2934A86-A493-43F5-9EA5-DA5050B6CF01}"/>
  <tableColumns count="5">
    <tableColumn id="1" xr3:uid="{14A5C86E-39FA-44E7-A42D-E5B5B9DE3500}" name="time"/>
    <tableColumn id="2" xr3:uid="{08EBA62F-7723-4260-A293-8A70C8B906D9}" name="moment" dataDxfId="435">
      <calculatedColumnFormula>(Table7280[[#This Row],[time]]-2)*2</calculatedColumnFormula>
    </tableColumn>
    <tableColumn id="3" xr3:uid="{98611DDE-C21D-4EDC-99F1-AC2A9031E5DD}" name="CAREA"/>
    <tableColumn id="4" xr3:uid="{53A956FF-2290-4F4E-BCFA-3296BBFB3CF1}" name="CFNM"/>
    <tableColumn id="5" xr3:uid="{A39CF433-0DFA-4649-9742-E5D8523A0651}" name="CFNM/Total area contact" dataDxfId="434">
      <calculatedColumnFormula>Table7280[[#This Row],[CFNM]]/Table7280[[#This Row],[CAREA]]</calculatedColumnFormula>
    </tableColumn>
  </tableColumns>
  <tableStyleInfo name="TableStyleLight7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4" xr:uid="{F5F3AB41-710B-489B-B6C2-D0764EA73798}" name="Table6535" displayName="Table6535" ref="Z804:AD825" totalsRowShown="0">
  <autoFilter ref="Z804:AD825" xr:uid="{F5F3AB41-710B-489B-B6C2-D0764EA73798}"/>
  <tableColumns count="5">
    <tableColumn id="1" xr3:uid="{570BA3C7-4C92-40C3-8893-E6BAAB38D7E1}" name="time"/>
    <tableColumn id="2" xr3:uid="{5092F717-D8C3-4D70-AF84-E7429E10605D}" name="moment" dataDxfId="21">
      <calculatedColumnFormula>-(Table6535[[#This Row],[time]]-2)*2</calculatedColumnFormula>
    </tableColumn>
    <tableColumn id="3" xr3:uid="{CC568F1E-3143-4908-8619-390733CD72FE}" name="CAREA"/>
    <tableColumn id="4" xr3:uid="{44E35C35-A159-4C3F-A2D9-F39370794D59}" name="CFNM"/>
    <tableColumn id="5" xr3:uid="{D273875A-A9E9-4B09-9204-542DC5C45010}" name="CFNM/Total area contact" dataDxfId="20">
      <calculatedColumnFormula>Table6535[[#This Row],[CFNM]]/Table6535[[#This Row],[CAREA]]</calculatedColumnFormula>
    </tableColumn>
  </tableColumns>
  <tableStyleInfo name="TableStyleLight6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5" xr:uid="{A669D54F-1FCA-4F3D-BDE1-D17C5F7512E5}" name="Table7536" displayName="Table7536" ref="AE804:AI825" totalsRowShown="0">
  <autoFilter ref="AE804:AI825" xr:uid="{A669D54F-1FCA-4F3D-BDE1-D17C5F7512E5}"/>
  <tableColumns count="5">
    <tableColumn id="1" xr3:uid="{C64AAC23-D034-4348-BB0B-4BF787D31482}" name="time"/>
    <tableColumn id="2" xr3:uid="{5A5DE7EC-B021-4AD7-9C0A-97FD399FC9AE}" name="moment" dataDxfId="19">
      <calculatedColumnFormula>-(Table7536[[#This Row],[time]]-2)*2</calculatedColumnFormula>
    </tableColumn>
    <tableColumn id="3" xr3:uid="{3879C353-732E-4EF1-A03B-AC6B064973FF}" name="CAREA"/>
    <tableColumn id="4" xr3:uid="{51F34057-D5FB-4183-8BCE-CE967CD7F085}" name="CFNM"/>
    <tableColumn id="5" xr3:uid="{EB2DEFE2-9E28-4CB8-8041-ABD57EF47F10}" name="CFNM/Total area contact" dataDxfId="18">
      <calculatedColumnFormula>Table7536[[#This Row],[CFNM]]/Table7536[[#This Row],[CAREA]]</calculatedColumnFormula>
    </tableColumn>
  </tableColumns>
  <tableStyleInfo name="TableStyleLight7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6" xr:uid="{D947EFBE-0CC3-4D56-9156-6A1FA594D4C7}" name="Table8537" displayName="Table8537" ref="AJ804:AN825" totalsRowShown="0">
  <autoFilter ref="AJ804:AN825" xr:uid="{D947EFBE-0CC3-4D56-9156-6A1FA594D4C7}"/>
  <tableColumns count="5">
    <tableColumn id="1" xr3:uid="{03B605CB-FD06-46C1-B942-04D9779B06E5}" name="time"/>
    <tableColumn id="2" xr3:uid="{F7FD37BD-C8E2-4A84-A45D-ADCB992B262E}" name="moment" dataDxfId="17">
      <calculatedColumnFormula>-(Table8537[[#This Row],[time]]-2)*2</calculatedColumnFormula>
    </tableColumn>
    <tableColumn id="3" xr3:uid="{81459C36-2FDB-4BBF-A838-81B82A24CCF6}" name="CAREA"/>
    <tableColumn id="4" xr3:uid="{62E36DB9-D74D-49AC-87CB-408CE231E203}" name="CFNM"/>
    <tableColumn id="5" xr3:uid="{38AE85B9-3C7E-41F9-AD4A-F5D297CE4EC1}" name="CFNM/Total area contact" dataDxfId="16">
      <calculatedColumnFormula>Table8537[[#This Row],[CFNM]]/Table8537[[#This Row],[CAREA]]</calculatedColumnFormula>
    </tableColumn>
  </tableColumns>
  <tableStyleInfo name="TableStyleLight15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7" xr:uid="{3CA762DA-B308-4EC2-9DCF-DC23C41FD718}" name="Table110538" displayName="Table110538" ref="A831:E852" totalsRowShown="0">
  <autoFilter ref="A831:E852" xr:uid="{3CA762DA-B308-4EC2-9DCF-DC23C41FD718}"/>
  <tableColumns count="5">
    <tableColumn id="1" xr3:uid="{032CBB4E-C01E-4CDF-951F-327FF578D908}" name="time"/>
    <tableColumn id="2" xr3:uid="{7E58AFD4-1467-47E5-8822-E6A64EAC8933}" name="moment" dataDxfId="15">
      <calculatedColumnFormula>(Table110538[[#This Row],[time]]-2)*2</calculatedColumnFormula>
    </tableColumn>
    <tableColumn id="3" xr3:uid="{88E7A111-9CFD-4550-84D1-6AE7961DBDF0}" name="CAREA"/>
    <tableColumn id="4" xr3:uid="{DAA41167-976B-4B1C-AD5E-89A5BBC12511}" name="CFNM"/>
    <tableColumn id="5" xr3:uid="{004B0E57-35CD-4DDC-8E7D-BCC7F515FD73}" name="CFNM/Total area contact" dataDxfId="14">
      <calculatedColumnFormula>Table110538[[#This Row],[CFNM]]/Table110538[[#This Row],[CAREA]]</calculatedColumnFormula>
    </tableColumn>
  </tableColumns>
  <tableStyleInfo name="TableStyleLight1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8" xr:uid="{82BC8748-F82C-4F14-934F-C40F9C22C4B4}" name="Table211539" displayName="Table211539" ref="F831:J852" totalsRowShown="0">
  <autoFilter ref="F831:J852" xr:uid="{82BC8748-F82C-4F14-934F-C40F9C22C4B4}"/>
  <tableColumns count="5">
    <tableColumn id="1" xr3:uid="{BE27E4D8-602E-4BCF-9D2D-EB0A21FCDCA0}" name="time"/>
    <tableColumn id="2" xr3:uid="{9A620D6D-A208-4E62-B542-41B46A58BA23}" name="moment" dataDxfId="13">
      <calculatedColumnFormula>(Table211539[[#This Row],[time]]-2)*2</calculatedColumnFormula>
    </tableColumn>
    <tableColumn id="3" xr3:uid="{464D1945-BC04-487E-89CF-FEEBF18525E6}" name="CAREA"/>
    <tableColumn id="4" xr3:uid="{7FB12CB7-61B9-4735-9D97-06D634B6FBC6}" name="CFNM"/>
    <tableColumn id="5" xr3:uid="{D6C7F64F-C708-482A-AA92-407D4A38B9BD}" name="CFNM/Total area contact" dataDxfId="12">
      <calculatedColumnFormula>Table211539[[#This Row],[CFNM]]/Table211539[[#This Row],[CAREA]]</calculatedColumnFormula>
    </tableColumn>
  </tableColumns>
  <tableStyleInfo name="TableStyleLight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9" xr:uid="{089D68CE-881A-4EEF-893B-E10CEF60F8D5}" name="Table312540" displayName="Table312540" ref="K831:O852" totalsRowShown="0">
  <autoFilter ref="K831:O852" xr:uid="{089D68CE-881A-4EEF-893B-E10CEF60F8D5}"/>
  <tableColumns count="5">
    <tableColumn id="1" xr3:uid="{62A51E57-17D4-4A15-A4B6-B3B1A8B302CB}" name="time"/>
    <tableColumn id="2" xr3:uid="{0AB3B601-7F24-4D56-8456-74693E2FF28E}" name="moment" dataDxfId="11">
      <calculatedColumnFormula>(Table312540[[#This Row],[time]]-2)*2</calculatedColumnFormula>
    </tableColumn>
    <tableColumn id="3" xr3:uid="{F66910A2-07C2-4940-A81D-327603848A22}" name="CAREA"/>
    <tableColumn id="4" xr3:uid="{D52D695E-AD0E-40BC-A6A0-DC123FA3B335}" name="CFNM"/>
    <tableColumn id="5" xr3:uid="{7EB61C50-367E-481B-B6C6-0188F7B0B8A0}" name="CFNM/Total area contact" dataDxfId="10">
      <calculatedColumnFormula>Table312540[[#This Row],[CFNM]]/Table312540[[#This Row],[CAREA]]</calculatedColumnFormula>
    </tableColumn>
  </tableColumns>
  <tableStyleInfo name="TableStyleLight3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0" xr:uid="{9AC61E19-DE7E-43E9-B333-BF99F12BF214}" name="Table413541" displayName="Table413541" ref="P831:T852" totalsRowShown="0">
  <autoFilter ref="P831:T852" xr:uid="{9AC61E19-DE7E-43E9-B333-BF99F12BF214}"/>
  <tableColumns count="5">
    <tableColumn id="1" xr3:uid="{EF978964-E97E-48E2-891E-ECCBA80218AB}" name="time"/>
    <tableColumn id="2" xr3:uid="{8D946047-63B4-4B41-857F-023DDF4E856C}" name="moment" dataDxfId="9">
      <calculatedColumnFormula>(Table413541[[#This Row],[time]]-2)*2</calculatedColumnFormula>
    </tableColumn>
    <tableColumn id="3" xr3:uid="{D3DC5706-98C9-4100-8B8F-DF1CD8D3E32F}" name="CAREA"/>
    <tableColumn id="4" xr3:uid="{6F558655-10AA-4BF5-A098-6539B22200DB}" name="CFNM"/>
    <tableColumn id="5" xr3:uid="{82FA81ED-18C7-4A1B-855E-7ACAEC704249}" name="CFNM/Total area contact" dataDxfId="8">
      <calculatedColumnFormula>Table413541[[#This Row],[CFNM]]/Table413541[[#This Row],[CAREA]]</calculatedColumnFormula>
    </tableColumn>
  </tableColumns>
  <tableStyleInfo name="TableStyleLight4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1" xr:uid="{A2B4F7D3-B54B-43C3-B47D-0B3564D528E6}" name="Table514542" displayName="Table514542" ref="U831:Y852" totalsRowShown="0">
  <autoFilter ref="U831:Y852" xr:uid="{A2B4F7D3-B54B-43C3-B47D-0B3564D528E6}"/>
  <tableColumns count="5">
    <tableColumn id="1" xr3:uid="{E55014A9-3AE2-4F60-B90D-EB15CC288CE6}" name="time"/>
    <tableColumn id="2" xr3:uid="{07885FF0-CB04-420E-ACDF-B54B83333C26}" name="moment" dataDxfId="7">
      <calculatedColumnFormula>(Table514542[[#This Row],[time]]-2)*2</calculatedColumnFormula>
    </tableColumn>
    <tableColumn id="3" xr3:uid="{317455F4-B1D7-49AA-BF83-5441993B4EF9}" name="CAREA"/>
    <tableColumn id="4" xr3:uid="{4C816F4C-E2E5-4E0B-9718-9A6910942C9B}" name="CFNM"/>
    <tableColumn id="5" xr3:uid="{E90F3DF7-E0E5-4C3B-BEE3-07F37C20BDCE}" name="CFNM/Total area contact" dataDxfId="6">
      <calculatedColumnFormula>Table514542[[#This Row],[CFNM]]/Table514542[[#This Row],[CAREA]]</calculatedColumnFormula>
    </tableColumn>
  </tableColumns>
  <tableStyleInfo name="TableStyleLight5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2" xr:uid="{FC1D8B51-B990-4422-B696-61EAC415AD3D}" name="Table615543" displayName="Table615543" ref="Z831:AD852" totalsRowShown="0">
  <autoFilter ref="Z831:AD852" xr:uid="{FC1D8B51-B990-4422-B696-61EAC415AD3D}"/>
  <tableColumns count="5">
    <tableColumn id="1" xr3:uid="{BDF59875-FDAB-4817-ACEB-7302E9A0817E}" name="time"/>
    <tableColumn id="2" xr3:uid="{099D43DF-A4F8-4011-893B-75FE1B6E4802}" name="moment" dataDxfId="5">
      <calculatedColumnFormula>(Table615543[[#This Row],[time]]-2)*2</calculatedColumnFormula>
    </tableColumn>
    <tableColumn id="3" xr3:uid="{87EC8023-3920-4CEF-A550-DC4D6E608791}" name="CAREA"/>
    <tableColumn id="4" xr3:uid="{36BBE9DA-263B-4A50-8C69-5E9E0BC58E83}" name="CFNM"/>
    <tableColumn id="5" xr3:uid="{6242037B-CDF8-44F0-A61F-D8B5908671EF}" name="CFNM/Total area contact" dataDxfId="4">
      <calculatedColumnFormula>Table615543[[#This Row],[CFNM]]/Table615543[[#This Row],[CAREA]]</calculatedColumnFormula>
    </tableColumn>
  </tableColumns>
  <tableStyleInfo name="TableStyleLight6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3" xr:uid="{67104DA2-2E9E-40EC-90B6-074051817FA7}" name="Table716544" displayName="Table716544" ref="AE831:AI852" totalsRowShown="0">
  <autoFilter ref="AE831:AI852" xr:uid="{67104DA2-2E9E-40EC-90B6-074051817FA7}"/>
  <tableColumns count="5">
    <tableColumn id="1" xr3:uid="{B57DBC4D-299E-4CFD-AB18-36DEA0980935}" name="time"/>
    <tableColumn id="2" xr3:uid="{42AD3147-45B0-4EB3-B8B2-4E326F320D46}" name="moment" dataDxfId="3">
      <calculatedColumnFormula>(Table716544[[#This Row],[time]]-2)*2</calculatedColumnFormula>
    </tableColumn>
    <tableColumn id="3" xr3:uid="{D0346CBD-B88F-4E02-AF37-C45758AD5052}" name="CAREA"/>
    <tableColumn id="4" xr3:uid="{AD923CFB-F692-4C8D-A210-BE8625917B42}" name="CFNM"/>
    <tableColumn id="5" xr3:uid="{3C1ADBB0-D527-4A2B-922C-6C0296F8CE7D}" name="CFNM/Total area contact" dataDxfId="2">
      <calculatedColumnFormula>Table716544[[#This Row],[CFNM]]/Table716544[[#This Row],[CAREA]]</calculatedColumnFormula>
    </tableColumn>
  </tableColumns>
  <tableStyleInfo name="TableStyleLight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C758A841-543D-40F3-8752-CC5D973396BA}" name="Table8281" displayName="Table8281" ref="AJ91:AN112" totalsRowShown="0">
  <autoFilter ref="AJ91:AN112" xr:uid="{C758A841-543D-40F3-8752-CC5D973396BA}"/>
  <tableColumns count="5">
    <tableColumn id="1" xr3:uid="{0A554DF9-93BF-4045-BBBB-844DBF5A772C}" name="time"/>
    <tableColumn id="2" xr3:uid="{051BFBCE-1FB2-4587-953F-39489AD00A52}" name="moment" dataDxfId="433">
      <calculatedColumnFormula>(Table8281[[#This Row],[time]]-2)*2</calculatedColumnFormula>
    </tableColumn>
    <tableColumn id="3" xr3:uid="{F058D6A8-EA46-47A3-924C-057937217044}" name="CAREA"/>
    <tableColumn id="4" xr3:uid="{C92A3301-FDD9-46EC-B0C8-8AF6171AA4A3}" name="CFNM"/>
    <tableColumn id="5" xr3:uid="{364D4221-54A9-4339-AA5B-3C686593F78C}" name="CFNM/Total area contact" dataDxfId="432">
      <calculatedColumnFormula>Table8281[[#This Row],[CFNM]]/Table8281[[#This Row],[CAREA]]</calculatedColumnFormula>
    </tableColumn>
  </tableColumns>
  <tableStyleInfo name="TableStyleLight15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4" xr:uid="{3504B0A1-990E-48E4-A757-A57CB752D264}" name="Table817545" displayName="Table817545" ref="AJ831:AN852" totalsRowShown="0">
  <autoFilter ref="AJ831:AN852" xr:uid="{3504B0A1-990E-48E4-A757-A57CB752D264}"/>
  <tableColumns count="5">
    <tableColumn id="1" xr3:uid="{E63346B8-DE65-429C-BCB6-984CD4FAB69F}" name="time"/>
    <tableColumn id="2" xr3:uid="{6589403C-6F91-45E6-94C7-4E0A137AEE87}" name="moment" dataDxfId="1">
      <calculatedColumnFormula>(Table817545[[#This Row],[time]]-2)*2</calculatedColumnFormula>
    </tableColumn>
    <tableColumn id="3" xr3:uid="{001DB045-9A22-4101-841B-1B0680403B0C}" name="CAREA"/>
    <tableColumn id="4" xr3:uid="{87FED65E-C7F3-4E16-B976-8D1984E356C5}" name="CFNM"/>
    <tableColumn id="5" xr3:uid="{9C17DB4C-B44D-4172-8484-46FA00F83DBD}" name="CFNM/Total area contact" dataDxfId="0">
      <calculatedColumnFormula>Table817545[[#This Row],[CFNM]]/Table817545[[#This Row],[CAREA]]</calculatedColumnFormula>
    </tableColumn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D7DD7FC7-E4F6-42DE-BDF6-582DF36EDC53}" name="Table219" displayName="Table219" ref="A64:E85" totalsRowShown="0">
  <autoFilter ref="A64:E85" xr:uid="{D7DD7FC7-E4F6-42DE-BDF6-582DF36EDC53}"/>
  <tableColumns count="5">
    <tableColumn id="1" xr3:uid="{DE084CEA-ACAA-449D-843E-909E3B875487}" name="time"/>
    <tableColumn id="5" xr3:uid="{975A0D04-5B74-400E-A478-5663BB4758B4}" name="moment" dataDxfId="431">
      <calculatedColumnFormula>-(Table219[[#This Row],[time]]-2)*2</calculatedColumnFormula>
    </tableColumn>
    <tableColumn id="2" xr3:uid="{932AE1D1-2110-4787-98E1-06C90DFBCE46}" name="CAREA "/>
    <tableColumn id="3" xr3:uid="{E440A35F-60BC-425E-94F4-FD78CBE36C1E}" name="CFNM"/>
    <tableColumn id="4" xr3:uid="{2001061D-B96A-40F8-9B94-546E122CEAA9}" name="CFNM/Total area contact" dataDxfId="430">
      <calculatedColumnFormula>Table219[[#This Row],[CFNM]]/Table219[[#This Row],[CAREA ]]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51431548-B699-417A-A2C0-B8D9C66EE9C6}" name="Table320" displayName="Table320" ref="F64:J85" totalsRowShown="0">
  <autoFilter ref="F64:J85" xr:uid="{51431548-B699-417A-A2C0-B8D9C66EE9C6}"/>
  <tableColumns count="5">
    <tableColumn id="1" xr3:uid="{39F8C366-462A-40D8-AE93-69B6E7A41C8C}" name="time"/>
    <tableColumn id="5" xr3:uid="{1269FAD6-BB97-402F-A7BE-B654C81AF58F}" name="moment" dataDxfId="429">
      <calculatedColumnFormula>-(Table320[[#This Row],[time]]-2)*2</calculatedColumnFormula>
    </tableColumn>
    <tableColumn id="2" xr3:uid="{F5C04195-C8E5-4F58-A170-AB0E5BA48441}" name="CAREA "/>
    <tableColumn id="3" xr3:uid="{1BEF43E6-964B-440F-ACCA-752B392912B4}" name="CFNM"/>
    <tableColumn id="4" xr3:uid="{0CAD854D-4164-4194-843B-6068BA45BFC1}" name="CFNM/Total area contact" dataDxfId="428">
      <calculatedColumnFormula>Table320[[#This Row],[CFNM]]/Table320[[#This Row],[CAREA ]]</calculatedColumnFormula>
    </tableColumn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146C2405-8A22-47F6-A6CD-DB70628DAE59}" name="Table421" displayName="Table421" ref="K64:O85" totalsRowShown="0">
  <autoFilter ref="K64:O85" xr:uid="{146C2405-8A22-47F6-A6CD-DB70628DAE59}"/>
  <tableColumns count="5">
    <tableColumn id="1" xr3:uid="{0ED2067C-58FE-47CB-8B6E-7094252FC82D}" name="time"/>
    <tableColumn id="5" xr3:uid="{A7681FB4-DBEE-4427-BFCE-4F83FC3D2CAB}" name="moment" dataDxfId="427">
      <calculatedColumnFormula>-(Table421[[#This Row],[time]]-2)*2</calculatedColumnFormula>
    </tableColumn>
    <tableColumn id="2" xr3:uid="{90DA61EF-1B11-4D86-BAAF-DE5CD39D2A07}" name="CAREA"/>
    <tableColumn id="3" xr3:uid="{5A5C513F-227E-46C0-AC15-34330E944D90}" name="CFNM"/>
    <tableColumn id="4" xr3:uid="{972AB8CA-D07A-4DA6-A811-B6B7FAB101C6}" name="CFNM/Total area contact" dataDxfId="426">
      <calculatedColumnFormula>Table421[[#This Row],[CFNM]]/Table421[[#This Row],[CAREA]]</calculatedColumnFormula>
    </tableColumn>
  </tableColumns>
  <tableStyleInfo name="TableStyleLight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D2035C88-F359-4903-8A53-084158E85113}" name="Table622" displayName="Table622" ref="U64:Y85" totalsRowShown="0">
  <autoFilter ref="U64:Y85" xr:uid="{D2035C88-F359-4903-8A53-084158E85113}"/>
  <tableColumns count="5">
    <tableColumn id="1" xr3:uid="{7C7AC105-487B-4B34-83F3-36F74FE38249}" name="time"/>
    <tableColumn id="5" xr3:uid="{A7E04AEF-9543-4D29-9418-EA64B78B07DB}" name="moment" dataDxfId="425">
      <calculatedColumnFormula>-(Table622[[#This Row],[time]]-2)*2</calculatedColumnFormula>
    </tableColumn>
    <tableColumn id="2" xr3:uid="{01E3C317-7D52-4636-B890-05E473C1F3DA}" name="CAREA"/>
    <tableColumn id="3" xr3:uid="{A4BB14C9-990F-4CF8-B4CA-E462F2F20AE4}" name="CFNM"/>
    <tableColumn id="4" xr3:uid="{687E6075-8BC0-484D-908E-1C45231C4BBB}" name="CFNM/Total area contact" dataDxfId="424">
      <calculatedColumnFormula>Table622[[#This Row],[CFNM]]/Table622[[#This Row],[CAREA]]</calculatedColumnFormula>
    </tableColumn>
  </tableColumns>
  <tableStyleInfo name="TableStyleLight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46DE0E1D-9F79-4C52-A4DF-E3DCE8706D6F}" name="Table723" displayName="Table723" ref="Z64:AD85" totalsRowShown="0">
  <autoFilter ref="Z64:AD85" xr:uid="{46DE0E1D-9F79-4C52-A4DF-E3DCE8706D6F}"/>
  <tableColumns count="5">
    <tableColumn id="1" xr3:uid="{A804F5F4-561C-41C6-AE6E-D5D10A687E85}" name="time"/>
    <tableColumn id="5" xr3:uid="{DE5CE62C-81DB-45CF-9A3C-5DDBA2EEBFD5}" name="moment" dataDxfId="423">
      <calculatedColumnFormula>-(Table723[[#This Row],[time]]-2)*2</calculatedColumnFormula>
    </tableColumn>
    <tableColumn id="2" xr3:uid="{7D01A818-6AC7-4C33-A556-C76A9367EE5E}" name="CAREA"/>
    <tableColumn id="3" xr3:uid="{122EE3F7-9C6A-41EC-A03F-573717A7ED94}" name="CFNM"/>
    <tableColumn id="4" xr3:uid="{49E4F95F-F046-47A0-8FBA-7E100DFAA40E}" name="CFNM/Total area contact" dataDxfId="422">
      <calculatedColumnFormula>Table723[[#This Row],[CFNM]]/Table723[[#This Row],[CAREA]]</calculatedColumnFormula>
    </tableColumn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BF06F95B-6FE9-4E2D-BB08-7EDDF9322B4C}" name="Table3" displayName="Table3" ref="K34:O55" totalsRowShown="0">
  <autoFilter ref="K34:O55" xr:uid="{BF06F95B-6FE9-4E2D-BB08-7EDDF9322B4C}"/>
  <tableColumns count="5">
    <tableColumn id="1" xr3:uid="{CA293F82-B3F7-41C9-8F38-73549FFC5B20}" name="time"/>
    <tableColumn id="2" xr3:uid="{D18D4E96-6458-4F60-973D-4980B0D42CFA}" name="moment" dataDxfId="475">
      <calculatedColumnFormula>(Table3[[#This Row],[time]]-2)*2</calculatedColumnFormula>
    </tableColumn>
    <tableColumn id="3" xr3:uid="{8EDC39B2-3F51-4670-AFE2-661AD1AB0A28}" name="CAREA"/>
    <tableColumn id="4" xr3:uid="{E9B290E9-DE88-4758-8AD6-96C8451DB1BB}" name="CFNM"/>
    <tableColumn id="5" xr3:uid="{7C3B3034-E5EF-4049-A4CA-6956D94BF6DF}" name="CFNM/Total area contact" dataDxfId="474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E9554F99-240C-46BA-A4A5-855C278B4794}" name="Table824" displayName="Table824" ref="AE64:AI85" totalsRowShown="0">
  <autoFilter ref="AE64:AI85" xr:uid="{E9554F99-240C-46BA-A4A5-855C278B4794}"/>
  <tableColumns count="5">
    <tableColumn id="1" xr3:uid="{89CC5EFA-4CE3-49F6-9C31-61D5689F8454}" name="time"/>
    <tableColumn id="5" xr3:uid="{A9C3D6C7-BA66-4D86-AC40-B482FDB08D2B}" name="moment" dataDxfId="421">
      <calculatedColumnFormula>-(Table824[[#This Row],[time]]-2)*2</calculatedColumnFormula>
    </tableColumn>
    <tableColumn id="2" xr3:uid="{08397A83-F0B0-4009-90E9-8536427627D4}" name="CAREA"/>
    <tableColumn id="3" xr3:uid="{4DB7ACE8-B06C-4EF0-BDFC-FB80DB949B0C}" name="CFNM"/>
    <tableColumn id="4" xr3:uid="{2F2BC035-74C2-45F2-A9C6-FADBBF437A7D}" name="CFNM/Total area contact" dataDxfId="420">
      <calculatedColumnFormula>Table824[[#This Row],[CFNM]]/Table824[[#This Row],[CAREA]]</calculatedColumnFormula>
    </tableColumn>
  </tableColumns>
  <tableStyleInfo name="TableStyleLight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B99EFD9F-A73A-4410-86EB-3999FCDFDEEA}" name="Table925" displayName="Table925" ref="AJ64:AN85" totalsRowShown="0">
  <autoFilter ref="AJ64:AN85" xr:uid="{B99EFD9F-A73A-4410-86EB-3999FCDFDEEA}"/>
  <tableColumns count="5">
    <tableColumn id="1" xr3:uid="{150BB27F-F8B7-48C9-9E88-EA81F0B9997A}" name="time"/>
    <tableColumn id="5" xr3:uid="{161EC42C-8DC3-4D83-8E29-492FC6287EF4}" name="moment" dataDxfId="419">
      <calculatedColumnFormula>-(Table925[[#This Row],[time]]-2)*2</calculatedColumnFormula>
    </tableColumn>
    <tableColumn id="2" xr3:uid="{4C511391-1A49-40F6-BE7C-8681DDB1D68C}" name="CAREA"/>
    <tableColumn id="3" xr3:uid="{22C2C18B-C2FB-48F6-9322-711DE2B474C0}" name="CFNM"/>
    <tableColumn id="4" xr3:uid="{B3F5D0EB-E144-409C-8C08-94238C0D0272}" name="CFNM/Total area contact" dataDxfId="418">
      <calculatedColumnFormula>Table925[[#This Row],[CFNM]]/Table925[[#This Row],[CAREA]]</calculatedColumnFormula>
    </tableColumn>
  </tableColumns>
  <tableStyleInfo name="TableStyleLight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C70B6F4C-FC88-4F9D-B716-00FED77D23F6}" name="Table16" displayName="Table16" ref="P64:T85" totalsRowShown="0">
  <autoFilter ref="P64:T85" xr:uid="{C70B6F4C-FC88-4F9D-B716-00FED77D23F6}"/>
  <tableColumns count="5">
    <tableColumn id="1" xr3:uid="{58EA55F1-AEC0-409D-9C19-7F0C6D623C97}" name="time"/>
    <tableColumn id="2" xr3:uid="{8FDD6F65-9289-4AC7-A05C-5A952CE71FDC}" name="moment" dataDxfId="417">
      <calculatedColumnFormula>-(Table16[[#This Row],[time]]-2)*2</calculatedColumnFormula>
    </tableColumn>
    <tableColumn id="3" xr3:uid="{EFFE64BD-6B8D-407F-8A62-A5DFD3980C34}" name="CAREA"/>
    <tableColumn id="4" xr3:uid="{6D1FBC71-E555-4403-8692-666C956C4211}" name="CFNM"/>
    <tableColumn id="5" xr3:uid="{CD83C800-3577-4EEA-9C90-EEB082D82719}" name="CFNM/Total area contact" dataDxfId="416">
      <calculatedColumnFormula>Table16[[#This Row],[CFNM]]/Table16[[#This Row],[CAREA]]</calculatedColumnFormula>
    </tableColumn>
  </tableColumns>
  <tableStyleInfo name="TableStyleLight4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CF0B08F4-1A0F-4A1A-94BE-F2384F0D35D3}" name="Table1322" displayName="Table1322" ref="A121:E142" totalsRowShown="0">
  <autoFilter ref="A121:E142" xr:uid="{CF0B08F4-1A0F-4A1A-94BE-F2384F0D35D3}"/>
  <tableColumns count="5">
    <tableColumn id="1" xr3:uid="{5FD69CC8-F3C6-4EFA-9D13-F15DACDC4893}" name="time"/>
    <tableColumn id="2" xr3:uid="{4FA7B01B-B772-485F-8CFC-AEB51CFCCE34}" name="moment" dataDxfId="415">
      <calculatedColumnFormula>-(Table1322[[#This Row],[time]]-2)*2</calculatedColumnFormula>
    </tableColumn>
    <tableColumn id="3" xr3:uid="{F345D296-364D-405C-8049-646D54B9540F}" name="CAREA"/>
    <tableColumn id="4" xr3:uid="{D0DF5F7A-CFAD-4AA7-BAB9-92E609BA161F}" name="CFNM"/>
    <tableColumn id="5" xr3:uid="{54A1B345-99F4-4FEB-8AED-3F19B8F2363A}" name="CFNM/Total area contact" dataDxfId="414">
      <calculatedColumnFormula>Table1322[[#This Row],[CFNM]]/Table1322[[#This Row],[CAREA]]</calculatedColumnFormula>
    </tableColumn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E33E4E98-82E1-495D-BE8E-D86C23019412}" name="Table2323" displayName="Table2323" ref="F121:J142" totalsRowShown="0">
  <autoFilter ref="F121:J142" xr:uid="{E33E4E98-82E1-495D-BE8E-D86C23019412}"/>
  <tableColumns count="5">
    <tableColumn id="1" xr3:uid="{FB2B49B0-FBD4-44C8-8B5C-F74A06E89611}" name="time"/>
    <tableColumn id="2" xr3:uid="{63C16AB0-9365-49F9-9D2A-A3DC7A151EE5}" name="moment" dataDxfId="413">
      <calculatedColumnFormula>-(Table2323[[#This Row],[time]]-2)*2</calculatedColumnFormula>
    </tableColumn>
    <tableColumn id="3" xr3:uid="{8E99A5CF-1675-48B1-859F-49582C9C4475}" name="CAREA"/>
    <tableColumn id="4" xr3:uid="{CDB8F933-E610-4552-BEFA-0F7E53EB7FCE}" name="CFNM"/>
    <tableColumn id="5" xr3:uid="{55461EE4-540D-4914-8E97-3A7E7AB27A27}" name="CFNM/Total area contact" dataDxfId="412">
      <calculatedColumnFormula>Table2323[[#This Row],[CFNM]]/Table2323[[#This Row],[CAREA]]</calculatedColumnFormula>
    </tableColumn>
  </tableColumns>
  <tableStyleInfo name="TableStyleLight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B4AB996E-589D-440E-8B77-4CEA9593D3D3}" name="Table3324" displayName="Table3324" ref="K121:O142" totalsRowShown="0">
  <autoFilter ref="K121:O142" xr:uid="{B4AB996E-589D-440E-8B77-4CEA9593D3D3}"/>
  <tableColumns count="5">
    <tableColumn id="1" xr3:uid="{3F4D9521-657E-41FC-B318-2A4D9AA0D62E}" name="time"/>
    <tableColumn id="2" xr3:uid="{4700F1AF-1BCB-464F-98A3-E19D8AE6FCF9}" name="moment" dataDxfId="411">
      <calculatedColumnFormula>-(Table3324[[#This Row],[time]]-2)*2</calculatedColumnFormula>
    </tableColumn>
    <tableColumn id="3" xr3:uid="{F218FE68-2924-42EC-A787-F484B3D85F54}" name="CAREA"/>
    <tableColumn id="4" xr3:uid="{5145AF2E-BB9B-4B25-9D34-50B102428F72}" name="CFNM"/>
    <tableColumn id="5" xr3:uid="{A5FC6A80-2482-4A51-870C-EAD3085D112D}" name="CFNM/Total area contact" dataDxfId="410">
      <calculatedColumnFormula>Table3324[[#This Row],[CFNM]]/Table3324[[#This Row],[CAREA]]</calculatedColumnFormula>
    </tableColumn>
  </tableColumns>
  <tableStyleInfo name="TableStyleLight3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1FC4F064-8706-45BB-AE31-1920EA199715}" name="Table4325" displayName="Table4325" ref="P121:T142" totalsRowShown="0">
  <autoFilter ref="P121:T142" xr:uid="{1FC4F064-8706-45BB-AE31-1920EA199715}"/>
  <tableColumns count="5">
    <tableColumn id="1" xr3:uid="{9A56F30A-0F44-4472-AF63-A467ABDDF91C}" name="time"/>
    <tableColumn id="2" xr3:uid="{6DB064B5-AD72-4A25-8038-E83B531D0E3A}" name="moment" dataDxfId="409">
      <calculatedColumnFormula>-(Table4325[[#This Row],[time]]-2)*2</calculatedColumnFormula>
    </tableColumn>
    <tableColumn id="3" xr3:uid="{6704638F-481C-4567-97F1-BB1079DE2E36}" name="CAREA"/>
    <tableColumn id="4" xr3:uid="{79C17A83-9E06-4793-B547-C3F74E28BB53}" name="CFNM"/>
    <tableColumn id="5" xr3:uid="{84E90F80-8922-4625-ACA4-88DE40E85F0F}" name="CFNM/Total area contact" dataDxfId="408">
      <calculatedColumnFormula>Table4325[[#This Row],[CFNM]]/Table4325[[#This Row],[CAREA]]</calculatedColumnFormula>
    </tableColumn>
  </tableColumns>
  <tableStyleInfo name="TableStyleLight4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4B28C07C-4FCB-4787-AA0F-ABD9FBBAFE2B}" name="Table5326" displayName="Table5326" ref="U121:Y142" totalsRowShown="0">
  <autoFilter ref="U121:Y142" xr:uid="{4B28C07C-4FCB-4787-AA0F-ABD9FBBAFE2B}"/>
  <tableColumns count="5">
    <tableColumn id="1" xr3:uid="{D0DCFD67-05D6-4F3F-821A-2576CA623AA9}" name="time"/>
    <tableColumn id="2" xr3:uid="{98C181C6-225A-48AB-B6A7-A0F0B0FC526D}" name="moment" dataDxfId="407">
      <calculatedColumnFormula>-(Table5326[[#This Row],[time]]-2)*2</calculatedColumnFormula>
    </tableColumn>
    <tableColumn id="3" xr3:uid="{B3D7012D-B3D9-49BA-903D-A947702AE6D6}" name="CAREA"/>
    <tableColumn id="4" xr3:uid="{B5AADC8B-68CC-49C0-ABEF-92D4971F34E8}" name="CFNM"/>
    <tableColumn id="5" xr3:uid="{EC57FF0A-CB86-44AE-B53A-CB409D29ED94}" name="CFNM/Total area contact" dataDxfId="406">
      <calculatedColumnFormula>Table5326[[#This Row],[CFNM]]/Table5326[[#This Row],[CAREA]]</calculatedColumnFormula>
    </tableColumn>
  </tableColumns>
  <tableStyleInfo name="TableStyleLight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19E25E7F-1F7B-4D31-A4A9-67026D59EFF5}" name="Table6327" displayName="Table6327" ref="Z121:AD142" totalsRowShown="0">
  <autoFilter ref="Z121:AD142" xr:uid="{19E25E7F-1F7B-4D31-A4A9-67026D59EFF5}"/>
  <tableColumns count="5">
    <tableColumn id="1" xr3:uid="{2CD6633A-14DC-45B5-AB17-222C98DC38AC}" name="time"/>
    <tableColumn id="2" xr3:uid="{5EF0E88D-A5EB-466C-8F0B-4B73B26C3C25}" name="moment" dataDxfId="405">
      <calculatedColumnFormula>-(Table6327[[#This Row],[time]]-2)*2</calculatedColumnFormula>
    </tableColumn>
    <tableColumn id="3" xr3:uid="{D31C660D-32F3-4887-B20A-6FAD79024D6A}" name="CAREA"/>
    <tableColumn id="4" xr3:uid="{835FB6A0-539F-4A3A-BC1E-5D0ECE925EBD}" name="CFNM"/>
    <tableColumn id="5" xr3:uid="{90EAAC3F-C0F9-4908-8FED-BD89D92CE7CA}" name="CFNM/Total area contact" dataDxfId="404">
      <calculatedColumnFormula>Table6327[[#This Row],[CFNM]]/Table6327[[#This Row],[CAREA]]</calculatedColumnFormula>
    </tableColumn>
  </tableColumns>
  <tableStyleInfo name="TableStyleLight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D98631FE-E9D7-451A-99B6-A46D07D79BDD}" name="Table7328" displayName="Table7328" ref="AE121:AI142" totalsRowShown="0">
  <autoFilter ref="AE121:AI142" xr:uid="{D98631FE-E9D7-451A-99B6-A46D07D79BDD}"/>
  <tableColumns count="5">
    <tableColumn id="1" xr3:uid="{16739E50-27FE-4AD5-AE91-0A484E817DD2}" name="time"/>
    <tableColumn id="2" xr3:uid="{F5E31F3C-9BE0-4731-BA7F-5300EA20BF39}" name="moment" dataDxfId="403">
      <calculatedColumnFormula>-(Table7328[[#This Row],[time]]-2)*2</calculatedColumnFormula>
    </tableColumn>
    <tableColumn id="3" xr3:uid="{C1C44ADC-8EA8-4357-A750-7A23D5C893AC}" name="CAREA"/>
    <tableColumn id="4" xr3:uid="{E0F8825D-27A6-4BB8-B2C4-FB7F2B4D1F12}" name="CFNM"/>
    <tableColumn id="5" xr3:uid="{0F9BD3F4-779D-4063-AAEA-8CB45EF025B6}" name="CFNM/Total area contact" dataDxfId="402">
      <calculatedColumnFormula>Table7328[[#This Row],[CFNM]]/Table7328[[#This Row],[CAREA]]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21C8835C-9D96-4903-B047-EDBB81A5B850}" name="Table4" displayName="Table4" ref="P34:T55" totalsRowShown="0">
  <autoFilter ref="P34:T55" xr:uid="{21C8835C-9D96-4903-B047-EDBB81A5B850}"/>
  <tableColumns count="5">
    <tableColumn id="1" xr3:uid="{DED9A295-360F-40DF-B5E4-BC539B817BF3}" name="time"/>
    <tableColumn id="2" xr3:uid="{EB055C35-C0D9-4AA2-B724-09C5D2DC7A8F}" name="moment" dataDxfId="473">
      <calculatedColumnFormula>(Table4[[#This Row],[time]]-2)*2</calculatedColumnFormula>
    </tableColumn>
    <tableColumn id="3" xr3:uid="{1FC524E4-5C0D-415B-9140-BB444363D0CF}" name="CAREA"/>
    <tableColumn id="4" xr3:uid="{0BF5BD24-1B25-43EE-ABBA-E1C75316F968}" name="CFNM"/>
    <tableColumn id="5" xr3:uid="{879D761E-364B-4306-80B2-914D3DDDAEF5}" name="CFNM/Total area contact" dataDxfId="472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EE762332-10B3-4298-B9B5-69D1CCBB75CA}" name="Table8329" displayName="Table8329" ref="AJ121:AN142" totalsRowShown="0">
  <autoFilter ref="AJ121:AN142" xr:uid="{EE762332-10B3-4298-B9B5-69D1CCBB75CA}"/>
  <tableColumns count="5">
    <tableColumn id="1" xr3:uid="{8BF52982-D1D4-4F71-A911-60F6BC077595}" name="time"/>
    <tableColumn id="2" xr3:uid="{08CEC7F5-739B-4DFD-8B5B-5A8D9D92B09E}" name="moment" dataDxfId="401">
      <calculatedColumnFormula>-(Table8329[[#This Row],[time]]-2)*2</calculatedColumnFormula>
    </tableColumn>
    <tableColumn id="3" xr3:uid="{502929FB-DC1D-4BA1-8767-53FC0427F354}" name="CAREA"/>
    <tableColumn id="4" xr3:uid="{CA6E37C1-F6BC-4C0D-879E-DC8691FBCBFA}" name="CFNM"/>
    <tableColumn id="5" xr3:uid="{8E9F3EA0-7260-466F-ABCC-4C293357222D}" name="CFNM/Total area contact" dataDxfId="400">
      <calculatedColumnFormula>Table8329[[#This Row],[CFNM]]/Table8329[[#This Row],[CAREA]]</calculatedColumnFormula>
    </tableColumn>
  </tableColumns>
  <tableStyleInfo name="TableStyleLight15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9B96D462-68B4-4C2A-9C03-0E08DBCCEA11}" name="Table110" displayName="Table110" ref="A148:E169" totalsRowShown="0">
  <autoFilter ref="A148:E169" xr:uid="{9B96D462-68B4-4C2A-9C03-0E08DBCCEA11}"/>
  <tableColumns count="5">
    <tableColumn id="1" xr3:uid="{E6FCF1B6-48F4-4615-A097-BBD14A89486B}" name="time"/>
    <tableColumn id="2" xr3:uid="{AF2D9868-4E9A-4C77-86B0-068E86310CF3}" name="moment" dataDxfId="399">
      <calculatedColumnFormula>(Table110[[#This Row],[time]]-2)*2</calculatedColumnFormula>
    </tableColumn>
    <tableColumn id="3" xr3:uid="{AB05C456-39DA-4048-B0E8-B65F2FFE2439}" name="CAREA"/>
    <tableColumn id="4" xr3:uid="{452A5EA2-FBF6-4305-ADFB-E1C7540FA23A}" name="CFNM"/>
    <tableColumn id="5" xr3:uid="{FC8489B6-09E4-4495-B889-AF1AE58848DF}" name="CFNM/Total area contact" dataDxfId="398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26DE160D-4C16-47A2-AA7B-E3DA0A9CA4A1}" name="Table211" displayName="Table211" ref="F148:J169" totalsRowShown="0">
  <autoFilter ref="F148:J169" xr:uid="{26DE160D-4C16-47A2-AA7B-E3DA0A9CA4A1}"/>
  <tableColumns count="5">
    <tableColumn id="1" xr3:uid="{AF42296E-5D16-4B72-B354-76EF142D48DD}" name="time"/>
    <tableColumn id="2" xr3:uid="{43F0CB63-047A-4A55-972E-A9A9E1CC1D02}" name="moment" dataDxfId="397">
      <calculatedColumnFormula>(Table211[[#This Row],[time]]-2)*2</calculatedColumnFormula>
    </tableColumn>
    <tableColumn id="3" xr3:uid="{CED0529B-0B6F-41F0-A39D-015A541E5CF5}" name="CAREA"/>
    <tableColumn id="4" xr3:uid="{08F9C70C-A395-4C96-970E-23C12AF1859F}" name="CFNM"/>
    <tableColumn id="5" xr3:uid="{B0AFB894-4DB7-4FD4-B60A-B5F0225FFFC3}" name="CFNM/Total area contact" dataDxfId="396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56AC9C0B-66F1-4184-9523-7038632DD72C}" name="Table312" displayName="Table312" ref="K148:O169" totalsRowShown="0">
  <autoFilter ref="K148:O169" xr:uid="{56AC9C0B-66F1-4184-9523-7038632DD72C}"/>
  <tableColumns count="5">
    <tableColumn id="1" xr3:uid="{D0BFD0BD-1C98-44E8-8427-8C8C605FFAF8}" name="time"/>
    <tableColumn id="2" xr3:uid="{A58356B0-E5CE-4BDB-8CD3-FEA3F4E41919}" name="moment" dataDxfId="395">
      <calculatedColumnFormula>(Table312[[#This Row],[time]]-2)*2</calculatedColumnFormula>
    </tableColumn>
    <tableColumn id="3" xr3:uid="{4B512FF2-F605-42FD-9107-A84D6A719A6C}" name="CAREA"/>
    <tableColumn id="4" xr3:uid="{BF1F8A77-D0EE-43BB-B453-AF8AE6027290}" name="CFNM"/>
    <tableColumn id="5" xr3:uid="{F70DCDE5-FEAC-4E8E-B7E4-0946A3A86471}" name="CFNM/Total area contact" dataDxfId="394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E030D5BA-C188-4EEF-A235-1C7FB0A58852}" name="Table413" displayName="Table413" ref="P148:T169" totalsRowShown="0">
  <autoFilter ref="P148:T169" xr:uid="{E030D5BA-C188-4EEF-A235-1C7FB0A58852}"/>
  <tableColumns count="5">
    <tableColumn id="1" xr3:uid="{4740671F-EB5A-4C1B-AB93-BB603A09A1AE}" name="time"/>
    <tableColumn id="2" xr3:uid="{39F4C3C5-6D1E-42D6-93A5-06961F1768D7}" name="moment" dataDxfId="393">
      <calculatedColumnFormula>(Table413[[#This Row],[time]]-2)*2</calculatedColumnFormula>
    </tableColumn>
    <tableColumn id="3" xr3:uid="{84DB0B47-0E00-4250-B9E4-336F21CA28E8}" name="CAREA"/>
    <tableColumn id="4" xr3:uid="{65676EB0-B061-4075-AC32-000533C8F748}" name="CFNM"/>
    <tableColumn id="5" xr3:uid="{ADCF3DAE-F334-46E5-B31B-8DA9B53B75E8}" name="CFNM/Total area contact" dataDxfId="392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71A19D29-A5ED-4C8E-9442-7F3B8409BFD4}" name="Table514" displayName="Table514" ref="U148:Y169" totalsRowShown="0">
  <autoFilter ref="U148:Y169" xr:uid="{71A19D29-A5ED-4C8E-9442-7F3B8409BFD4}"/>
  <tableColumns count="5">
    <tableColumn id="1" xr3:uid="{A8D7631F-A4C5-435F-8B39-94B93D44D344}" name="time"/>
    <tableColumn id="2" xr3:uid="{403367E7-4CC2-4B5C-B5B3-3B51026F4612}" name="moment" dataDxfId="391">
      <calculatedColumnFormula>(Table514[[#This Row],[time]]-2)*2</calculatedColumnFormula>
    </tableColumn>
    <tableColumn id="3" xr3:uid="{2EB9C327-8523-43A7-B3C6-64469085DC26}" name="CAREA"/>
    <tableColumn id="4" xr3:uid="{6060A3E1-8A43-431C-AB5A-FD547888CE03}" name="CFNM"/>
    <tableColumn id="5" xr3:uid="{2E04B2C2-D0A1-432F-986E-0CD441D75F8A}" name="CFNM/Total area contact" dataDxfId="390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9304C967-1685-4574-8DA5-B141C6A9806D}" name="Table615" displayName="Table615" ref="Z148:AD169" totalsRowShown="0">
  <autoFilter ref="Z148:AD169" xr:uid="{9304C967-1685-4574-8DA5-B141C6A9806D}"/>
  <tableColumns count="5">
    <tableColumn id="1" xr3:uid="{C34F4318-AD5D-413D-B821-44693DAAF167}" name="time"/>
    <tableColumn id="2" xr3:uid="{56C6E669-F924-4000-A52E-FA7C209F7693}" name="moment" dataDxfId="389">
      <calculatedColumnFormula>(Table615[[#This Row],[time]]-2)*2</calculatedColumnFormula>
    </tableColumn>
    <tableColumn id="3" xr3:uid="{922E60C8-2941-4ED6-834B-01BD6C4B1C7B}" name="CAREA"/>
    <tableColumn id="4" xr3:uid="{38AF01EB-5F7A-4D3C-8EB3-EEA307EB5D5D}" name="CFNM"/>
    <tableColumn id="5" xr3:uid="{84B254FF-77F5-4887-AA17-96E36C3D1BB3}" name="CFNM/Total area contact" dataDxfId="388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EE1FCCA5-B1D8-4A53-9702-DF368593708F}" name="Table716" displayName="Table716" ref="AE148:AI169" totalsRowShown="0">
  <autoFilter ref="AE148:AI169" xr:uid="{EE1FCCA5-B1D8-4A53-9702-DF368593708F}"/>
  <tableColumns count="5">
    <tableColumn id="1" xr3:uid="{FB3B4B7C-B969-4248-91B7-CB9AA454FE26}" name="time"/>
    <tableColumn id="2" xr3:uid="{28983576-F6AA-4AAE-AF93-08245D4CDF4E}" name="moment" dataDxfId="387">
      <calculatedColumnFormula>(Table716[[#This Row],[time]]-2)*2</calculatedColumnFormula>
    </tableColumn>
    <tableColumn id="3" xr3:uid="{32BF56B8-640B-4FC0-A8F5-BA70988C85D9}" name="CAREA"/>
    <tableColumn id="4" xr3:uid="{6040543F-8204-44BB-B690-0E9A74798789}" name="CFNM"/>
    <tableColumn id="5" xr3:uid="{67EC2F71-0382-4ACB-9E2E-A8561470342E}" name="CFNM/Total area contact" dataDxfId="386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1812348A-3130-47AA-A658-CA4D21175FF6}" name="Table817" displayName="Table817" ref="AJ148:AN169" totalsRowShown="0">
  <autoFilter ref="AJ148:AN169" xr:uid="{1812348A-3130-47AA-A658-CA4D21175FF6}"/>
  <tableColumns count="5">
    <tableColumn id="1" xr3:uid="{E214A082-A1E2-4575-9E89-FF22E6F06F37}" name="time"/>
    <tableColumn id="2" xr3:uid="{296A4E8F-9FFE-4062-9D0C-381B346096ED}" name="moment" dataDxfId="385">
      <calculatedColumnFormula>(Table817[[#This Row],[time]]-2)*2</calculatedColumnFormula>
    </tableColumn>
    <tableColumn id="3" xr3:uid="{7A514DC4-67AE-4F8E-8358-FFFEE05BA4BB}" name="CAREA"/>
    <tableColumn id="4" xr3:uid="{4C68C72C-6231-4082-8456-5F0950AE5C5C}" name="CFNM"/>
    <tableColumn id="5" xr3:uid="{D9E2EB94-EE66-4C74-A43F-61B7D7680C9F}" name="CFNM/Total area contact" dataDxfId="384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3" xr:uid="{0A2400BA-01F8-4C72-BD3B-FA8CA2B982DE}" name="Table1354" displayName="Table1354" ref="A178:E199" totalsRowShown="0">
  <autoFilter ref="A178:E199" xr:uid="{0A2400BA-01F8-4C72-BD3B-FA8CA2B982DE}"/>
  <tableColumns count="5">
    <tableColumn id="1" xr3:uid="{E276ADCD-381E-4231-B13C-FAF6E6E94F14}" name="time"/>
    <tableColumn id="2" xr3:uid="{18DB1937-CCF7-4A84-B9C1-40618C364747}" name="moment" dataDxfId="383">
      <calculatedColumnFormula>-(Table1354[[#This Row],[time]]-2)*2</calculatedColumnFormula>
    </tableColumn>
    <tableColumn id="3" xr3:uid="{FCA918DB-AAAC-49F8-9923-7FC3F0F1A799}" name="CAREA"/>
    <tableColumn id="4" xr3:uid="{84DF5E01-ECCE-4F19-AD6A-AE441838846A}" name="CFNM"/>
    <tableColumn id="5" xr3:uid="{2602DF88-F41E-4A17-80EB-3928BB602FE0}" name="CFNM/Total area contact" dataDxfId="382">
      <calculatedColumnFormula>Table1354[[#This Row],[CFNM]]/Table1354[[#This Row],[CAREA]]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8B060317-192A-4A45-93F5-FC28F6210BAC}" name="Table5" displayName="Table5" ref="U34:Y55" totalsRowShown="0">
  <autoFilter ref="U34:Y55" xr:uid="{8B060317-192A-4A45-93F5-FC28F6210BAC}"/>
  <tableColumns count="5">
    <tableColumn id="1" xr3:uid="{A091AE8C-F3D5-471D-809C-52EF9CBB78F6}" name="time"/>
    <tableColumn id="2" xr3:uid="{BE259041-0609-48C9-978F-D3925E194B9E}" name="moment" dataDxfId="471">
      <calculatedColumnFormula>(Table5[[#This Row],[time]]-2)*2</calculatedColumnFormula>
    </tableColumn>
    <tableColumn id="3" xr3:uid="{4AF23033-B82C-4090-A278-49B3F89DCDC2}" name="CAREA"/>
    <tableColumn id="4" xr3:uid="{98D5709A-E608-478F-9CC3-8858EA077016}" name="CFNM"/>
    <tableColumn id="5" xr3:uid="{6DE8D94B-3FED-4E56-AFF3-4B00660438DF}" name="CFNM/Total area contact" dataDxfId="470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4" xr:uid="{DC955E64-9D93-48EF-B9AE-D87ED7B60454}" name="Table2355" displayName="Table2355" ref="F178:J199" totalsRowShown="0">
  <autoFilter ref="F178:J199" xr:uid="{DC955E64-9D93-48EF-B9AE-D87ED7B60454}"/>
  <tableColumns count="5">
    <tableColumn id="1" xr3:uid="{A25FAD3E-1687-4B37-852A-0934C5362868}" name="time"/>
    <tableColumn id="2" xr3:uid="{6A6389EC-DE14-49D0-B978-6668E1B388FF}" name="moment" dataDxfId="381">
      <calculatedColumnFormula>-(Table2355[[#This Row],[time]]-2)*2</calculatedColumnFormula>
    </tableColumn>
    <tableColumn id="3" xr3:uid="{2F576632-A060-421B-83CD-32A7ADEA0E2F}" name="CAREA"/>
    <tableColumn id="4" xr3:uid="{3D24BF06-9669-4BA9-A5DE-A336819761A0}" name="CFNM"/>
    <tableColumn id="5" xr3:uid="{CE94EA98-D9FA-4A67-9236-4DA3AE9C8B7F}" name="CFNM/Total area contact" dataDxfId="380">
      <calculatedColumnFormula>Table2355[[#This Row],[CFNM]]/Table2355[[#This Row],[CAREA]]</calculatedColumnFormula>
    </tableColumn>
  </tableColumns>
  <tableStyleInfo name="TableStyleLight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5" xr:uid="{3B081FE8-9E30-423C-BC0A-358E5489E079}" name="Table3356" displayName="Table3356" ref="K178:O199" totalsRowShown="0">
  <autoFilter ref="K178:O199" xr:uid="{3B081FE8-9E30-423C-BC0A-358E5489E079}"/>
  <tableColumns count="5">
    <tableColumn id="1" xr3:uid="{3C26C6C3-AF39-43BF-A25B-A33189196D26}" name="time"/>
    <tableColumn id="2" xr3:uid="{65659426-58A4-44B3-841D-89065D57B298}" name="moment" dataDxfId="379">
      <calculatedColumnFormula>-(Table3356[[#This Row],[time]]-2)*2</calculatedColumnFormula>
    </tableColumn>
    <tableColumn id="3" xr3:uid="{B08EA8F8-0A2F-4E34-BBA8-6478809E1B3D}" name="CAREA"/>
    <tableColumn id="4" xr3:uid="{D6EA0434-3C0F-4965-A50E-85035992B6E6}" name="CFNM"/>
    <tableColumn id="5" xr3:uid="{0B5886C3-E827-4140-917E-5832D0C95495}" name="CFNM/Total area contact" dataDxfId="378">
      <calculatedColumnFormula>Table3356[[#This Row],[CFNM]]/Table3356[[#This Row],[CAREA]]</calculatedColumnFormula>
    </tableColumn>
  </tableColumns>
  <tableStyleInfo name="TableStyleLight3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6" xr:uid="{20730AEC-0ACB-46A7-9ECD-4ABE119E4847}" name="Table4357" displayName="Table4357" ref="P178:T199" totalsRowShown="0">
  <autoFilter ref="P178:T199" xr:uid="{20730AEC-0ACB-46A7-9ECD-4ABE119E4847}"/>
  <tableColumns count="5">
    <tableColumn id="1" xr3:uid="{BCD9FCBC-7511-4052-9810-4162B5DE14F9}" name="time"/>
    <tableColumn id="2" xr3:uid="{F77EDCC2-1DB7-4E9F-B569-2755169EF740}" name="moment" dataDxfId="377">
      <calculatedColumnFormula>-(Table4357[[#This Row],[time]]-2)*2</calculatedColumnFormula>
    </tableColumn>
    <tableColumn id="3" xr3:uid="{C1F91E98-B106-4806-BAE4-B6464652767E}" name="CAREA"/>
    <tableColumn id="4" xr3:uid="{9F99336D-DA4D-4DE0-BFBB-F3E8513E382F}" name="CFNM"/>
    <tableColumn id="5" xr3:uid="{17AE9DC4-1BB5-4916-B3A7-78D5EB58BF90}" name="CFNM/Total area contact" dataDxfId="376">
      <calculatedColumnFormula>Table4357[[#This Row],[CFNM]]/Table4357[[#This Row],[CAREA]]</calculatedColumnFormula>
    </tableColumn>
  </tableColumns>
  <tableStyleInfo name="TableStyleLight4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7" xr:uid="{ECF2ECA9-CD97-4785-B502-06293EA7943A}" name="Table5358" displayName="Table5358" ref="U178:Y199" totalsRowShown="0">
  <autoFilter ref="U178:Y199" xr:uid="{ECF2ECA9-CD97-4785-B502-06293EA7943A}"/>
  <tableColumns count="5">
    <tableColumn id="1" xr3:uid="{2CE1E6EB-D24F-47B1-BCF7-7D4C91EF8E26}" name="time"/>
    <tableColumn id="2" xr3:uid="{D838E487-B78B-4732-8232-D7402EBA51A2}" name="moment" dataDxfId="375">
      <calculatedColumnFormula>-(Table5358[[#This Row],[time]]-2)*2</calculatedColumnFormula>
    </tableColumn>
    <tableColumn id="3" xr3:uid="{52546160-8E71-47A4-8C09-935D02462A1B}" name="CAREA"/>
    <tableColumn id="4" xr3:uid="{B3A452F0-158F-4366-A732-A9C5C8A8D035}" name="CFNM"/>
    <tableColumn id="5" xr3:uid="{A4579585-0F6A-408F-8CFA-27A5024D27EC}" name="CFNM/Total area contact" dataDxfId="374">
      <calculatedColumnFormula>Table5358[[#This Row],[CFNM]]/Table5358[[#This Row],[CAREA]]</calculatedColumnFormula>
    </tableColumn>
  </tableColumns>
  <tableStyleInfo name="TableStyleLight5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" xr:uid="{B28D0485-2E9A-459B-9615-50EE9B3BD1C0}" name="Table6359" displayName="Table6359" ref="Z178:AD199" totalsRowShown="0">
  <autoFilter ref="Z178:AD199" xr:uid="{B28D0485-2E9A-459B-9615-50EE9B3BD1C0}"/>
  <tableColumns count="5">
    <tableColumn id="1" xr3:uid="{7953E8DF-25B8-49B0-9FB6-05EA6A2285C8}" name="time"/>
    <tableColumn id="2" xr3:uid="{707E2B81-7D46-4777-ACDD-BC1574B500E8}" name="moment" dataDxfId="373">
      <calculatedColumnFormula>-(Table6359[[#This Row],[time]]-2)*2</calculatedColumnFormula>
    </tableColumn>
    <tableColumn id="3" xr3:uid="{D96F3A4E-73B3-48EF-8BC4-26C444B084BA}" name="CAREA"/>
    <tableColumn id="4" xr3:uid="{2A9D1F26-49BA-44F8-99F5-94CFF5E8AC31}" name="CFNM"/>
    <tableColumn id="5" xr3:uid="{F06B1765-62F9-4C40-A21C-A77D9F0A0ECE}" name="CFNM/Total area contact" dataDxfId="372">
      <calculatedColumnFormula>Table6359[[#This Row],[CFNM]]/Table6359[[#This Row],[CAREA]]</calculatedColumnFormula>
    </tableColumn>
  </tableColumns>
  <tableStyleInfo name="TableStyleLight6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9" xr:uid="{9293E178-BBE8-4C3E-94AF-1566CFB8960C}" name="Table7360" displayName="Table7360" ref="AE178:AI199" totalsRowShown="0">
  <autoFilter ref="AE178:AI199" xr:uid="{9293E178-BBE8-4C3E-94AF-1566CFB8960C}"/>
  <tableColumns count="5">
    <tableColumn id="1" xr3:uid="{752CFB67-89F3-4ECB-8FF7-273684CA8B6D}" name="time"/>
    <tableColumn id="2" xr3:uid="{03AE7D4F-F323-4644-A831-AF7907D0D31A}" name="moment" dataDxfId="371">
      <calculatedColumnFormula>-(Table7360[[#This Row],[time]]-2)*2</calculatedColumnFormula>
    </tableColumn>
    <tableColumn id="3" xr3:uid="{B3C5E7B8-4A60-4B6D-B894-D92B5A61B325}" name="CAREA"/>
    <tableColumn id="4" xr3:uid="{49BF43A7-53AF-478D-A9B6-49C21A6272FE}" name="CFNM"/>
    <tableColumn id="5" xr3:uid="{55C86A63-369C-400F-9AF3-452ADF13EBFE}" name="CFNM/Total area contact" dataDxfId="370">
      <calculatedColumnFormula>Table7360[[#This Row],[CFNM]]/Table7360[[#This Row],[CAREA]]</calculatedColumnFormula>
    </tableColumn>
  </tableColumns>
  <tableStyleInfo name="TableStyleLight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0" xr:uid="{D7AC7600-18EA-452C-80CB-13E855D39246}" name="Table8361" displayName="Table8361" ref="AJ178:AN199" totalsRowShown="0">
  <autoFilter ref="AJ178:AN199" xr:uid="{D7AC7600-18EA-452C-80CB-13E855D39246}"/>
  <tableColumns count="5">
    <tableColumn id="1" xr3:uid="{E684D0D2-BA2A-4A46-951E-E4FDC36A386B}" name="time"/>
    <tableColumn id="2" xr3:uid="{E64F5998-B455-4CE1-833C-A0CE93CAE6CE}" name="moment" dataDxfId="369">
      <calculatedColumnFormula>-(Table8361[[#This Row],[time]]-2)*2</calculatedColumnFormula>
    </tableColumn>
    <tableColumn id="3" xr3:uid="{87E72044-C761-46DD-9DE3-57985C04F8BA}" name="CAREA"/>
    <tableColumn id="4" xr3:uid="{9DE2EEF3-A442-4B74-99E7-97A752E596D8}" name="CFNM"/>
    <tableColumn id="5" xr3:uid="{A6140FA1-CE8A-431B-87BB-B29F87F57C92}" name="CFNM/Total area contact" dataDxfId="368">
      <calculatedColumnFormula>Table8361[[#This Row],[CFNM]]/Table8361[[#This Row],[CAREA]]</calculatedColumnFormula>
    </tableColumn>
  </tableColumns>
  <tableStyleInfo name="TableStyleLight15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1" xr:uid="{361CB0DC-099E-4CAE-9E04-9901BE574F08}" name="Table110362" displayName="Table110362" ref="A205:E226" totalsRowShown="0">
  <autoFilter ref="A205:E226" xr:uid="{361CB0DC-099E-4CAE-9E04-9901BE574F08}"/>
  <tableColumns count="5">
    <tableColumn id="1" xr3:uid="{5027ABF5-9B6E-4DB0-95B1-35200064BA06}" name="time"/>
    <tableColumn id="2" xr3:uid="{CA5A898C-105B-4E3C-935A-C0A63EF3DEBB}" name="moment" dataDxfId="367">
      <calculatedColumnFormula>(Table110362[[#This Row],[time]]-2)*2</calculatedColumnFormula>
    </tableColumn>
    <tableColumn id="3" xr3:uid="{F024169D-9D78-42C0-8200-35D71E4AFE5D}" name="CAREA"/>
    <tableColumn id="4" xr3:uid="{77BEAD5B-9C9A-43B3-B561-F25E15EB713A}" name="CFNM"/>
    <tableColumn id="5" xr3:uid="{0BFABE41-EAFA-4D8D-845C-2969104F808A}" name="CFNM/Total area contact" dataDxfId="366">
      <calculatedColumnFormula>Table110362[[#This Row],[CFNM]]/Table110362[[#This Row],[CAREA]]</calculatedColumnFormula>
    </tableColumn>
  </tableColumns>
  <tableStyleInfo name="TableStyleLight1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2" xr:uid="{6A0466CE-810E-433F-80E6-02DEA74879A5}" name="Table211363" displayName="Table211363" ref="F205:J226" totalsRowShown="0">
  <autoFilter ref="F205:J226" xr:uid="{6A0466CE-810E-433F-80E6-02DEA74879A5}"/>
  <tableColumns count="5">
    <tableColumn id="1" xr3:uid="{12DDCF28-5EC6-45F2-B54C-614E1F2370DE}" name="time"/>
    <tableColumn id="2" xr3:uid="{F034B321-B550-4A6F-93DB-732B4AC3D4FE}" name="moment" dataDxfId="365">
      <calculatedColumnFormula>(Table211363[[#This Row],[time]]-2)*2</calculatedColumnFormula>
    </tableColumn>
    <tableColumn id="3" xr3:uid="{7A5731FD-10D9-44C7-A68B-409A286D03B9}" name="CAREA"/>
    <tableColumn id="4" xr3:uid="{7E6D29DC-D681-4CF5-8784-1896673239DF}" name="CFNM"/>
    <tableColumn id="5" xr3:uid="{B25B1BA2-ADAE-48C0-8DA9-06ED40B313F2}" name="CFNM/Total area contact" dataDxfId="364">
      <calculatedColumnFormula>Table211363[[#This Row],[CFNM]]/Table211363[[#This Row],[CAREA]]</calculatedColumnFormula>
    </tableColumn>
  </tableColumns>
  <tableStyleInfo name="TableStyleLight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3" xr:uid="{83FC9203-6005-4F8F-B1F7-F96F79375733}" name="Table312364" displayName="Table312364" ref="K205:O226" totalsRowShown="0">
  <autoFilter ref="K205:O226" xr:uid="{83FC9203-6005-4F8F-B1F7-F96F79375733}"/>
  <tableColumns count="5">
    <tableColumn id="1" xr3:uid="{8635C5FC-748B-4D4B-B723-759BA31E7C09}" name="time"/>
    <tableColumn id="2" xr3:uid="{C7EA89A6-2979-4EF0-B8E6-F5F52C09058A}" name="moment" dataDxfId="363">
      <calculatedColumnFormula>(Table312364[[#This Row],[time]]-2)*2</calculatedColumnFormula>
    </tableColumn>
    <tableColumn id="3" xr3:uid="{082B5CD8-395C-4936-8D48-E47796E88190}" name="CAREA"/>
    <tableColumn id="4" xr3:uid="{D9817FAE-74C0-4521-BA69-E3CF2D86E2C5}" name="CFNM"/>
    <tableColumn id="5" xr3:uid="{69763BC5-3A60-4619-BE42-31F3DF743EEF}" name="CFNM/Total area contact" dataDxfId="362">
      <calculatedColumnFormula>Table312364[[#This Row],[CFNM]]/Table312364[[#This Row],[CAREA]]</calculatedColumnFormula>
    </tableColumn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A93975AD-5113-4341-BBB2-3826DEAAF9CF}" name="Table6" displayName="Table6" ref="Z34:AD55" totalsRowShown="0">
  <autoFilter ref="Z34:AD55" xr:uid="{A93975AD-5113-4341-BBB2-3826DEAAF9CF}"/>
  <tableColumns count="5">
    <tableColumn id="1" xr3:uid="{3F8FD834-F46E-461F-AFEF-B9E2369E581A}" name="time"/>
    <tableColumn id="2" xr3:uid="{9167394E-76DD-496A-BF7C-7A996D227D2B}" name="moment" dataDxfId="469">
      <calculatedColumnFormula>(Table6[[#This Row],[time]]-2)*2</calculatedColumnFormula>
    </tableColumn>
    <tableColumn id="3" xr3:uid="{F11CD588-D01E-4FB6-9089-3C0DA126AA75}" name="CAREA"/>
    <tableColumn id="4" xr3:uid="{E4BE79EB-89F4-45F6-96E4-52F9CC1FEB5C}" name="CFNM"/>
    <tableColumn id="5" xr3:uid="{A61B9583-7F75-4A0F-A96A-31064D4341C0}" name="CFNM/Total area contact" dataDxfId="468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4" xr:uid="{65DEDB39-18C1-4A33-8351-1015C67D9A55}" name="Table413365" displayName="Table413365" ref="P205:T226" totalsRowShown="0">
  <autoFilter ref="P205:T226" xr:uid="{65DEDB39-18C1-4A33-8351-1015C67D9A55}"/>
  <tableColumns count="5">
    <tableColumn id="1" xr3:uid="{2990D565-CB80-4358-A4C3-F22168A565E7}" name="time"/>
    <tableColumn id="2" xr3:uid="{32677157-96A4-4366-B83B-09DE34E65B3F}" name="moment" dataDxfId="361">
      <calculatedColumnFormula>(Table413365[[#This Row],[time]]-2)*2</calculatedColumnFormula>
    </tableColumn>
    <tableColumn id="3" xr3:uid="{121318F0-E362-4E66-8377-070FF5FD33E3}" name="CAREA"/>
    <tableColumn id="4" xr3:uid="{4821E07D-38AD-4BC5-815F-42AB84D97259}" name="CFNM"/>
    <tableColumn id="5" xr3:uid="{EE426A50-6A5C-4FFE-AD5F-9D5A6DAD7D66}" name="CFNM/Total area contact" dataDxfId="360">
      <calculatedColumnFormula>Table413365[[#This Row],[CFNM]]/Table413365[[#This Row],[CAREA]]</calculatedColumnFormula>
    </tableColumn>
  </tableColumns>
  <tableStyleInfo name="TableStyleLight4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5" xr:uid="{2EAB3771-66CD-4392-9EE0-C00D5B124C02}" name="Table514366" displayName="Table514366" ref="U205:Y226" totalsRowShown="0">
  <autoFilter ref="U205:Y226" xr:uid="{2EAB3771-66CD-4392-9EE0-C00D5B124C02}"/>
  <tableColumns count="5">
    <tableColumn id="1" xr3:uid="{7A0CEBBC-9D3A-4D9C-87CE-82E45BF449E0}" name="time"/>
    <tableColumn id="2" xr3:uid="{02B6EEFB-0015-4FDD-AAEB-6D2646422A76}" name="moment" dataDxfId="359">
      <calculatedColumnFormula>(Table514366[[#This Row],[time]]-2)*2</calculatedColumnFormula>
    </tableColumn>
    <tableColumn id="3" xr3:uid="{15F02834-F45E-4371-B734-B3C3848C87C2}" name="CAREA"/>
    <tableColumn id="4" xr3:uid="{73856923-7AE7-4199-9034-8F5AFD8E7AF8}" name="CFNM"/>
    <tableColumn id="5" xr3:uid="{92931C04-F4C5-4C1B-982C-38145B9E27CE}" name="CFNM/Total area contact" dataDxfId="358">
      <calculatedColumnFormula>Table514366[[#This Row],[CFNM]]/Table514366[[#This Row],[CAREA]]</calculatedColumnFormula>
    </tableColumn>
  </tableColumns>
  <tableStyleInfo name="TableStyleLight5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6" xr:uid="{FD863768-55FF-46A2-8826-1669D42DF849}" name="Table615367" displayName="Table615367" ref="Z205:AD226" totalsRowShown="0">
  <autoFilter ref="Z205:AD226" xr:uid="{FD863768-55FF-46A2-8826-1669D42DF849}"/>
  <tableColumns count="5">
    <tableColumn id="1" xr3:uid="{4A8317B1-7242-4DAA-81E8-A5D512631C14}" name="time"/>
    <tableColumn id="2" xr3:uid="{E06CB18C-A463-4BEE-A0D5-0C4FC3AD386F}" name="moment" dataDxfId="357">
      <calculatedColumnFormula>(Table615367[[#This Row],[time]]-2)*2</calculatedColumnFormula>
    </tableColumn>
    <tableColumn id="3" xr3:uid="{60E1EE39-DEA0-4EDD-8C92-C37AC263A7D9}" name="CAREA"/>
    <tableColumn id="4" xr3:uid="{09E7969E-FE7E-4A0C-B732-27C7DCF36D75}" name="CFNM"/>
    <tableColumn id="5" xr3:uid="{EAF051D3-8F17-4652-B28B-43547A585C95}" name="CFNM/Total area contact" dataDxfId="356">
      <calculatedColumnFormula>Table615367[[#This Row],[CFNM]]/Table615367[[#This Row],[CAREA]]</calculatedColumnFormula>
    </tableColumn>
  </tableColumns>
  <tableStyleInfo name="TableStyleLight6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7" xr:uid="{7FCE0CD7-BBA7-49DD-A3F3-8EB004A867C2}" name="Table716368" displayName="Table716368" ref="AE205:AI226" totalsRowShown="0">
  <autoFilter ref="AE205:AI226" xr:uid="{7FCE0CD7-BBA7-49DD-A3F3-8EB004A867C2}"/>
  <tableColumns count="5">
    <tableColumn id="1" xr3:uid="{8C215C01-89CD-4859-B003-1FF80F408438}" name="time"/>
    <tableColumn id="2" xr3:uid="{B341CD42-8B63-4B80-8D5E-78AB9F774F06}" name="moment" dataDxfId="355">
      <calculatedColumnFormula>(Table716368[[#This Row],[time]]-2)*2</calculatedColumnFormula>
    </tableColumn>
    <tableColumn id="3" xr3:uid="{A690AC57-875F-40CD-8DD5-E0DBD781A2D3}" name="CAREA"/>
    <tableColumn id="4" xr3:uid="{9DF381E8-024B-46B2-9C9F-D7FE6F24C9B8}" name="CFNM"/>
    <tableColumn id="5" xr3:uid="{D658411E-30C3-4E79-A351-0C1BB64C8052}" name="CFNM/Total area contact" dataDxfId="354">
      <calculatedColumnFormula>Table716368[[#This Row],[CFNM]]/Table716368[[#This Row],[CAREA]]</calculatedColumnFormula>
    </tableColumn>
  </tableColumns>
  <tableStyleInfo name="TableStyleLight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8" xr:uid="{5E8912E5-9527-41D3-96BA-2348597408F8}" name="Table817369" displayName="Table817369" ref="AJ205:AN226" totalsRowShown="0">
  <autoFilter ref="AJ205:AN226" xr:uid="{5E8912E5-9527-41D3-96BA-2348597408F8}"/>
  <tableColumns count="5">
    <tableColumn id="1" xr3:uid="{DCB152E3-F719-42C3-B507-6E8A9ED6D6AB}" name="time"/>
    <tableColumn id="2" xr3:uid="{95EF1739-2811-41D3-9A7B-909A3F77B17A}" name="moment" dataDxfId="353">
      <calculatedColumnFormula>(Table817369[[#This Row],[time]]-2)*2</calculatedColumnFormula>
    </tableColumn>
    <tableColumn id="3" xr3:uid="{5FB05E69-94CD-4D53-892F-D1E39DD510AD}" name="CAREA"/>
    <tableColumn id="4" xr3:uid="{2D392E96-F114-496C-B989-A699A885BA62}" name="CFNM"/>
    <tableColumn id="5" xr3:uid="{D703E738-2B80-4D49-A252-D6685DC6702F}" name="CFNM/Total area contact" dataDxfId="352">
      <calculatedColumnFormula>Table817369[[#This Row],[CFNM]]/Table817369[[#This Row],[CAREA]]</calculatedColumnFormula>
    </tableColumn>
  </tableColumns>
  <tableStyleInfo name="TableStyleLight15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9" xr:uid="{E96CB0B8-77DD-4607-A64C-EACB25B9F436}" name="Table1370" displayName="Table1370" ref="A235:E256" totalsRowShown="0">
  <autoFilter ref="A235:E256" xr:uid="{E96CB0B8-77DD-4607-A64C-EACB25B9F436}"/>
  <tableColumns count="5">
    <tableColumn id="1" xr3:uid="{8A6431E5-1336-47D5-B0B8-11B164065892}" name="time"/>
    <tableColumn id="2" xr3:uid="{317A9797-C5B9-4B9C-9F7F-673897D3D973}" name="moment" dataDxfId="351">
      <calculatedColumnFormula>-(Table1370[[#This Row],[time]]-2)*2</calculatedColumnFormula>
    </tableColumn>
    <tableColumn id="3" xr3:uid="{7D7B598A-B6EC-4649-B92C-953056094811}" name="CAREA"/>
    <tableColumn id="4" xr3:uid="{E7486C46-42A6-45D6-9456-52C6D8366AA5}" name="CFNM"/>
    <tableColumn id="5" xr3:uid="{4CD5D254-8803-45F6-AAB6-BED9E6FBD8EB}" name="CFNM/Total area contact" dataDxfId="350">
      <calculatedColumnFormula>Table1370[[#This Row],[CFNM]]/Table1370[[#This Row],[CAREA]]</calculatedColumnFormula>
    </tableColumn>
  </tableColumns>
  <tableStyleInfo name="TableStyleLight1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0" xr:uid="{E40C68F2-6FB2-41FB-99D4-0EF98F2F20E5}" name="Table2371" displayName="Table2371" ref="F235:J256" totalsRowShown="0">
  <autoFilter ref="F235:J256" xr:uid="{E40C68F2-6FB2-41FB-99D4-0EF98F2F20E5}"/>
  <tableColumns count="5">
    <tableColumn id="1" xr3:uid="{8BE2522A-E87B-447A-86CC-F413C87F080C}" name="time"/>
    <tableColumn id="2" xr3:uid="{A44ADC89-4FE6-43EC-A03F-4FEDAA27A306}" name="moment" dataDxfId="349">
      <calculatedColumnFormula>-(Table2371[[#This Row],[time]]-2)*2</calculatedColumnFormula>
    </tableColumn>
    <tableColumn id="3" xr3:uid="{1BC2F2BF-E770-43BC-BED1-7812F7EE83BD}" name="CAREA"/>
    <tableColumn id="4" xr3:uid="{311F8CB7-73D0-416C-9852-F79988F46F3F}" name="CFNM"/>
    <tableColumn id="5" xr3:uid="{E6DCCF72-A30A-4665-831E-6BAAF6A8E4EB}" name="CFNM/Total area contact" dataDxfId="348">
      <calculatedColumnFormula>Table2371[[#This Row],[CFNM]]/Table2371[[#This Row],[CAREA]]</calculatedColumnFormula>
    </tableColumn>
  </tableColumns>
  <tableStyleInfo name="TableStyleLight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1" xr:uid="{C119C1AB-E82E-4609-B030-F41165DFDCA8}" name="Table3372" displayName="Table3372" ref="K235:O256" totalsRowShown="0">
  <autoFilter ref="K235:O256" xr:uid="{C119C1AB-E82E-4609-B030-F41165DFDCA8}"/>
  <tableColumns count="5">
    <tableColumn id="1" xr3:uid="{BC3B3DAC-8909-4D30-BF19-7607D93B5FEB}" name="time"/>
    <tableColumn id="2" xr3:uid="{765BE09B-02B2-475B-B5CD-76B9AF4F197F}" name="moment" dataDxfId="347">
      <calculatedColumnFormula>-(Table3372[[#This Row],[time]]-2)*2</calculatedColumnFormula>
    </tableColumn>
    <tableColumn id="3" xr3:uid="{B6830D1D-9FF3-4714-A619-F252E96BB4DA}" name="CAREA"/>
    <tableColumn id="4" xr3:uid="{B5522957-0E7F-4852-96F7-CC190FF8FC7E}" name="CFNM"/>
    <tableColumn id="5" xr3:uid="{0D8C0A04-E803-41AF-9243-715D060BFF38}" name="CFNM/Total area contact" dataDxfId="346">
      <calculatedColumnFormula>Table3372[[#This Row],[CFNM]]/Table3372[[#This Row],[CAREA]]</calculatedColumnFormula>
    </tableColumn>
  </tableColumns>
  <tableStyleInfo name="TableStyleLight3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2" xr:uid="{F6781E31-2B9A-4831-B03F-A0E2C0CB17CF}" name="Table4373" displayName="Table4373" ref="P235:T256" totalsRowShown="0">
  <autoFilter ref="P235:T256" xr:uid="{F6781E31-2B9A-4831-B03F-A0E2C0CB17CF}"/>
  <tableColumns count="5">
    <tableColumn id="1" xr3:uid="{7AE10641-4EB3-4E52-A9AA-0E55505D6C84}" name="time"/>
    <tableColumn id="2" xr3:uid="{333575F2-8D91-46E6-93F1-280BF47B31A0}" name="moment" dataDxfId="345">
      <calculatedColumnFormula>-(Table4373[[#This Row],[time]]-2)*2</calculatedColumnFormula>
    </tableColumn>
    <tableColumn id="3" xr3:uid="{D70D100E-DA01-4BFE-9257-0AF4F9665811}" name="CAREA"/>
    <tableColumn id="4" xr3:uid="{46FA63C8-2D2F-4A58-AB16-FFC7647654B3}" name="CFNM"/>
    <tableColumn id="5" xr3:uid="{D914E312-AC96-486E-B0F2-039392D2649A}" name="CFNM/Total area contact" dataDxfId="344">
      <calculatedColumnFormula>Table4373[[#This Row],[CFNM]]/Table4373[[#This Row],[CAREA]]</calculatedColumnFormula>
    </tableColumn>
  </tableColumns>
  <tableStyleInfo name="TableStyleLight4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3" xr:uid="{97D8A91D-B1BA-4B5C-9625-A7D19B217F4F}" name="Table5374" displayName="Table5374" ref="U235:Y256" totalsRowShown="0">
  <autoFilter ref="U235:Y256" xr:uid="{97D8A91D-B1BA-4B5C-9625-A7D19B217F4F}"/>
  <tableColumns count="5">
    <tableColumn id="1" xr3:uid="{DE15976D-0945-43AC-9AC0-6A3A281C0503}" name="time"/>
    <tableColumn id="2" xr3:uid="{24F4E5EA-143A-4B3E-B177-8C859BD61CA3}" name="moment" dataDxfId="343">
      <calculatedColumnFormula>-(Table5374[[#This Row],[time]]-2)*2</calculatedColumnFormula>
    </tableColumn>
    <tableColumn id="3" xr3:uid="{7ABA6465-DC6D-4265-9DAD-334E22A7D505}" name="CAREA"/>
    <tableColumn id="4" xr3:uid="{1A711C05-DFA1-4B75-9EAC-5DB78EA81AA3}" name="CFNM"/>
    <tableColumn id="5" xr3:uid="{8A8B7101-5192-43E7-A57E-073BDCB7DA31}" name="CFNM/Total area contact" dataDxfId="342">
      <calculatedColumnFormula>Table5374[[#This Row],[CFNM]]/Table5374[[#This Row],[CAREA]]</calculatedColumnFormula>
    </tableColumn>
  </tableColumns>
  <tableStyleInfo name="TableStyleLight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B3F640A-47BC-4161-AD1A-50CAC02D9DCC}" name="Table7" displayName="Table7" ref="AE34:AI55" totalsRowShown="0">
  <autoFilter ref="AE34:AI55" xr:uid="{EB3F640A-47BC-4161-AD1A-50CAC02D9DCC}"/>
  <tableColumns count="5">
    <tableColumn id="1" xr3:uid="{6BA66494-9696-4A5F-99F4-0393F305B83F}" name="time"/>
    <tableColumn id="2" xr3:uid="{AE41471D-A14B-4B95-A08C-5656AAE7451C}" name="moment" dataDxfId="467">
      <calculatedColumnFormula>(Table7[[#This Row],[time]]-2)*2</calculatedColumnFormula>
    </tableColumn>
    <tableColumn id="3" xr3:uid="{13C5AC89-D99C-45F4-BEBF-FEA6682D0F32}" name="CAREA"/>
    <tableColumn id="4" xr3:uid="{7909BA64-328C-4DA1-A5FE-161758A9642E}" name="CFNM"/>
    <tableColumn id="5" xr3:uid="{E316E542-D204-4BC0-88F6-DDB2867D439E}" name="CFNM/Total area contact" dataDxfId="466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4" xr:uid="{592F6C00-23DB-4559-834E-7426AE61A6F9}" name="Table6375" displayName="Table6375" ref="Z235:AD256" totalsRowShown="0">
  <autoFilter ref="Z235:AD256" xr:uid="{592F6C00-23DB-4559-834E-7426AE61A6F9}"/>
  <tableColumns count="5">
    <tableColumn id="1" xr3:uid="{EB400658-7E00-497B-ACE8-06CE74DE2EA4}" name="time"/>
    <tableColumn id="2" xr3:uid="{1FB25FBF-275D-4F5D-BB0D-6F5D992A6884}" name="moment" dataDxfId="341">
      <calculatedColumnFormula>-(Table6375[[#This Row],[time]]-2)*2</calculatedColumnFormula>
    </tableColumn>
    <tableColumn id="3" xr3:uid="{4EF1981C-4DE1-4550-8CEB-E8B4AF43D214}" name="CAREA"/>
    <tableColumn id="4" xr3:uid="{1E6AE6F7-21D6-4BE5-9207-AF499C8A249C}" name="CFNM"/>
    <tableColumn id="5" xr3:uid="{63388282-87EC-4E4A-B76A-860870238BCF}" name="CFNM/Total area contact" dataDxfId="340">
      <calculatedColumnFormula>Table6375[[#This Row],[CFNM]]/Table6375[[#This Row],[CAREA]]</calculatedColumnFormula>
    </tableColumn>
  </tableColumns>
  <tableStyleInfo name="TableStyleLight6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5" xr:uid="{3476AC1D-FBA8-408A-8F2E-536E21603EE3}" name="Table7376" displayName="Table7376" ref="AE235:AI256" totalsRowShown="0">
  <autoFilter ref="AE235:AI256" xr:uid="{3476AC1D-FBA8-408A-8F2E-536E21603EE3}"/>
  <tableColumns count="5">
    <tableColumn id="1" xr3:uid="{F1020951-58D9-47E3-8551-20ABF8B09509}" name="time"/>
    <tableColumn id="2" xr3:uid="{1827465D-11DF-443B-B7C9-1A86F1BFF0B2}" name="moment" dataDxfId="339">
      <calculatedColumnFormula>-(Table7376[[#This Row],[time]]-2)*2</calculatedColumnFormula>
    </tableColumn>
    <tableColumn id="3" xr3:uid="{AB062ECF-5E25-4768-B301-6EC07B63593F}" name="CAREA"/>
    <tableColumn id="4" xr3:uid="{EC64B31C-40A0-4F0B-84B7-E66DF3080257}" name="CFNM"/>
    <tableColumn id="5" xr3:uid="{7C6E3037-145F-4413-9EC0-E38875C4A928}" name="CFNM/Total area contact" dataDxfId="338">
      <calculatedColumnFormula>Table7376[[#This Row],[CFNM]]/Table7376[[#This Row],[CAREA]]</calculatedColumnFormula>
    </tableColumn>
  </tableColumns>
  <tableStyleInfo name="TableStyleLight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6" xr:uid="{259BDF39-15BF-4413-BB16-632896394591}" name="Table8377" displayName="Table8377" ref="AJ235:AN256" totalsRowShown="0">
  <autoFilter ref="AJ235:AN256" xr:uid="{259BDF39-15BF-4413-BB16-632896394591}"/>
  <tableColumns count="5">
    <tableColumn id="1" xr3:uid="{BAB2489D-DC63-461F-8BB2-47FF696B6D2B}" name="time"/>
    <tableColumn id="2" xr3:uid="{EFD49AEE-0C33-4E45-BF60-6468154D669F}" name="moment" dataDxfId="337">
      <calculatedColumnFormula>-(Table8377[[#This Row],[time]]-2)*2</calculatedColumnFormula>
    </tableColumn>
    <tableColumn id="3" xr3:uid="{02C9170A-BD23-4737-9F06-43158B96D844}" name="CAREA"/>
    <tableColumn id="4" xr3:uid="{F7B54BBC-21CD-41B3-9A08-620EBE6E1AC1}" name="CFNM"/>
    <tableColumn id="5" xr3:uid="{AC6E81FB-27D9-4B10-AC07-E90576B8EB53}" name="CFNM/Total area contact" dataDxfId="336">
      <calculatedColumnFormula>Table8377[[#This Row],[CFNM]]/Table8377[[#This Row],[CAREA]]</calculatedColumnFormula>
    </tableColumn>
  </tableColumns>
  <tableStyleInfo name="TableStyleLight1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7" xr:uid="{DFA80633-FFDF-4A4D-AA2C-0EF706161AB2}" name="Table110378" displayName="Table110378" ref="A262:E283" totalsRowShown="0">
  <autoFilter ref="A262:E283" xr:uid="{DFA80633-FFDF-4A4D-AA2C-0EF706161AB2}"/>
  <tableColumns count="5">
    <tableColumn id="1" xr3:uid="{33985496-71F6-4652-87C5-233E73DDA79D}" name="time"/>
    <tableColumn id="2" xr3:uid="{131E209B-EF77-4DBC-8FBE-98E764A7B716}" name="moment" dataDxfId="335">
      <calculatedColumnFormula>(Table110378[[#This Row],[time]]-2)*2</calculatedColumnFormula>
    </tableColumn>
    <tableColumn id="3" xr3:uid="{5CF75A6B-AEE5-47D6-BBA0-16DEE3878F62}" name="CAREA"/>
    <tableColumn id="4" xr3:uid="{23043702-A2AB-4B1E-BAB0-FFC47F476005}" name="CFNM"/>
    <tableColumn id="5" xr3:uid="{EB287F4B-B115-424B-8BD7-D7C78B5B7374}" name="CFNM/Total area contact" dataDxfId="334">
      <calculatedColumnFormula>Table110378[[#This Row],[CFNM]]/Table110378[[#This Row],[CAREA]]</calculatedColumnFormula>
    </tableColumn>
  </tableColumns>
  <tableStyleInfo name="TableStyleLight1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8" xr:uid="{8145E7C4-50D5-49F0-B815-EC7395B92C86}" name="Table211379" displayName="Table211379" ref="F262:J283" totalsRowShown="0">
  <autoFilter ref="F262:J283" xr:uid="{8145E7C4-50D5-49F0-B815-EC7395B92C86}"/>
  <tableColumns count="5">
    <tableColumn id="1" xr3:uid="{61F71781-11F1-4FE7-B0AD-5A12663FC3FA}" name="time"/>
    <tableColumn id="2" xr3:uid="{87B8193A-0599-42E6-9625-870F45BDF535}" name="moment" dataDxfId="333">
      <calculatedColumnFormula>(Table211379[[#This Row],[time]]-2)*2</calculatedColumnFormula>
    </tableColumn>
    <tableColumn id="3" xr3:uid="{0035B55D-EFC5-4A89-BDB1-02F304C87693}" name="CAREA"/>
    <tableColumn id="4" xr3:uid="{333050C1-2695-4DF9-8A8A-E562D2FE3CAD}" name="CFNM"/>
    <tableColumn id="5" xr3:uid="{D97C8C2A-D6A4-471C-B524-01B9443BD9F3}" name="CFNM/Total area contact" dataDxfId="332">
      <calculatedColumnFormula>Table211379[[#This Row],[CFNM]]/Table211379[[#This Row],[CAREA]]</calculatedColumnFormula>
    </tableColumn>
  </tableColumns>
  <tableStyleInfo name="TableStyleLight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9" xr:uid="{F9F93EC9-B2AF-40D9-8F75-26CA003B8285}" name="Table312380" displayName="Table312380" ref="K262:O283" totalsRowShown="0">
  <autoFilter ref="K262:O283" xr:uid="{F9F93EC9-B2AF-40D9-8F75-26CA003B8285}"/>
  <tableColumns count="5">
    <tableColumn id="1" xr3:uid="{C7E4269B-3C4E-4CC9-858F-4A5597F945C1}" name="time"/>
    <tableColumn id="2" xr3:uid="{7E3358DF-9614-45BA-ADC8-DF468174CB97}" name="moment" dataDxfId="331">
      <calculatedColumnFormula>(Table312380[[#This Row],[time]]-2)*2</calculatedColumnFormula>
    </tableColumn>
    <tableColumn id="3" xr3:uid="{2B453E8C-9061-4F66-B56E-BE0975BCB4D3}" name="CAREA"/>
    <tableColumn id="4" xr3:uid="{F167FBD4-19A3-46E4-B43B-AADD9AD997F2}" name="CFNM"/>
    <tableColumn id="5" xr3:uid="{E260315E-633C-4360-98B0-34EE8ED8CF9D}" name="CFNM/Total area contact" dataDxfId="330">
      <calculatedColumnFormula>Table312380[[#This Row],[CFNM]]/Table312380[[#This Row],[CAREA]]</calculatedColumnFormula>
    </tableColumn>
  </tableColumns>
  <tableStyleInfo name="TableStyleLight3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0" xr:uid="{C6BE425F-E9C7-4202-9701-DD34C241E7D3}" name="Table413381" displayName="Table413381" ref="P262:T283" totalsRowShown="0">
  <autoFilter ref="P262:T283" xr:uid="{C6BE425F-E9C7-4202-9701-DD34C241E7D3}"/>
  <tableColumns count="5">
    <tableColumn id="1" xr3:uid="{CA8222B6-836B-4289-B7A2-0F56386A6B7E}" name="time"/>
    <tableColumn id="2" xr3:uid="{E370C3F8-559D-4609-BEF5-D42F69D35CD0}" name="moment" dataDxfId="329">
      <calculatedColumnFormula>(Table413381[[#This Row],[time]]-2)*2</calculatedColumnFormula>
    </tableColumn>
    <tableColumn id="3" xr3:uid="{0E1E6C8C-006E-48F2-9EF9-9D93F72EAC7B}" name="CAREA"/>
    <tableColumn id="4" xr3:uid="{92701FC2-A253-4E2B-BF84-C92652EC5461}" name="CFNM"/>
    <tableColumn id="5" xr3:uid="{52887968-DFF3-44A7-95DE-3D88FACEA69D}" name="CFNM/Total area contact" dataDxfId="328">
      <calculatedColumnFormula>Table413381[[#This Row],[CFNM]]/Table413381[[#This Row],[CAREA]]</calculatedColumnFormula>
    </tableColumn>
  </tableColumns>
  <tableStyleInfo name="TableStyleLight4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1" xr:uid="{A84E0679-FCFF-4EA9-8A93-0C84C5825A69}" name="Table514382" displayName="Table514382" ref="U262:Y283" totalsRowShown="0">
  <autoFilter ref="U262:Y283" xr:uid="{A84E0679-FCFF-4EA9-8A93-0C84C5825A69}"/>
  <tableColumns count="5">
    <tableColumn id="1" xr3:uid="{0D2C9E36-052E-4A48-B47C-B70F92B07BDD}" name="time"/>
    <tableColumn id="2" xr3:uid="{58C4D5DB-5A42-4EF6-BE01-CCADAAE89A9F}" name="moment" dataDxfId="327">
      <calculatedColumnFormula>(Table514382[[#This Row],[time]]-2)*2</calculatedColumnFormula>
    </tableColumn>
    <tableColumn id="3" xr3:uid="{B46E9451-D59C-4E2F-82CB-AA01301B7A0D}" name="CAREA"/>
    <tableColumn id="4" xr3:uid="{5F9E333A-F4F3-4BAF-88A3-32B3B3585E91}" name="CFNM"/>
    <tableColumn id="5" xr3:uid="{60EF8D83-3B50-444F-B286-FF0B5BA58DE2}" name="CFNM/Total area contact" dataDxfId="326">
      <calculatedColumnFormula>Table514382[[#This Row],[CFNM]]/Table514382[[#This Row],[CAREA]]</calculatedColumnFormula>
    </tableColumn>
  </tableColumns>
  <tableStyleInfo name="TableStyleLight5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2" xr:uid="{FA421C9B-6F17-4DBF-BB12-75BD5989692E}" name="Table615383" displayName="Table615383" ref="Z262:AD283" totalsRowShown="0">
  <autoFilter ref="Z262:AD283" xr:uid="{FA421C9B-6F17-4DBF-BB12-75BD5989692E}"/>
  <tableColumns count="5">
    <tableColumn id="1" xr3:uid="{2E01B904-9E6A-452B-97A4-C25B1BF22FBE}" name="time"/>
    <tableColumn id="2" xr3:uid="{E517E9DB-EFCD-4D89-BC62-992525D66AE1}" name="moment" dataDxfId="325">
      <calculatedColumnFormula>(Table615383[[#This Row],[time]]-2)*2</calculatedColumnFormula>
    </tableColumn>
    <tableColumn id="3" xr3:uid="{D9B1D73A-EB6F-4017-BFD4-B9465D400CDB}" name="CAREA"/>
    <tableColumn id="4" xr3:uid="{A58BCB23-B8C4-4141-8B2F-C5DCE264915E}" name="CFNM"/>
    <tableColumn id="5" xr3:uid="{150A41F0-963A-470F-ACDD-953A55778CC9}" name="CFNM/Total area contact" dataDxfId="324">
      <calculatedColumnFormula>Table615383[[#This Row],[CFNM]]/Table615383[[#This Row],[CAREA]]</calculatedColumnFormula>
    </tableColumn>
  </tableColumns>
  <tableStyleInfo name="TableStyleLight6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3" xr:uid="{58A85CB0-0258-472F-8AC5-78FADD8EEF5C}" name="Table716384" displayName="Table716384" ref="AE262:AI283" totalsRowShown="0">
  <autoFilter ref="AE262:AI283" xr:uid="{58A85CB0-0258-472F-8AC5-78FADD8EEF5C}"/>
  <tableColumns count="5">
    <tableColumn id="1" xr3:uid="{22E3DCF3-5B41-4B7E-A83F-FCCEEA5CC35B}" name="time"/>
    <tableColumn id="2" xr3:uid="{CF6D1B00-B4A9-4EF2-970B-3AA1F7721BEA}" name="moment" dataDxfId="323">
      <calculatedColumnFormula>(Table716384[[#This Row],[time]]-2)*2</calculatedColumnFormula>
    </tableColumn>
    <tableColumn id="3" xr3:uid="{E5DA2514-E470-4748-B6F0-F96B38725223}" name="CAREA"/>
    <tableColumn id="4" xr3:uid="{E26863AD-E9A1-448A-9204-103ABFA38017}" name="CFNM"/>
    <tableColumn id="5" xr3:uid="{BB4FCE30-4E9F-427E-A99D-FD2DDC983E12}" name="CFNM/Total area contact" dataDxfId="322">
      <calculatedColumnFormula>Table716384[[#This Row],[CFNM]]/Table716384[[#This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6A7091F6-4BAE-4703-8824-397CAE674023}" name="Table8" displayName="Table8" ref="AJ34:AN55" totalsRowShown="0">
  <autoFilter ref="AJ34:AN55" xr:uid="{6A7091F6-4BAE-4703-8824-397CAE674023}"/>
  <tableColumns count="5">
    <tableColumn id="1" xr3:uid="{E1530117-77D9-4F1D-A927-BCE161E017C7}" name="time"/>
    <tableColumn id="2" xr3:uid="{3A43828C-4C75-4239-B6FE-1ED89D6B14B9}" name="moment" dataDxfId="465">
      <calculatedColumnFormula>(Table8[[#This Row],[time]]-2)*2</calculatedColumnFormula>
    </tableColumn>
    <tableColumn id="3" xr3:uid="{A5137105-2897-47DD-A850-44BC81AFB0F2}" name="CAREA"/>
    <tableColumn id="4" xr3:uid="{65E3D91C-1226-4BDE-AC52-42AF6EAD355A}" name="CFNM"/>
    <tableColumn id="5" xr3:uid="{B1A4D04D-6B4E-44E5-8319-687261F4FF90}" name="CFNM/Total area contact" dataDxfId="464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4" xr:uid="{C7E1357A-B42D-4CB0-A99F-773642BB82A4}" name="Table817385" displayName="Table817385" ref="AJ262:AN283" totalsRowShown="0">
  <autoFilter ref="AJ262:AN283" xr:uid="{C7E1357A-B42D-4CB0-A99F-773642BB82A4}"/>
  <tableColumns count="5">
    <tableColumn id="1" xr3:uid="{3EF405CF-CC8B-4B0B-BAFA-A25001AE2C7C}" name="time"/>
    <tableColumn id="2" xr3:uid="{19E76162-9C40-4206-9686-A02DE1893B38}" name="moment" dataDxfId="321">
      <calculatedColumnFormula>(Table817385[[#This Row],[time]]-2)*2</calculatedColumnFormula>
    </tableColumn>
    <tableColumn id="3" xr3:uid="{E4B7390D-1F8D-4C45-8F36-223D84752620}" name="CAREA"/>
    <tableColumn id="4" xr3:uid="{83D90FC2-91B2-4DAF-9237-E5F65531C5C0}" name="CFNM"/>
    <tableColumn id="5" xr3:uid="{B9B26752-0EF0-4FDE-820E-42EBFD33FE50}" name="CFNM/Total area contact" dataDxfId="320">
      <calculatedColumnFormula>Table817385[[#This Row],[CFNM]]/Table817385[[#This Row],[CAREA]]</calculatedColumnFormula>
    </tableColumn>
  </tableColumns>
  <tableStyleInfo name="TableStyleLight15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5" xr:uid="{BCBC4C1D-46C4-4368-BE8B-BBE68C484D7B}" name="Table1386" displayName="Table1386" ref="A292:E313" totalsRowShown="0">
  <autoFilter ref="A292:E313" xr:uid="{BCBC4C1D-46C4-4368-BE8B-BBE68C484D7B}"/>
  <tableColumns count="5">
    <tableColumn id="1" xr3:uid="{2DA47AB5-445F-4611-A365-20C39714F7A4}" name="time"/>
    <tableColumn id="2" xr3:uid="{6C59BA85-37B9-457B-AB1F-5E285A6F89FC}" name="moment" dataDxfId="319">
      <calculatedColumnFormula>-(Table1386[[#This Row],[time]]-2)*2</calculatedColumnFormula>
    </tableColumn>
    <tableColumn id="3" xr3:uid="{0104A333-D9D8-4EEE-AB30-0A290D0A13C2}" name="CAREA"/>
    <tableColumn id="4" xr3:uid="{9D324197-CADC-432E-9602-0945F0A7E0E3}" name="CFNM"/>
    <tableColumn id="5" xr3:uid="{41CDFF5A-4E68-4268-901E-B0AE2D5459E3}" name="CFNM/Total area contact" dataDxfId="318">
      <calculatedColumnFormula>Table1386[[#This Row],[CFNM]]/Table1386[[#This Row],[CAREA]]</calculatedColumnFormula>
    </tableColumn>
  </tableColumns>
  <tableStyleInfo name="TableStyleLight1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6" xr:uid="{12D421F4-B96D-4642-A3D7-6AB44F89B1FE}" name="Table2387" displayName="Table2387" ref="F292:J313" totalsRowShown="0">
  <autoFilter ref="F292:J313" xr:uid="{12D421F4-B96D-4642-A3D7-6AB44F89B1FE}"/>
  <tableColumns count="5">
    <tableColumn id="1" xr3:uid="{3FB4C6C8-5555-4D25-B81A-9C2619711583}" name="time"/>
    <tableColumn id="2" xr3:uid="{F0FE0D0B-F326-4A30-BDD7-36381779BFD7}" name="moment" dataDxfId="317">
      <calculatedColumnFormula>-(Table2387[[#This Row],[time]]-2)*2</calculatedColumnFormula>
    </tableColumn>
    <tableColumn id="3" xr3:uid="{2AE2150E-6B0E-4BFC-B5ED-230B329F1C24}" name="CAREA"/>
    <tableColumn id="4" xr3:uid="{2EB30633-D8EE-4B69-8E2A-062D7DECAE3A}" name="CFNM"/>
    <tableColumn id="5" xr3:uid="{BC42824F-9D63-45B3-A63C-9E07F1472A5B}" name="CFNM/Total area contact" dataDxfId="316">
      <calculatedColumnFormula>Table2387[[#This Row],[CFNM]]/Table2387[[#This Row],[CAREA]]</calculatedColumnFormula>
    </tableColumn>
  </tableColumns>
  <tableStyleInfo name="TableStyleLight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7" xr:uid="{547E6422-17EA-4FF8-A111-D0DB922CDA2A}" name="Table3388" displayName="Table3388" ref="K292:O313" totalsRowShown="0">
  <autoFilter ref="K292:O313" xr:uid="{547E6422-17EA-4FF8-A111-D0DB922CDA2A}"/>
  <tableColumns count="5">
    <tableColumn id="1" xr3:uid="{722392AD-FD98-4F9B-8E9D-35ABB8258232}" name="time"/>
    <tableColumn id="2" xr3:uid="{B01A3020-4F9D-4E50-BC7B-919DE744022F}" name="moment" dataDxfId="315">
      <calculatedColumnFormula>-(Table3388[[#This Row],[time]]-2)*2</calculatedColumnFormula>
    </tableColumn>
    <tableColumn id="3" xr3:uid="{2F4B47C2-FFA3-4B34-A473-A68FA8B51AB5}" name="CAREA"/>
    <tableColumn id="4" xr3:uid="{0E9B9510-61A9-4A48-B8D4-392F71064E05}" name="CFNM"/>
    <tableColumn id="5" xr3:uid="{1B5C79D2-F16A-4E36-9C5C-F8E53B258E31}" name="CFNM/Total area contact" dataDxfId="314">
      <calculatedColumnFormula>Table3388[[#This Row],[CFNM]]/Table3388[[#This Row],[CAREA]]</calculatedColumnFormula>
    </tableColumn>
  </tableColumns>
  <tableStyleInfo name="TableStyleLight3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8" xr:uid="{374624E8-EF56-489B-8C7D-7317AF651822}" name="Table4389" displayName="Table4389" ref="P292:T313" totalsRowShown="0">
  <autoFilter ref="P292:T313" xr:uid="{374624E8-EF56-489B-8C7D-7317AF651822}"/>
  <tableColumns count="5">
    <tableColumn id="1" xr3:uid="{56F6581B-F18B-4EDF-B8F3-15C9E475E804}" name="time"/>
    <tableColumn id="2" xr3:uid="{A9541E6D-96C9-4C92-A540-C8A93A994440}" name="moment" dataDxfId="313">
      <calculatedColumnFormula>-(Table4389[[#This Row],[time]]-2)*2</calculatedColumnFormula>
    </tableColumn>
    <tableColumn id="3" xr3:uid="{43BFC8C2-BE32-4307-8A99-168F7E35C32C}" name="CAREA"/>
    <tableColumn id="4" xr3:uid="{1A0F102E-734E-4ECE-A860-5BA00E638A1F}" name="CFNM"/>
    <tableColumn id="5" xr3:uid="{10BE9E70-F5DE-4A1D-A410-A0BF3DA47231}" name="CFNM/Total area contact" dataDxfId="312">
      <calculatedColumnFormula>Table4389[[#This Row],[CFNM]]/Table4389[[#This Row],[CAREA]]</calculatedColumnFormula>
    </tableColumn>
  </tableColumns>
  <tableStyleInfo name="TableStyleLight4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9" xr:uid="{9A13769C-A213-4685-97E5-A97822420F67}" name="Table5390" displayName="Table5390" ref="U292:Y313" totalsRowShown="0">
  <autoFilter ref="U292:Y313" xr:uid="{9A13769C-A213-4685-97E5-A97822420F67}"/>
  <tableColumns count="5">
    <tableColumn id="1" xr3:uid="{6DF40F1F-68C6-462A-9110-D4677061E446}" name="time"/>
    <tableColumn id="2" xr3:uid="{07899B0C-E291-45B6-9198-8A1496178D08}" name="moment" dataDxfId="311">
      <calculatedColumnFormula>-(Table5390[[#This Row],[time]]-2)*2</calculatedColumnFormula>
    </tableColumn>
    <tableColumn id="3" xr3:uid="{9532FFD2-A3F8-44FE-858C-BB2A6C5AF802}" name="CAREA"/>
    <tableColumn id="4" xr3:uid="{9C4F82BE-97A4-4862-874C-C6927A8A7637}" name="CFNM"/>
    <tableColumn id="5" xr3:uid="{78E5B1E5-5F35-45FA-A16C-4B2735B45E82}" name="CFNM/Total area contact" dataDxfId="310">
      <calculatedColumnFormula>Table5390[[#This Row],[CFNM]]/Table5390[[#This Row],[CAREA]]</calculatedColumnFormula>
    </tableColumn>
  </tableColumns>
  <tableStyleInfo name="TableStyleLight5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0" xr:uid="{AD640D19-61D2-4CFB-A0DB-8FB22F20B8BC}" name="Table6391" displayName="Table6391" ref="Z292:AD313" totalsRowShown="0">
  <autoFilter ref="Z292:AD313" xr:uid="{AD640D19-61D2-4CFB-A0DB-8FB22F20B8BC}"/>
  <tableColumns count="5">
    <tableColumn id="1" xr3:uid="{9B61E58B-CCF9-4A3A-AC8D-198498DE1914}" name="time"/>
    <tableColumn id="2" xr3:uid="{F16A00FC-EAE9-4792-A025-48AAB0585EA0}" name="moment" dataDxfId="309">
      <calculatedColumnFormula>-(Table6391[[#This Row],[time]]-2)*2</calculatedColumnFormula>
    </tableColumn>
    <tableColumn id="3" xr3:uid="{6C3820CA-2EE1-4DA2-B58E-DD05E2377B20}" name="CAREA"/>
    <tableColumn id="4" xr3:uid="{5BE755D2-6DE6-48C1-8338-4FF4F48DA70A}" name="CFNM"/>
    <tableColumn id="5" xr3:uid="{50E6945F-77A6-473E-84AD-07DEA8A7C95D}" name="CFNM/Total area contact" dataDxfId="308">
      <calculatedColumnFormula>Table6391[[#This Row],[CFNM]]/Table6391[[#This Row],[CAREA]]</calculatedColumnFormula>
    </tableColumn>
  </tableColumns>
  <tableStyleInfo name="TableStyleLight6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1" xr:uid="{3A53CB14-F8FE-4754-8065-55E4E9B5F720}" name="Table7392" displayName="Table7392" ref="AE292:AI313" totalsRowShown="0">
  <autoFilter ref="AE292:AI313" xr:uid="{3A53CB14-F8FE-4754-8065-55E4E9B5F720}"/>
  <tableColumns count="5">
    <tableColumn id="1" xr3:uid="{5A74FCD2-1350-44A7-B3F7-55A2E4C31382}" name="time"/>
    <tableColumn id="2" xr3:uid="{573619A2-0BC6-4912-A0D6-BB4695CCB58B}" name="moment" dataDxfId="307">
      <calculatedColumnFormula>-(Table7392[[#This Row],[time]]-2)*2</calculatedColumnFormula>
    </tableColumn>
    <tableColumn id="3" xr3:uid="{2F63A894-D93E-4971-BF8A-5A7D1A7D564A}" name="CAREA"/>
    <tableColumn id="4" xr3:uid="{9BCE980E-66ED-4662-8F54-1F23A9E1AAF9}" name="CFNM"/>
    <tableColumn id="5" xr3:uid="{9ADFC4A7-E359-4EFA-8B5B-69C832FBC0C8}" name="CFNM/Total area contact" dataDxfId="306">
      <calculatedColumnFormula>Table7392[[#This Row],[CFNM]]/Table7392[[#This Row],[CAREA]]</calculatedColumnFormula>
    </tableColumn>
  </tableColumns>
  <tableStyleInfo name="TableStyleLight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2" xr:uid="{4492AAD9-87B2-4FFE-B569-B97E17DF9714}" name="Table8393" displayName="Table8393" ref="AJ292:AN313" totalsRowShown="0">
  <autoFilter ref="AJ292:AN313" xr:uid="{4492AAD9-87B2-4FFE-B569-B97E17DF9714}"/>
  <tableColumns count="5">
    <tableColumn id="1" xr3:uid="{9AAA254D-5101-40C1-B4A0-AB82E3900DC1}" name="time"/>
    <tableColumn id="2" xr3:uid="{100733C0-7A89-4BE5-A1DF-50752D183384}" name="moment" dataDxfId="305">
      <calculatedColumnFormula>-(Table8393[[#This Row],[time]]-2)*2</calculatedColumnFormula>
    </tableColumn>
    <tableColumn id="3" xr3:uid="{4FFA9975-3732-4D42-AC4B-AC382D6618F1}" name="CAREA"/>
    <tableColumn id="4" xr3:uid="{138192EC-6224-4B51-8877-4BD9AA29C98E}" name="CFNM"/>
    <tableColumn id="5" xr3:uid="{E9D0F7FB-FB18-4A04-B281-B2517D658316}" name="CFNM/Total area contact" dataDxfId="304">
      <calculatedColumnFormula>Table8393[[#This Row],[CFNM]]/Table8393[[#This Row],[CAREA]]</calculatedColumnFormula>
    </tableColumn>
  </tableColumns>
  <tableStyleInfo name="TableStyleLight1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3" xr:uid="{D54D5B13-B47F-4BD9-802F-6F5714E59FFA}" name="Table110394" displayName="Table110394" ref="A319:E340" totalsRowShown="0">
  <autoFilter ref="A319:E340" xr:uid="{D54D5B13-B47F-4BD9-802F-6F5714E59FFA}"/>
  <tableColumns count="5">
    <tableColumn id="1" xr3:uid="{A5DB6499-2291-4C12-A03F-74AF5866ED04}" name="time"/>
    <tableColumn id="2" xr3:uid="{7889C0FF-84F5-4BD6-B3C4-BF0DE4D48ECD}" name="moment" dataDxfId="303">
      <calculatedColumnFormula>(Table110394[[#This Row],[time]]-2)*2</calculatedColumnFormula>
    </tableColumn>
    <tableColumn id="3" xr3:uid="{015B31D6-DFA3-4745-803F-4386271BA14A}" name="CAREA"/>
    <tableColumn id="4" xr3:uid="{C501E0B6-4736-4A6D-B294-A2A87DA0002F}" name="CFNM"/>
    <tableColumn id="5" xr3:uid="{09223F31-B4FD-4E36-BF00-CD292F02635C}" name="CFNM/Total area contact" dataDxfId="302">
      <calculatedColumnFormula>Table110394[[#This Row],[CFNM]]/Table110394[[#This Row],[CAREA]]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C2BE34D5-7943-42E3-BF29-186DD31D9E9B}" name="Table219266" displayName="Table219266" ref="A7:E28" totalsRowShown="0">
  <autoFilter ref="A7:E28" xr:uid="{C2BE34D5-7943-42E3-BF29-186DD31D9E9B}"/>
  <tableColumns count="5">
    <tableColumn id="1" xr3:uid="{DE9350E6-772C-45D4-98DC-C1A74353D1B2}" name="time"/>
    <tableColumn id="5" xr3:uid="{6B761AC0-65B4-4FF6-AF7B-117CAE693261}" name="moment" dataDxfId="463">
      <calculatedColumnFormula>-(Table219266[[#This Row],[time]]-2)*2</calculatedColumnFormula>
    </tableColumn>
    <tableColumn id="2" xr3:uid="{63FF3261-6187-44D6-98ED-023C8DAB576C}" name="CAREA "/>
    <tableColumn id="3" xr3:uid="{6643820D-392A-4420-B33C-4897CD11AE93}" name="CFNM"/>
    <tableColumn id="4" xr3:uid="{8354580F-BAD2-495A-AF64-5C4B0CBB8D01}" name="CFNM/Total area contact" dataDxfId="462">
      <calculatedColumnFormula>Table219266[[#This Row],[CFNM]]/Table219266[[#This Row],[CAREA ]]</calculatedColumnFormula>
    </tableColumn>
  </tableColumns>
  <tableStyleInfo name="TableStyleLight1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4" xr:uid="{D1D10EA8-C7A8-4E60-9793-F5235C8917D5}" name="Table211395" displayName="Table211395" ref="F319:J340" totalsRowShown="0">
  <autoFilter ref="F319:J340" xr:uid="{D1D10EA8-C7A8-4E60-9793-F5235C8917D5}"/>
  <tableColumns count="5">
    <tableColumn id="1" xr3:uid="{80A3BC81-D46E-4D4A-9233-68D32C543155}" name="time"/>
    <tableColumn id="2" xr3:uid="{5DB54F09-6AD9-44FF-9C77-0A60C88468BB}" name="moment" dataDxfId="301">
      <calculatedColumnFormula>(Table211395[[#This Row],[time]]-2)*2</calculatedColumnFormula>
    </tableColumn>
    <tableColumn id="3" xr3:uid="{898C7909-F935-4E30-99A1-F23D43F55956}" name="CAREA"/>
    <tableColumn id="4" xr3:uid="{8FD0DA09-DE13-4C22-9E2E-CC4C7D8A4748}" name="CFNM"/>
    <tableColumn id="5" xr3:uid="{A1EC840F-C2D8-4FE8-9BDD-72E6F4B652DF}" name="CFNM/Total area contact" dataDxfId="300">
      <calculatedColumnFormula>Table211395[[#This Row],[CFNM]]/Table211395[[#This Row],[CAREA]]</calculatedColumnFormula>
    </tableColumn>
  </tableColumns>
  <tableStyleInfo name="TableStyleLight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5" xr:uid="{BFAC33F1-1EF7-443E-8568-E8E0AAF5FE46}" name="Table312396" displayName="Table312396" ref="K319:O340" totalsRowShown="0">
  <autoFilter ref="K319:O340" xr:uid="{BFAC33F1-1EF7-443E-8568-E8E0AAF5FE46}"/>
  <tableColumns count="5">
    <tableColumn id="1" xr3:uid="{587FA718-8B2A-4D83-B6AA-9875E7D6E434}" name="time"/>
    <tableColumn id="2" xr3:uid="{A3067B05-79B4-418E-917E-9CDD05F4853C}" name="moment" dataDxfId="299">
      <calculatedColumnFormula>(Table312396[[#This Row],[time]]-2)*2</calculatedColumnFormula>
    </tableColumn>
    <tableColumn id="3" xr3:uid="{DB4B001F-5AEA-482D-96FB-49B4C9FEFAA6}" name="CAREA"/>
    <tableColumn id="4" xr3:uid="{1BAC4DA5-4AC2-4E31-AF53-408521DC38F5}" name="CFNM"/>
    <tableColumn id="5" xr3:uid="{4E5FC0C6-418D-44B7-9EE6-9B832F8F8E79}" name="CFNM/Total area contact" dataDxfId="298">
      <calculatedColumnFormula>Table312396[[#This Row],[CFNM]]/Table312396[[#This Row],[CAREA]]</calculatedColumnFormula>
    </tableColumn>
  </tableColumns>
  <tableStyleInfo name="TableStyleLight3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6" xr:uid="{63E160B6-6A29-4B9A-9850-1091A8594AA9}" name="Table413397" displayName="Table413397" ref="P319:T340" totalsRowShown="0">
  <autoFilter ref="P319:T340" xr:uid="{63E160B6-6A29-4B9A-9850-1091A8594AA9}"/>
  <tableColumns count="5">
    <tableColumn id="1" xr3:uid="{75D4D24F-EFE5-442F-9B09-A34AFD4C18DA}" name="time"/>
    <tableColumn id="2" xr3:uid="{8863884A-A106-4CF3-8368-2CC387C6F31F}" name="moment" dataDxfId="297">
      <calculatedColumnFormula>(Table413397[[#This Row],[time]]-2)*2</calculatedColumnFormula>
    </tableColumn>
    <tableColumn id="3" xr3:uid="{B170EB6B-F486-4A07-9F87-65A71281556D}" name="CAREA"/>
    <tableColumn id="4" xr3:uid="{B423A81E-3B40-4484-A9AA-004412538E5F}" name="CFNM"/>
    <tableColumn id="5" xr3:uid="{D3294D34-5C89-471F-837B-0B37CAA1B904}" name="CFNM/Total area contact" dataDxfId="296">
      <calculatedColumnFormula>Table413397[[#This Row],[CFNM]]/Table413397[[#This Row],[CAREA]]</calculatedColumnFormula>
    </tableColumn>
  </tableColumns>
  <tableStyleInfo name="TableStyleLight4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7" xr:uid="{76CFA681-39C1-42A8-B9DD-092BD7B09598}" name="Table514398" displayName="Table514398" ref="U319:Y340" totalsRowShown="0">
  <autoFilter ref="U319:Y340" xr:uid="{76CFA681-39C1-42A8-B9DD-092BD7B09598}"/>
  <tableColumns count="5">
    <tableColumn id="1" xr3:uid="{2492CB14-A5FF-415E-96CA-262E1407419A}" name="time"/>
    <tableColumn id="2" xr3:uid="{ECAE2790-5E02-423A-9AFD-808BCC95D406}" name="moment" dataDxfId="295">
      <calculatedColumnFormula>(Table514398[[#This Row],[time]]-2)*2</calculatedColumnFormula>
    </tableColumn>
    <tableColumn id="3" xr3:uid="{EA26CE2C-6770-403D-969D-66BDA91D4010}" name="CAREA"/>
    <tableColumn id="4" xr3:uid="{D6FA5743-452A-4B24-BB04-172BC9F6EF0A}" name="CFNM"/>
    <tableColumn id="5" xr3:uid="{056DDE11-D113-4629-A6D0-40E0255C3E03}" name="CFNM/Total area contact" dataDxfId="294">
      <calculatedColumnFormula>Table514398[[#This Row],[CFNM]]/Table514398[[#This Row],[CAREA]]</calculatedColumnFormula>
    </tableColumn>
  </tableColumns>
  <tableStyleInfo name="TableStyleLight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8" xr:uid="{FF54DFDB-9A4C-4372-920A-E285F2F8A9B4}" name="Table615399" displayName="Table615399" ref="Z319:AD340" totalsRowShown="0">
  <autoFilter ref="Z319:AD340" xr:uid="{FF54DFDB-9A4C-4372-920A-E285F2F8A9B4}"/>
  <tableColumns count="5">
    <tableColumn id="1" xr3:uid="{AF181DF2-15E9-491D-85C6-703F6FE110A7}" name="time"/>
    <tableColumn id="2" xr3:uid="{30AE2772-C77A-4B92-ADDF-7754C8D40488}" name="moment" dataDxfId="293">
      <calculatedColumnFormula>(Table615399[[#This Row],[time]]-2)*2</calculatedColumnFormula>
    </tableColumn>
    <tableColumn id="3" xr3:uid="{4E747B7E-0936-4321-9C6C-82B8F2278F01}" name="CAREA"/>
    <tableColumn id="4" xr3:uid="{5D71B515-5A50-4EE5-AA9A-A322FE5EAAE1}" name="CFNM"/>
    <tableColumn id="5" xr3:uid="{E7B05F4D-9D5E-496B-B0DB-5870CD7C833F}" name="CFNM/Total area contact" dataDxfId="292">
      <calculatedColumnFormula>Table615399[[#This Row],[CFNM]]/Table615399[[#This Row],[CAREA]]</calculatedColumnFormula>
    </tableColumn>
  </tableColumns>
  <tableStyleInfo name="TableStyleLight6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9" xr:uid="{105F516E-B935-4D78-97B2-7D7D4E8C85D6}" name="Table716400" displayName="Table716400" ref="AE319:AI340" totalsRowShown="0">
  <autoFilter ref="AE319:AI340" xr:uid="{105F516E-B935-4D78-97B2-7D7D4E8C85D6}"/>
  <tableColumns count="5">
    <tableColumn id="1" xr3:uid="{E4A0A962-5FCF-45FD-BD28-A5711A5A8ED5}" name="time"/>
    <tableColumn id="2" xr3:uid="{CE669003-A6DD-4DBA-9A91-B1CD4A69DD52}" name="moment" dataDxfId="291">
      <calculatedColumnFormula>(Table716400[[#This Row],[time]]-2)*2</calculatedColumnFormula>
    </tableColumn>
    <tableColumn id="3" xr3:uid="{1271C487-61FD-4D7E-B2BB-7880DEDD5925}" name="CAREA"/>
    <tableColumn id="4" xr3:uid="{84E2E10D-6560-4454-A646-0C4C9970A12C}" name="CFNM"/>
    <tableColumn id="5" xr3:uid="{1860E041-DDAE-4DBD-AE8B-C12B7453D485}" name="CFNM/Total area contact" dataDxfId="290">
      <calculatedColumnFormula>Table716400[[#This Row],[CFNM]]/Table716400[[#This Row],[CAREA]]</calculatedColumnFormula>
    </tableColumn>
  </tableColumns>
  <tableStyleInfo name="TableStyleLight7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0" xr:uid="{915A74AE-FFB6-41A3-B6AF-E3D5651EE51E}" name="Table817401" displayName="Table817401" ref="AJ319:AN340" totalsRowShown="0">
  <autoFilter ref="AJ319:AN340" xr:uid="{915A74AE-FFB6-41A3-B6AF-E3D5651EE51E}"/>
  <tableColumns count="5">
    <tableColumn id="1" xr3:uid="{DC2FFA76-B2B7-4243-8CAE-42D31AA73244}" name="time"/>
    <tableColumn id="2" xr3:uid="{7C3A242F-40FA-4E35-B6FE-C6ABAA37144A}" name="moment" dataDxfId="289">
      <calculatedColumnFormula>(Table817401[[#This Row],[time]]-2)*2</calculatedColumnFormula>
    </tableColumn>
    <tableColumn id="3" xr3:uid="{5C37D52B-9F68-450C-AC77-5564D4A6D94C}" name="CAREA"/>
    <tableColumn id="4" xr3:uid="{2E365879-95C7-4B67-8CD1-D7A6849978A7}" name="CFNM"/>
    <tableColumn id="5" xr3:uid="{D982A6A6-FF9A-4E35-BEB3-CA0304D4A359}" name="CFNM/Total area contact" dataDxfId="288">
      <calculatedColumnFormula>Table817401[[#This Row],[CFNM]]/Table817401[[#This Row],[CAREA]]</calculatedColumnFormula>
    </tableColumn>
  </tableColumns>
  <tableStyleInfo name="TableStyleLight15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1" xr:uid="{5B87D18D-DC06-4D5E-A236-586A4185437E}" name="Table1402" displayName="Table1402" ref="A349:E370" totalsRowShown="0">
  <autoFilter ref="A349:E370" xr:uid="{5B87D18D-DC06-4D5E-A236-586A4185437E}"/>
  <tableColumns count="5">
    <tableColumn id="1" xr3:uid="{1A128876-73ED-44CB-AB25-E998211E480F}" name="time"/>
    <tableColumn id="2" xr3:uid="{CFC4E879-E3F2-43FB-AAEE-6F9CED8B46ED}" name="moment" dataDxfId="287">
      <calculatedColumnFormula>-(Table1402[[#This Row],[time]]-2)*2</calculatedColumnFormula>
    </tableColumn>
    <tableColumn id="3" xr3:uid="{F5DAC671-0253-44B5-B42A-362D1D8CA972}" name="CAREA"/>
    <tableColumn id="4" xr3:uid="{828AD004-B6EB-40B2-9DAD-3D7228914CB1}" name="CFNM"/>
    <tableColumn id="5" xr3:uid="{0C3C1C34-B069-4B35-8AAF-E71AB172CEA0}" name="CFNM/Total area contact" dataDxfId="286">
      <calculatedColumnFormula>Table1402[[#This Row],[CFNM]]/Table1402[[#This Row],[CAREA]]</calculatedColumnFormula>
    </tableColumn>
  </tableColumns>
  <tableStyleInfo name="TableStyleLight1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2" xr:uid="{30D4828C-371C-41FE-95B9-71912A8F9CCF}" name="Table2403" displayName="Table2403" ref="F349:J370" totalsRowShown="0">
  <autoFilter ref="F349:J370" xr:uid="{30D4828C-371C-41FE-95B9-71912A8F9CCF}"/>
  <tableColumns count="5">
    <tableColumn id="1" xr3:uid="{954B4254-6939-4822-9B70-54CE75C8DDB8}" name="time"/>
    <tableColumn id="2" xr3:uid="{2C6D2D62-03A5-4A61-9B13-16601AC63893}" name="moment" dataDxfId="285">
      <calculatedColumnFormula>-(Table2403[[#This Row],[time]]-2)*2</calculatedColumnFormula>
    </tableColumn>
    <tableColumn id="3" xr3:uid="{F6A067EC-07D9-4EA4-94E8-515F4A89AC9D}" name="CAREA"/>
    <tableColumn id="4" xr3:uid="{0DD456BD-5F7C-48AD-8585-B9D3F08E4621}" name="CFNM"/>
    <tableColumn id="5" xr3:uid="{A6538599-5B67-4B33-BCB9-19B9EEE0A938}" name="CFNM/Total area contact" dataDxfId="284">
      <calculatedColumnFormula>Table2403[[#This Row],[CFNM]]/Table2403[[#This Row],[CAREA]]</calculatedColumnFormula>
    </tableColumn>
  </tableColumns>
  <tableStyleInfo name="TableStyleLight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3" xr:uid="{82ED0E7F-C868-4798-8F35-A3C4EB0A0F92}" name="Table3404" displayName="Table3404" ref="K349:O370" totalsRowShown="0">
  <autoFilter ref="K349:O370" xr:uid="{82ED0E7F-C868-4798-8F35-A3C4EB0A0F92}"/>
  <tableColumns count="5">
    <tableColumn id="1" xr3:uid="{828472D5-4227-463F-8C58-CC904CD30A34}" name="time"/>
    <tableColumn id="2" xr3:uid="{7EFEC6E5-ED50-4566-81A2-9186CCAEF20D}" name="moment" dataDxfId="283">
      <calculatedColumnFormula>-(Table3404[[#This Row],[time]]-2)*2</calculatedColumnFormula>
    </tableColumn>
    <tableColumn id="3" xr3:uid="{7DB23686-D7CB-450D-B108-18268B47F5B6}" name="CAREA"/>
    <tableColumn id="4" xr3:uid="{4E91E4E5-50A6-44BA-8C1F-4883427A0E23}" name="CFNM"/>
    <tableColumn id="5" xr3:uid="{DBA1A7D6-3ACA-4B04-9C29-D9DA406B9766}" name="CFNM/Total area contact" dataDxfId="282">
      <calculatedColumnFormula>Table3404[[#This Row],[CFNM]]/Table3404[[#This Row],[CAREA]]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7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63" Type="http://schemas.openxmlformats.org/officeDocument/2006/relationships/table" Target="../tables/table63.xml"/><Relationship Id="rId84" Type="http://schemas.openxmlformats.org/officeDocument/2006/relationships/table" Target="../tables/table84.xml"/><Relationship Id="rId138" Type="http://schemas.openxmlformats.org/officeDocument/2006/relationships/table" Target="../tables/table138.xml"/><Relationship Id="rId159" Type="http://schemas.openxmlformats.org/officeDocument/2006/relationships/table" Target="../tables/table159.xml"/><Relationship Id="rId170" Type="http://schemas.openxmlformats.org/officeDocument/2006/relationships/table" Target="../tables/table170.xml"/><Relationship Id="rId191" Type="http://schemas.openxmlformats.org/officeDocument/2006/relationships/table" Target="../tables/table191.xml"/><Relationship Id="rId205" Type="http://schemas.openxmlformats.org/officeDocument/2006/relationships/table" Target="../tables/table205.xml"/><Relationship Id="rId226" Type="http://schemas.openxmlformats.org/officeDocument/2006/relationships/table" Target="../tables/table226.xml"/><Relationship Id="rId107" Type="http://schemas.openxmlformats.org/officeDocument/2006/relationships/table" Target="../tables/table107.xml"/><Relationship Id="rId11" Type="http://schemas.openxmlformats.org/officeDocument/2006/relationships/table" Target="../tables/table11.xml"/><Relationship Id="rId32" Type="http://schemas.openxmlformats.org/officeDocument/2006/relationships/table" Target="../tables/table32.xml"/><Relationship Id="rId53" Type="http://schemas.openxmlformats.org/officeDocument/2006/relationships/table" Target="../tables/table53.xml"/><Relationship Id="rId74" Type="http://schemas.openxmlformats.org/officeDocument/2006/relationships/table" Target="../tables/table74.xml"/><Relationship Id="rId128" Type="http://schemas.openxmlformats.org/officeDocument/2006/relationships/table" Target="../tables/table128.xml"/><Relationship Id="rId149" Type="http://schemas.openxmlformats.org/officeDocument/2006/relationships/table" Target="../tables/table149.xml"/><Relationship Id="rId5" Type="http://schemas.openxmlformats.org/officeDocument/2006/relationships/table" Target="../tables/table5.xml"/><Relationship Id="rId95" Type="http://schemas.openxmlformats.org/officeDocument/2006/relationships/table" Target="../tables/table95.xml"/><Relationship Id="rId160" Type="http://schemas.openxmlformats.org/officeDocument/2006/relationships/table" Target="../tables/table160.xml"/><Relationship Id="rId181" Type="http://schemas.openxmlformats.org/officeDocument/2006/relationships/table" Target="../tables/table181.xml"/><Relationship Id="rId216" Type="http://schemas.openxmlformats.org/officeDocument/2006/relationships/table" Target="../tables/table216.xml"/><Relationship Id="rId237" Type="http://schemas.openxmlformats.org/officeDocument/2006/relationships/table" Target="../tables/table237.xml"/><Relationship Id="rId22" Type="http://schemas.openxmlformats.org/officeDocument/2006/relationships/table" Target="../tables/table22.xml"/><Relationship Id="rId43" Type="http://schemas.openxmlformats.org/officeDocument/2006/relationships/table" Target="../tables/table43.xml"/><Relationship Id="rId64" Type="http://schemas.openxmlformats.org/officeDocument/2006/relationships/table" Target="../tables/table64.xml"/><Relationship Id="rId118" Type="http://schemas.openxmlformats.org/officeDocument/2006/relationships/table" Target="../tables/table118.xml"/><Relationship Id="rId139" Type="http://schemas.openxmlformats.org/officeDocument/2006/relationships/table" Target="../tables/table139.xml"/><Relationship Id="rId85" Type="http://schemas.openxmlformats.org/officeDocument/2006/relationships/table" Target="../tables/table85.xml"/><Relationship Id="rId150" Type="http://schemas.openxmlformats.org/officeDocument/2006/relationships/table" Target="../tables/table150.xml"/><Relationship Id="rId171" Type="http://schemas.openxmlformats.org/officeDocument/2006/relationships/table" Target="../tables/table171.xml"/><Relationship Id="rId192" Type="http://schemas.openxmlformats.org/officeDocument/2006/relationships/table" Target="../tables/table192.xml"/><Relationship Id="rId206" Type="http://schemas.openxmlformats.org/officeDocument/2006/relationships/table" Target="../tables/table206.xml"/><Relationship Id="rId227" Type="http://schemas.openxmlformats.org/officeDocument/2006/relationships/table" Target="../tables/table227.xml"/><Relationship Id="rId12" Type="http://schemas.openxmlformats.org/officeDocument/2006/relationships/table" Target="../tables/table12.xml"/><Relationship Id="rId33" Type="http://schemas.openxmlformats.org/officeDocument/2006/relationships/table" Target="../tables/table33.xml"/><Relationship Id="rId108" Type="http://schemas.openxmlformats.org/officeDocument/2006/relationships/table" Target="../tables/table108.xml"/><Relationship Id="rId129" Type="http://schemas.openxmlformats.org/officeDocument/2006/relationships/table" Target="../tables/table129.xml"/><Relationship Id="rId54" Type="http://schemas.openxmlformats.org/officeDocument/2006/relationships/table" Target="../tables/table54.xml"/><Relationship Id="rId75" Type="http://schemas.openxmlformats.org/officeDocument/2006/relationships/table" Target="../tables/table75.xml"/><Relationship Id="rId96" Type="http://schemas.openxmlformats.org/officeDocument/2006/relationships/table" Target="../tables/table96.xml"/><Relationship Id="rId140" Type="http://schemas.openxmlformats.org/officeDocument/2006/relationships/table" Target="../tables/table140.xml"/><Relationship Id="rId161" Type="http://schemas.openxmlformats.org/officeDocument/2006/relationships/table" Target="../tables/table161.xml"/><Relationship Id="rId182" Type="http://schemas.openxmlformats.org/officeDocument/2006/relationships/table" Target="../tables/table182.xml"/><Relationship Id="rId217" Type="http://schemas.openxmlformats.org/officeDocument/2006/relationships/table" Target="../tables/table217.xml"/><Relationship Id="rId6" Type="http://schemas.openxmlformats.org/officeDocument/2006/relationships/table" Target="../tables/table6.xml"/><Relationship Id="rId238" Type="http://schemas.openxmlformats.org/officeDocument/2006/relationships/table" Target="../tables/table238.xml"/><Relationship Id="rId23" Type="http://schemas.openxmlformats.org/officeDocument/2006/relationships/table" Target="../tables/table23.xml"/><Relationship Id="rId119" Type="http://schemas.openxmlformats.org/officeDocument/2006/relationships/table" Target="../tables/table119.xml"/><Relationship Id="rId44" Type="http://schemas.openxmlformats.org/officeDocument/2006/relationships/table" Target="../tables/table44.xml"/><Relationship Id="rId65" Type="http://schemas.openxmlformats.org/officeDocument/2006/relationships/table" Target="../tables/table65.xml"/><Relationship Id="rId86" Type="http://schemas.openxmlformats.org/officeDocument/2006/relationships/table" Target="../tables/table86.xml"/><Relationship Id="rId130" Type="http://schemas.openxmlformats.org/officeDocument/2006/relationships/table" Target="../tables/table130.xml"/><Relationship Id="rId151" Type="http://schemas.openxmlformats.org/officeDocument/2006/relationships/table" Target="../tables/table151.xml"/><Relationship Id="rId172" Type="http://schemas.openxmlformats.org/officeDocument/2006/relationships/table" Target="../tables/table172.xml"/><Relationship Id="rId193" Type="http://schemas.openxmlformats.org/officeDocument/2006/relationships/table" Target="../tables/table193.xml"/><Relationship Id="rId207" Type="http://schemas.openxmlformats.org/officeDocument/2006/relationships/table" Target="../tables/table207.xml"/><Relationship Id="rId228" Type="http://schemas.openxmlformats.org/officeDocument/2006/relationships/table" Target="../tables/table228.xml"/><Relationship Id="rId13" Type="http://schemas.openxmlformats.org/officeDocument/2006/relationships/table" Target="../tables/table13.xml"/><Relationship Id="rId109" Type="http://schemas.openxmlformats.org/officeDocument/2006/relationships/table" Target="../tables/table109.xml"/><Relationship Id="rId34" Type="http://schemas.openxmlformats.org/officeDocument/2006/relationships/table" Target="../tables/table34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table" Target="../tables/table97.xml"/><Relationship Id="rId120" Type="http://schemas.openxmlformats.org/officeDocument/2006/relationships/table" Target="../tables/table120.xml"/><Relationship Id="rId141" Type="http://schemas.openxmlformats.org/officeDocument/2006/relationships/table" Target="../tables/table141.xml"/><Relationship Id="rId7" Type="http://schemas.openxmlformats.org/officeDocument/2006/relationships/table" Target="../tables/table7.xml"/><Relationship Id="rId162" Type="http://schemas.openxmlformats.org/officeDocument/2006/relationships/table" Target="../tables/table162.xml"/><Relationship Id="rId183" Type="http://schemas.openxmlformats.org/officeDocument/2006/relationships/table" Target="../tables/table183.xml"/><Relationship Id="rId218" Type="http://schemas.openxmlformats.org/officeDocument/2006/relationships/table" Target="../tables/table218.xml"/><Relationship Id="rId239" Type="http://schemas.openxmlformats.org/officeDocument/2006/relationships/table" Target="../tables/table239.xml"/><Relationship Id="rId24" Type="http://schemas.openxmlformats.org/officeDocument/2006/relationships/table" Target="../tables/table24.xml"/><Relationship Id="rId45" Type="http://schemas.openxmlformats.org/officeDocument/2006/relationships/table" Target="../tables/table45.xml"/><Relationship Id="rId66" Type="http://schemas.openxmlformats.org/officeDocument/2006/relationships/table" Target="../tables/table66.xml"/><Relationship Id="rId87" Type="http://schemas.openxmlformats.org/officeDocument/2006/relationships/table" Target="../tables/table87.xml"/><Relationship Id="rId110" Type="http://schemas.openxmlformats.org/officeDocument/2006/relationships/table" Target="../tables/table110.xml"/><Relationship Id="rId131" Type="http://schemas.openxmlformats.org/officeDocument/2006/relationships/table" Target="../tables/table131.xml"/><Relationship Id="rId152" Type="http://schemas.openxmlformats.org/officeDocument/2006/relationships/table" Target="../tables/table152.xml"/><Relationship Id="rId173" Type="http://schemas.openxmlformats.org/officeDocument/2006/relationships/table" Target="../tables/table173.xml"/><Relationship Id="rId194" Type="http://schemas.openxmlformats.org/officeDocument/2006/relationships/table" Target="../tables/table194.xml"/><Relationship Id="rId208" Type="http://schemas.openxmlformats.org/officeDocument/2006/relationships/table" Target="../tables/table208.xml"/><Relationship Id="rId229" Type="http://schemas.openxmlformats.org/officeDocument/2006/relationships/table" Target="../tables/table229.xml"/><Relationship Id="rId240" Type="http://schemas.openxmlformats.org/officeDocument/2006/relationships/table" Target="../tables/table240.xml"/><Relationship Id="rId14" Type="http://schemas.openxmlformats.org/officeDocument/2006/relationships/table" Target="../tables/table14.xml"/><Relationship Id="rId35" Type="http://schemas.openxmlformats.org/officeDocument/2006/relationships/table" Target="../tables/table35.xml"/><Relationship Id="rId56" Type="http://schemas.openxmlformats.org/officeDocument/2006/relationships/table" Target="../tables/table56.xml"/><Relationship Id="rId77" Type="http://schemas.openxmlformats.org/officeDocument/2006/relationships/table" Target="../tables/table77.xml"/><Relationship Id="rId100" Type="http://schemas.openxmlformats.org/officeDocument/2006/relationships/table" Target="../tables/table100.xml"/><Relationship Id="rId8" Type="http://schemas.openxmlformats.org/officeDocument/2006/relationships/table" Target="../tables/table8.xml"/><Relationship Id="rId98" Type="http://schemas.openxmlformats.org/officeDocument/2006/relationships/table" Target="../tables/table98.xml"/><Relationship Id="rId121" Type="http://schemas.openxmlformats.org/officeDocument/2006/relationships/table" Target="../tables/table121.xml"/><Relationship Id="rId142" Type="http://schemas.openxmlformats.org/officeDocument/2006/relationships/table" Target="../tables/table142.xml"/><Relationship Id="rId163" Type="http://schemas.openxmlformats.org/officeDocument/2006/relationships/table" Target="../tables/table163.xml"/><Relationship Id="rId184" Type="http://schemas.openxmlformats.org/officeDocument/2006/relationships/table" Target="../tables/table184.xml"/><Relationship Id="rId219" Type="http://schemas.openxmlformats.org/officeDocument/2006/relationships/table" Target="../tables/table219.xml"/><Relationship Id="rId230" Type="http://schemas.openxmlformats.org/officeDocument/2006/relationships/table" Target="../tables/table230.xml"/><Relationship Id="rId25" Type="http://schemas.openxmlformats.org/officeDocument/2006/relationships/table" Target="../tables/table25.xml"/><Relationship Id="rId46" Type="http://schemas.openxmlformats.org/officeDocument/2006/relationships/table" Target="../tables/table46.xml"/><Relationship Id="rId67" Type="http://schemas.openxmlformats.org/officeDocument/2006/relationships/table" Target="../tables/table67.xml"/><Relationship Id="rId88" Type="http://schemas.openxmlformats.org/officeDocument/2006/relationships/table" Target="../tables/table88.xml"/><Relationship Id="rId111" Type="http://schemas.openxmlformats.org/officeDocument/2006/relationships/table" Target="../tables/table111.xml"/><Relationship Id="rId132" Type="http://schemas.openxmlformats.org/officeDocument/2006/relationships/table" Target="../tables/table132.xml"/><Relationship Id="rId153" Type="http://schemas.openxmlformats.org/officeDocument/2006/relationships/table" Target="../tables/table153.xml"/><Relationship Id="rId174" Type="http://schemas.openxmlformats.org/officeDocument/2006/relationships/table" Target="../tables/table174.xml"/><Relationship Id="rId195" Type="http://schemas.openxmlformats.org/officeDocument/2006/relationships/table" Target="../tables/table195.xml"/><Relationship Id="rId209" Type="http://schemas.openxmlformats.org/officeDocument/2006/relationships/table" Target="../tables/table209.xml"/><Relationship Id="rId190" Type="http://schemas.openxmlformats.org/officeDocument/2006/relationships/table" Target="../tables/table190.xml"/><Relationship Id="rId204" Type="http://schemas.openxmlformats.org/officeDocument/2006/relationships/table" Target="../tables/table204.xml"/><Relationship Id="rId220" Type="http://schemas.openxmlformats.org/officeDocument/2006/relationships/table" Target="../tables/table220.xml"/><Relationship Id="rId225" Type="http://schemas.openxmlformats.org/officeDocument/2006/relationships/table" Target="../tables/table225.xml"/><Relationship Id="rId15" Type="http://schemas.openxmlformats.org/officeDocument/2006/relationships/table" Target="../tables/table15.xml"/><Relationship Id="rId36" Type="http://schemas.openxmlformats.org/officeDocument/2006/relationships/table" Target="../tables/table36.xml"/><Relationship Id="rId57" Type="http://schemas.openxmlformats.org/officeDocument/2006/relationships/table" Target="../tables/table57.xml"/><Relationship Id="rId106" Type="http://schemas.openxmlformats.org/officeDocument/2006/relationships/table" Target="../tables/table106.xml"/><Relationship Id="rId127" Type="http://schemas.openxmlformats.org/officeDocument/2006/relationships/table" Target="../tables/table12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52" Type="http://schemas.openxmlformats.org/officeDocument/2006/relationships/table" Target="../tables/table52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94" Type="http://schemas.openxmlformats.org/officeDocument/2006/relationships/table" Target="../tables/table94.xml"/><Relationship Id="rId99" Type="http://schemas.openxmlformats.org/officeDocument/2006/relationships/table" Target="../tables/table99.xml"/><Relationship Id="rId101" Type="http://schemas.openxmlformats.org/officeDocument/2006/relationships/table" Target="../tables/table101.xml"/><Relationship Id="rId122" Type="http://schemas.openxmlformats.org/officeDocument/2006/relationships/table" Target="../tables/table122.xml"/><Relationship Id="rId143" Type="http://schemas.openxmlformats.org/officeDocument/2006/relationships/table" Target="../tables/table143.xml"/><Relationship Id="rId148" Type="http://schemas.openxmlformats.org/officeDocument/2006/relationships/table" Target="../tables/table148.xml"/><Relationship Id="rId164" Type="http://schemas.openxmlformats.org/officeDocument/2006/relationships/table" Target="../tables/table164.xml"/><Relationship Id="rId169" Type="http://schemas.openxmlformats.org/officeDocument/2006/relationships/table" Target="../tables/table169.xml"/><Relationship Id="rId185" Type="http://schemas.openxmlformats.org/officeDocument/2006/relationships/table" Target="../tables/table18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80" Type="http://schemas.openxmlformats.org/officeDocument/2006/relationships/table" Target="../tables/table180.xml"/><Relationship Id="rId210" Type="http://schemas.openxmlformats.org/officeDocument/2006/relationships/table" Target="../tables/table210.xml"/><Relationship Id="rId215" Type="http://schemas.openxmlformats.org/officeDocument/2006/relationships/table" Target="../tables/table215.xml"/><Relationship Id="rId236" Type="http://schemas.openxmlformats.org/officeDocument/2006/relationships/table" Target="../tables/table236.xml"/><Relationship Id="rId26" Type="http://schemas.openxmlformats.org/officeDocument/2006/relationships/table" Target="../tables/table26.xml"/><Relationship Id="rId231" Type="http://schemas.openxmlformats.org/officeDocument/2006/relationships/table" Target="../tables/table231.xml"/><Relationship Id="rId47" Type="http://schemas.openxmlformats.org/officeDocument/2006/relationships/table" Target="../tables/table47.xml"/><Relationship Id="rId68" Type="http://schemas.openxmlformats.org/officeDocument/2006/relationships/table" Target="../tables/table68.xml"/><Relationship Id="rId89" Type="http://schemas.openxmlformats.org/officeDocument/2006/relationships/table" Target="../tables/table89.xml"/><Relationship Id="rId112" Type="http://schemas.openxmlformats.org/officeDocument/2006/relationships/table" Target="../tables/table112.xml"/><Relationship Id="rId133" Type="http://schemas.openxmlformats.org/officeDocument/2006/relationships/table" Target="../tables/table133.xml"/><Relationship Id="rId154" Type="http://schemas.openxmlformats.org/officeDocument/2006/relationships/table" Target="../tables/table154.xml"/><Relationship Id="rId175" Type="http://schemas.openxmlformats.org/officeDocument/2006/relationships/table" Target="../tables/table175.xml"/><Relationship Id="rId196" Type="http://schemas.openxmlformats.org/officeDocument/2006/relationships/table" Target="../tables/table196.xml"/><Relationship Id="rId200" Type="http://schemas.openxmlformats.org/officeDocument/2006/relationships/table" Target="../tables/table200.xml"/><Relationship Id="rId16" Type="http://schemas.openxmlformats.org/officeDocument/2006/relationships/table" Target="../tables/table16.xml"/><Relationship Id="rId221" Type="http://schemas.openxmlformats.org/officeDocument/2006/relationships/table" Target="../tables/table221.xml"/><Relationship Id="rId37" Type="http://schemas.openxmlformats.org/officeDocument/2006/relationships/table" Target="../tables/table37.xml"/><Relationship Id="rId58" Type="http://schemas.openxmlformats.org/officeDocument/2006/relationships/table" Target="../tables/table58.xml"/><Relationship Id="rId79" Type="http://schemas.openxmlformats.org/officeDocument/2006/relationships/table" Target="../tables/table79.xml"/><Relationship Id="rId102" Type="http://schemas.openxmlformats.org/officeDocument/2006/relationships/table" Target="../tables/table102.xml"/><Relationship Id="rId123" Type="http://schemas.openxmlformats.org/officeDocument/2006/relationships/table" Target="../tables/table123.xml"/><Relationship Id="rId144" Type="http://schemas.openxmlformats.org/officeDocument/2006/relationships/table" Target="../tables/table144.xml"/><Relationship Id="rId90" Type="http://schemas.openxmlformats.org/officeDocument/2006/relationships/table" Target="../tables/table90.xml"/><Relationship Id="rId165" Type="http://schemas.openxmlformats.org/officeDocument/2006/relationships/table" Target="../tables/table165.xml"/><Relationship Id="rId186" Type="http://schemas.openxmlformats.org/officeDocument/2006/relationships/table" Target="../tables/table186.xml"/><Relationship Id="rId211" Type="http://schemas.openxmlformats.org/officeDocument/2006/relationships/table" Target="../tables/table211.xml"/><Relationship Id="rId232" Type="http://schemas.openxmlformats.org/officeDocument/2006/relationships/table" Target="../tables/table232.xml"/><Relationship Id="rId27" Type="http://schemas.openxmlformats.org/officeDocument/2006/relationships/table" Target="../tables/table27.xml"/><Relationship Id="rId48" Type="http://schemas.openxmlformats.org/officeDocument/2006/relationships/table" Target="../tables/table48.xml"/><Relationship Id="rId69" Type="http://schemas.openxmlformats.org/officeDocument/2006/relationships/table" Target="../tables/table69.xml"/><Relationship Id="rId113" Type="http://schemas.openxmlformats.org/officeDocument/2006/relationships/table" Target="../tables/table113.xml"/><Relationship Id="rId134" Type="http://schemas.openxmlformats.org/officeDocument/2006/relationships/table" Target="../tables/table134.xml"/><Relationship Id="rId80" Type="http://schemas.openxmlformats.org/officeDocument/2006/relationships/table" Target="../tables/table80.xml"/><Relationship Id="rId155" Type="http://schemas.openxmlformats.org/officeDocument/2006/relationships/table" Target="../tables/table155.xml"/><Relationship Id="rId176" Type="http://schemas.openxmlformats.org/officeDocument/2006/relationships/table" Target="../tables/table176.xml"/><Relationship Id="rId197" Type="http://schemas.openxmlformats.org/officeDocument/2006/relationships/table" Target="../tables/table197.xml"/><Relationship Id="rId201" Type="http://schemas.openxmlformats.org/officeDocument/2006/relationships/table" Target="../tables/table201.xml"/><Relationship Id="rId222" Type="http://schemas.openxmlformats.org/officeDocument/2006/relationships/table" Target="../tables/table222.xml"/><Relationship Id="rId17" Type="http://schemas.openxmlformats.org/officeDocument/2006/relationships/table" Target="../tables/table17.xml"/><Relationship Id="rId38" Type="http://schemas.openxmlformats.org/officeDocument/2006/relationships/table" Target="../tables/table38.xml"/><Relationship Id="rId59" Type="http://schemas.openxmlformats.org/officeDocument/2006/relationships/table" Target="../tables/table59.xml"/><Relationship Id="rId103" Type="http://schemas.openxmlformats.org/officeDocument/2006/relationships/table" Target="../tables/table103.xml"/><Relationship Id="rId124" Type="http://schemas.openxmlformats.org/officeDocument/2006/relationships/table" Target="../tables/table124.xml"/><Relationship Id="rId70" Type="http://schemas.openxmlformats.org/officeDocument/2006/relationships/table" Target="../tables/table70.xml"/><Relationship Id="rId91" Type="http://schemas.openxmlformats.org/officeDocument/2006/relationships/table" Target="../tables/table91.xml"/><Relationship Id="rId145" Type="http://schemas.openxmlformats.org/officeDocument/2006/relationships/table" Target="../tables/table145.xml"/><Relationship Id="rId166" Type="http://schemas.openxmlformats.org/officeDocument/2006/relationships/table" Target="../tables/table166.xml"/><Relationship Id="rId187" Type="http://schemas.openxmlformats.org/officeDocument/2006/relationships/table" Target="../tables/table187.xml"/><Relationship Id="rId1" Type="http://schemas.openxmlformats.org/officeDocument/2006/relationships/table" Target="../tables/table1.xml"/><Relationship Id="rId212" Type="http://schemas.openxmlformats.org/officeDocument/2006/relationships/table" Target="../tables/table212.xml"/><Relationship Id="rId233" Type="http://schemas.openxmlformats.org/officeDocument/2006/relationships/table" Target="../tables/table233.xml"/><Relationship Id="rId28" Type="http://schemas.openxmlformats.org/officeDocument/2006/relationships/table" Target="../tables/table28.xml"/><Relationship Id="rId49" Type="http://schemas.openxmlformats.org/officeDocument/2006/relationships/table" Target="../tables/table49.xml"/><Relationship Id="rId114" Type="http://schemas.openxmlformats.org/officeDocument/2006/relationships/table" Target="../tables/table114.xml"/><Relationship Id="rId60" Type="http://schemas.openxmlformats.org/officeDocument/2006/relationships/table" Target="../tables/table60.xml"/><Relationship Id="rId81" Type="http://schemas.openxmlformats.org/officeDocument/2006/relationships/table" Target="../tables/table81.xml"/><Relationship Id="rId135" Type="http://schemas.openxmlformats.org/officeDocument/2006/relationships/table" Target="../tables/table135.xml"/><Relationship Id="rId156" Type="http://schemas.openxmlformats.org/officeDocument/2006/relationships/table" Target="../tables/table156.xml"/><Relationship Id="rId177" Type="http://schemas.openxmlformats.org/officeDocument/2006/relationships/table" Target="../tables/table177.xml"/><Relationship Id="rId198" Type="http://schemas.openxmlformats.org/officeDocument/2006/relationships/table" Target="../tables/table198.xml"/><Relationship Id="rId202" Type="http://schemas.openxmlformats.org/officeDocument/2006/relationships/table" Target="../tables/table202.xml"/><Relationship Id="rId223" Type="http://schemas.openxmlformats.org/officeDocument/2006/relationships/table" Target="../tables/table22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50" Type="http://schemas.openxmlformats.org/officeDocument/2006/relationships/table" Target="../tables/table50.xml"/><Relationship Id="rId104" Type="http://schemas.openxmlformats.org/officeDocument/2006/relationships/table" Target="../tables/table104.xml"/><Relationship Id="rId125" Type="http://schemas.openxmlformats.org/officeDocument/2006/relationships/table" Target="../tables/table125.xml"/><Relationship Id="rId146" Type="http://schemas.openxmlformats.org/officeDocument/2006/relationships/table" Target="../tables/table146.xml"/><Relationship Id="rId167" Type="http://schemas.openxmlformats.org/officeDocument/2006/relationships/table" Target="../tables/table167.xml"/><Relationship Id="rId188" Type="http://schemas.openxmlformats.org/officeDocument/2006/relationships/table" Target="../tables/table188.xml"/><Relationship Id="rId71" Type="http://schemas.openxmlformats.org/officeDocument/2006/relationships/table" Target="../tables/table71.xml"/><Relationship Id="rId92" Type="http://schemas.openxmlformats.org/officeDocument/2006/relationships/table" Target="../tables/table92.xml"/><Relationship Id="rId213" Type="http://schemas.openxmlformats.org/officeDocument/2006/relationships/table" Target="../tables/table213.xml"/><Relationship Id="rId234" Type="http://schemas.openxmlformats.org/officeDocument/2006/relationships/table" Target="../tables/table234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40" Type="http://schemas.openxmlformats.org/officeDocument/2006/relationships/table" Target="../tables/table40.xml"/><Relationship Id="rId115" Type="http://schemas.openxmlformats.org/officeDocument/2006/relationships/table" Target="../tables/table115.xml"/><Relationship Id="rId136" Type="http://schemas.openxmlformats.org/officeDocument/2006/relationships/table" Target="../tables/table136.xml"/><Relationship Id="rId157" Type="http://schemas.openxmlformats.org/officeDocument/2006/relationships/table" Target="../tables/table157.xml"/><Relationship Id="rId178" Type="http://schemas.openxmlformats.org/officeDocument/2006/relationships/table" Target="../tables/table178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199" Type="http://schemas.openxmlformats.org/officeDocument/2006/relationships/table" Target="../tables/table199.xml"/><Relationship Id="rId203" Type="http://schemas.openxmlformats.org/officeDocument/2006/relationships/table" Target="../tables/table203.xml"/><Relationship Id="rId19" Type="http://schemas.openxmlformats.org/officeDocument/2006/relationships/table" Target="../tables/table19.xml"/><Relationship Id="rId224" Type="http://schemas.openxmlformats.org/officeDocument/2006/relationships/table" Target="../tables/table224.xml"/><Relationship Id="rId30" Type="http://schemas.openxmlformats.org/officeDocument/2006/relationships/table" Target="../tables/table30.xml"/><Relationship Id="rId105" Type="http://schemas.openxmlformats.org/officeDocument/2006/relationships/table" Target="../tables/table105.xml"/><Relationship Id="rId126" Type="http://schemas.openxmlformats.org/officeDocument/2006/relationships/table" Target="../tables/table126.xml"/><Relationship Id="rId147" Type="http://schemas.openxmlformats.org/officeDocument/2006/relationships/table" Target="../tables/table147.xml"/><Relationship Id="rId168" Type="http://schemas.openxmlformats.org/officeDocument/2006/relationships/table" Target="../tables/table16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93" Type="http://schemas.openxmlformats.org/officeDocument/2006/relationships/table" Target="../tables/table93.xml"/><Relationship Id="rId189" Type="http://schemas.openxmlformats.org/officeDocument/2006/relationships/table" Target="../tables/table189.xml"/><Relationship Id="rId3" Type="http://schemas.openxmlformats.org/officeDocument/2006/relationships/table" Target="../tables/table3.xml"/><Relationship Id="rId214" Type="http://schemas.openxmlformats.org/officeDocument/2006/relationships/table" Target="../tables/table214.xml"/><Relationship Id="rId235" Type="http://schemas.openxmlformats.org/officeDocument/2006/relationships/table" Target="../tables/table235.xml"/><Relationship Id="rId116" Type="http://schemas.openxmlformats.org/officeDocument/2006/relationships/table" Target="../tables/table116.xml"/><Relationship Id="rId137" Type="http://schemas.openxmlformats.org/officeDocument/2006/relationships/table" Target="../tables/table137.xml"/><Relationship Id="rId158" Type="http://schemas.openxmlformats.org/officeDocument/2006/relationships/table" Target="../tables/table158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62" Type="http://schemas.openxmlformats.org/officeDocument/2006/relationships/table" Target="../tables/table62.xml"/><Relationship Id="rId83" Type="http://schemas.openxmlformats.org/officeDocument/2006/relationships/table" Target="../tables/table83.xml"/><Relationship Id="rId179" Type="http://schemas.openxmlformats.org/officeDocument/2006/relationships/table" Target="../tables/table17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E196-E0B8-4F01-92BF-43223414631D}">
  <dimension ref="A1:AN852"/>
  <sheetViews>
    <sheetView tabSelected="1" topLeftCell="A811" workbookViewId="0">
      <selection activeCell="AJ832" sqref="AJ832:AJ852"/>
    </sheetView>
  </sheetViews>
  <sheetFormatPr defaultRowHeight="14.45"/>
  <sheetData>
    <row r="1" spans="1:40">
      <c r="A1" s="1" t="s">
        <v>0</v>
      </c>
    </row>
    <row r="2" spans="1:40">
      <c r="A2" t="s">
        <v>1</v>
      </c>
      <c r="E2" t="s">
        <v>2</v>
      </c>
    </row>
    <row r="3" spans="1:40">
      <c r="A3" t="s">
        <v>3</v>
      </c>
      <c r="E3" t="s">
        <v>4</v>
      </c>
      <c r="F3" t="s">
        <v>5</v>
      </c>
    </row>
    <row r="4" spans="1:40">
      <c r="E4" t="s">
        <v>6</v>
      </c>
    </row>
    <row r="6" spans="1:40">
      <c r="A6" t="s">
        <v>7</v>
      </c>
      <c r="F6" t="s">
        <v>8</v>
      </c>
      <c r="K6" t="s">
        <v>9</v>
      </c>
      <c r="P6" t="s">
        <v>10</v>
      </c>
      <c r="U6" t="s">
        <v>11</v>
      </c>
      <c r="Z6" t="s">
        <v>12</v>
      </c>
      <c r="AE6" t="s">
        <v>13</v>
      </c>
      <c r="AJ6" t="s">
        <v>14</v>
      </c>
    </row>
    <row r="7" spans="1:40">
      <c r="A7" t="s">
        <v>15</v>
      </c>
      <c r="B7" t="s">
        <v>16</v>
      </c>
      <c r="C7" t="s">
        <v>17</v>
      </c>
      <c r="D7" t="s">
        <v>18</v>
      </c>
      <c r="E7" s="2" t="s">
        <v>19</v>
      </c>
      <c r="F7" t="s">
        <v>15</v>
      </c>
      <c r="G7" t="s">
        <v>16</v>
      </c>
      <c r="H7" t="s">
        <v>17</v>
      </c>
      <c r="I7" t="s">
        <v>18</v>
      </c>
      <c r="J7" s="2" t="s">
        <v>19</v>
      </c>
      <c r="K7" t="s">
        <v>15</v>
      </c>
      <c r="L7" t="s">
        <v>16</v>
      </c>
      <c r="M7" t="s">
        <v>20</v>
      </c>
      <c r="N7" t="s">
        <v>18</v>
      </c>
      <c r="O7" t="s">
        <v>19</v>
      </c>
      <c r="P7" t="s">
        <v>15</v>
      </c>
      <c r="Q7" t="s">
        <v>16</v>
      </c>
      <c r="R7" t="s">
        <v>20</v>
      </c>
      <c r="S7" t="s">
        <v>18</v>
      </c>
      <c r="T7" t="s">
        <v>19</v>
      </c>
      <c r="U7" t="s">
        <v>15</v>
      </c>
      <c r="V7" t="s">
        <v>16</v>
      </c>
      <c r="W7" t="s">
        <v>20</v>
      </c>
      <c r="X7" t="s">
        <v>18</v>
      </c>
      <c r="Y7" t="s">
        <v>19</v>
      </c>
      <c r="Z7" t="s">
        <v>15</v>
      </c>
      <c r="AA7" t="s">
        <v>16</v>
      </c>
      <c r="AB7" t="s">
        <v>20</v>
      </c>
      <c r="AC7" t="s">
        <v>18</v>
      </c>
      <c r="AD7" t="s">
        <v>19</v>
      </c>
      <c r="AE7" t="s">
        <v>15</v>
      </c>
      <c r="AF7" t="s">
        <v>16</v>
      </c>
      <c r="AG7" t="s">
        <v>20</v>
      </c>
      <c r="AH7" t="s">
        <v>18</v>
      </c>
      <c r="AI7" t="s">
        <v>19</v>
      </c>
      <c r="AJ7" t="s">
        <v>15</v>
      </c>
      <c r="AK7" t="s">
        <v>16</v>
      </c>
      <c r="AL7" t="s">
        <v>20</v>
      </c>
      <c r="AM7" t="s">
        <v>18</v>
      </c>
      <c r="AN7" t="s">
        <v>19</v>
      </c>
    </row>
    <row r="8" spans="1:40">
      <c r="A8">
        <v>2</v>
      </c>
      <c r="B8">
        <f>-(Table219266[[#This Row],[time]]-2)*2</f>
        <v>0</v>
      </c>
      <c r="C8">
        <v>91.723799999999997</v>
      </c>
      <c r="D8">
        <v>8.3138100000000001</v>
      </c>
      <c r="E8">
        <f>Table219266[[#This Row],[CFNM]]/Table219266[[#This Row],[CAREA ]]</f>
        <v>9.063961589031419E-2</v>
      </c>
      <c r="F8">
        <v>2</v>
      </c>
      <c r="G8">
        <f>-(Table320267[[#This Row],[time]]-2)*2</f>
        <v>0</v>
      </c>
      <c r="H8">
        <v>94.410399999999996</v>
      </c>
      <c r="I8">
        <v>1.4588099999999999</v>
      </c>
      <c r="J8" s="2">
        <f>Table320267[[#This Row],[CFNM]]/Table320267[[#This Row],[CAREA ]]</f>
        <v>1.5451793446484709E-2</v>
      </c>
      <c r="K8">
        <v>2</v>
      </c>
      <c r="L8">
        <f>-(Table421268[[#This Row],[time]]-2)*2</f>
        <v>0</v>
      </c>
      <c r="M8">
        <v>89.358400000000003</v>
      </c>
      <c r="N8">
        <v>1.7889999999999999</v>
      </c>
      <c r="O8">
        <f>Table421268[[#This Row],[CFNM]]/Table421268[[#This Row],[CAREA]]</f>
        <v>2.0020501709967949E-2</v>
      </c>
      <c r="P8">
        <v>2</v>
      </c>
      <c r="Q8">
        <f>-(Table16273[[#This Row],[time]]-2)*2</f>
        <v>0</v>
      </c>
      <c r="R8">
        <v>83.810500000000005</v>
      </c>
      <c r="S8">
        <v>2.8507699999999998</v>
      </c>
      <c r="T8">
        <f>Table16273[[#This Row],[CFNM]]/Table16273[[#This Row],[CAREA]]</f>
        <v>3.4014473126875507E-2</v>
      </c>
      <c r="U8">
        <v>2</v>
      </c>
      <c r="V8">
        <f>-(Table622269[[#This Row],[time]]-2)*2</f>
        <v>0</v>
      </c>
      <c r="W8">
        <v>83.264200000000002</v>
      </c>
      <c r="X8">
        <v>6.3959700000000002</v>
      </c>
      <c r="Y8">
        <f>Table622269[[#This Row],[CFNM]]/Table622269[[#This Row],[CAREA]]</f>
        <v>7.681536602765654E-2</v>
      </c>
      <c r="Z8">
        <v>2</v>
      </c>
      <c r="AA8">
        <f>-(Table723270[[#This Row],[time]]-2)*2</f>
        <v>0</v>
      </c>
      <c r="AB8">
        <v>87.737899999999996</v>
      </c>
      <c r="AC8">
        <v>10.3024</v>
      </c>
      <c r="AD8">
        <f>Table723270[[#This Row],[CFNM]]/Table723270[[#This Row],[CAREA]]</f>
        <v>0.11742245939326107</v>
      </c>
      <c r="AE8">
        <v>2</v>
      </c>
      <c r="AF8">
        <f>-(Table824271[[#This Row],[time]]-2)*2</f>
        <v>0</v>
      </c>
      <c r="AG8">
        <v>78.824299999999994</v>
      </c>
      <c r="AH8">
        <v>18.997399999999999</v>
      </c>
      <c r="AI8">
        <f>Table824271[[#This Row],[CFNM]]/Table824271[[#This Row],[CAREA]]</f>
        <v>0.24100943490776322</v>
      </c>
      <c r="AJ8">
        <v>2</v>
      </c>
      <c r="AK8">
        <f>-(Table925272[[#This Row],[time]]-2)*2</f>
        <v>0</v>
      </c>
      <c r="AL8">
        <v>83.280900000000003</v>
      </c>
      <c r="AM8">
        <v>18.324100000000001</v>
      </c>
      <c r="AN8">
        <f>Table925272[[#This Row],[CFNM]]/Table925272[[#This Row],[CAREA]]</f>
        <v>0.22002764139196385</v>
      </c>
    </row>
    <row r="9" spans="1:40">
      <c r="A9">
        <v>2.0512600000000001</v>
      </c>
      <c r="B9">
        <f>-(Table219266[[#This Row],[time]]-2)*2</f>
        <v>-0.10252000000000017</v>
      </c>
      <c r="C9">
        <v>92.137299999999996</v>
      </c>
      <c r="D9">
        <v>10.1839</v>
      </c>
      <c r="E9">
        <f>Table219266[[#This Row],[CFNM]]/Table219266[[#This Row],[CAREA ]]</f>
        <v>0.1105296117858891</v>
      </c>
      <c r="F9">
        <v>2.0512600000000001</v>
      </c>
      <c r="G9">
        <f>-(Table320267[[#This Row],[time]]-2)*2</f>
        <v>-0.10252000000000017</v>
      </c>
      <c r="H9">
        <v>94.824200000000005</v>
      </c>
      <c r="I9">
        <v>3.0621299999999998</v>
      </c>
      <c r="J9" s="2">
        <f>Table320267[[#This Row],[CFNM]]/Table320267[[#This Row],[CAREA ]]</f>
        <v>3.2292705870442355E-2</v>
      </c>
      <c r="K9">
        <v>2.0512600000000001</v>
      </c>
      <c r="L9">
        <f>-(Table421268[[#This Row],[time]]-2)*2</f>
        <v>-0.10252000000000017</v>
      </c>
      <c r="M9">
        <v>89.7851</v>
      </c>
      <c r="N9">
        <v>3.66696</v>
      </c>
      <c r="O9">
        <f>Table421268[[#This Row],[CFNM]]/Table421268[[#This Row],[CAREA]]</f>
        <v>4.0841520475000864E-2</v>
      </c>
      <c r="P9">
        <v>2.0512600000000001</v>
      </c>
      <c r="Q9">
        <f>-(Table16273[[#This Row],[time]]-2)*2</f>
        <v>-0.10252000000000017</v>
      </c>
      <c r="R9">
        <v>85.004199999999997</v>
      </c>
      <c r="S9">
        <v>5.3545999999999996</v>
      </c>
      <c r="T9">
        <f>Table16273[[#This Row],[CFNM]]/Table16273[[#This Row],[CAREA]]</f>
        <v>6.2992181562793362E-2</v>
      </c>
      <c r="U9">
        <v>2.0512600000000001</v>
      </c>
      <c r="V9">
        <f>-(Table622269[[#This Row],[time]]-2)*2</f>
        <v>-0.10252000000000017</v>
      </c>
      <c r="W9">
        <v>83.005499999999998</v>
      </c>
      <c r="X9">
        <v>10.292400000000001</v>
      </c>
      <c r="Y9">
        <f>Table622269[[#This Row],[CFNM]]/Table622269[[#This Row],[CAREA]]</f>
        <v>0.12399660263476518</v>
      </c>
      <c r="Z9">
        <v>2.0512600000000001</v>
      </c>
      <c r="AA9">
        <f>-(Table723270[[#This Row],[time]]-2)*2</f>
        <v>-0.10252000000000017</v>
      </c>
      <c r="AB9">
        <v>88.918000000000006</v>
      </c>
      <c r="AC9">
        <v>15.5693</v>
      </c>
      <c r="AD9">
        <f>Table723270[[#This Row],[CFNM]]/Table723270[[#This Row],[CAREA]]</f>
        <v>0.17509728064059019</v>
      </c>
      <c r="AE9">
        <v>2.0512600000000001</v>
      </c>
      <c r="AF9">
        <f>-(Table824271[[#This Row],[time]]-2)*2</f>
        <v>-0.10252000000000017</v>
      </c>
      <c r="AG9">
        <v>79.096400000000003</v>
      </c>
      <c r="AH9">
        <v>20.794599999999999</v>
      </c>
      <c r="AI9">
        <f>Table824271[[#This Row],[CFNM]]/Table824271[[#This Row],[CAREA]]</f>
        <v>0.26290197783969937</v>
      </c>
      <c r="AJ9">
        <v>2.0512600000000001</v>
      </c>
      <c r="AK9">
        <f>-(Table925272[[#This Row],[time]]-2)*2</f>
        <v>-0.10252000000000017</v>
      </c>
      <c r="AL9">
        <v>83.105400000000003</v>
      </c>
      <c r="AM9">
        <v>20.4848</v>
      </c>
      <c r="AN9">
        <f>Table925272[[#This Row],[CFNM]]/Table925272[[#This Row],[CAREA]]</f>
        <v>0.24649180438334933</v>
      </c>
    </row>
    <row r="10" spans="1:40">
      <c r="A10">
        <v>2.1153300000000002</v>
      </c>
      <c r="B10">
        <f>-(Table219266[[#This Row],[time]]-2)*2</f>
        <v>-0.23066000000000031</v>
      </c>
      <c r="C10">
        <v>91.411799999999999</v>
      </c>
      <c r="D10">
        <v>11.495699999999999</v>
      </c>
      <c r="E10">
        <f>Table219266[[#This Row],[CFNM]]/Table219266[[#This Row],[CAREA ]]</f>
        <v>0.12575728735239869</v>
      </c>
      <c r="F10">
        <v>2.1153300000000002</v>
      </c>
      <c r="G10">
        <f>-(Table320267[[#This Row],[time]]-2)*2</f>
        <v>-0.23066000000000031</v>
      </c>
      <c r="H10">
        <v>94.498199999999997</v>
      </c>
      <c r="I10">
        <v>3.6867899999999998</v>
      </c>
      <c r="J10" s="2">
        <f>Table320267[[#This Row],[CFNM]]/Table320267[[#This Row],[CAREA ]]</f>
        <v>3.9014393924963649E-2</v>
      </c>
      <c r="K10">
        <v>2.1153300000000002</v>
      </c>
      <c r="L10">
        <f>-(Table421268[[#This Row],[time]]-2)*2</f>
        <v>-0.23066000000000031</v>
      </c>
      <c r="M10">
        <v>89.798100000000005</v>
      </c>
      <c r="N10">
        <v>5.6957500000000003</v>
      </c>
      <c r="O10">
        <f>Table421268[[#This Row],[CFNM]]/Table421268[[#This Row],[CAREA]]</f>
        <v>6.3428402159956612E-2</v>
      </c>
      <c r="P10">
        <v>2.1153300000000002</v>
      </c>
      <c r="Q10">
        <f>-(Table16273[[#This Row],[time]]-2)*2</f>
        <v>-0.23066000000000031</v>
      </c>
      <c r="R10">
        <v>86.032899999999998</v>
      </c>
      <c r="S10">
        <v>8.04833</v>
      </c>
      <c r="T10">
        <f>Table16273[[#This Row],[CFNM]]/Table16273[[#This Row],[CAREA]]</f>
        <v>9.3549444456713648E-2</v>
      </c>
      <c r="U10">
        <v>2.1153300000000002</v>
      </c>
      <c r="V10">
        <f>-(Table622269[[#This Row],[time]]-2)*2</f>
        <v>-0.23066000000000031</v>
      </c>
      <c r="W10">
        <v>82.588999999999999</v>
      </c>
      <c r="X10">
        <v>15.3149</v>
      </c>
      <c r="Y10">
        <f>Table622269[[#This Row],[CFNM]]/Table622269[[#This Row],[CAREA]]</f>
        <v>0.18543510637009772</v>
      </c>
      <c r="Z10">
        <v>2.1153300000000002</v>
      </c>
      <c r="AA10">
        <f>-(Table723270[[#This Row],[time]]-2)*2</f>
        <v>-0.23066000000000031</v>
      </c>
      <c r="AB10">
        <v>89.049499999999995</v>
      </c>
      <c r="AC10">
        <v>21.556100000000001</v>
      </c>
      <c r="AD10">
        <f>Table723270[[#This Row],[CFNM]]/Table723270[[#This Row],[CAREA]]</f>
        <v>0.24206873705074147</v>
      </c>
      <c r="AE10">
        <v>2.1153300000000002</v>
      </c>
      <c r="AF10">
        <f>-(Table824271[[#This Row],[time]]-2)*2</f>
        <v>-0.23066000000000031</v>
      </c>
      <c r="AG10">
        <v>79.402500000000003</v>
      </c>
      <c r="AH10">
        <v>22.557200000000002</v>
      </c>
      <c r="AI10">
        <f>Table824271[[#This Row],[CFNM]]/Table824271[[#This Row],[CAREA]]</f>
        <v>0.28408677308648972</v>
      </c>
      <c r="AJ10">
        <v>2.1153300000000002</v>
      </c>
      <c r="AK10">
        <f>-(Table925272[[#This Row],[time]]-2)*2</f>
        <v>-0.23066000000000031</v>
      </c>
      <c r="AL10">
        <v>82.874499999999998</v>
      </c>
      <c r="AM10">
        <v>22.915900000000001</v>
      </c>
      <c r="AN10">
        <f>Table925272[[#This Row],[CFNM]]/Table925272[[#This Row],[CAREA]]</f>
        <v>0.27651328213141557</v>
      </c>
    </row>
    <row r="11" spans="1:40">
      <c r="A11">
        <v>2.1747100000000001</v>
      </c>
      <c r="B11">
        <f>-(Table219266[[#This Row],[time]]-2)*2</f>
        <v>-0.34942000000000029</v>
      </c>
      <c r="C11">
        <v>90.514200000000002</v>
      </c>
      <c r="D11">
        <v>12.618499999999999</v>
      </c>
      <c r="E11">
        <f>Table219266[[#This Row],[CFNM]]/Table219266[[#This Row],[CAREA ]]</f>
        <v>0.13940906509696821</v>
      </c>
      <c r="F11">
        <v>2.1747100000000001</v>
      </c>
      <c r="G11">
        <f>-(Table320267[[#This Row],[time]]-2)*2</f>
        <v>-0.34942000000000029</v>
      </c>
      <c r="H11">
        <v>93.864699999999999</v>
      </c>
      <c r="I11">
        <v>4.2965799999999996</v>
      </c>
      <c r="J11" s="2">
        <f>Table320267[[#This Row],[CFNM]]/Table320267[[#This Row],[CAREA ]]</f>
        <v>4.5774183478986243E-2</v>
      </c>
      <c r="K11">
        <v>2.1747100000000001</v>
      </c>
      <c r="L11">
        <f>-(Table421268[[#This Row],[time]]-2)*2</f>
        <v>-0.34942000000000029</v>
      </c>
      <c r="M11">
        <v>89.944599999999994</v>
      </c>
      <c r="N11">
        <v>7.6173000000000002</v>
      </c>
      <c r="O11">
        <f>Table421268[[#This Row],[CFNM]]/Table421268[[#This Row],[CAREA]]</f>
        <v>8.4688797326354232E-2</v>
      </c>
      <c r="P11">
        <v>2.1747100000000001</v>
      </c>
      <c r="Q11">
        <f>-(Table16273[[#This Row],[time]]-2)*2</f>
        <v>-0.34942000000000029</v>
      </c>
      <c r="R11">
        <v>86.4803</v>
      </c>
      <c r="S11">
        <v>10.432</v>
      </c>
      <c r="T11">
        <f>Table16273[[#This Row],[CFNM]]/Table16273[[#This Row],[CAREA]]</f>
        <v>0.12062862871659789</v>
      </c>
      <c r="U11">
        <v>2.1747100000000001</v>
      </c>
      <c r="V11">
        <f>-(Table622269[[#This Row],[time]]-2)*2</f>
        <v>-0.34942000000000029</v>
      </c>
      <c r="W11">
        <v>81.953100000000006</v>
      </c>
      <c r="X11">
        <v>19.718399999999999</v>
      </c>
      <c r="Y11">
        <f>Table622269[[#This Row],[CFNM]]/Table622269[[#This Row],[CAREA]]</f>
        <v>0.24060590752515765</v>
      </c>
      <c r="Z11">
        <v>2.1747100000000001</v>
      </c>
      <c r="AA11">
        <f>-(Table723270[[#This Row],[time]]-2)*2</f>
        <v>-0.34942000000000029</v>
      </c>
      <c r="AB11">
        <v>88.791200000000003</v>
      </c>
      <c r="AC11">
        <v>26.835100000000001</v>
      </c>
      <c r="AD11">
        <f>Table723270[[#This Row],[CFNM]]/Table723270[[#This Row],[CAREA]]</f>
        <v>0.30222702249772498</v>
      </c>
      <c r="AE11">
        <v>2.1747100000000001</v>
      </c>
      <c r="AF11">
        <f>-(Table824271[[#This Row],[time]]-2)*2</f>
        <v>-0.34942000000000029</v>
      </c>
      <c r="AG11">
        <v>79.747600000000006</v>
      </c>
      <c r="AH11">
        <v>25.3843</v>
      </c>
      <c r="AI11">
        <f>Table824271[[#This Row],[CFNM]]/Table824271[[#This Row],[CAREA]]</f>
        <v>0.3183080117771569</v>
      </c>
      <c r="AJ11">
        <v>2.1747100000000001</v>
      </c>
      <c r="AK11">
        <f>-(Table925272[[#This Row],[time]]-2)*2</f>
        <v>-0.34942000000000029</v>
      </c>
      <c r="AL11">
        <v>82.566299999999998</v>
      </c>
      <c r="AM11">
        <v>26.8203</v>
      </c>
      <c r="AN11">
        <f>Table925272[[#This Row],[CFNM]]/Table925272[[#This Row],[CAREA]]</f>
        <v>0.32483349744387235</v>
      </c>
    </row>
    <row r="12" spans="1:40">
      <c r="A12">
        <v>2.20404</v>
      </c>
      <c r="B12">
        <f>-(Table219266[[#This Row],[time]]-2)*2</f>
        <v>-0.40808</v>
      </c>
      <c r="C12">
        <v>90.130700000000004</v>
      </c>
      <c r="D12">
        <v>13.1812</v>
      </c>
      <c r="E12">
        <f>Table219266[[#This Row],[CFNM]]/Table219266[[#This Row],[CAREA ]]</f>
        <v>0.14624539696241126</v>
      </c>
      <c r="F12">
        <v>2.20404</v>
      </c>
      <c r="G12">
        <f>-(Table320267[[#This Row],[time]]-2)*2</f>
        <v>-0.40808</v>
      </c>
      <c r="H12">
        <v>93.610799999999998</v>
      </c>
      <c r="I12">
        <v>4.6242900000000002</v>
      </c>
      <c r="J12" s="2">
        <f>Table320267[[#This Row],[CFNM]]/Table320267[[#This Row],[CAREA ]]</f>
        <v>4.9399107795254395E-2</v>
      </c>
      <c r="K12">
        <v>2.20404</v>
      </c>
      <c r="L12">
        <f>-(Table421268[[#This Row],[time]]-2)*2</f>
        <v>-0.40808</v>
      </c>
      <c r="M12">
        <v>90.048599999999993</v>
      </c>
      <c r="N12">
        <v>8.6166199999999993</v>
      </c>
      <c r="O12">
        <f>Table421268[[#This Row],[CFNM]]/Table421268[[#This Row],[CAREA]]</f>
        <v>9.5688550405003514E-2</v>
      </c>
      <c r="P12">
        <v>2.20404</v>
      </c>
      <c r="Q12">
        <f>-(Table16273[[#This Row],[time]]-2)*2</f>
        <v>-0.40808</v>
      </c>
      <c r="R12">
        <v>86.6554</v>
      </c>
      <c r="S12">
        <v>11.5816</v>
      </c>
      <c r="T12">
        <f>Table16273[[#This Row],[CFNM]]/Table16273[[#This Row],[CAREA]]</f>
        <v>0.13365122081255179</v>
      </c>
      <c r="U12">
        <v>2.20404</v>
      </c>
      <c r="V12">
        <f>-(Table622269[[#This Row],[time]]-2)*2</f>
        <v>-0.40808</v>
      </c>
      <c r="W12">
        <v>81.981700000000004</v>
      </c>
      <c r="X12">
        <v>21.917400000000001</v>
      </c>
      <c r="Y12">
        <f>Table622269[[#This Row],[CFNM]]/Table622269[[#This Row],[CAREA]]</f>
        <v>0.26734502943949684</v>
      </c>
      <c r="Z12">
        <v>2.20404</v>
      </c>
      <c r="AA12">
        <f>-(Table723270[[#This Row],[time]]-2)*2</f>
        <v>-0.40808</v>
      </c>
      <c r="AB12">
        <v>88.475800000000007</v>
      </c>
      <c r="AC12">
        <v>29.715599999999998</v>
      </c>
      <c r="AD12">
        <f>Table723270[[#This Row],[CFNM]]/Table723270[[#This Row],[CAREA]]</f>
        <v>0.33586133157315329</v>
      </c>
      <c r="AE12">
        <v>2.20404</v>
      </c>
      <c r="AF12">
        <f>-(Table824271[[#This Row],[time]]-2)*2</f>
        <v>-0.40808</v>
      </c>
      <c r="AG12">
        <v>79.938000000000002</v>
      </c>
      <c r="AH12">
        <v>27.212499999999999</v>
      </c>
      <c r="AI12">
        <f>Table824271[[#This Row],[CFNM]]/Table824271[[#This Row],[CAREA]]</f>
        <v>0.34042007555855786</v>
      </c>
      <c r="AJ12">
        <v>2.20404</v>
      </c>
      <c r="AK12">
        <f>-(Table925272[[#This Row],[time]]-2)*2</f>
        <v>-0.40808</v>
      </c>
      <c r="AL12">
        <v>82.390600000000006</v>
      </c>
      <c r="AM12">
        <v>29.078800000000001</v>
      </c>
      <c r="AN12">
        <f>Table925272[[#This Row],[CFNM]]/Table925272[[#This Row],[CAREA]]</f>
        <v>0.35293832063366448</v>
      </c>
    </row>
    <row r="13" spans="1:40">
      <c r="A13">
        <v>2.2512099999999999</v>
      </c>
      <c r="B13">
        <f>-(Table219266[[#This Row],[time]]-2)*2</f>
        <v>-0.50241999999999987</v>
      </c>
      <c r="C13">
        <v>89.614900000000006</v>
      </c>
      <c r="D13">
        <v>14.161099999999999</v>
      </c>
      <c r="E13">
        <f>Table219266[[#This Row],[CFNM]]/Table219266[[#This Row],[CAREA ]]</f>
        <v>0.158021712907117</v>
      </c>
      <c r="F13">
        <v>2.2512099999999999</v>
      </c>
      <c r="G13">
        <f>-(Table320267[[#This Row],[time]]-2)*2</f>
        <v>-0.50241999999999987</v>
      </c>
      <c r="H13">
        <v>93.196799999999996</v>
      </c>
      <c r="I13">
        <v>5.4476300000000002</v>
      </c>
      <c r="J13" s="2">
        <f>Table320267[[#This Row],[CFNM]]/Table320267[[#This Row],[CAREA ]]</f>
        <v>5.8452972634253544E-2</v>
      </c>
      <c r="K13">
        <v>2.2512099999999999</v>
      </c>
      <c r="L13">
        <f>-(Table421268[[#This Row],[time]]-2)*2</f>
        <v>-0.50241999999999987</v>
      </c>
      <c r="M13">
        <v>90.110100000000003</v>
      </c>
      <c r="N13">
        <v>10.164300000000001</v>
      </c>
      <c r="O13">
        <f>Table421268[[#This Row],[CFNM]]/Table421268[[#This Row],[CAREA]]</f>
        <v>0.11279867628601012</v>
      </c>
      <c r="P13">
        <v>2.2512099999999999</v>
      </c>
      <c r="Q13">
        <f>-(Table16273[[#This Row],[time]]-2)*2</f>
        <v>-0.50241999999999987</v>
      </c>
      <c r="R13">
        <v>86.854600000000005</v>
      </c>
      <c r="S13">
        <v>13.554399999999999</v>
      </c>
      <c r="T13">
        <f>Table16273[[#This Row],[CFNM]]/Table16273[[#This Row],[CAREA]]</f>
        <v>0.15605851618682257</v>
      </c>
      <c r="U13">
        <v>2.2512099999999999</v>
      </c>
      <c r="V13">
        <f>-(Table622269[[#This Row],[time]]-2)*2</f>
        <v>-0.50241999999999987</v>
      </c>
      <c r="W13">
        <v>81.052099999999996</v>
      </c>
      <c r="X13">
        <v>25.518999999999998</v>
      </c>
      <c r="Y13">
        <f>Table622269[[#This Row],[CFNM]]/Table622269[[#This Row],[CAREA]]</f>
        <v>0.3148468700996026</v>
      </c>
      <c r="Z13">
        <v>2.2512099999999999</v>
      </c>
      <c r="AA13">
        <f>-(Table723270[[#This Row],[time]]-2)*2</f>
        <v>-0.50241999999999987</v>
      </c>
      <c r="AB13">
        <v>87.854600000000005</v>
      </c>
      <c r="AC13">
        <v>34.5595</v>
      </c>
      <c r="AD13">
        <f>Table723270[[#This Row],[CFNM]]/Table723270[[#This Row],[CAREA]]</f>
        <v>0.39337154798951901</v>
      </c>
      <c r="AE13">
        <v>2.2512099999999999</v>
      </c>
      <c r="AF13">
        <f>-(Table824271[[#This Row],[time]]-2)*2</f>
        <v>-0.50241999999999987</v>
      </c>
      <c r="AG13">
        <v>80.1173</v>
      </c>
      <c r="AH13">
        <v>30.427900000000001</v>
      </c>
      <c r="AI13">
        <f>Table824271[[#This Row],[CFNM]]/Table824271[[#This Row],[CAREA]]</f>
        <v>0.37979188015572168</v>
      </c>
      <c r="AJ13">
        <v>2.2512099999999999</v>
      </c>
      <c r="AK13">
        <f>-(Table925272[[#This Row],[time]]-2)*2</f>
        <v>-0.50241999999999987</v>
      </c>
      <c r="AL13">
        <v>82.105999999999995</v>
      </c>
      <c r="AM13">
        <v>32.673000000000002</v>
      </c>
      <c r="AN13">
        <f>Table925272[[#This Row],[CFNM]]/Table925272[[#This Row],[CAREA]]</f>
        <v>0.3979368133875722</v>
      </c>
    </row>
    <row r="14" spans="1:40">
      <c r="A14">
        <v>2.3028900000000001</v>
      </c>
      <c r="B14">
        <f>-(Table219266[[#This Row],[time]]-2)*2</f>
        <v>-0.60578000000000021</v>
      </c>
      <c r="C14">
        <v>89.190700000000007</v>
      </c>
      <c r="D14">
        <v>15.1675</v>
      </c>
      <c r="E14">
        <f>Table219266[[#This Row],[CFNM]]/Table219266[[#This Row],[CAREA ]]</f>
        <v>0.17005696782287838</v>
      </c>
      <c r="F14">
        <v>2.3028900000000001</v>
      </c>
      <c r="G14">
        <f>-(Table320267[[#This Row],[time]]-2)*2</f>
        <v>-0.60578000000000021</v>
      </c>
      <c r="H14">
        <v>93.135000000000005</v>
      </c>
      <c r="I14">
        <v>6.52841</v>
      </c>
      <c r="J14" s="2">
        <f>Table320267[[#This Row],[CFNM]]/Table320267[[#This Row],[CAREA ]]</f>
        <v>7.0096204434423146E-2</v>
      </c>
      <c r="K14">
        <v>2.3028900000000001</v>
      </c>
      <c r="L14">
        <f>-(Table421268[[#This Row],[time]]-2)*2</f>
        <v>-0.60578000000000021</v>
      </c>
      <c r="M14">
        <v>89.76</v>
      </c>
      <c r="N14">
        <v>11.69</v>
      </c>
      <c r="O14">
        <f>Table421268[[#This Row],[CFNM]]/Table421268[[#This Row],[CAREA]]</f>
        <v>0.13023618538324419</v>
      </c>
      <c r="P14">
        <v>2.3028900000000001</v>
      </c>
      <c r="Q14">
        <f>-(Table16273[[#This Row],[time]]-2)*2</f>
        <v>-0.60578000000000021</v>
      </c>
      <c r="R14">
        <v>87.029200000000003</v>
      </c>
      <c r="S14">
        <v>15.649699999999999</v>
      </c>
      <c r="T14">
        <f>Table16273[[#This Row],[CFNM]]/Table16273[[#This Row],[CAREA]]</f>
        <v>0.17982125539474106</v>
      </c>
      <c r="U14">
        <v>2.3028900000000001</v>
      </c>
      <c r="V14">
        <f>-(Table622269[[#This Row],[time]]-2)*2</f>
        <v>-0.60578000000000021</v>
      </c>
      <c r="W14">
        <v>80.373199999999997</v>
      </c>
      <c r="X14">
        <v>28.841200000000001</v>
      </c>
      <c r="Y14">
        <f>Table622269[[#This Row],[CFNM]]/Table622269[[#This Row],[CAREA]]</f>
        <v>0.35884100670372715</v>
      </c>
      <c r="Z14">
        <v>2.3028900000000001</v>
      </c>
      <c r="AA14">
        <f>-(Table723270[[#This Row],[time]]-2)*2</f>
        <v>-0.60578000000000021</v>
      </c>
      <c r="AB14">
        <v>88.594800000000006</v>
      </c>
      <c r="AC14">
        <v>39.177900000000001</v>
      </c>
      <c r="AD14">
        <f>Table723270[[#This Row],[CFNM]]/Table723270[[#This Row],[CAREA]]</f>
        <v>0.44221444147963535</v>
      </c>
      <c r="AE14">
        <v>2.3028900000000001</v>
      </c>
      <c r="AF14">
        <f>-(Table824271[[#This Row],[time]]-2)*2</f>
        <v>-0.60578000000000021</v>
      </c>
      <c r="AG14">
        <v>80.171199999999999</v>
      </c>
      <c r="AH14">
        <v>34.1297</v>
      </c>
      <c r="AI14">
        <f>Table824271[[#This Row],[CFNM]]/Table824271[[#This Row],[CAREA]]</f>
        <v>0.42571023010756981</v>
      </c>
      <c r="AJ14">
        <v>2.3028900000000001</v>
      </c>
      <c r="AK14">
        <f>-(Table925272[[#This Row],[time]]-2)*2</f>
        <v>-0.60578000000000021</v>
      </c>
      <c r="AL14">
        <v>81.693799999999996</v>
      </c>
      <c r="AM14">
        <v>36.327100000000002</v>
      </c>
      <c r="AN14">
        <f>Table925272[[#This Row],[CFNM]]/Table925272[[#This Row],[CAREA]]</f>
        <v>0.44467389202118157</v>
      </c>
    </row>
    <row r="15" spans="1:40">
      <c r="A15">
        <v>2.3528600000000002</v>
      </c>
      <c r="B15">
        <f>-(Table219266[[#This Row],[time]]-2)*2</f>
        <v>-0.70572000000000035</v>
      </c>
      <c r="C15">
        <v>88.935599999999994</v>
      </c>
      <c r="D15">
        <v>16.2149</v>
      </c>
      <c r="E15">
        <f>Table219266[[#This Row],[CFNM]]/Table219266[[#This Row],[CAREA ]]</f>
        <v>0.18232181488627727</v>
      </c>
      <c r="F15">
        <v>2.3528600000000002</v>
      </c>
      <c r="G15">
        <f>-(Table320267[[#This Row],[time]]-2)*2</f>
        <v>-0.70572000000000035</v>
      </c>
      <c r="H15">
        <v>93.125799999999998</v>
      </c>
      <c r="I15">
        <v>7.5083599999999997</v>
      </c>
      <c r="J15" s="2">
        <f>Table320267[[#This Row],[CFNM]]/Table320267[[#This Row],[CAREA ]]</f>
        <v>8.0625991937787383E-2</v>
      </c>
      <c r="K15">
        <v>2.3528600000000002</v>
      </c>
      <c r="L15">
        <f>-(Table421268[[#This Row],[time]]-2)*2</f>
        <v>-0.70572000000000035</v>
      </c>
      <c r="M15">
        <v>89.822000000000003</v>
      </c>
      <c r="N15">
        <v>13.2</v>
      </c>
      <c r="O15">
        <f>Table421268[[#This Row],[CFNM]]/Table421268[[#This Row],[CAREA]]</f>
        <v>0.14695731557970207</v>
      </c>
      <c r="P15">
        <v>2.3528600000000002</v>
      </c>
      <c r="Q15">
        <f>-(Table16273[[#This Row],[time]]-2)*2</f>
        <v>-0.70572000000000035</v>
      </c>
      <c r="R15">
        <v>87.195800000000006</v>
      </c>
      <c r="S15">
        <v>17.623200000000001</v>
      </c>
      <c r="T15">
        <f>Table16273[[#This Row],[CFNM]]/Table16273[[#This Row],[CAREA]]</f>
        <v>0.20211065211856533</v>
      </c>
      <c r="U15">
        <v>2.3528600000000002</v>
      </c>
      <c r="V15">
        <f>-(Table622269[[#This Row],[time]]-2)*2</f>
        <v>-0.70572000000000035</v>
      </c>
      <c r="W15">
        <v>79.230699999999999</v>
      </c>
      <c r="X15">
        <v>31.446000000000002</v>
      </c>
      <c r="Y15">
        <f>Table622269[[#This Row],[CFNM]]/Table622269[[#This Row],[CAREA]]</f>
        <v>0.39689160893441561</v>
      </c>
      <c r="Z15">
        <v>2.3528600000000002</v>
      </c>
      <c r="AA15">
        <f>-(Table723270[[#This Row],[time]]-2)*2</f>
        <v>-0.70572000000000035</v>
      </c>
      <c r="AB15">
        <v>87.834100000000007</v>
      </c>
      <c r="AC15">
        <v>43.162999999999997</v>
      </c>
      <c r="AD15">
        <f>Table723270[[#This Row],[CFNM]]/Table723270[[#This Row],[CAREA]]</f>
        <v>0.4914150654472465</v>
      </c>
      <c r="AE15">
        <v>2.3528600000000002</v>
      </c>
      <c r="AF15">
        <f>-(Table824271[[#This Row],[time]]-2)*2</f>
        <v>-0.70572000000000035</v>
      </c>
      <c r="AG15">
        <v>80.058999999999997</v>
      </c>
      <c r="AH15">
        <v>37.698300000000003</v>
      </c>
      <c r="AI15">
        <f>Table824271[[#This Row],[CFNM]]/Table824271[[#This Row],[CAREA]]</f>
        <v>0.4708814749122523</v>
      </c>
      <c r="AJ15">
        <v>2.3528600000000002</v>
      </c>
      <c r="AK15">
        <f>-(Table925272[[#This Row],[time]]-2)*2</f>
        <v>-0.70572000000000035</v>
      </c>
      <c r="AL15">
        <v>81.493899999999996</v>
      </c>
      <c r="AM15">
        <v>39.859699999999997</v>
      </c>
      <c r="AN15">
        <f>Table925272[[#This Row],[CFNM]]/Table925272[[#This Row],[CAREA]]</f>
        <v>0.48911268205350339</v>
      </c>
    </row>
    <row r="16" spans="1:40">
      <c r="A16">
        <v>2.4111699999999998</v>
      </c>
      <c r="B16">
        <f>-(Table219266[[#This Row],[time]]-2)*2</f>
        <v>-0.82233999999999963</v>
      </c>
      <c r="C16">
        <v>88.7851</v>
      </c>
      <c r="D16">
        <v>17.448899999999998</v>
      </c>
      <c r="E16">
        <f>Table219266[[#This Row],[CFNM]]/Table219266[[#This Row],[CAREA ]]</f>
        <v>0.19652959787171495</v>
      </c>
      <c r="F16">
        <v>2.4111699999999998</v>
      </c>
      <c r="G16">
        <f>-(Table320267[[#This Row],[time]]-2)*2</f>
        <v>-0.82233999999999963</v>
      </c>
      <c r="H16">
        <v>93.135199999999998</v>
      </c>
      <c r="I16">
        <v>8.6125399999999992</v>
      </c>
      <c r="J16" s="2">
        <f>Table320267[[#This Row],[CFNM]]/Table320267[[#This Row],[CAREA ]]</f>
        <v>9.2473522363188135E-2</v>
      </c>
      <c r="K16">
        <v>2.4111699999999998</v>
      </c>
      <c r="L16">
        <f>-(Table421268[[#This Row],[time]]-2)*2</f>
        <v>-0.82233999999999963</v>
      </c>
      <c r="M16">
        <v>89.908799999999999</v>
      </c>
      <c r="N16">
        <v>15.099299999999999</v>
      </c>
      <c r="O16">
        <f>Table421268[[#This Row],[CFNM]]/Table421268[[#This Row],[CAREA]]</f>
        <v>0.16794017938177352</v>
      </c>
      <c r="P16">
        <v>2.4111699999999998</v>
      </c>
      <c r="Q16">
        <f>-(Table16273[[#This Row],[time]]-2)*2</f>
        <v>-0.82233999999999963</v>
      </c>
      <c r="R16">
        <v>87.418199999999999</v>
      </c>
      <c r="S16">
        <v>19.9589</v>
      </c>
      <c r="T16">
        <f>Table16273[[#This Row],[CFNM]]/Table16273[[#This Row],[CAREA]]</f>
        <v>0.22831515634044169</v>
      </c>
      <c r="U16">
        <v>2.4111699999999998</v>
      </c>
      <c r="V16">
        <f>-(Table622269[[#This Row],[time]]-2)*2</f>
        <v>-0.82233999999999963</v>
      </c>
      <c r="W16">
        <v>78.264099999999999</v>
      </c>
      <c r="X16">
        <v>34.256900000000002</v>
      </c>
      <c r="Y16">
        <f>Table622269[[#This Row],[CFNM]]/Table622269[[#This Row],[CAREA]]</f>
        <v>0.43770898790122165</v>
      </c>
      <c r="Z16">
        <v>2.4111699999999998</v>
      </c>
      <c r="AA16">
        <f>-(Table723270[[#This Row],[time]]-2)*2</f>
        <v>-0.82233999999999963</v>
      </c>
      <c r="AB16">
        <v>87.000900000000001</v>
      </c>
      <c r="AC16">
        <v>47.395299999999999</v>
      </c>
      <c r="AD16">
        <f>Table723270[[#This Row],[CFNM]]/Table723270[[#This Row],[CAREA]]</f>
        <v>0.54476792768810434</v>
      </c>
      <c r="AE16">
        <v>2.4111699999999998</v>
      </c>
      <c r="AF16">
        <f>-(Table824271[[#This Row],[time]]-2)*2</f>
        <v>-0.82233999999999963</v>
      </c>
      <c r="AG16">
        <v>79.799800000000005</v>
      </c>
      <c r="AH16">
        <v>41.860500000000002</v>
      </c>
      <c r="AI16">
        <f>Table824271[[#This Row],[CFNM]]/Table824271[[#This Row],[CAREA]]</f>
        <v>0.52456898388216511</v>
      </c>
      <c r="AJ16">
        <v>2.4111699999999998</v>
      </c>
      <c r="AK16">
        <f>-(Table925272[[#This Row],[time]]-2)*2</f>
        <v>-0.82233999999999963</v>
      </c>
      <c r="AL16">
        <v>81.254199999999997</v>
      </c>
      <c r="AM16">
        <v>43.960299999999997</v>
      </c>
      <c r="AN16">
        <f>Table925272[[#This Row],[CFNM]]/Table925272[[#This Row],[CAREA]]</f>
        <v>0.54102187948438352</v>
      </c>
    </row>
    <row r="17" spans="1:40">
      <c r="A17">
        <v>2.4602499999999998</v>
      </c>
      <c r="B17">
        <f>-(Table219266[[#This Row],[time]]-2)*2</f>
        <v>-0.92049999999999965</v>
      </c>
      <c r="C17">
        <v>88.669399999999996</v>
      </c>
      <c r="D17">
        <v>18.3934</v>
      </c>
      <c r="E17">
        <f>Table219266[[#This Row],[CFNM]]/Table219266[[#This Row],[CAREA ]]</f>
        <v>0.20743796619803451</v>
      </c>
      <c r="F17">
        <v>2.4602499999999998</v>
      </c>
      <c r="G17">
        <f>-(Table320267[[#This Row],[time]]-2)*2</f>
        <v>-0.92049999999999965</v>
      </c>
      <c r="H17">
        <v>93.3125</v>
      </c>
      <c r="I17">
        <v>9.5272799999999993</v>
      </c>
      <c r="J17" s="2">
        <f>Table320267[[#This Row],[CFNM]]/Table320267[[#This Row],[CAREA ]]</f>
        <v>0.10210079035498995</v>
      </c>
      <c r="K17">
        <v>2.4602499999999998</v>
      </c>
      <c r="L17">
        <f>-(Table421268[[#This Row],[time]]-2)*2</f>
        <v>-0.92049999999999965</v>
      </c>
      <c r="M17">
        <v>90.369100000000003</v>
      </c>
      <c r="N17">
        <v>16.751799999999999</v>
      </c>
      <c r="O17">
        <f>Table421268[[#This Row],[CFNM]]/Table421268[[#This Row],[CAREA]]</f>
        <v>0.18537088451694217</v>
      </c>
      <c r="P17">
        <v>2.4602499999999998</v>
      </c>
      <c r="Q17">
        <f>-(Table16273[[#This Row],[time]]-2)*2</f>
        <v>-0.92049999999999965</v>
      </c>
      <c r="R17">
        <v>87.670100000000005</v>
      </c>
      <c r="S17">
        <v>21.958300000000001</v>
      </c>
      <c r="T17">
        <f>Table16273[[#This Row],[CFNM]]/Table16273[[#This Row],[CAREA]]</f>
        <v>0.2504650958536605</v>
      </c>
      <c r="U17">
        <v>2.4602499999999998</v>
      </c>
      <c r="V17">
        <f>-(Table622269[[#This Row],[time]]-2)*2</f>
        <v>-0.92049999999999965</v>
      </c>
      <c r="W17">
        <v>77.516599999999997</v>
      </c>
      <c r="X17">
        <v>36.607500000000002</v>
      </c>
      <c r="Y17">
        <f>Table622269[[#This Row],[CFNM]]/Table622269[[#This Row],[CAREA]]</f>
        <v>0.47225368501714476</v>
      </c>
      <c r="Z17">
        <v>2.4602499999999998</v>
      </c>
      <c r="AA17">
        <f>-(Table723270[[#This Row],[time]]-2)*2</f>
        <v>-0.92049999999999965</v>
      </c>
      <c r="AB17">
        <v>86.19</v>
      </c>
      <c r="AC17">
        <v>50.792400000000001</v>
      </c>
      <c r="AD17">
        <f>Table723270[[#This Row],[CFNM]]/Table723270[[#This Row],[CAREA]]</f>
        <v>0.58930734423947095</v>
      </c>
      <c r="AE17">
        <v>2.4602499999999998</v>
      </c>
      <c r="AF17">
        <f>-(Table824271[[#This Row],[time]]-2)*2</f>
        <v>-0.92049999999999965</v>
      </c>
      <c r="AG17">
        <v>79.4084</v>
      </c>
      <c r="AH17">
        <v>45.279200000000003</v>
      </c>
      <c r="AI17">
        <f>Table824271[[#This Row],[CFNM]]/Table824271[[#This Row],[CAREA]]</f>
        <v>0.5702066783866695</v>
      </c>
      <c r="AJ17">
        <v>2.4602499999999998</v>
      </c>
      <c r="AK17">
        <f>-(Table925272[[#This Row],[time]]-2)*2</f>
        <v>-0.92049999999999965</v>
      </c>
      <c r="AL17">
        <v>80.193600000000004</v>
      </c>
      <c r="AM17">
        <v>47.324100000000001</v>
      </c>
      <c r="AN17">
        <f>Table925272[[#This Row],[CFNM]]/Table925272[[#This Row],[CAREA]]</f>
        <v>0.5901231519722272</v>
      </c>
    </row>
    <row r="18" spans="1:40">
      <c r="A18">
        <v>2.51267</v>
      </c>
      <c r="B18">
        <f>-(Table219266[[#This Row],[time]]-2)*2</f>
        <v>-1.0253399999999999</v>
      </c>
      <c r="C18">
        <v>88.560299999999998</v>
      </c>
      <c r="D18">
        <v>19.343499999999999</v>
      </c>
      <c r="E18">
        <f>Table219266[[#This Row],[CFNM]]/Table219266[[#This Row],[CAREA ]]</f>
        <v>0.21842179848080912</v>
      </c>
      <c r="F18">
        <v>2.51267</v>
      </c>
      <c r="G18">
        <f>-(Table320267[[#This Row],[time]]-2)*2</f>
        <v>-1.0253399999999999</v>
      </c>
      <c r="H18">
        <v>93.379099999999994</v>
      </c>
      <c r="I18">
        <v>10.489800000000001</v>
      </c>
      <c r="J18" s="2">
        <f>Table320267[[#This Row],[CFNM]]/Table320267[[#This Row],[CAREA ]]</f>
        <v>0.11233562970728997</v>
      </c>
      <c r="K18">
        <v>2.51267</v>
      </c>
      <c r="L18">
        <f>-(Table421268[[#This Row],[time]]-2)*2</f>
        <v>-1.0253399999999999</v>
      </c>
      <c r="M18">
        <v>90.446600000000004</v>
      </c>
      <c r="N18">
        <v>18.6067</v>
      </c>
      <c r="O18">
        <f>Table421268[[#This Row],[CFNM]]/Table421268[[#This Row],[CAREA]]</f>
        <v>0.20572028135938775</v>
      </c>
      <c r="P18">
        <v>2.51267</v>
      </c>
      <c r="Q18">
        <f>-(Table16273[[#This Row],[time]]-2)*2</f>
        <v>-1.0253399999999999</v>
      </c>
      <c r="R18">
        <v>88.140299999999996</v>
      </c>
      <c r="S18">
        <v>24.185700000000001</v>
      </c>
      <c r="T18">
        <f>Table16273[[#This Row],[CFNM]]/Table16273[[#This Row],[CAREA]]</f>
        <v>0.27440001906052058</v>
      </c>
      <c r="U18">
        <v>2.51267</v>
      </c>
      <c r="V18">
        <f>-(Table622269[[#This Row],[time]]-2)*2</f>
        <v>-1.0253399999999999</v>
      </c>
      <c r="W18">
        <v>76.486099999999993</v>
      </c>
      <c r="X18">
        <v>39.071899999999999</v>
      </c>
      <c r="Y18">
        <f>Table622269[[#This Row],[CFNM]]/Table622269[[#This Row],[CAREA]]</f>
        <v>0.51083660952774435</v>
      </c>
      <c r="Z18">
        <v>2.51267</v>
      </c>
      <c r="AA18">
        <f>-(Table723270[[#This Row],[time]]-2)*2</f>
        <v>-1.0253399999999999</v>
      </c>
      <c r="AB18">
        <v>84.625900000000001</v>
      </c>
      <c r="AC18">
        <v>54.408099999999997</v>
      </c>
      <c r="AD18">
        <f>Table723270[[#This Row],[CFNM]]/Table723270[[#This Row],[CAREA]]</f>
        <v>0.64292492014855973</v>
      </c>
      <c r="AE18">
        <v>2.51267</v>
      </c>
      <c r="AF18">
        <f>-(Table824271[[#This Row],[time]]-2)*2</f>
        <v>-1.0253399999999999</v>
      </c>
      <c r="AG18">
        <v>78.63</v>
      </c>
      <c r="AH18">
        <v>49.0593</v>
      </c>
      <c r="AI18">
        <f>Table824271[[#This Row],[CFNM]]/Table824271[[#This Row],[CAREA]]</f>
        <v>0.62392598244944686</v>
      </c>
      <c r="AJ18">
        <v>2.51267</v>
      </c>
      <c r="AK18">
        <f>-(Table925272[[#This Row],[time]]-2)*2</f>
        <v>-1.0253399999999999</v>
      </c>
      <c r="AL18">
        <v>79.862899999999996</v>
      </c>
      <c r="AM18">
        <v>50.817399999999999</v>
      </c>
      <c r="AN18">
        <f>Table925272[[#This Row],[CFNM]]/Table925272[[#This Row],[CAREA]]</f>
        <v>0.63630797278836604</v>
      </c>
    </row>
    <row r="19" spans="1:40">
      <c r="A19">
        <v>2.5564</v>
      </c>
      <c r="B19">
        <f>-(Table219266[[#This Row],[time]]-2)*2</f>
        <v>-1.1128</v>
      </c>
      <c r="C19">
        <v>88.5</v>
      </c>
      <c r="D19">
        <v>20.1142</v>
      </c>
      <c r="E19">
        <f>Table219266[[#This Row],[CFNM]]/Table219266[[#This Row],[CAREA ]]</f>
        <v>0.22727909604519775</v>
      </c>
      <c r="F19">
        <v>2.5564</v>
      </c>
      <c r="G19">
        <f>-(Table320267[[#This Row],[time]]-2)*2</f>
        <v>-1.1128</v>
      </c>
      <c r="H19">
        <v>93.461500000000001</v>
      </c>
      <c r="I19">
        <v>11.3416</v>
      </c>
      <c r="J19" s="2">
        <f>Table320267[[#This Row],[CFNM]]/Table320267[[#This Row],[CAREA ]]</f>
        <v>0.12135050261337556</v>
      </c>
      <c r="K19">
        <v>2.5564</v>
      </c>
      <c r="L19">
        <f>-(Table421268[[#This Row],[time]]-2)*2</f>
        <v>-1.1128</v>
      </c>
      <c r="M19">
        <v>90.344099999999997</v>
      </c>
      <c r="N19">
        <v>20.238700000000001</v>
      </c>
      <c r="O19">
        <f>Table421268[[#This Row],[CFNM]]/Table421268[[#This Row],[CAREA]]</f>
        <v>0.22401794915218595</v>
      </c>
      <c r="P19">
        <v>2.5564</v>
      </c>
      <c r="Q19">
        <f>-(Table16273[[#This Row],[time]]-2)*2</f>
        <v>-1.1128</v>
      </c>
      <c r="R19">
        <v>88.327699999999993</v>
      </c>
      <c r="S19">
        <v>26.215399999999999</v>
      </c>
      <c r="T19">
        <f>Table16273[[#This Row],[CFNM]]/Table16273[[#This Row],[CAREA]]</f>
        <v>0.29679704101884236</v>
      </c>
      <c r="U19">
        <v>2.5564</v>
      </c>
      <c r="V19">
        <f>-(Table622269[[#This Row],[time]]-2)*2</f>
        <v>-1.1128</v>
      </c>
      <c r="W19">
        <v>75.609700000000004</v>
      </c>
      <c r="X19">
        <v>41.185499999999998</v>
      </c>
      <c r="Y19">
        <f>Table622269[[#This Row],[CFNM]]/Table622269[[#This Row],[CAREA]]</f>
        <v>0.54471185575395742</v>
      </c>
      <c r="Z19">
        <v>2.5564</v>
      </c>
      <c r="AA19">
        <f>-(Table723270[[#This Row],[time]]-2)*2</f>
        <v>-1.1128</v>
      </c>
      <c r="AB19">
        <v>83.884299999999996</v>
      </c>
      <c r="AC19">
        <v>57.439100000000003</v>
      </c>
      <c r="AD19">
        <f>Table723270[[#This Row],[CFNM]]/Table723270[[#This Row],[CAREA]]</f>
        <v>0.68474196005688792</v>
      </c>
      <c r="AE19">
        <v>2.5564</v>
      </c>
      <c r="AF19">
        <f>-(Table824271[[#This Row],[time]]-2)*2</f>
        <v>-1.1128</v>
      </c>
      <c r="AG19">
        <v>77.917100000000005</v>
      </c>
      <c r="AH19">
        <v>52.409500000000001</v>
      </c>
      <c r="AI19">
        <f>Table824271[[#This Row],[CFNM]]/Table824271[[#This Row],[CAREA]]</f>
        <v>0.67263155327906199</v>
      </c>
      <c r="AJ19">
        <v>2.5564</v>
      </c>
      <c r="AK19">
        <f>-(Table925272[[#This Row],[time]]-2)*2</f>
        <v>-1.1128</v>
      </c>
      <c r="AL19">
        <v>79.659099999999995</v>
      </c>
      <c r="AM19">
        <v>53.904600000000002</v>
      </c>
      <c r="AN19">
        <f>Table925272[[#This Row],[CFNM]]/Table925272[[#This Row],[CAREA]]</f>
        <v>0.67669104973568628</v>
      </c>
    </row>
    <row r="20" spans="1:40">
      <c r="A20">
        <v>2.6033400000000002</v>
      </c>
      <c r="B20">
        <f>-(Table219266[[#This Row],[time]]-2)*2</f>
        <v>-1.2066800000000004</v>
      </c>
      <c r="C20">
        <v>88.476600000000005</v>
      </c>
      <c r="D20">
        <v>20.906400000000001</v>
      </c>
      <c r="E20">
        <f>Table219266[[#This Row],[CFNM]]/Table219266[[#This Row],[CAREA ]]</f>
        <v>0.2362929859420457</v>
      </c>
      <c r="F20">
        <v>2.6033400000000002</v>
      </c>
      <c r="G20">
        <f>-(Table320267[[#This Row],[time]]-2)*2</f>
        <v>-1.2066800000000004</v>
      </c>
      <c r="H20">
        <v>93.709199999999996</v>
      </c>
      <c r="I20">
        <v>12.278</v>
      </c>
      <c r="J20" s="2">
        <f>Table320267[[#This Row],[CFNM]]/Table320267[[#This Row],[CAREA ]]</f>
        <v>0.13102235426190811</v>
      </c>
      <c r="K20">
        <v>2.6033400000000002</v>
      </c>
      <c r="L20">
        <f>-(Table421268[[#This Row],[time]]-2)*2</f>
        <v>-1.2066800000000004</v>
      </c>
      <c r="M20">
        <v>90.293700000000001</v>
      </c>
      <c r="N20">
        <v>22.055800000000001</v>
      </c>
      <c r="O20">
        <f>Table421268[[#This Row],[CFNM]]/Table421268[[#This Row],[CAREA]]</f>
        <v>0.24426731876088809</v>
      </c>
      <c r="P20">
        <v>2.6033400000000002</v>
      </c>
      <c r="Q20">
        <f>-(Table16273[[#This Row],[time]]-2)*2</f>
        <v>-1.2066800000000004</v>
      </c>
      <c r="R20">
        <v>88.297300000000007</v>
      </c>
      <c r="S20">
        <v>28.558900000000001</v>
      </c>
      <c r="T20">
        <f>Table16273[[#This Row],[CFNM]]/Table16273[[#This Row],[CAREA]]</f>
        <v>0.32344024109457481</v>
      </c>
      <c r="U20">
        <v>2.6033400000000002</v>
      </c>
      <c r="V20">
        <f>-(Table622269[[#This Row],[time]]-2)*2</f>
        <v>-1.2066800000000004</v>
      </c>
      <c r="W20">
        <v>74.649799999999999</v>
      </c>
      <c r="X20">
        <v>43.534999999999997</v>
      </c>
      <c r="Y20">
        <f>Table622269[[#This Row],[CFNM]]/Table622269[[#This Row],[CAREA]]</f>
        <v>0.58318977411861783</v>
      </c>
      <c r="Z20">
        <v>2.6033400000000002</v>
      </c>
      <c r="AA20">
        <f>-(Table723270[[#This Row],[time]]-2)*2</f>
        <v>-1.2066800000000004</v>
      </c>
      <c r="AB20">
        <v>83.044399999999996</v>
      </c>
      <c r="AC20">
        <v>60.740600000000001</v>
      </c>
      <c r="AD20">
        <f>Table723270[[#This Row],[CFNM]]/Table723270[[#This Row],[CAREA]]</f>
        <v>0.73142319048605331</v>
      </c>
      <c r="AE20">
        <v>2.6033400000000002</v>
      </c>
      <c r="AF20">
        <f>-(Table824271[[#This Row],[time]]-2)*2</f>
        <v>-1.2066800000000004</v>
      </c>
      <c r="AG20">
        <v>77.217299999999994</v>
      </c>
      <c r="AH20">
        <v>56.012</v>
      </c>
      <c r="AI20">
        <f>Table824271[[#This Row],[CFNM]]/Table824271[[#This Row],[CAREA]]</f>
        <v>0.72538148834522842</v>
      </c>
      <c r="AJ20">
        <v>2.6033400000000002</v>
      </c>
      <c r="AK20">
        <f>-(Table925272[[#This Row],[time]]-2)*2</f>
        <v>-1.2066800000000004</v>
      </c>
      <c r="AL20">
        <v>78.099900000000005</v>
      </c>
      <c r="AM20">
        <v>57.354199999999999</v>
      </c>
      <c r="AN20">
        <f>Table925272[[#This Row],[CFNM]]/Table925272[[#This Row],[CAREA]]</f>
        <v>0.73436969829666865</v>
      </c>
    </row>
    <row r="21" spans="1:40">
      <c r="A21">
        <v>2.6604800000000002</v>
      </c>
      <c r="B21">
        <f>-(Table219266[[#This Row],[time]]-2)*2</f>
        <v>-1.3209600000000004</v>
      </c>
      <c r="C21">
        <v>88.516499999999994</v>
      </c>
      <c r="D21">
        <v>21.7806</v>
      </c>
      <c r="E21">
        <f>Table219266[[#This Row],[CFNM]]/Table219266[[#This Row],[CAREA ]]</f>
        <v>0.24606259849858503</v>
      </c>
      <c r="F21">
        <v>2.6604800000000002</v>
      </c>
      <c r="G21">
        <f>-(Table320267[[#This Row],[time]]-2)*2</f>
        <v>-1.3209600000000004</v>
      </c>
      <c r="H21">
        <v>93.896199999999993</v>
      </c>
      <c r="I21">
        <v>13.5214</v>
      </c>
      <c r="J21" s="2">
        <f>Table320267[[#This Row],[CFNM]]/Table320267[[#This Row],[CAREA ]]</f>
        <v>0.14400369770022642</v>
      </c>
      <c r="K21">
        <v>2.6604800000000002</v>
      </c>
      <c r="L21">
        <f>-(Table421268[[#This Row],[time]]-2)*2</f>
        <v>-1.3209600000000004</v>
      </c>
      <c r="M21">
        <v>90.186599999999999</v>
      </c>
      <c r="N21">
        <v>24.319800000000001</v>
      </c>
      <c r="O21">
        <f>Table421268[[#This Row],[CFNM]]/Table421268[[#This Row],[CAREA]]</f>
        <v>0.26966090306098689</v>
      </c>
      <c r="P21">
        <v>2.6604800000000002</v>
      </c>
      <c r="Q21">
        <f>-(Table16273[[#This Row],[time]]-2)*2</f>
        <v>-1.3209600000000004</v>
      </c>
      <c r="R21">
        <v>88.184200000000004</v>
      </c>
      <c r="S21">
        <v>31.661200000000001</v>
      </c>
      <c r="T21">
        <f>Table16273[[#This Row],[CFNM]]/Table16273[[#This Row],[CAREA]]</f>
        <v>0.35903483844044626</v>
      </c>
      <c r="U21">
        <v>2.6604800000000002</v>
      </c>
      <c r="V21">
        <f>-(Table622269[[#This Row],[time]]-2)*2</f>
        <v>-1.3209600000000004</v>
      </c>
      <c r="W21">
        <v>73.509799999999998</v>
      </c>
      <c r="X21">
        <v>46.9328</v>
      </c>
      <c r="Y21">
        <f>Table622269[[#This Row],[CFNM]]/Table622269[[#This Row],[CAREA]]</f>
        <v>0.63845636908276182</v>
      </c>
      <c r="Z21">
        <v>2.6604800000000002</v>
      </c>
      <c r="AA21">
        <f>-(Table723270[[#This Row],[time]]-2)*2</f>
        <v>-1.3209600000000004</v>
      </c>
      <c r="AB21">
        <v>82.080500000000001</v>
      </c>
      <c r="AC21">
        <v>65.450299999999999</v>
      </c>
      <c r="AD21">
        <f>Table723270[[#This Row],[CFNM]]/Table723270[[#This Row],[CAREA]]</f>
        <v>0.79739158509024677</v>
      </c>
      <c r="AE21">
        <v>2.6604800000000002</v>
      </c>
      <c r="AF21">
        <f>-(Table824271[[#This Row],[time]]-2)*2</f>
        <v>-1.3209600000000004</v>
      </c>
      <c r="AG21">
        <v>76.315299999999993</v>
      </c>
      <c r="AH21">
        <v>60.377800000000001</v>
      </c>
      <c r="AI21">
        <f>Table824271[[#This Row],[CFNM]]/Table824271[[#This Row],[CAREA]]</f>
        <v>0.79116245366263394</v>
      </c>
      <c r="AJ21">
        <v>2.6604800000000002</v>
      </c>
      <c r="AK21">
        <f>-(Table925272[[#This Row],[time]]-2)*2</f>
        <v>-1.3209600000000004</v>
      </c>
      <c r="AL21">
        <v>77.821899999999999</v>
      </c>
      <c r="AM21">
        <v>61.661099999999998</v>
      </c>
      <c r="AN21">
        <f>Table925272[[#This Row],[CFNM]]/Table925272[[#This Row],[CAREA]]</f>
        <v>0.79233609048352716</v>
      </c>
    </row>
    <row r="22" spans="1:40">
      <c r="A22">
        <v>2.7082199999999998</v>
      </c>
      <c r="B22">
        <f>-(Table219266[[#This Row],[time]]-2)*2</f>
        <v>-1.4164399999999997</v>
      </c>
      <c r="C22">
        <v>88.599699999999999</v>
      </c>
      <c r="D22">
        <v>22.5184</v>
      </c>
      <c r="E22">
        <f>Table219266[[#This Row],[CFNM]]/Table219266[[#This Row],[CAREA ]]</f>
        <v>0.2541588741271133</v>
      </c>
      <c r="F22">
        <v>2.7082199999999998</v>
      </c>
      <c r="G22">
        <f>-(Table320267[[#This Row],[time]]-2)*2</f>
        <v>-1.4164399999999997</v>
      </c>
      <c r="H22">
        <v>93.937299999999993</v>
      </c>
      <c r="I22">
        <v>14.634</v>
      </c>
      <c r="J22" s="2">
        <f>Table320267[[#This Row],[CFNM]]/Table320267[[#This Row],[CAREA ]]</f>
        <v>0.15578476281519696</v>
      </c>
      <c r="K22">
        <v>2.7082199999999998</v>
      </c>
      <c r="L22">
        <f>-(Table421268[[#This Row],[time]]-2)*2</f>
        <v>-1.4164399999999997</v>
      </c>
      <c r="M22">
        <v>89.993700000000004</v>
      </c>
      <c r="N22">
        <v>26.2822</v>
      </c>
      <c r="O22">
        <f>Table421268[[#This Row],[CFNM]]/Table421268[[#This Row],[CAREA]]</f>
        <v>0.29204488758657549</v>
      </c>
      <c r="P22">
        <v>2.7082199999999998</v>
      </c>
      <c r="Q22">
        <f>-(Table16273[[#This Row],[time]]-2)*2</f>
        <v>-1.4164399999999997</v>
      </c>
      <c r="R22">
        <v>88.104299999999995</v>
      </c>
      <c r="S22">
        <v>34.424599999999998</v>
      </c>
      <c r="T22">
        <f>Table16273[[#This Row],[CFNM]]/Table16273[[#This Row],[CAREA]]</f>
        <v>0.39072553780008468</v>
      </c>
      <c r="U22">
        <v>2.7082199999999998</v>
      </c>
      <c r="V22">
        <f>-(Table622269[[#This Row],[time]]-2)*2</f>
        <v>-1.4164399999999997</v>
      </c>
      <c r="W22">
        <v>72.535899999999998</v>
      </c>
      <c r="X22">
        <v>49.793799999999997</v>
      </c>
      <c r="Y22">
        <f>Table622269[[#This Row],[CFNM]]/Table622269[[#This Row],[CAREA]]</f>
        <v>0.68647111292477236</v>
      </c>
      <c r="Z22">
        <v>2.7082199999999998</v>
      </c>
      <c r="AA22">
        <f>-(Table723270[[#This Row],[time]]-2)*2</f>
        <v>-1.4164399999999997</v>
      </c>
      <c r="AB22">
        <v>81.215199999999996</v>
      </c>
      <c r="AC22">
        <v>69.504300000000001</v>
      </c>
      <c r="AD22">
        <f>Table723270[[#This Row],[CFNM]]/Table723270[[#This Row],[CAREA]]</f>
        <v>0.85580408593465263</v>
      </c>
      <c r="AE22">
        <v>2.7082199999999998</v>
      </c>
      <c r="AF22">
        <f>-(Table824271[[#This Row],[time]]-2)*2</f>
        <v>-1.4164399999999997</v>
      </c>
      <c r="AG22">
        <v>75.608599999999996</v>
      </c>
      <c r="AH22">
        <v>64.002700000000004</v>
      </c>
      <c r="AI22">
        <f>Table824271[[#This Row],[CFNM]]/Table824271[[#This Row],[CAREA]]</f>
        <v>0.8465002658427746</v>
      </c>
      <c r="AJ22">
        <v>2.7082199999999998</v>
      </c>
      <c r="AK22">
        <f>-(Table925272[[#This Row],[time]]-2)*2</f>
        <v>-1.4164399999999997</v>
      </c>
      <c r="AL22">
        <v>77.524000000000001</v>
      </c>
      <c r="AM22">
        <v>65.253799999999998</v>
      </c>
      <c r="AN22">
        <f>Table925272[[#This Row],[CFNM]]/Table925272[[#This Row],[CAREA]]</f>
        <v>0.84172385325834576</v>
      </c>
    </row>
    <row r="23" spans="1:40">
      <c r="A23">
        <v>2.7589999999999999</v>
      </c>
      <c r="B23">
        <f>-(Table219266[[#This Row],[time]]-2)*2</f>
        <v>-1.5179999999999998</v>
      </c>
      <c r="C23">
        <v>88.778400000000005</v>
      </c>
      <c r="D23">
        <v>23.305700000000002</v>
      </c>
      <c r="E23">
        <f>Table219266[[#This Row],[CFNM]]/Table219266[[#This Row],[CAREA ]]</f>
        <v>0.2625154316815802</v>
      </c>
      <c r="F23">
        <v>2.7589999999999999</v>
      </c>
      <c r="G23">
        <f>-(Table320267[[#This Row],[time]]-2)*2</f>
        <v>-1.5179999999999998</v>
      </c>
      <c r="H23">
        <v>94.603700000000003</v>
      </c>
      <c r="I23">
        <v>15.8894</v>
      </c>
      <c r="J23" s="2">
        <f>Table320267[[#This Row],[CFNM]]/Table320267[[#This Row],[CAREA ]]</f>
        <v>0.16795749003474494</v>
      </c>
      <c r="K23">
        <v>2.7589999999999999</v>
      </c>
      <c r="L23">
        <f>-(Table421268[[#This Row],[time]]-2)*2</f>
        <v>-1.5179999999999998</v>
      </c>
      <c r="M23">
        <v>89.927400000000006</v>
      </c>
      <c r="N23">
        <v>28.432200000000002</v>
      </c>
      <c r="O23">
        <f>Table421268[[#This Row],[CFNM]]/Table421268[[#This Row],[CAREA]]</f>
        <v>0.31616837582316404</v>
      </c>
      <c r="P23">
        <v>2.7589999999999999</v>
      </c>
      <c r="Q23">
        <f>-(Table16273[[#This Row],[time]]-2)*2</f>
        <v>-1.5179999999999998</v>
      </c>
      <c r="R23">
        <v>87.866799999999998</v>
      </c>
      <c r="S23">
        <v>37.546599999999998</v>
      </c>
      <c r="T23">
        <f>Table16273[[#This Row],[CFNM]]/Table16273[[#This Row],[CAREA]]</f>
        <v>0.42731270514005287</v>
      </c>
      <c r="U23">
        <v>2.7589999999999999</v>
      </c>
      <c r="V23">
        <f>-(Table622269[[#This Row],[time]]-2)*2</f>
        <v>-1.5179999999999998</v>
      </c>
      <c r="W23">
        <v>71.398399999999995</v>
      </c>
      <c r="X23">
        <v>52.9679</v>
      </c>
      <c r="Y23">
        <f>Table622269[[#This Row],[CFNM]]/Table622269[[#This Row],[CAREA]]</f>
        <v>0.74186396333811411</v>
      </c>
      <c r="Z23">
        <v>2.7589999999999999</v>
      </c>
      <c r="AA23">
        <f>-(Table723270[[#This Row],[time]]-2)*2</f>
        <v>-1.5179999999999998</v>
      </c>
      <c r="AB23">
        <v>80.311300000000003</v>
      </c>
      <c r="AC23">
        <v>73.871600000000001</v>
      </c>
      <c r="AD23">
        <f>Table723270[[#This Row],[CFNM]]/Table723270[[#This Row],[CAREA]]</f>
        <v>0.91981576689706179</v>
      </c>
      <c r="AE23">
        <v>2.7589999999999999</v>
      </c>
      <c r="AF23">
        <f>-(Table824271[[#This Row],[time]]-2)*2</f>
        <v>-1.5179999999999998</v>
      </c>
      <c r="AG23">
        <v>74.809200000000004</v>
      </c>
      <c r="AH23">
        <v>67.958399999999997</v>
      </c>
      <c r="AI23">
        <f>Table824271[[#This Row],[CFNM]]/Table824271[[#This Row],[CAREA]]</f>
        <v>0.90842302818369924</v>
      </c>
      <c r="AJ23">
        <v>2.7589999999999999</v>
      </c>
      <c r="AK23">
        <f>-(Table925272[[#This Row],[time]]-2)*2</f>
        <v>-1.5179999999999998</v>
      </c>
      <c r="AL23">
        <v>77.244500000000002</v>
      </c>
      <c r="AM23">
        <v>69.176000000000002</v>
      </c>
      <c r="AN23">
        <f>Table925272[[#This Row],[CFNM]]/Table925272[[#This Row],[CAREA]]</f>
        <v>0.89554596120112107</v>
      </c>
    </row>
    <row r="24" spans="1:40">
      <c r="A24">
        <v>2.8092299999999999</v>
      </c>
      <c r="B24">
        <f>-(Table219266[[#This Row],[time]]-2)*2</f>
        <v>-1.6184599999999998</v>
      </c>
      <c r="C24">
        <v>89.053899999999999</v>
      </c>
      <c r="D24">
        <v>24.038599999999999</v>
      </c>
      <c r="E24">
        <f>Table219266[[#This Row],[CFNM]]/Table219266[[#This Row],[CAREA ]]</f>
        <v>0.26993315284339037</v>
      </c>
      <c r="F24">
        <v>2.8092299999999999</v>
      </c>
      <c r="G24">
        <f>-(Table320267[[#This Row],[time]]-2)*2</f>
        <v>-1.6184599999999998</v>
      </c>
      <c r="H24">
        <v>95.053899999999999</v>
      </c>
      <c r="I24">
        <v>17.178000000000001</v>
      </c>
      <c r="J24" s="2">
        <f>Table320267[[#This Row],[CFNM]]/Table320267[[#This Row],[CAREA ]]</f>
        <v>0.18071851865099697</v>
      </c>
      <c r="K24">
        <v>2.8092299999999999</v>
      </c>
      <c r="L24">
        <f>-(Table421268[[#This Row],[time]]-2)*2</f>
        <v>-1.6184599999999998</v>
      </c>
      <c r="M24">
        <v>89.423699999999997</v>
      </c>
      <c r="N24">
        <v>30.6739</v>
      </c>
      <c r="O24">
        <f>Table421268[[#This Row],[CFNM]]/Table421268[[#This Row],[CAREA]]</f>
        <v>0.34301756693136159</v>
      </c>
      <c r="P24">
        <v>2.8092299999999999</v>
      </c>
      <c r="Q24">
        <f>-(Table16273[[#This Row],[time]]-2)*2</f>
        <v>-1.6184599999999998</v>
      </c>
      <c r="R24">
        <v>87.638599999999997</v>
      </c>
      <c r="S24">
        <v>40.764899999999997</v>
      </c>
      <c r="T24">
        <f>Table16273[[#This Row],[CFNM]]/Table16273[[#This Row],[CAREA]]</f>
        <v>0.46514777734925022</v>
      </c>
      <c r="U24">
        <v>2.8092299999999999</v>
      </c>
      <c r="V24">
        <f>-(Table622269[[#This Row],[time]]-2)*2</f>
        <v>-1.6184599999999998</v>
      </c>
      <c r="W24">
        <v>69.657899999999998</v>
      </c>
      <c r="X24">
        <v>56.0807</v>
      </c>
      <c r="Y24">
        <f>Table622269[[#This Row],[CFNM]]/Table622269[[#This Row],[CAREA]]</f>
        <v>0.80508743444749276</v>
      </c>
      <c r="Z24">
        <v>2.8092299999999999</v>
      </c>
      <c r="AA24">
        <f>-(Table723270[[#This Row],[time]]-2)*2</f>
        <v>-1.6184599999999998</v>
      </c>
      <c r="AB24">
        <v>79.4345</v>
      </c>
      <c r="AC24">
        <v>78.213999999999999</v>
      </c>
      <c r="AD24">
        <f>Table723270[[#This Row],[CFNM]]/Table723270[[#This Row],[CAREA]]</f>
        <v>0.98463513964335392</v>
      </c>
      <c r="AE24">
        <v>2.8092299999999999</v>
      </c>
      <c r="AF24">
        <f>-(Table824271[[#This Row],[time]]-2)*2</f>
        <v>-1.6184599999999998</v>
      </c>
      <c r="AG24">
        <v>74.156899999999993</v>
      </c>
      <c r="AH24">
        <v>71.836799999999997</v>
      </c>
      <c r="AI24">
        <f>Table824271[[#This Row],[CFNM]]/Table824271[[#This Row],[CAREA]]</f>
        <v>0.9687136328514272</v>
      </c>
      <c r="AJ24">
        <v>2.8092299999999999</v>
      </c>
      <c r="AK24">
        <f>-(Table925272[[#This Row],[time]]-2)*2</f>
        <v>-1.6184599999999998</v>
      </c>
      <c r="AL24">
        <v>76.964500000000001</v>
      </c>
      <c r="AM24">
        <v>72.976600000000005</v>
      </c>
      <c r="AN24">
        <f>Table925272[[#This Row],[CFNM]]/Table925272[[#This Row],[CAREA]]</f>
        <v>0.94818520226857839</v>
      </c>
    </row>
    <row r="25" spans="1:40">
      <c r="A25">
        <v>2.8506100000000001</v>
      </c>
      <c r="B25">
        <f>-(Table219266[[#This Row],[time]]-2)*2</f>
        <v>-1.7012200000000002</v>
      </c>
      <c r="C25">
        <v>89.146000000000001</v>
      </c>
      <c r="D25">
        <v>24.536200000000001</v>
      </c>
      <c r="E25">
        <f>Table219266[[#This Row],[CFNM]]/Table219266[[#This Row],[CAREA ]]</f>
        <v>0.27523612949543447</v>
      </c>
      <c r="F25">
        <v>2.8506100000000001</v>
      </c>
      <c r="G25">
        <f>-(Table320267[[#This Row],[time]]-2)*2</f>
        <v>-1.7012200000000002</v>
      </c>
      <c r="H25">
        <v>95.401899999999998</v>
      </c>
      <c r="I25">
        <v>18.236499999999999</v>
      </c>
      <c r="J25" s="2">
        <f>Table320267[[#This Row],[CFNM]]/Table320267[[#This Row],[CAREA ]]</f>
        <v>0.19115447386267989</v>
      </c>
      <c r="K25">
        <v>2.8506100000000001</v>
      </c>
      <c r="L25">
        <f>-(Table421268[[#This Row],[time]]-2)*2</f>
        <v>-1.7012200000000002</v>
      </c>
      <c r="M25">
        <v>89.066699999999997</v>
      </c>
      <c r="N25">
        <v>32.578699999999998</v>
      </c>
      <c r="O25">
        <f>Table421268[[#This Row],[CFNM]]/Table421268[[#This Row],[CAREA]]</f>
        <v>0.3657786804720507</v>
      </c>
      <c r="P25">
        <v>2.8506100000000001</v>
      </c>
      <c r="Q25">
        <f>-(Table16273[[#This Row],[time]]-2)*2</f>
        <v>-1.7012200000000002</v>
      </c>
      <c r="R25">
        <v>87.436000000000007</v>
      </c>
      <c r="S25">
        <v>43.7316</v>
      </c>
      <c r="T25">
        <f>Table16273[[#This Row],[CFNM]]/Table16273[[#This Row],[CAREA]]</f>
        <v>0.50015554233953974</v>
      </c>
      <c r="U25">
        <v>2.8506100000000001</v>
      </c>
      <c r="V25">
        <f>-(Table622269[[#This Row],[time]]-2)*2</f>
        <v>-1.7012200000000002</v>
      </c>
      <c r="W25">
        <v>68.726699999999994</v>
      </c>
      <c r="X25">
        <v>58.659799999999997</v>
      </c>
      <c r="Y25">
        <f>Table622269[[#This Row],[CFNM]]/Table622269[[#This Row],[CAREA]]</f>
        <v>0.85352272115495142</v>
      </c>
      <c r="Z25">
        <v>2.8506100000000001</v>
      </c>
      <c r="AA25">
        <f>-(Table723270[[#This Row],[time]]-2)*2</f>
        <v>-1.7012200000000002</v>
      </c>
      <c r="AB25">
        <v>77.876199999999997</v>
      </c>
      <c r="AC25">
        <v>81.845100000000002</v>
      </c>
      <c r="AD25">
        <f>Table723270[[#This Row],[CFNM]]/Table723270[[#This Row],[CAREA]]</f>
        <v>1.0509642227021863</v>
      </c>
      <c r="AE25">
        <v>2.8506100000000001</v>
      </c>
      <c r="AF25">
        <f>-(Table824271[[#This Row],[time]]-2)*2</f>
        <v>-1.7012200000000002</v>
      </c>
      <c r="AG25">
        <v>73.63</v>
      </c>
      <c r="AH25">
        <v>74.891400000000004</v>
      </c>
      <c r="AI25">
        <f>Table824271[[#This Row],[CFNM]]/Table824271[[#This Row],[CAREA]]</f>
        <v>1.017131603965775</v>
      </c>
      <c r="AJ25">
        <v>2.8506100000000001</v>
      </c>
      <c r="AK25">
        <f>-(Table925272[[#This Row],[time]]-2)*2</f>
        <v>-1.7012200000000002</v>
      </c>
      <c r="AL25">
        <v>76.733000000000004</v>
      </c>
      <c r="AM25">
        <v>76.163499999999999</v>
      </c>
      <c r="AN25">
        <f>Table925272[[#This Row],[CFNM]]/Table925272[[#This Row],[CAREA]]</f>
        <v>0.99257816063492887</v>
      </c>
    </row>
    <row r="26" spans="1:40">
      <c r="A26">
        <v>2.90524</v>
      </c>
      <c r="B26">
        <f>-(Table219266[[#This Row],[time]]-2)*2</f>
        <v>-1.8104800000000001</v>
      </c>
      <c r="C26">
        <v>89.440700000000007</v>
      </c>
      <c r="D26">
        <v>25.359400000000001</v>
      </c>
      <c r="E26">
        <f>Table219266[[#This Row],[CFNM]]/Table219266[[#This Row],[CAREA ]]</f>
        <v>0.2835331118830689</v>
      </c>
      <c r="F26">
        <v>2.90524</v>
      </c>
      <c r="G26">
        <f>-(Table320267[[#This Row],[time]]-2)*2</f>
        <v>-1.8104800000000001</v>
      </c>
      <c r="H26">
        <v>95.867500000000007</v>
      </c>
      <c r="I26">
        <v>19.675799999999999</v>
      </c>
      <c r="J26" s="2">
        <f>Table320267[[#This Row],[CFNM]]/Table320267[[#This Row],[CAREA ]]</f>
        <v>0.20523952330038853</v>
      </c>
      <c r="K26">
        <v>2.90524</v>
      </c>
      <c r="L26">
        <f>-(Table421268[[#This Row],[time]]-2)*2</f>
        <v>-1.8104800000000001</v>
      </c>
      <c r="M26">
        <v>88.47</v>
      </c>
      <c r="N26">
        <v>35.225900000000003</v>
      </c>
      <c r="O26">
        <f>Table421268[[#This Row],[CFNM]]/Table421268[[#This Row],[CAREA]]</f>
        <v>0.39816774047699788</v>
      </c>
      <c r="P26">
        <v>2.90524</v>
      </c>
      <c r="Q26">
        <f>-(Table16273[[#This Row],[time]]-2)*2</f>
        <v>-1.8104800000000001</v>
      </c>
      <c r="R26">
        <v>87.6023</v>
      </c>
      <c r="S26">
        <v>48.049799999999998</v>
      </c>
      <c r="T26">
        <f>Table16273[[#This Row],[CFNM]]/Table16273[[#This Row],[CAREA]]</f>
        <v>0.54849929739287662</v>
      </c>
      <c r="U26">
        <v>2.90524</v>
      </c>
      <c r="V26">
        <f>-(Table622269[[#This Row],[time]]-2)*2</f>
        <v>-1.8104800000000001</v>
      </c>
      <c r="W26">
        <v>67.522199999999998</v>
      </c>
      <c r="X26">
        <v>62.0929</v>
      </c>
      <c r="Y26">
        <f>Table622269[[#This Row],[CFNM]]/Table622269[[#This Row],[CAREA]]</f>
        <v>0.91959237110165248</v>
      </c>
      <c r="Z26">
        <v>2.90524</v>
      </c>
      <c r="AA26">
        <f>-(Table723270[[#This Row],[time]]-2)*2</f>
        <v>-1.8104800000000001</v>
      </c>
      <c r="AB26">
        <v>76.037899999999993</v>
      </c>
      <c r="AC26">
        <v>86.760499999999993</v>
      </c>
      <c r="AD26">
        <f>Table723270[[#This Row],[CFNM]]/Table723270[[#This Row],[CAREA]]</f>
        <v>1.1410165193936181</v>
      </c>
      <c r="AE26">
        <v>2.90524</v>
      </c>
      <c r="AF26">
        <f>-(Table824271[[#This Row],[time]]-2)*2</f>
        <v>-1.8104800000000001</v>
      </c>
      <c r="AG26">
        <v>72.965500000000006</v>
      </c>
      <c r="AH26">
        <v>78.809399999999997</v>
      </c>
      <c r="AI26">
        <f>Table824271[[#This Row],[CFNM]]/Table824271[[#This Row],[CAREA]]</f>
        <v>1.0800912760140065</v>
      </c>
      <c r="AJ26">
        <v>2.90524</v>
      </c>
      <c r="AK26">
        <f>-(Table925272[[#This Row],[time]]-2)*2</f>
        <v>-1.8104800000000001</v>
      </c>
      <c r="AL26">
        <v>76.472499999999997</v>
      </c>
      <c r="AM26">
        <v>80.462100000000007</v>
      </c>
      <c r="AN26">
        <f>Table925272[[#This Row],[CFNM]]/Table925272[[#This Row],[CAREA]]</f>
        <v>1.0521703880479913</v>
      </c>
    </row>
    <row r="27" spans="1:40">
      <c r="A27">
        <v>2.9500299999999999</v>
      </c>
      <c r="B27">
        <f>-(Table219266[[#This Row],[time]]-2)*2</f>
        <v>-1.9000599999999999</v>
      </c>
      <c r="C27">
        <v>89.921599999999998</v>
      </c>
      <c r="D27">
        <v>26.081700000000001</v>
      </c>
      <c r="E27">
        <f>Table219266[[#This Row],[CFNM]]/Table219266[[#This Row],[CAREA ]]</f>
        <v>0.29004933186242238</v>
      </c>
      <c r="F27">
        <v>2.9500299999999999</v>
      </c>
      <c r="G27">
        <f>-(Table320267[[#This Row],[time]]-2)*2</f>
        <v>-1.9000599999999999</v>
      </c>
      <c r="H27">
        <v>96.479900000000001</v>
      </c>
      <c r="I27">
        <v>21.067299999999999</v>
      </c>
      <c r="J27" s="2">
        <f>Table320267[[#This Row],[CFNM]]/Table320267[[#This Row],[CAREA ]]</f>
        <v>0.21835947176562165</v>
      </c>
      <c r="K27">
        <v>2.9500299999999999</v>
      </c>
      <c r="L27">
        <f>-(Table421268[[#This Row],[time]]-2)*2</f>
        <v>-1.9000599999999999</v>
      </c>
      <c r="M27">
        <v>88.212100000000007</v>
      </c>
      <c r="N27">
        <v>37.765000000000001</v>
      </c>
      <c r="O27">
        <f>Table421268[[#This Row],[CFNM]]/Table421268[[#This Row],[CAREA]]</f>
        <v>0.42811587072521795</v>
      </c>
      <c r="P27">
        <v>2.9500299999999999</v>
      </c>
      <c r="Q27">
        <f>-(Table16273[[#This Row],[time]]-2)*2</f>
        <v>-1.9000599999999999</v>
      </c>
      <c r="R27">
        <v>87.377200000000002</v>
      </c>
      <c r="S27">
        <v>51.819499999999998</v>
      </c>
      <c r="T27">
        <f>Table16273[[#This Row],[CFNM]]/Table16273[[#This Row],[CAREA]]</f>
        <v>0.59305516770965416</v>
      </c>
      <c r="U27">
        <v>2.9500299999999999</v>
      </c>
      <c r="V27">
        <f>-(Table622269[[#This Row],[time]]-2)*2</f>
        <v>-1.9000599999999999</v>
      </c>
      <c r="W27">
        <v>66.432599999999994</v>
      </c>
      <c r="X27">
        <v>64.962599999999995</v>
      </c>
      <c r="Y27">
        <f>Table622269[[#This Row],[CFNM]]/Table622269[[#This Row],[CAREA]]</f>
        <v>0.97787230967928396</v>
      </c>
      <c r="Z27">
        <v>2.9500299999999999</v>
      </c>
      <c r="AA27">
        <f>-(Table723270[[#This Row],[time]]-2)*2</f>
        <v>-1.9000599999999999</v>
      </c>
      <c r="AB27">
        <v>73.190700000000007</v>
      </c>
      <c r="AC27">
        <v>90.914900000000003</v>
      </c>
      <c r="AD27">
        <f>Table723270[[#This Row],[CFNM]]/Table723270[[#This Row],[CAREA]]</f>
        <v>1.2421646466012757</v>
      </c>
      <c r="AE27">
        <v>2.9500299999999999</v>
      </c>
      <c r="AF27">
        <f>-(Table824271[[#This Row],[time]]-2)*2</f>
        <v>-1.9000599999999999</v>
      </c>
      <c r="AG27">
        <v>72.396299999999997</v>
      </c>
      <c r="AH27">
        <v>82.097399999999993</v>
      </c>
      <c r="AI27">
        <f>Table824271[[#This Row],[CFNM]]/Table824271[[#This Row],[CAREA]]</f>
        <v>1.1339999419859854</v>
      </c>
      <c r="AJ27">
        <v>2.9500299999999999</v>
      </c>
      <c r="AK27">
        <f>-(Table925272[[#This Row],[time]]-2)*2</f>
        <v>-1.9000599999999999</v>
      </c>
      <c r="AL27">
        <v>76.2166</v>
      </c>
      <c r="AM27">
        <v>83.972700000000003</v>
      </c>
      <c r="AN27">
        <f>Table925272[[#This Row],[CFNM]]/Table925272[[#This Row],[CAREA]]</f>
        <v>1.1017639201958629</v>
      </c>
    </row>
    <row r="28" spans="1:40">
      <c r="A28">
        <v>3</v>
      </c>
      <c r="B28">
        <f>-(Table219266[[#This Row],[time]]-2)*2</f>
        <v>-2</v>
      </c>
      <c r="C28">
        <v>90.320400000000006</v>
      </c>
      <c r="D28">
        <v>27.0639</v>
      </c>
      <c r="E28">
        <f>Table219266[[#This Row],[CFNM]]/Table219266[[#This Row],[CAREA ]]</f>
        <v>0.29964326995894613</v>
      </c>
      <c r="F28">
        <v>3</v>
      </c>
      <c r="G28">
        <f>-(Table320267[[#This Row],[time]]-2)*2</f>
        <v>-2</v>
      </c>
      <c r="H28">
        <v>96.967200000000005</v>
      </c>
      <c r="I28">
        <v>22.681100000000001</v>
      </c>
      <c r="J28" s="2">
        <f>Table320267[[#This Row],[CFNM]]/Table320267[[#This Row],[CAREA ]]</f>
        <v>0.2339048668003201</v>
      </c>
      <c r="K28">
        <v>3</v>
      </c>
      <c r="L28">
        <f>-(Table421268[[#This Row],[time]]-2)*2</f>
        <v>-2</v>
      </c>
      <c r="M28">
        <v>87.4268</v>
      </c>
      <c r="N28">
        <v>40.741500000000002</v>
      </c>
      <c r="O28">
        <f>Table421268[[#This Row],[CFNM]]/Table421268[[#This Row],[CAREA]]</f>
        <v>0.46600699099132076</v>
      </c>
      <c r="P28">
        <v>3</v>
      </c>
      <c r="Q28">
        <f>-(Table16273[[#This Row],[time]]-2)*2</f>
        <v>-2</v>
      </c>
      <c r="R28">
        <v>87.119699999999995</v>
      </c>
      <c r="S28">
        <v>56.200499999999998</v>
      </c>
      <c r="T28">
        <f>Table16273[[#This Row],[CFNM]]/Table16273[[#This Row],[CAREA]]</f>
        <v>0.64509519660880377</v>
      </c>
      <c r="U28">
        <v>3</v>
      </c>
      <c r="V28">
        <f>-(Table622269[[#This Row],[time]]-2)*2</f>
        <v>-2</v>
      </c>
      <c r="W28">
        <v>65.271699999999996</v>
      </c>
      <c r="X28">
        <v>68.236000000000004</v>
      </c>
      <c r="Y28">
        <f>Table622269[[#This Row],[CFNM]]/Table622269[[#This Row],[CAREA]]</f>
        <v>1.0454147815975379</v>
      </c>
      <c r="Z28">
        <v>3</v>
      </c>
      <c r="AA28">
        <f>-(Table723270[[#This Row],[time]]-2)*2</f>
        <v>-2</v>
      </c>
      <c r="AB28">
        <v>71.275400000000005</v>
      </c>
      <c r="AC28">
        <v>95.415800000000004</v>
      </c>
      <c r="AD28">
        <f>Table723270[[#This Row],[CFNM]]/Table723270[[#This Row],[CAREA]]</f>
        <v>1.3386918908908263</v>
      </c>
      <c r="AE28">
        <v>3</v>
      </c>
      <c r="AF28">
        <f>-(Table824271[[#This Row],[time]]-2)*2</f>
        <v>-2</v>
      </c>
      <c r="AG28">
        <v>71.828000000000003</v>
      </c>
      <c r="AH28">
        <v>85.834100000000007</v>
      </c>
      <c r="AI28">
        <f>Table824271[[#This Row],[CFNM]]/Table824271[[#This Row],[CAREA]]</f>
        <v>1.1949949880269533</v>
      </c>
      <c r="AJ28">
        <v>3</v>
      </c>
      <c r="AK28">
        <f>-(Table925272[[#This Row],[time]]-2)*2</f>
        <v>-2</v>
      </c>
      <c r="AL28">
        <v>75.809899999999999</v>
      </c>
      <c r="AM28">
        <v>87.845600000000005</v>
      </c>
      <c r="AN28">
        <f>Table925272[[#This Row],[CFNM]]/Table925272[[#This Row],[CAREA]]</f>
        <v>1.1587615865474035</v>
      </c>
    </row>
    <row r="30" spans="1:40">
      <c r="A30" t="s">
        <v>21</v>
      </c>
      <c r="D30" t="s">
        <v>2</v>
      </c>
    </row>
    <row r="31" spans="1:40">
      <c r="A31" t="s">
        <v>22</v>
      </c>
      <c r="D31" t="s">
        <v>4</v>
      </c>
      <c r="E31" t="s">
        <v>5</v>
      </c>
    </row>
    <row r="33" spans="1:40">
      <c r="A33" t="s">
        <v>7</v>
      </c>
      <c r="F33" t="s">
        <v>8</v>
      </c>
      <c r="K33" t="s">
        <v>9</v>
      </c>
      <c r="P33" t="s">
        <v>10</v>
      </c>
      <c r="U33" t="s">
        <v>11</v>
      </c>
      <c r="Z33" t="s">
        <v>12</v>
      </c>
      <c r="AE33" t="s">
        <v>13</v>
      </c>
      <c r="AJ33" t="s">
        <v>14</v>
      </c>
    </row>
    <row r="34" spans="1:40">
      <c r="A34" t="s">
        <v>15</v>
      </c>
      <c r="B34" t="s">
        <v>16</v>
      </c>
      <c r="C34" t="s">
        <v>20</v>
      </c>
      <c r="D34" t="s">
        <v>18</v>
      </c>
      <c r="E34" t="s">
        <v>19</v>
      </c>
      <c r="F34" t="s">
        <v>15</v>
      </c>
      <c r="G34" t="s">
        <v>16</v>
      </c>
      <c r="H34" t="s">
        <v>20</v>
      </c>
      <c r="I34" t="s">
        <v>18</v>
      </c>
      <c r="J34" t="s">
        <v>19</v>
      </c>
      <c r="K34" t="s">
        <v>15</v>
      </c>
      <c r="L34" t="s">
        <v>16</v>
      </c>
      <c r="M34" t="s">
        <v>20</v>
      </c>
      <c r="N34" t="s">
        <v>18</v>
      </c>
      <c r="O34" t="s">
        <v>19</v>
      </c>
      <c r="P34" t="s">
        <v>15</v>
      </c>
      <c r="Q34" t="s">
        <v>16</v>
      </c>
      <c r="R34" t="s">
        <v>20</v>
      </c>
      <c r="S34" t="s">
        <v>18</v>
      </c>
      <c r="T34" t="s">
        <v>19</v>
      </c>
      <c r="U34" t="s">
        <v>15</v>
      </c>
      <c r="V34" t="s">
        <v>16</v>
      </c>
      <c r="W34" t="s">
        <v>20</v>
      </c>
      <c r="X34" t="s">
        <v>18</v>
      </c>
      <c r="Y34" t="s">
        <v>19</v>
      </c>
      <c r="Z34" t="s">
        <v>15</v>
      </c>
      <c r="AA34" t="s">
        <v>16</v>
      </c>
      <c r="AB34" t="s">
        <v>20</v>
      </c>
      <c r="AC34" t="s">
        <v>18</v>
      </c>
      <c r="AD34" t="s">
        <v>19</v>
      </c>
      <c r="AE34" t="s">
        <v>15</v>
      </c>
      <c r="AF34" t="s">
        <v>16</v>
      </c>
      <c r="AG34" t="s">
        <v>20</v>
      </c>
      <c r="AH34" t="s">
        <v>18</v>
      </c>
      <c r="AI34" t="s">
        <v>19</v>
      </c>
      <c r="AJ34" t="s">
        <v>15</v>
      </c>
      <c r="AK34" t="s">
        <v>16</v>
      </c>
      <c r="AL34" t="s">
        <v>20</v>
      </c>
      <c r="AM34" t="s">
        <v>18</v>
      </c>
      <c r="AN34" t="s">
        <v>19</v>
      </c>
    </row>
    <row r="35" spans="1:40">
      <c r="A35">
        <v>2</v>
      </c>
      <c r="B35">
        <f>(Table1[[#This Row],[time]]-2)*2</f>
        <v>0</v>
      </c>
      <c r="C35">
        <v>91.723799999999997</v>
      </c>
      <c r="D35">
        <v>8.3138100000000001</v>
      </c>
      <c r="E35" s="2">
        <f>Table1[[#This Row],[CFNM]]/Table1[[#This Row],[CAREA]]</f>
        <v>9.063961589031419E-2</v>
      </c>
      <c r="F35">
        <v>2</v>
      </c>
      <c r="G35">
        <f>(Table2[[#This Row],[time]]-2)*2</f>
        <v>0</v>
      </c>
      <c r="H35">
        <v>94.410399999999996</v>
      </c>
      <c r="I35">
        <v>1.4588099999999999</v>
      </c>
      <c r="J35" s="2">
        <f>Table2[[#This Row],[CFNM]]/Table2[[#This Row],[CAREA]]</f>
        <v>1.5451793446484709E-2</v>
      </c>
      <c r="K35">
        <v>2</v>
      </c>
      <c r="L35">
        <f>(Table3[[#This Row],[time]]-2)*2</f>
        <v>0</v>
      </c>
      <c r="M35">
        <v>89.358400000000003</v>
      </c>
      <c r="N35">
        <v>1.7889999999999999</v>
      </c>
      <c r="O35">
        <f>Table3[[#This Row],[CFNM]]/Table3[[#This Row],[CAREA]]</f>
        <v>2.0020501709967949E-2</v>
      </c>
      <c r="P35">
        <v>2</v>
      </c>
      <c r="Q35">
        <f>(Table4[[#This Row],[time]]-2)*2</f>
        <v>0</v>
      </c>
      <c r="R35">
        <v>83.810500000000005</v>
      </c>
      <c r="S35">
        <v>2.8507699999999998</v>
      </c>
      <c r="T35">
        <f>Table4[[#This Row],[CFNM]]/Table4[[#This Row],[CAREA]]</f>
        <v>3.4014473126875507E-2</v>
      </c>
      <c r="U35">
        <v>2</v>
      </c>
      <c r="V35">
        <f>(Table5[[#This Row],[time]]-2)*2</f>
        <v>0</v>
      </c>
      <c r="W35">
        <v>83.264200000000002</v>
      </c>
      <c r="X35">
        <v>6.3959700000000002</v>
      </c>
      <c r="Y35">
        <f>Table5[[#This Row],[CFNM]]/Table5[[#This Row],[CAREA]]</f>
        <v>7.681536602765654E-2</v>
      </c>
      <c r="Z35">
        <v>2</v>
      </c>
      <c r="AA35">
        <f>(Table6[[#This Row],[time]]-2)*2</f>
        <v>0</v>
      </c>
      <c r="AB35">
        <v>87.737899999999996</v>
      </c>
      <c r="AC35">
        <v>10.3024</v>
      </c>
      <c r="AD35">
        <f>Table6[[#This Row],[CFNM]]/Table6[[#This Row],[CAREA]]</f>
        <v>0.11742245939326107</v>
      </c>
      <c r="AE35">
        <v>2</v>
      </c>
      <c r="AF35">
        <f>(Table7[[#This Row],[time]]-2)*2</f>
        <v>0</v>
      </c>
      <c r="AG35">
        <v>78.824299999999994</v>
      </c>
      <c r="AH35">
        <v>18.997399999999999</v>
      </c>
      <c r="AI35">
        <f>Table7[[#This Row],[CFNM]]/Table7[[#This Row],[CAREA]]</f>
        <v>0.24100943490776322</v>
      </c>
      <c r="AJ35">
        <v>2</v>
      </c>
      <c r="AK35">
        <f>(Table8[[#This Row],[time]]-2)*2</f>
        <v>0</v>
      </c>
      <c r="AL35">
        <v>83.280900000000003</v>
      </c>
      <c r="AM35">
        <v>18.324100000000001</v>
      </c>
      <c r="AN35">
        <f>Table8[[#This Row],[CFNM]]/Table8[[#This Row],[CAREA]]</f>
        <v>0.22002764139196385</v>
      </c>
    </row>
    <row r="36" spans="1:40">
      <c r="A36">
        <v>2.0512600000000001</v>
      </c>
      <c r="B36">
        <f>(Table1[[#This Row],[time]]-2)*2</f>
        <v>0.10252000000000017</v>
      </c>
      <c r="C36">
        <v>92.222300000000004</v>
      </c>
      <c r="D36">
        <v>9.9707699999999999</v>
      </c>
      <c r="E36">
        <f>Table1[[#This Row],[CFNM]]/Table1[[#This Row],[CAREA]]</f>
        <v>0.10811669194977787</v>
      </c>
      <c r="F36">
        <v>2.0512600000000001</v>
      </c>
      <c r="G36">
        <f>(Table2[[#This Row],[time]]-2)*2</f>
        <v>0.10252000000000017</v>
      </c>
      <c r="H36">
        <v>94.877899999999997</v>
      </c>
      <c r="I36">
        <v>3.2078700000000002</v>
      </c>
      <c r="J36">
        <f>Table2[[#This Row],[CFNM]]/Table2[[#This Row],[CAREA]]</f>
        <v>3.381050803190206E-2</v>
      </c>
      <c r="K36">
        <v>2.0512600000000001</v>
      </c>
      <c r="L36">
        <f>(Table3[[#This Row],[time]]-2)*2</f>
        <v>0.10252000000000017</v>
      </c>
      <c r="M36">
        <v>89.757000000000005</v>
      </c>
      <c r="N36">
        <v>2.76234</v>
      </c>
      <c r="O36">
        <f>Table3[[#This Row],[CFNM]]/Table3[[#This Row],[CAREA]]</f>
        <v>3.0775761221965972E-2</v>
      </c>
      <c r="P36">
        <v>2.0512600000000001</v>
      </c>
      <c r="Q36">
        <f>(Table4[[#This Row],[time]]-2)*2</f>
        <v>0.10252000000000017</v>
      </c>
      <c r="R36">
        <v>85.722700000000003</v>
      </c>
      <c r="S36">
        <v>4.6768299999999998</v>
      </c>
      <c r="T36">
        <f>Table4[[#This Row],[CFNM]]/Table4[[#This Row],[CAREA]]</f>
        <v>5.4557660922952729E-2</v>
      </c>
      <c r="U36">
        <v>2.0512600000000001</v>
      </c>
      <c r="V36">
        <f>(Table5[[#This Row],[time]]-2)*2</f>
        <v>0.10252000000000017</v>
      </c>
      <c r="W36">
        <v>82.958699999999993</v>
      </c>
      <c r="X36">
        <v>6.6913999999999998</v>
      </c>
      <c r="Y36">
        <f>Table5[[#This Row],[CFNM]]/Table5[[#This Row],[CAREA]]</f>
        <v>8.0659412454631041E-2</v>
      </c>
      <c r="Z36">
        <v>2.0512600000000001</v>
      </c>
      <c r="AA36">
        <f>(Table6[[#This Row],[time]]-2)*2</f>
        <v>0.10252000000000017</v>
      </c>
      <c r="AB36">
        <v>88.751400000000004</v>
      </c>
      <c r="AC36">
        <v>11.775700000000001</v>
      </c>
      <c r="AD36">
        <f>Table6[[#This Row],[CFNM]]/Table6[[#This Row],[CAREA]]</f>
        <v>0.13268185065249674</v>
      </c>
      <c r="AE36">
        <v>2.0512600000000001</v>
      </c>
      <c r="AF36">
        <f>(Table7[[#This Row],[time]]-2)*2</f>
        <v>0.10252000000000017</v>
      </c>
      <c r="AG36">
        <v>78.784599999999998</v>
      </c>
      <c r="AH36">
        <v>18.7072</v>
      </c>
      <c r="AI36">
        <f>Table7[[#This Row],[CFNM]]/Table7[[#This Row],[CAREA]]</f>
        <v>0.23744741992724466</v>
      </c>
      <c r="AJ36">
        <v>2.0512600000000001</v>
      </c>
      <c r="AK36">
        <f>(Table8[[#This Row],[time]]-2)*2</f>
        <v>0.10252000000000017</v>
      </c>
      <c r="AL36">
        <v>83.309299999999993</v>
      </c>
      <c r="AM36">
        <v>17.908100000000001</v>
      </c>
      <c r="AN36">
        <f>Table8[[#This Row],[CFNM]]/Table8[[#This Row],[CAREA]]</f>
        <v>0.21495919423161644</v>
      </c>
    </row>
    <row r="37" spans="1:40">
      <c r="A37">
        <v>2.1153300000000002</v>
      </c>
      <c r="B37">
        <f>(Table1[[#This Row],[time]]-2)*2</f>
        <v>0.23066000000000031</v>
      </c>
      <c r="C37">
        <v>92.218800000000002</v>
      </c>
      <c r="D37">
        <v>8.9254499999999997</v>
      </c>
      <c r="E37">
        <f>Table1[[#This Row],[CFNM]]/Table1[[#This Row],[CAREA]]</f>
        <v>9.6785579513071082E-2</v>
      </c>
      <c r="F37">
        <v>2.1153300000000002</v>
      </c>
      <c r="G37">
        <f>(Table2[[#This Row],[time]]-2)*2</f>
        <v>0.23066000000000031</v>
      </c>
      <c r="H37">
        <v>95.619500000000002</v>
      </c>
      <c r="I37">
        <v>2.8112900000000001</v>
      </c>
      <c r="J37">
        <f>Table2[[#This Row],[CFNM]]/Table2[[#This Row],[CAREA]]</f>
        <v>2.9400802137639289E-2</v>
      </c>
      <c r="K37">
        <v>2.1153300000000002</v>
      </c>
      <c r="L37">
        <f>(Table3[[#This Row],[time]]-2)*2</f>
        <v>0.23066000000000031</v>
      </c>
      <c r="M37">
        <v>89.034300000000002</v>
      </c>
      <c r="N37">
        <v>1.3079400000000001</v>
      </c>
      <c r="O37">
        <f>Table3[[#This Row],[CFNM]]/Table3[[#This Row],[CAREA]]</f>
        <v>1.469029351609436E-2</v>
      </c>
      <c r="P37">
        <v>2.1153300000000002</v>
      </c>
      <c r="Q37">
        <f>(Table4[[#This Row],[time]]-2)*2</f>
        <v>0.23066000000000031</v>
      </c>
      <c r="R37">
        <v>85.417400000000001</v>
      </c>
      <c r="S37">
        <v>2.8436300000000001</v>
      </c>
      <c r="T37">
        <f>Table4[[#This Row],[CFNM]]/Table4[[#This Row],[CAREA]]</f>
        <v>3.3290992233432536E-2</v>
      </c>
      <c r="U37">
        <v>2.1153300000000002</v>
      </c>
      <c r="V37">
        <f>(Table5[[#This Row],[time]]-2)*2</f>
        <v>0.23066000000000031</v>
      </c>
      <c r="W37">
        <v>83.137</v>
      </c>
      <c r="X37">
        <v>2.4759799999999998</v>
      </c>
      <c r="Y37">
        <f>Table5[[#This Row],[CFNM]]/Table5[[#This Row],[CAREA]]</f>
        <v>2.9781926218170007E-2</v>
      </c>
      <c r="Z37">
        <v>2.1153300000000002</v>
      </c>
      <c r="AA37">
        <f>(Table6[[#This Row],[time]]-2)*2</f>
        <v>0.23066000000000031</v>
      </c>
      <c r="AB37">
        <v>87.642499999999998</v>
      </c>
      <c r="AC37">
        <v>6.2255099999999999</v>
      </c>
      <c r="AD37">
        <f>Table6[[#This Row],[CFNM]]/Table6[[#This Row],[CAREA]]</f>
        <v>7.1033003394471855E-2</v>
      </c>
      <c r="AE37">
        <v>2.1153300000000002</v>
      </c>
      <c r="AF37">
        <f>(Table7[[#This Row],[time]]-2)*2</f>
        <v>0.23066000000000031</v>
      </c>
      <c r="AG37">
        <v>78.491799999999998</v>
      </c>
      <c r="AH37">
        <v>17.658300000000001</v>
      </c>
      <c r="AI37">
        <f>Table7[[#This Row],[CFNM]]/Table7[[#This Row],[CAREA]]</f>
        <v>0.22496999686591468</v>
      </c>
      <c r="AJ37">
        <v>2.1153300000000002</v>
      </c>
      <c r="AK37">
        <f>(Table8[[#This Row],[time]]-2)*2</f>
        <v>0.23066000000000031</v>
      </c>
      <c r="AL37">
        <v>83.521799999999999</v>
      </c>
      <c r="AM37">
        <v>16.5349</v>
      </c>
      <c r="AN37">
        <f>Table8[[#This Row],[CFNM]]/Table8[[#This Row],[CAREA]]</f>
        <v>0.19797106863118372</v>
      </c>
    </row>
    <row r="38" spans="1:40">
      <c r="A38">
        <v>2.16533</v>
      </c>
      <c r="B38">
        <f>(Table1[[#This Row],[time]]-2)*2</f>
        <v>0.33065999999999995</v>
      </c>
      <c r="C38">
        <v>92.069199999999995</v>
      </c>
      <c r="D38">
        <v>7.5117099999999999</v>
      </c>
      <c r="E38">
        <f>Table1[[#This Row],[CFNM]]/Table1[[#This Row],[CAREA]]</f>
        <v>8.1587653634440191E-2</v>
      </c>
      <c r="F38">
        <v>2.16533</v>
      </c>
      <c r="G38">
        <f>(Table2[[#This Row],[time]]-2)*2</f>
        <v>0.33065999999999995</v>
      </c>
      <c r="H38">
        <v>95.445300000000003</v>
      </c>
      <c r="I38">
        <v>2.0319500000000001</v>
      </c>
      <c r="J38">
        <f>Table2[[#This Row],[CFNM]]/Table2[[#This Row],[CAREA]]</f>
        <v>2.1289157245039828E-2</v>
      </c>
      <c r="K38">
        <v>2.16533</v>
      </c>
      <c r="L38">
        <f>(Table3[[#This Row],[time]]-2)*2</f>
        <v>0.33065999999999995</v>
      </c>
      <c r="M38">
        <v>87.873900000000006</v>
      </c>
      <c r="N38">
        <v>0.147483</v>
      </c>
      <c r="O38">
        <f>Table3[[#This Row],[CFNM]]/Table3[[#This Row],[CAREA]]</f>
        <v>1.6783481784693748E-3</v>
      </c>
      <c r="P38">
        <v>2.16533</v>
      </c>
      <c r="Q38">
        <f>(Table4[[#This Row],[time]]-2)*2</f>
        <v>0.33065999999999995</v>
      </c>
      <c r="R38">
        <v>84.336699999999993</v>
      </c>
      <c r="S38">
        <v>1.1991400000000001</v>
      </c>
      <c r="T38">
        <f>Table4[[#This Row],[CFNM]]/Table4[[#This Row],[CAREA]]</f>
        <v>1.4218483768039301E-2</v>
      </c>
      <c r="U38">
        <v>2.16533</v>
      </c>
      <c r="V38">
        <f>(Table5[[#This Row],[time]]-2)*2</f>
        <v>0.33065999999999995</v>
      </c>
      <c r="W38">
        <v>82.227400000000003</v>
      </c>
      <c r="X38">
        <v>1.50884</v>
      </c>
      <c r="Y38">
        <f>Table5[[#This Row],[CFNM]]/Table5[[#This Row],[CAREA]]</f>
        <v>1.8349601227814573E-2</v>
      </c>
      <c r="Z38">
        <v>2.16533</v>
      </c>
      <c r="AA38">
        <f>(Table6[[#This Row],[time]]-2)*2</f>
        <v>0.33065999999999995</v>
      </c>
      <c r="AB38">
        <v>86.573599999999999</v>
      </c>
      <c r="AC38">
        <v>4.3957600000000001</v>
      </c>
      <c r="AD38">
        <f>Table6[[#This Row],[CFNM]]/Table6[[#This Row],[CAREA]]</f>
        <v>5.0774832050417218E-2</v>
      </c>
      <c r="AE38">
        <v>2.16533</v>
      </c>
      <c r="AF38">
        <f>(Table7[[#This Row],[time]]-2)*2</f>
        <v>0.33065999999999995</v>
      </c>
      <c r="AG38">
        <v>78.2483</v>
      </c>
      <c r="AH38">
        <v>17.071999999999999</v>
      </c>
      <c r="AI38">
        <f>Table7[[#This Row],[CFNM]]/Table7[[#This Row],[CAREA]]</f>
        <v>0.21817726391499878</v>
      </c>
      <c r="AJ38">
        <v>2.16533</v>
      </c>
      <c r="AK38">
        <f>(Table8[[#This Row],[time]]-2)*2</f>
        <v>0.33065999999999995</v>
      </c>
      <c r="AL38">
        <v>83.686499999999995</v>
      </c>
      <c r="AM38">
        <v>15.6526</v>
      </c>
      <c r="AN38">
        <f>Table8[[#This Row],[CFNM]]/Table8[[#This Row],[CAREA]]</f>
        <v>0.18703853070686433</v>
      </c>
    </row>
    <row r="39" spans="1:40">
      <c r="A39">
        <v>2.2246999999999999</v>
      </c>
      <c r="B39">
        <f>(Table1[[#This Row],[time]]-2)*2</f>
        <v>0.4493999999999998</v>
      </c>
      <c r="C39">
        <v>91.327299999999994</v>
      </c>
      <c r="D39">
        <v>5.7748699999999999</v>
      </c>
      <c r="E39">
        <f>Table1[[#This Row],[CFNM]]/Table1[[#This Row],[CAREA]]</f>
        <v>6.3232680698980484E-2</v>
      </c>
      <c r="F39">
        <v>2.2246999999999999</v>
      </c>
      <c r="G39">
        <f>(Table2[[#This Row],[time]]-2)*2</f>
        <v>0.4493999999999998</v>
      </c>
      <c r="H39">
        <v>95.671499999999995</v>
      </c>
      <c r="I39">
        <v>0.94864099999999996</v>
      </c>
      <c r="J39">
        <f>Table2[[#This Row],[CFNM]]/Table2[[#This Row],[CAREA]]</f>
        <v>9.915607051211698E-3</v>
      </c>
      <c r="K39">
        <v>2.2246999999999999</v>
      </c>
      <c r="L39">
        <f>(Table3[[#This Row],[time]]-2)*2</f>
        <v>0.4493999999999998</v>
      </c>
      <c r="M39">
        <v>86.642099999999999</v>
      </c>
      <c r="N39">
        <v>4.2762099999999999E-3</v>
      </c>
      <c r="O39">
        <f>Table3[[#This Row],[CFNM]]/Table3[[#This Row],[CAREA]]</f>
        <v>4.9354874824132842E-5</v>
      </c>
      <c r="P39">
        <v>2.2246999999999999</v>
      </c>
      <c r="Q39">
        <f>(Table4[[#This Row],[time]]-2)*2</f>
        <v>0.4493999999999998</v>
      </c>
      <c r="R39">
        <v>83.354799999999997</v>
      </c>
      <c r="S39">
        <v>6.3136099999999999E-3</v>
      </c>
      <c r="T39">
        <f>Table4[[#This Row],[CFNM]]/Table4[[#This Row],[CAREA]]</f>
        <v>7.5743808394957457E-5</v>
      </c>
      <c r="U39">
        <v>2.2246999999999999</v>
      </c>
      <c r="V39">
        <f>(Table5[[#This Row],[time]]-2)*2</f>
        <v>0.4493999999999998</v>
      </c>
      <c r="W39">
        <v>80.641000000000005</v>
      </c>
      <c r="X39">
        <v>1.08378</v>
      </c>
      <c r="Y39">
        <f>Table5[[#This Row],[CFNM]]/Table5[[#This Row],[CAREA]]</f>
        <v>1.3439565481578849E-2</v>
      </c>
      <c r="Z39">
        <v>2.2246999999999999</v>
      </c>
      <c r="AA39">
        <f>(Table6[[#This Row],[time]]-2)*2</f>
        <v>0.4493999999999998</v>
      </c>
      <c r="AB39">
        <v>85.569100000000006</v>
      </c>
      <c r="AC39">
        <v>2.99004</v>
      </c>
      <c r="AD39">
        <f>Table6[[#This Row],[CFNM]]/Table6[[#This Row],[CAREA]]</f>
        <v>3.4942987597158318E-2</v>
      </c>
      <c r="AE39">
        <v>2.2246999999999999</v>
      </c>
      <c r="AF39">
        <f>(Table7[[#This Row],[time]]-2)*2</f>
        <v>0.4493999999999998</v>
      </c>
      <c r="AG39">
        <v>78.0398</v>
      </c>
      <c r="AH39">
        <v>16.477900000000002</v>
      </c>
      <c r="AI39">
        <f>Table7[[#This Row],[CFNM]]/Table7[[#This Row],[CAREA]]</f>
        <v>0.21114738889643492</v>
      </c>
      <c r="AJ39">
        <v>2.2246999999999999</v>
      </c>
      <c r="AK39">
        <f>(Table8[[#This Row],[time]]-2)*2</f>
        <v>0.4493999999999998</v>
      </c>
      <c r="AL39">
        <v>83.8596</v>
      </c>
      <c r="AM39">
        <v>14.7195</v>
      </c>
      <c r="AN39">
        <f>Table8[[#This Row],[CFNM]]/Table8[[#This Row],[CAREA]]</f>
        <v>0.17552552122833878</v>
      </c>
    </row>
    <row r="40" spans="1:40">
      <c r="A40">
        <v>2.2668900000000001</v>
      </c>
      <c r="B40">
        <f>(Table1[[#This Row],[time]]-2)*2</f>
        <v>0.53378000000000014</v>
      </c>
      <c r="C40">
        <v>90.578199999999995</v>
      </c>
      <c r="D40">
        <v>4.4530000000000003</v>
      </c>
      <c r="E40">
        <f>Table1[[#This Row],[CFNM]]/Table1[[#This Row],[CAREA]]</f>
        <v>4.9161939627857483E-2</v>
      </c>
      <c r="F40">
        <v>2.2668900000000001</v>
      </c>
      <c r="G40">
        <f>(Table2[[#This Row],[time]]-2)*2</f>
        <v>0.53378000000000014</v>
      </c>
      <c r="H40">
        <v>95.456100000000006</v>
      </c>
      <c r="I40">
        <v>0.27107500000000001</v>
      </c>
      <c r="J40">
        <f>Table2[[#This Row],[CFNM]]/Table2[[#This Row],[CAREA]]</f>
        <v>2.8397870853722287E-3</v>
      </c>
      <c r="K40">
        <v>2.2668900000000001</v>
      </c>
      <c r="L40">
        <f>(Table3[[#This Row],[time]]-2)*2</f>
        <v>0.53378000000000014</v>
      </c>
      <c r="M40">
        <v>86.425700000000006</v>
      </c>
      <c r="N40">
        <v>4.1385399999999996E-3</v>
      </c>
      <c r="O40">
        <f>Table3[[#This Row],[CFNM]]/Table3[[#This Row],[CAREA]]</f>
        <v>4.7885524791815391E-5</v>
      </c>
      <c r="P40">
        <v>2.2668900000000001</v>
      </c>
      <c r="Q40">
        <f>(Table4[[#This Row],[time]]-2)*2</f>
        <v>0.53378000000000014</v>
      </c>
      <c r="R40">
        <v>82.829499999999996</v>
      </c>
      <c r="S40">
        <v>5.3541099999999996E-3</v>
      </c>
      <c r="T40">
        <f>Table4[[#This Row],[CFNM]]/Table4[[#This Row],[CAREA]]</f>
        <v>6.4640134251685687E-5</v>
      </c>
      <c r="U40">
        <v>2.2668900000000001</v>
      </c>
      <c r="V40">
        <f>(Table5[[#This Row],[time]]-2)*2</f>
        <v>0.53378000000000014</v>
      </c>
      <c r="W40">
        <v>80.248599999999996</v>
      </c>
      <c r="X40">
        <v>0.86692800000000003</v>
      </c>
      <c r="Y40">
        <f>Table5[[#This Row],[CFNM]]/Table5[[#This Row],[CAREA]]</f>
        <v>1.0803029585562864E-2</v>
      </c>
      <c r="Z40">
        <v>2.2668900000000001</v>
      </c>
      <c r="AA40">
        <f>(Table6[[#This Row],[time]]-2)*2</f>
        <v>0.53378000000000014</v>
      </c>
      <c r="AB40">
        <v>85.194400000000002</v>
      </c>
      <c r="AC40">
        <v>2.1677200000000001</v>
      </c>
      <c r="AD40">
        <f>Table6[[#This Row],[CFNM]]/Table6[[#This Row],[CAREA]]</f>
        <v>2.5444395406270835E-2</v>
      </c>
      <c r="AE40">
        <v>2.2668900000000001</v>
      </c>
      <c r="AF40">
        <f>(Table7[[#This Row],[time]]-2)*2</f>
        <v>0.53378000000000014</v>
      </c>
      <c r="AG40">
        <v>77.909599999999998</v>
      </c>
      <c r="AH40">
        <v>16.0807</v>
      </c>
      <c r="AI40">
        <f>Table7[[#This Row],[CFNM]]/Table7[[#This Row],[CAREA]]</f>
        <v>0.20640203517923339</v>
      </c>
      <c r="AJ40">
        <v>2.2668900000000001</v>
      </c>
      <c r="AK40">
        <f>(Table8[[#This Row],[time]]-2)*2</f>
        <v>0.53378000000000014</v>
      </c>
      <c r="AL40">
        <v>84.160899999999998</v>
      </c>
      <c r="AM40">
        <v>14.1434</v>
      </c>
      <c r="AN40">
        <f>Table8[[#This Row],[CFNM]]/Table8[[#This Row],[CAREA]]</f>
        <v>0.16805191009126566</v>
      </c>
    </row>
    <row r="41" spans="1:40">
      <c r="A41">
        <v>2.3262700000000001</v>
      </c>
      <c r="B41">
        <f>(Table1[[#This Row],[time]]-2)*2</f>
        <v>0.65254000000000012</v>
      </c>
      <c r="C41">
        <v>89.391199999999998</v>
      </c>
      <c r="D41">
        <v>3.2728000000000002</v>
      </c>
      <c r="E41">
        <f>Table1[[#This Row],[CFNM]]/Table1[[#This Row],[CAREA]]</f>
        <v>3.6612104994675092E-2</v>
      </c>
      <c r="F41">
        <v>2.3262700000000001</v>
      </c>
      <c r="G41">
        <f>(Table2[[#This Row],[time]]-2)*2</f>
        <v>0.65254000000000012</v>
      </c>
      <c r="H41">
        <v>93.7136</v>
      </c>
      <c r="I41">
        <v>5.5241500000000002E-3</v>
      </c>
      <c r="J41">
        <f>Table2[[#This Row],[CFNM]]/Table2[[#This Row],[CAREA]]</f>
        <v>5.8947153881613774E-5</v>
      </c>
      <c r="K41">
        <v>2.3262700000000001</v>
      </c>
      <c r="L41">
        <f>(Table3[[#This Row],[time]]-2)*2</f>
        <v>0.65254000000000012</v>
      </c>
      <c r="M41">
        <v>86.068399999999997</v>
      </c>
      <c r="N41">
        <v>3.9457700000000004E-3</v>
      </c>
      <c r="O41">
        <f>Table3[[#This Row],[CFNM]]/Table3[[#This Row],[CAREA]]</f>
        <v>4.5844584074991521E-5</v>
      </c>
      <c r="P41">
        <v>2.3262700000000001</v>
      </c>
      <c r="Q41">
        <f>(Table4[[#This Row],[time]]-2)*2</f>
        <v>0.65254000000000012</v>
      </c>
      <c r="R41">
        <v>82.488100000000003</v>
      </c>
      <c r="S41">
        <v>5.1830299999999999E-3</v>
      </c>
      <c r="T41">
        <f>Table4[[#This Row],[CFNM]]/Table4[[#This Row],[CAREA]]</f>
        <v>6.2833669341395907E-5</v>
      </c>
      <c r="U41">
        <v>2.3262700000000001</v>
      </c>
      <c r="V41">
        <f>(Table5[[#This Row],[time]]-2)*2</f>
        <v>0.65254000000000012</v>
      </c>
      <c r="W41">
        <v>79.475099999999998</v>
      </c>
      <c r="X41">
        <v>0.63298399999999999</v>
      </c>
      <c r="Y41">
        <f>Table5[[#This Row],[CFNM]]/Table5[[#This Row],[CAREA]]</f>
        <v>7.9645574525857785E-3</v>
      </c>
      <c r="Z41">
        <v>2.3262700000000001</v>
      </c>
      <c r="AA41">
        <f>(Table6[[#This Row],[time]]-2)*2</f>
        <v>0.65254000000000012</v>
      </c>
      <c r="AB41">
        <v>84.655000000000001</v>
      </c>
      <c r="AC41">
        <v>1.5419400000000001</v>
      </c>
      <c r="AD41">
        <f>Table6[[#This Row],[CFNM]]/Table6[[#This Row],[CAREA]]</f>
        <v>1.8214399621995156E-2</v>
      </c>
      <c r="AE41">
        <v>2.3262700000000001</v>
      </c>
      <c r="AF41">
        <f>(Table7[[#This Row],[time]]-2)*2</f>
        <v>0.65254000000000012</v>
      </c>
      <c r="AG41">
        <v>77.639700000000005</v>
      </c>
      <c r="AH41">
        <v>15.4831</v>
      </c>
      <c r="AI41">
        <f>Table7[[#This Row],[CFNM]]/Table7[[#This Row],[CAREA]]</f>
        <v>0.19942246041651371</v>
      </c>
      <c r="AJ41">
        <v>2.3262700000000001</v>
      </c>
      <c r="AK41">
        <f>(Table8[[#This Row],[time]]-2)*2</f>
        <v>0.65254000000000012</v>
      </c>
      <c r="AL41">
        <v>84.263599999999997</v>
      </c>
      <c r="AM41">
        <v>13.413</v>
      </c>
      <c r="AN41">
        <f>Table8[[#This Row],[CFNM]]/Table8[[#This Row],[CAREA]]</f>
        <v>0.15917905240222352</v>
      </c>
    </row>
    <row r="42" spans="1:40">
      <c r="A42">
        <v>2.3684599999999998</v>
      </c>
      <c r="B42">
        <f>(Table1[[#This Row],[time]]-2)*2</f>
        <v>0.73691999999999958</v>
      </c>
      <c r="C42">
        <v>88.829499999999996</v>
      </c>
      <c r="D42">
        <v>3.0259999999999998</v>
      </c>
      <c r="E42">
        <f>Table1[[#This Row],[CFNM]]/Table1[[#This Row],[CAREA]]</f>
        <v>3.4065259851738444E-2</v>
      </c>
      <c r="F42">
        <v>2.3684599999999998</v>
      </c>
      <c r="G42">
        <f>(Table2[[#This Row],[time]]-2)*2</f>
        <v>0.73691999999999958</v>
      </c>
      <c r="H42">
        <v>93.375600000000006</v>
      </c>
      <c r="I42">
        <v>5.3921100000000003E-3</v>
      </c>
      <c r="J42">
        <f>Table2[[#This Row],[CFNM]]/Table2[[#This Row],[CAREA]]</f>
        <v>5.7746456247670699E-5</v>
      </c>
      <c r="K42">
        <v>2.3684599999999998</v>
      </c>
      <c r="L42">
        <f>(Table3[[#This Row],[time]]-2)*2</f>
        <v>0.73691999999999958</v>
      </c>
      <c r="M42">
        <v>85.744100000000003</v>
      </c>
      <c r="N42">
        <v>3.9130299999999996E-3</v>
      </c>
      <c r="O42">
        <f>Table3[[#This Row],[CFNM]]/Table3[[#This Row],[CAREA]]</f>
        <v>4.5636142894963028E-5</v>
      </c>
      <c r="P42">
        <v>2.3684599999999998</v>
      </c>
      <c r="Q42">
        <f>(Table4[[#This Row],[time]]-2)*2</f>
        <v>0.73691999999999958</v>
      </c>
      <c r="R42">
        <v>82.077699999999993</v>
      </c>
      <c r="S42">
        <v>5.15862E-3</v>
      </c>
      <c r="T42">
        <f>Table4[[#This Row],[CFNM]]/Table4[[#This Row],[CAREA]]</f>
        <v>6.2850445370667073E-5</v>
      </c>
      <c r="U42">
        <v>2.3684599999999998</v>
      </c>
      <c r="V42">
        <f>(Table5[[#This Row],[time]]-2)*2</f>
        <v>0.73691999999999958</v>
      </c>
      <c r="W42">
        <v>79.101900000000001</v>
      </c>
      <c r="X42">
        <v>0.531474</v>
      </c>
      <c r="Y42">
        <f>Table5[[#This Row],[CFNM]]/Table5[[#This Row],[CAREA]]</f>
        <v>6.7188525180811084E-3</v>
      </c>
      <c r="Z42">
        <v>2.3684599999999998</v>
      </c>
      <c r="AA42">
        <f>(Table6[[#This Row],[time]]-2)*2</f>
        <v>0.73691999999999958</v>
      </c>
      <c r="AB42">
        <v>83.046400000000006</v>
      </c>
      <c r="AC42">
        <v>1.08612</v>
      </c>
      <c r="AD42">
        <f>Table6[[#This Row],[CFNM]]/Table6[[#This Row],[CAREA]]</f>
        <v>1.307847179408138E-2</v>
      </c>
      <c r="AE42">
        <v>2.3684599999999998</v>
      </c>
      <c r="AF42">
        <f>(Table7[[#This Row],[time]]-2)*2</f>
        <v>0.73691999999999958</v>
      </c>
      <c r="AG42">
        <v>77.579099999999997</v>
      </c>
      <c r="AH42">
        <v>15.1685</v>
      </c>
      <c r="AI42">
        <f>Table7[[#This Row],[CFNM]]/Table7[[#This Row],[CAREA]]</f>
        <v>0.19552302101983654</v>
      </c>
      <c r="AJ42">
        <v>2.3684599999999998</v>
      </c>
      <c r="AK42">
        <f>(Table8[[#This Row],[time]]-2)*2</f>
        <v>0.73691999999999958</v>
      </c>
      <c r="AL42">
        <v>84.229900000000001</v>
      </c>
      <c r="AM42">
        <v>12.9621</v>
      </c>
      <c r="AN42">
        <f>Table8[[#This Row],[CFNM]]/Table8[[#This Row],[CAREA]]</f>
        <v>0.15388953328924765</v>
      </c>
    </row>
    <row r="43" spans="1:40">
      <c r="A43">
        <v>2.4278300000000002</v>
      </c>
      <c r="B43">
        <f>(Table1[[#This Row],[time]]-2)*2</f>
        <v>0.85566000000000031</v>
      </c>
      <c r="C43">
        <v>88.180899999999994</v>
      </c>
      <c r="D43">
        <v>3.0901200000000002</v>
      </c>
      <c r="E43">
        <f>Table1[[#This Row],[CFNM]]/Table1[[#This Row],[CAREA]]</f>
        <v>3.5042962818478837E-2</v>
      </c>
      <c r="F43">
        <v>2.4278300000000002</v>
      </c>
      <c r="G43">
        <f>(Table2[[#This Row],[time]]-2)*2</f>
        <v>0.85566000000000031</v>
      </c>
      <c r="H43">
        <v>93.136099999999999</v>
      </c>
      <c r="I43">
        <v>5.41816E-3</v>
      </c>
      <c r="J43">
        <f>Table2[[#This Row],[CFNM]]/Table2[[#This Row],[CAREA]]</f>
        <v>5.8174649786709989E-5</v>
      </c>
      <c r="K43">
        <v>2.4278300000000002</v>
      </c>
      <c r="L43">
        <f>(Table3[[#This Row],[time]]-2)*2</f>
        <v>0.85566000000000031</v>
      </c>
      <c r="M43">
        <v>85.093999999999994</v>
      </c>
      <c r="N43">
        <v>3.86193E-3</v>
      </c>
      <c r="O43">
        <f>Table3[[#This Row],[CFNM]]/Table3[[#This Row],[CAREA]]</f>
        <v>4.5384280912872829E-5</v>
      </c>
      <c r="P43">
        <v>2.4278300000000002</v>
      </c>
      <c r="Q43">
        <f>(Table4[[#This Row],[time]]-2)*2</f>
        <v>0.85566000000000031</v>
      </c>
      <c r="R43">
        <v>81.631200000000007</v>
      </c>
      <c r="S43">
        <v>5.1471599999999996E-3</v>
      </c>
      <c r="T43">
        <f>Table4[[#This Row],[CFNM]]/Table4[[#This Row],[CAREA]]</f>
        <v>6.305383235821597E-5</v>
      </c>
      <c r="U43">
        <v>2.4278300000000002</v>
      </c>
      <c r="V43">
        <f>(Table5[[#This Row],[time]]-2)*2</f>
        <v>0.85566000000000031</v>
      </c>
      <c r="W43">
        <v>78.444699999999997</v>
      </c>
      <c r="X43">
        <v>0.41950199999999999</v>
      </c>
      <c r="Y43">
        <f>Table5[[#This Row],[CFNM]]/Table5[[#This Row],[CAREA]]</f>
        <v>5.3477417849771879E-3</v>
      </c>
      <c r="Z43">
        <v>2.4278300000000002</v>
      </c>
      <c r="AA43">
        <f>(Table6[[#This Row],[time]]-2)*2</f>
        <v>0.85566000000000031</v>
      </c>
      <c r="AB43">
        <v>81.753299999999996</v>
      </c>
      <c r="AC43">
        <v>0.54502600000000001</v>
      </c>
      <c r="AD43">
        <f>Table6[[#This Row],[CFNM]]/Table6[[#This Row],[CAREA]]</f>
        <v>6.6667155943552128E-3</v>
      </c>
      <c r="AE43">
        <v>2.4278300000000002</v>
      </c>
      <c r="AF43">
        <f>(Table7[[#This Row],[time]]-2)*2</f>
        <v>0.85566000000000031</v>
      </c>
      <c r="AG43">
        <v>77.666899999999998</v>
      </c>
      <c r="AH43">
        <v>14.756500000000001</v>
      </c>
      <c r="AI43">
        <f>Table7[[#This Row],[CFNM]]/Table7[[#This Row],[CAREA]]</f>
        <v>0.18999728326996443</v>
      </c>
      <c r="AJ43">
        <v>2.4278300000000002</v>
      </c>
      <c r="AK43">
        <f>(Table8[[#This Row],[time]]-2)*2</f>
        <v>0.85566000000000031</v>
      </c>
      <c r="AL43">
        <v>83.9285</v>
      </c>
      <c r="AM43">
        <v>12.3718</v>
      </c>
      <c r="AN43">
        <f>Table8[[#This Row],[CFNM]]/Table8[[#This Row],[CAREA]]</f>
        <v>0.14740880630536707</v>
      </c>
    </row>
    <row r="44" spans="1:40">
      <c r="A44">
        <v>2.4542000000000002</v>
      </c>
      <c r="B44">
        <f>(Table1[[#This Row],[time]]-2)*2</f>
        <v>0.90840000000000032</v>
      </c>
      <c r="C44">
        <v>87.987200000000001</v>
      </c>
      <c r="D44">
        <v>3.1327500000000001</v>
      </c>
      <c r="E44">
        <f>Table1[[#This Row],[CFNM]]/Table1[[#This Row],[CAREA]]</f>
        <v>3.5604610670643001E-2</v>
      </c>
      <c r="F44">
        <v>2.4542000000000002</v>
      </c>
      <c r="G44">
        <f>(Table2[[#This Row],[time]]-2)*2</f>
        <v>0.90840000000000032</v>
      </c>
      <c r="H44">
        <v>93.0017</v>
      </c>
      <c r="I44">
        <v>5.44182E-3</v>
      </c>
      <c r="J44">
        <f>Table2[[#This Row],[CFNM]]/Table2[[#This Row],[CAREA]]</f>
        <v>5.8513123953648161E-5</v>
      </c>
      <c r="K44">
        <v>2.4542000000000002</v>
      </c>
      <c r="L44">
        <f>(Table3[[#This Row],[time]]-2)*2</f>
        <v>0.90840000000000032</v>
      </c>
      <c r="M44">
        <v>84.778599999999997</v>
      </c>
      <c r="N44">
        <v>3.8282500000000001E-3</v>
      </c>
      <c r="O44">
        <f>Table3[[#This Row],[CFNM]]/Table3[[#This Row],[CAREA]]</f>
        <v>4.5155853010075657E-5</v>
      </c>
      <c r="P44">
        <v>2.4542000000000002</v>
      </c>
      <c r="Q44">
        <f>(Table4[[#This Row],[time]]-2)*2</f>
        <v>0.90840000000000032</v>
      </c>
      <c r="R44">
        <v>81.434100000000001</v>
      </c>
      <c r="S44">
        <v>5.1406100000000003E-3</v>
      </c>
      <c r="T44">
        <f>Table4[[#This Row],[CFNM]]/Table4[[#This Row],[CAREA]]</f>
        <v>6.3126012321619573E-5</v>
      </c>
      <c r="U44">
        <v>2.4542000000000002</v>
      </c>
      <c r="V44">
        <f>(Table5[[#This Row],[time]]-2)*2</f>
        <v>0.90840000000000032</v>
      </c>
      <c r="W44">
        <v>78.173400000000001</v>
      </c>
      <c r="X44">
        <v>0.368064</v>
      </c>
      <c r="Y44">
        <f>Table5[[#This Row],[CFNM]]/Table5[[#This Row],[CAREA]]</f>
        <v>4.7083023125513278E-3</v>
      </c>
      <c r="Z44">
        <v>2.4542000000000002</v>
      </c>
      <c r="AA44">
        <f>(Table6[[#This Row],[time]]-2)*2</f>
        <v>0.90840000000000032</v>
      </c>
      <c r="AB44">
        <v>81.148099999999999</v>
      </c>
      <c r="AC44">
        <v>0.40573399999999998</v>
      </c>
      <c r="AD44">
        <f>Table6[[#This Row],[CFNM]]/Table6[[#This Row],[CAREA]]</f>
        <v>4.9999198995417018E-3</v>
      </c>
      <c r="AE44">
        <v>2.4542000000000002</v>
      </c>
      <c r="AF44">
        <f>(Table7[[#This Row],[time]]-2)*2</f>
        <v>0.90840000000000032</v>
      </c>
      <c r="AG44">
        <v>77.683199999999999</v>
      </c>
      <c r="AH44">
        <v>14.5787</v>
      </c>
      <c r="AI44">
        <f>Table7[[#This Row],[CFNM]]/Table7[[#This Row],[CAREA]]</f>
        <v>0.18766863362992256</v>
      </c>
      <c r="AJ44">
        <v>2.4542000000000002</v>
      </c>
      <c r="AK44">
        <f>(Table8[[#This Row],[time]]-2)*2</f>
        <v>0.90840000000000032</v>
      </c>
      <c r="AL44">
        <v>83.918499999999995</v>
      </c>
      <c r="AM44">
        <v>12.1153</v>
      </c>
      <c r="AN44">
        <f>Table8[[#This Row],[CFNM]]/Table8[[#This Row],[CAREA]]</f>
        <v>0.14436983501850009</v>
      </c>
    </row>
    <row r="45" spans="1:40">
      <c r="A45">
        <v>2.5061499999999999</v>
      </c>
      <c r="B45">
        <f>(Table1[[#This Row],[time]]-2)*2</f>
        <v>1.0122999999999998</v>
      </c>
      <c r="C45">
        <v>87.375799999999998</v>
      </c>
      <c r="D45">
        <v>3.2262900000000001</v>
      </c>
      <c r="E45">
        <f>Table1[[#This Row],[CFNM]]/Table1[[#This Row],[CAREA]]</f>
        <v>3.6924297116592925E-2</v>
      </c>
      <c r="F45">
        <v>2.5061499999999999</v>
      </c>
      <c r="G45">
        <f>(Table2[[#This Row],[time]]-2)*2</f>
        <v>1.0122999999999998</v>
      </c>
      <c r="H45">
        <v>92.9131</v>
      </c>
      <c r="I45">
        <v>5.5399200000000003E-3</v>
      </c>
      <c r="J45">
        <f>Table2[[#This Row],[CFNM]]/Table2[[#This Row],[CAREA]]</f>
        <v>5.9624746133752937E-5</v>
      </c>
      <c r="K45">
        <v>2.5061499999999999</v>
      </c>
      <c r="L45">
        <f>(Table3[[#This Row],[time]]-2)*2</f>
        <v>1.0122999999999998</v>
      </c>
      <c r="M45">
        <v>84.219399999999993</v>
      </c>
      <c r="N45">
        <v>3.7616300000000002E-3</v>
      </c>
      <c r="O45">
        <f>Table3[[#This Row],[CFNM]]/Table3[[#This Row],[CAREA]]</f>
        <v>4.466464971253655E-5</v>
      </c>
      <c r="P45">
        <v>2.5061499999999999</v>
      </c>
      <c r="Q45">
        <f>(Table4[[#This Row],[time]]-2)*2</f>
        <v>1.0122999999999998</v>
      </c>
      <c r="R45">
        <v>81.022999999999996</v>
      </c>
      <c r="S45">
        <v>5.1071600000000003E-3</v>
      </c>
      <c r="T45">
        <f>Table4[[#This Row],[CFNM]]/Table4[[#This Row],[CAREA]]</f>
        <v>6.3033459634918482E-5</v>
      </c>
      <c r="U45">
        <v>2.5061499999999999</v>
      </c>
      <c r="V45">
        <f>(Table5[[#This Row],[time]]-2)*2</f>
        <v>1.0122999999999998</v>
      </c>
      <c r="W45">
        <v>77.128699999999995</v>
      </c>
      <c r="X45">
        <v>0.25287100000000001</v>
      </c>
      <c r="Y45">
        <f>Table5[[#This Row],[CFNM]]/Table5[[#This Row],[CAREA]]</f>
        <v>3.2785590837133261E-3</v>
      </c>
      <c r="Z45">
        <v>2.5061499999999999</v>
      </c>
      <c r="AA45">
        <f>(Table6[[#This Row],[time]]-2)*2</f>
        <v>1.0122999999999998</v>
      </c>
      <c r="AB45">
        <v>79.905299999999997</v>
      </c>
      <c r="AC45">
        <v>0.178726</v>
      </c>
      <c r="AD45">
        <f>Table6[[#This Row],[CFNM]]/Table6[[#This Row],[CAREA]]</f>
        <v>2.2367227205204159E-3</v>
      </c>
      <c r="AE45">
        <v>2.5061499999999999</v>
      </c>
      <c r="AF45">
        <f>(Table7[[#This Row],[time]]-2)*2</f>
        <v>1.0122999999999998</v>
      </c>
      <c r="AG45">
        <v>77.836600000000004</v>
      </c>
      <c r="AH45">
        <v>14.2293</v>
      </c>
      <c r="AI45">
        <f>Table7[[#This Row],[CFNM]]/Table7[[#This Row],[CAREA]]</f>
        <v>0.1828098863516649</v>
      </c>
      <c r="AJ45">
        <v>2.5061499999999999</v>
      </c>
      <c r="AK45">
        <f>(Table8[[#This Row],[time]]-2)*2</f>
        <v>1.0122999999999998</v>
      </c>
      <c r="AL45">
        <v>83.820400000000006</v>
      </c>
      <c r="AM45">
        <v>11.5875</v>
      </c>
      <c r="AN45">
        <f>Table8[[#This Row],[CFNM]]/Table8[[#This Row],[CAREA]]</f>
        <v>0.13824200314004706</v>
      </c>
    </row>
    <row r="46" spans="1:40">
      <c r="A46">
        <v>2.5507599999999999</v>
      </c>
      <c r="B46">
        <f>(Table1[[#This Row],[time]]-2)*2</f>
        <v>1.1015199999999998</v>
      </c>
      <c r="C46">
        <v>86.577299999999994</v>
      </c>
      <c r="D46">
        <v>3.2848199999999999</v>
      </c>
      <c r="E46">
        <f>Table1[[#This Row],[CFNM]]/Table1[[#This Row],[CAREA]]</f>
        <v>3.7940892127613125E-2</v>
      </c>
      <c r="F46">
        <v>2.5507599999999999</v>
      </c>
      <c r="G46">
        <f>(Table2[[#This Row],[time]]-2)*2</f>
        <v>1.1015199999999998</v>
      </c>
      <c r="H46">
        <v>92.6203</v>
      </c>
      <c r="I46">
        <v>5.6530499999999997E-3</v>
      </c>
      <c r="J46">
        <f>Table2[[#This Row],[CFNM]]/Table2[[#This Row],[CAREA]]</f>
        <v>6.1034675983558678E-5</v>
      </c>
      <c r="K46">
        <v>2.5507599999999999</v>
      </c>
      <c r="L46">
        <f>(Table3[[#This Row],[time]]-2)*2</f>
        <v>1.1015199999999998</v>
      </c>
      <c r="M46">
        <v>83.712599999999995</v>
      </c>
      <c r="N46">
        <v>3.6926699999999999E-3</v>
      </c>
      <c r="O46">
        <f>Table3[[#This Row],[CFNM]]/Table3[[#This Row],[CAREA]]</f>
        <v>4.4111280739100212E-5</v>
      </c>
      <c r="P46">
        <v>2.5507599999999999</v>
      </c>
      <c r="Q46">
        <f>(Table4[[#This Row],[time]]-2)*2</f>
        <v>1.1015199999999998</v>
      </c>
      <c r="R46">
        <v>80.626800000000003</v>
      </c>
      <c r="S46">
        <v>5.0737999999999998E-3</v>
      </c>
      <c r="T46">
        <f>Table4[[#This Row],[CFNM]]/Table4[[#This Row],[CAREA]]</f>
        <v>6.2929447776669794E-5</v>
      </c>
      <c r="U46">
        <v>2.5507599999999999</v>
      </c>
      <c r="V46">
        <f>(Table5[[#This Row],[time]]-2)*2</f>
        <v>1.1015199999999998</v>
      </c>
      <c r="W46">
        <v>76.640600000000006</v>
      </c>
      <c r="X46">
        <v>0.14203299999999999</v>
      </c>
      <c r="Y46">
        <f>Table5[[#This Row],[CFNM]]/Table5[[#This Row],[CAREA]]</f>
        <v>1.8532344475382498E-3</v>
      </c>
      <c r="Z46">
        <v>2.5507599999999999</v>
      </c>
      <c r="AA46">
        <f>(Table6[[#This Row],[time]]-2)*2</f>
        <v>1.1015199999999998</v>
      </c>
      <c r="AB46">
        <v>77.8934</v>
      </c>
      <c r="AC46">
        <v>4.1919399999999999E-3</v>
      </c>
      <c r="AD46">
        <f>Table6[[#This Row],[CFNM]]/Table6[[#This Row],[CAREA]]</f>
        <v>5.3816369551207162E-5</v>
      </c>
      <c r="AE46">
        <v>2.5507599999999999</v>
      </c>
      <c r="AF46">
        <f>(Table7[[#This Row],[time]]-2)*2</f>
        <v>1.1015199999999998</v>
      </c>
      <c r="AG46">
        <v>77.995999999999995</v>
      </c>
      <c r="AH46">
        <v>13.8756</v>
      </c>
      <c r="AI46">
        <f>Table7[[#This Row],[CFNM]]/Table7[[#This Row],[CAREA]]</f>
        <v>0.17790143084260732</v>
      </c>
      <c r="AJ46">
        <v>2.5507599999999999</v>
      </c>
      <c r="AK46">
        <f>(Table8[[#This Row],[time]]-2)*2</f>
        <v>1.1015199999999998</v>
      </c>
      <c r="AL46">
        <v>83.724000000000004</v>
      </c>
      <c r="AM46">
        <v>11.099</v>
      </c>
      <c r="AN46">
        <f>Table8[[#This Row],[CFNM]]/Table8[[#This Row],[CAREA]]</f>
        <v>0.1325665281161913</v>
      </c>
    </row>
    <row r="47" spans="1:40">
      <c r="A47">
        <v>2.60453</v>
      </c>
      <c r="B47">
        <f>(Table1[[#This Row],[time]]-2)*2</f>
        <v>1.20906</v>
      </c>
      <c r="C47">
        <v>85.630099999999999</v>
      </c>
      <c r="D47">
        <v>3.33161</v>
      </c>
      <c r="E47">
        <f>Table1[[#This Row],[CFNM]]/Table1[[#This Row],[CAREA]]</f>
        <v>3.8906996488384339E-2</v>
      </c>
      <c r="F47">
        <v>2.60453</v>
      </c>
      <c r="G47">
        <f>(Table2[[#This Row],[time]]-2)*2</f>
        <v>1.20906</v>
      </c>
      <c r="H47">
        <v>92.2881</v>
      </c>
      <c r="I47">
        <v>5.7884900000000003E-3</v>
      </c>
      <c r="J47">
        <f>Table2[[#This Row],[CFNM]]/Table2[[#This Row],[CAREA]]</f>
        <v>6.272195440148838E-5</v>
      </c>
      <c r="K47">
        <v>2.60453</v>
      </c>
      <c r="L47">
        <f>(Table3[[#This Row],[time]]-2)*2</f>
        <v>1.20906</v>
      </c>
      <c r="M47">
        <v>83.114500000000007</v>
      </c>
      <c r="N47">
        <v>3.6056999999999999E-3</v>
      </c>
      <c r="O47">
        <f>Table3[[#This Row],[CFNM]]/Table3[[#This Row],[CAREA]]</f>
        <v>4.3382321977512942E-5</v>
      </c>
      <c r="P47">
        <v>2.60453</v>
      </c>
      <c r="Q47">
        <f>(Table4[[#This Row],[time]]-2)*2</f>
        <v>1.20906</v>
      </c>
      <c r="R47">
        <v>80.141900000000007</v>
      </c>
      <c r="S47">
        <v>5.0104900000000003E-3</v>
      </c>
      <c r="T47">
        <f>Table4[[#This Row],[CFNM]]/Table4[[#This Row],[CAREA]]</f>
        <v>6.2520229742494253E-5</v>
      </c>
      <c r="U47">
        <v>2.60453</v>
      </c>
      <c r="V47">
        <f>(Table5[[#This Row],[time]]-2)*2</f>
        <v>1.20906</v>
      </c>
      <c r="W47">
        <v>75.481999999999999</v>
      </c>
      <c r="X47">
        <v>1.9857799999999998E-2</v>
      </c>
      <c r="Y47">
        <f>Table5[[#This Row],[CFNM]]/Table5[[#This Row],[CAREA]]</f>
        <v>2.6307993958824618E-4</v>
      </c>
      <c r="Z47">
        <v>2.60453</v>
      </c>
      <c r="AA47">
        <f>(Table6[[#This Row],[time]]-2)*2</f>
        <v>1.20906</v>
      </c>
      <c r="AB47">
        <v>76.624700000000004</v>
      </c>
      <c r="AC47">
        <v>3.8238299999999999E-3</v>
      </c>
      <c r="AD47">
        <f>Table6[[#This Row],[CFNM]]/Table6[[#This Row],[CAREA]]</f>
        <v>4.9903360143661244E-5</v>
      </c>
      <c r="AE47">
        <v>2.60453</v>
      </c>
      <c r="AF47">
        <f>(Table7[[#This Row],[time]]-2)*2</f>
        <v>1.20906</v>
      </c>
      <c r="AG47">
        <v>78.051400000000001</v>
      </c>
      <c r="AH47">
        <v>13.4154</v>
      </c>
      <c r="AI47">
        <f>Table7[[#This Row],[CFNM]]/Table7[[#This Row],[CAREA]]</f>
        <v>0.17187904380959212</v>
      </c>
      <c r="AJ47">
        <v>2.60453</v>
      </c>
      <c r="AK47">
        <f>(Table8[[#This Row],[time]]-2)*2</f>
        <v>1.20906</v>
      </c>
      <c r="AL47">
        <v>83.640100000000004</v>
      </c>
      <c r="AM47">
        <v>10.4504</v>
      </c>
      <c r="AN47">
        <f>Table8[[#This Row],[CFNM]]/Table8[[#This Row],[CAREA]]</f>
        <v>0.12494485300711022</v>
      </c>
    </row>
    <row r="48" spans="1:40">
      <c r="A48">
        <v>2.65273</v>
      </c>
      <c r="B48">
        <f>(Table1[[#This Row],[time]]-2)*2</f>
        <v>1.3054600000000001</v>
      </c>
      <c r="C48">
        <v>84.748999999999995</v>
      </c>
      <c r="D48">
        <v>3.3838900000000001</v>
      </c>
      <c r="E48">
        <f>Table1[[#This Row],[CFNM]]/Table1[[#This Row],[CAREA]]</f>
        <v>3.9928376736008686E-2</v>
      </c>
      <c r="F48">
        <v>2.65273</v>
      </c>
      <c r="G48">
        <f>(Table2[[#This Row],[time]]-2)*2</f>
        <v>1.3054600000000001</v>
      </c>
      <c r="H48">
        <v>92.004099999999994</v>
      </c>
      <c r="I48">
        <v>5.8957100000000002E-3</v>
      </c>
      <c r="J48">
        <f>Table2[[#This Row],[CFNM]]/Table2[[#This Row],[CAREA]]</f>
        <v>6.408094856642259E-5</v>
      </c>
      <c r="K48">
        <v>2.65273</v>
      </c>
      <c r="L48">
        <f>(Table3[[#This Row],[time]]-2)*2</f>
        <v>1.3054600000000001</v>
      </c>
      <c r="M48">
        <v>82.658199999999994</v>
      </c>
      <c r="N48">
        <v>3.5287600000000001E-3</v>
      </c>
      <c r="O48">
        <f>Table3[[#This Row],[CFNM]]/Table3[[#This Row],[CAREA]]</f>
        <v>4.2690985286396274E-5</v>
      </c>
      <c r="P48">
        <v>2.65273</v>
      </c>
      <c r="Q48">
        <f>(Table4[[#This Row],[time]]-2)*2</f>
        <v>1.3054600000000001</v>
      </c>
      <c r="R48">
        <v>79.691000000000003</v>
      </c>
      <c r="S48">
        <v>4.9336199999999997E-3</v>
      </c>
      <c r="T48">
        <f>Table4[[#This Row],[CFNM]]/Table4[[#This Row],[CAREA]]</f>
        <v>6.1909374960786033E-5</v>
      </c>
      <c r="U48">
        <v>2.65273</v>
      </c>
      <c r="V48">
        <f>(Table5[[#This Row],[time]]-2)*2</f>
        <v>1.3054600000000001</v>
      </c>
      <c r="W48">
        <v>74.174999999999997</v>
      </c>
      <c r="X48">
        <v>5.0171900000000004E-3</v>
      </c>
      <c r="Y48">
        <f>Table5[[#This Row],[CFNM]]/Table5[[#This Row],[CAREA]]</f>
        <v>6.7639905628581059E-5</v>
      </c>
      <c r="Z48">
        <v>2.65273</v>
      </c>
      <c r="AA48">
        <f>(Table6[[#This Row],[time]]-2)*2</f>
        <v>1.3054600000000001</v>
      </c>
      <c r="AB48">
        <v>76.212299999999999</v>
      </c>
      <c r="AC48">
        <v>3.6454399999999998E-3</v>
      </c>
      <c r="AD48">
        <f>Table6[[#This Row],[CFNM]]/Table6[[#This Row],[CAREA]]</f>
        <v>4.7832698921302729E-5</v>
      </c>
      <c r="AE48">
        <v>2.65273</v>
      </c>
      <c r="AF48">
        <f>(Table7[[#This Row],[time]]-2)*2</f>
        <v>1.3054600000000001</v>
      </c>
      <c r="AG48">
        <v>78.135900000000007</v>
      </c>
      <c r="AH48">
        <v>12.902699999999999</v>
      </c>
      <c r="AI48">
        <f>Table7[[#This Row],[CFNM]]/Table7[[#This Row],[CAREA]]</f>
        <v>0.16513152085021096</v>
      </c>
      <c r="AJ48">
        <v>2.65273</v>
      </c>
      <c r="AK48">
        <f>(Table8[[#This Row],[time]]-2)*2</f>
        <v>1.3054600000000001</v>
      </c>
      <c r="AL48">
        <v>83.540999999999997</v>
      </c>
      <c r="AM48">
        <v>9.8347200000000008</v>
      </c>
      <c r="AN48">
        <f>Table8[[#This Row],[CFNM]]/Table8[[#This Row],[CAREA]]</f>
        <v>0.11772327360218338</v>
      </c>
    </row>
    <row r="49" spans="1:40">
      <c r="A49">
        <v>2.7006199999999998</v>
      </c>
      <c r="B49">
        <f>(Table1[[#This Row],[time]]-2)*2</f>
        <v>1.4012399999999996</v>
      </c>
      <c r="C49">
        <v>84.176699999999997</v>
      </c>
      <c r="D49">
        <v>3.4552200000000002</v>
      </c>
      <c r="E49">
        <f>Table1[[#This Row],[CFNM]]/Table1[[#This Row],[CAREA]]</f>
        <v>4.1047225657456284E-2</v>
      </c>
      <c r="F49">
        <v>2.7006199999999998</v>
      </c>
      <c r="G49">
        <f>(Table2[[#This Row],[time]]-2)*2</f>
        <v>1.4012399999999996</v>
      </c>
      <c r="H49">
        <v>91.6554</v>
      </c>
      <c r="I49">
        <v>5.9864000000000002E-3</v>
      </c>
      <c r="J49">
        <f>Table2[[#This Row],[CFNM]]/Table2[[#This Row],[CAREA]]</f>
        <v>6.531420952829839E-5</v>
      </c>
      <c r="K49">
        <v>2.7006199999999998</v>
      </c>
      <c r="L49">
        <f>(Table3[[#This Row],[time]]-2)*2</f>
        <v>1.4012399999999996</v>
      </c>
      <c r="M49">
        <v>82.102800000000002</v>
      </c>
      <c r="N49">
        <v>3.4434999999999999E-3</v>
      </c>
      <c r="O49">
        <f>Table3[[#This Row],[CFNM]]/Table3[[#This Row],[CAREA]]</f>
        <v>4.194132234223437E-5</v>
      </c>
      <c r="P49">
        <v>2.7006199999999998</v>
      </c>
      <c r="Q49">
        <f>(Table4[[#This Row],[time]]-2)*2</f>
        <v>1.4012399999999996</v>
      </c>
      <c r="R49">
        <v>78.826700000000002</v>
      </c>
      <c r="S49">
        <v>4.8615799999999999E-3</v>
      </c>
      <c r="T49">
        <f>Table4[[#This Row],[CFNM]]/Table4[[#This Row],[CAREA]]</f>
        <v>6.1674280415138517E-5</v>
      </c>
      <c r="U49">
        <v>2.7006199999999998</v>
      </c>
      <c r="V49">
        <f>(Table5[[#This Row],[time]]-2)*2</f>
        <v>1.4012399999999996</v>
      </c>
      <c r="W49">
        <v>73.278300000000002</v>
      </c>
      <c r="X49">
        <v>4.34118E-3</v>
      </c>
      <c r="Y49">
        <f>Table5[[#This Row],[CFNM]]/Table5[[#This Row],[CAREA]]</f>
        <v>5.9242367795104417E-5</v>
      </c>
      <c r="Z49">
        <v>2.7006199999999998</v>
      </c>
      <c r="AA49">
        <f>(Table6[[#This Row],[time]]-2)*2</f>
        <v>1.4012399999999996</v>
      </c>
      <c r="AB49">
        <v>75.841399999999993</v>
      </c>
      <c r="AC49">
        <v>3.4832499999999998E-3</v>
      </c>
      <c r="AD49">
        <f>Table6[[#This Row],[CFNM]]/Table6[[#This Row],[CAREA]]</f>
        <v>4.5928081496385877E-5</v>
      </c>
      <c r="AE49">
        <v>2.7006199999999998</v>
      </c>
      <c r="AF49">
        <f>(Table7[[#This Row],[time]]-2)*2</f>
        <v>1.4012399999999996</v>
      </c>
      <c r="AG49">
        <v>78.2333</v>
      </c>
      <c r="AH49">
        <v>12.298</v>
      </c>
      <c r="AI49">
        <f>Table7[[#This Row],[CFNM]]/Table7[[#This Row],[CAREA]]</f>
        <v>0.15719648794055729</v>
      </c>
      <c r="AJ49">
        <v>2.7006199999999998</v>
      </c>
      <c r="AK49">
        <f>(Table8[[#This Row],[time]]-2)*2</f>
        <v>1.4012399999999996</v>
      </c>
      <c r="AL49">
        <v>83.449200000000005</v>
      </c>
      <c r="AM49">
        <v>9.3045500000000008</v>
      </c>
      <c r="AN49">
        <f>Table8[[#This Row],[CFNM]]/Table8[[#This Row],[CAREA]]</f>
        <v>0.11149957099648648</v>
      </c>
    </row>
    <row r="50" spans="1:40">
      <c r="A50">
        <v>2.75176</v>
      </c>
      <c r="B50">
        <f>(Table1[[#This Row],[time]]-2)*2</f>
        <v>1.50352</v>
      </c>
      <c r="C50">
        <v>83.585800000000006</v>
      </c>
      <c r="D50">
        <v>3.52305</v>
      </c>
      <c r="E50">
        <f>Table1[[#This Row],[CFNM]]/Table1[[#This Row],[CAREA]]</f>
        <v>4.2148905675365909E-2</v>
      </c>
      <c r="F50">
        <v>2.75176</v>
      </c>
      <c r="G50">
        <f>(Table2[[#This Row],[time]]-2)*2</f>
        <v>1.50352</v>
      </c>
      <c r="H50">
        <v>91.1601</v>
      </c>
      <c r="I50">
        <v>6.0661999999999999E-3</v>
      </c>
      <c r="J50">
        <f>Table2[[#This Row],[CFNM]]/Table2[[#This Row],[CAREA]]</f>
        <v>6.6544464080228082E-5</v>
      </c>
      <c r="K50">
        <v>2.75176</v>
      </c>
      <c r="L50">
        <f>(Table3[[#This Row],[time]]-2)*2</f>
        <v>1.50352</v>
      </c>
      <c r="M50">
        <v>81.518500000000003</v>
      </c>
      <c r="N50">
        <v>3.3486000000000002E-3</v>
      </c>
      <c r="O50">
        <f>Table3[[#This Row],[CFNM]]/Table3[[#This Row],[CAREA]]</f>
        <v>4.1077792157608396E-5</v>
      </c>
      <c r="P50">
        <v>2.75176</v>
      </c>
      <c r="Q50">
        <f>(Table4[[#This Row],[time]]-2)*2</f>
        <v>1.50352</v>
      </c>
      <c r="R50">
        <v>78.452799999999996</v>
      </c>
      <c r="S50">
        <v>4.7881699999999996E-3</v>
      </c>
      <c r="T50">
        <f>Table4[[#This Row],[CFNM]]/Table4[[#This Row],[CAREA]]</f>
        <v>6.1032493422796892E-5</v>
      </c>
      <c r="U50">
        <v>2.75176</v>
      </c>
      <c r="V50">
        <f>(Table5[[#This Row],[time]]-2)*2</f>
        <v>1.50352</v>
      </c>
      <c r="W50">
        <v>72.756100000000004</v>
      </c>
      <c r="X50">
        <v>4.1775700000000002E-3</v>
      </c>
      <c r="Y50">
        <f>Table5[[#This Row],[CFNM]]/Table5[[#This Row],[CAREA]]</f>
        <v>5.7418828112007107E-5</v>
      </c>
      <c r="Z50">
        <v>2.75176</v>
      </c>
      <c r="AA50">
        <f>(Table6[[#This Row],[time]]-2)*2</f>
        <v>1.50352</v>
      </c>
      <c r="AB50">
        <v>75.1661</v>
      </c>
      <c r="AC50">
        <v>3.31628E-3</v>
      </c>
      <c r="AD50">
        <f>Table6[[#This Row],[CFNM]]/Table6[[#This Row],[CAREA]]</f>
        <v>4.4119356997369826E-5</v>
      </c>
      <c r="AE50">
        <v>2.75176</v>
      </c>
      <c r="AF50">
        <f>(Table7[[#This Row],[time]]-2)*2</f>
        <v>1.50352</v>
      </c>
      <c r="AG50">
        <v>78.238900000000001</v>
      </c>
      <c r="AH50">
        <v>11.605399999999999</v>
      </c>
      <c r="AI50">
        <f>Table7[[#This Row],[CFNM]]/Table7[[#This Row],[CAREA]]</f>
        <v>0.14833286255302669</v>
      </c>
      <c r="AJ50">
        <v>2.75176</v>
      </c>
      <c r="AK50">
        <f>(Table8[[#This Row],[time]]-2)*2</f>
        <v>1.50352</v>
      </c>
      <c r="AL50">
        <v>83.354399999999998</v>
      </c>
      <c r="AM50">
        <v>8.7631499999999996</v>
      </c>
      <c r="AN50">
        <f>Table8[[#This Row],[CFNM]]/Table8[[#This Row],[CAREA]]</f>
        <v>0.10513122282686936</v>
      </c>
    </row>
    <row r="51" spans="1:40">
      <c r="A51">
        <v>2.80444</v>
      </c>
      <c r="B51">
        <f>(Table1[[#This Row],[time]]-2)*2</f>
        <v>1.6088800000000001</v>
      </c>
      <c r="C51">
        <v>83.0839</v>
      </c>
      <c r="D51">
        <v>3.52867</v>
      </c>
      <c r="E51">
        <f>Table1[[#This Row],[CFNM]]/Table1[[#This Row],[CAREA]]</f>
        <v>4.247116469015056E-2</v>
      </c>
      <c r="F51">
        <v>2.80444</v>
      </c>
      <c r="G51">
        <f>(Table2[[#This Row],[time]]-2)*2</f>
        <v>1.6088800000000001</v>
      </c>
      <c r="H51">
        <v>90.502700000000004</v>
      </c>
      <c r="I51">
        <v>6.1373299999999999E-3</v>
      </c>
      <c r="J51">
        <f>Table2[[#This Row],[CFNM]]/Table2[[#This Row],[CAREA]]</f>
        <v>6.7813777931487128E-5</v>
      </c>
      <c r="K51">
        <v>2.80444</v>
      </c>
      <c r="L51">
        <f>(Table3[[#This Row],[time]]-2)*2</f>
        <v>1.6088800000000001</v>
      </c>
      <c r="M51">
        <v>81.014300000000006</v>
      </c>
      <c r="N51">
        <v>3.2416099999999998E-3</v>
      </c>
      <c r="O51">
        <f>Table3[[#This Row],[CFNM]]/Table3[[#This Row],[CAREA]]</f>
        <v>4.0012812552845601E-5</v>
      </c>
      <c r="P51">
        <v>2.80444</v>
      </c>
      <c r="Q51">
        <f>(Table4[[#This Row],[time]]-2)*2</f>
        <v>1.6088800000000001</v>
      </c>
      <c r="R51">
        <v>77.953800000000001</v>
      </c>
      <c r="S51">
        <v>4.7096100000000004E-3</v>
      </c>
      <c r="T51">
        <f>Table4[[#This Row],[CFNM]]/Table4[[#This Row],[CAREA]]</f>
        <v>6.0415399890704497E-5</v>
      </c>
      <c r="U51">
        <v>2.80444</v>
      </c>
      <c r="V51">
        <f>(Table5[[#This Row],[time]]-2)*2</f>
        <v>1.6088800000000001</v>
      </c>
      <c r="W51">
        <v>71.827699999999993</v>
      </c>
      <c r="X51">
        <v>4.0628499999999998E-3</v>
      </c>
      <c r="Y51">
        <f>Table5[[#This Row],[CFNM]]/Table5[[#This Row],[CAREA]]</f>
        <v>5.6563832616107713E-5</v>
      </c>
      <c r="Z51">
        <v>2.80444</v>
      </c>
      <c r="AA51">
        <f>(Table6[[#This Row],[time]]-2)*2</f>
        <v>1.6088800000000001</v>
      </c>
      <c r="AB51">
        <v>73.994500000000002</v>
      </c>
      <c r="AC51">
        <v>3.1552799999999999E-3</v>
      </c>
      <c r="AD51">
        <f>Table6[[#This Row],[CFNM]]/Table6[[#This Row],[CAREA]]</f>
        <v>4.2642088263316865E-5</v>
      </c>
      <c r="AE51">
        <v>2.80444</v>
      </c>
      <c r="AF51">
        <f>(Table7[[#This Row],[time]]-2)*2</f>
        <v>1.6088800000000001</v>
      </c>
      <c r="AG51">
        <v>78.283199999999994</v>
      </c>
      <c r="AH51">
        <v>10.8368</v>
      </c>
      <c r="AI51">
        <f>Table7[[#This Row],[CFNM]]/Table7[[#This Row],[CAREA]]</f>
        <v>0.13843072332250089</v>
      </c>
      <c r="AJ51">
        <v>2.80444</v>
      </c>
      <c r="AK51">
        <f>(Table8[[#This Row],[time]]-2)*2</f>
        <v>1.6088800000000001</v>
      </c>
      <c r="AL51">
        <v>83.242400000000004</v>
      </c>
      <c r="AM51">
        <v>8.1902399999999993</v>
      </c>
      <c r="AN51">
        <f>Table8[[#This Row],[CFNM]]/Table8[[#This Row],[CAREA]]</f>
        <v>9.8390243433634769E-2</v>
      </c>
    </row>
    <row r="52" spans="1:40">
      <c r="A52">
        <v>2.8583699999999999</v>
      </c>
      <c r="B52">
        <f>(Table1[[#This Row],[time]]-2)*2</f>
        <v>1.7167399999999997</v>
      </c>
      <c r="C52">
        <v>82.213099999999997</v>
      </c>
      <c r="D52">
        <v>3.54718</v>
      </c>
      <c r="E52">
        <f>Table1[[#This Row],[CFNM]]/Table1[[#This Row],[CAREA]]</f>
        <v>4.3146165270498256E-2</v>
      </c>
      <c r="F52">
        <v>2.8583699999999999</v>
      </c>
      <c r="G52">
        <f>(Table2[[#This Row],[time]]-2)*2</f>
        <v>1.7167399999999997</v>
      </c>
      <c r="H52">
        <v>89.915400000000005</v>
      </c>
      <c r="I52">
        <v>6.1975399999999996E-3</v>
      </c>
      <c r="J52">
        <f>Table2[[#This Row],[CFNM]]/Table2[[#This Row],[CAREA]]</f>
        <v>6.892634632109738E-5</v>
      </c>
      <c r="K52">
        <v>2.8583699999999999</v>
      </c>
      <c r="L52">
        <f>(Table3[[#This Row],[time]]-2)*2</f>
        <v>1.7167399999999997</v>
      </c>
      <c r="M52">
        <v>80.555499999999995</v>
      </c>
      <c r="N52">
        <v>3.13146E-3</v>
      </c>
      <c r="O52">
        <f>Table3[[#This Row],[CFNM]]/Table3[[#This Row],[CAREA]]</f>
        <v>3.8873323360912664E-5</v>
      </c>
      <c r="P52">
        <v>2.8583699999999999</v>
      </c>
      <c r="Q52">
        <f>(Table4[[#This Row],[time]]-2)*2</f>
        <v>1.7167399999999997</v>
      </c>
      <c r="R52">
        <v>77.495599999999996</v>
      </c>
      <c r="S52">
        <v>4.6220100000000002E-3</v>
      </c>
      <c r="T52">
        <f>Table4[[#This Row],[CFNM]]/Table4[[#This Row],[CAREA]]</f>
        <v>5.9642224848894653E-5</v>
      </c>
      <c r="U52">
        <v>2.8583699999999999</v>
      </c>
      <c r="V52">
        <f>(Table5[[#This Row],[time]]-2)*2</f>
        <v>1.7167399999999997</v>
      </c>
      <c r="W52">
        <v>71.217699999999994</v>
      </c>
      <c r="X52">
        <v>3.9473800000000003E-3</v>
      </c>
      <c r="Y52">
        <f>Table5[[#This Row],[CFNM]]/Table5[[#This Row],[CAREA]]</f>
        <v>5.5426951446059065E-5</v>
      </c>
      <c r="Z52">
        <v>2.8583699999999999</v>
      </c>
      <c r="AA52">
        <f>(Table6[[#This Row],[time]]-2)*2</f>
        <v>1.7167399999999997</v>
      </c>
      <c r="AB52">
        <v>73.140699999999995</v>
      </c>
      <c r="AC52">
        <v>2.9955300000000002E-3</v>
      </c>
      <c r="AD52">
        <f>Table6[[#This Row],[CFNM]]/Table6[[#This Row],[CAREA]]</f>
        <v>4.0955719592511422E-5</v>
      </c>
      <c r="AE52">
        <v>2.8583699999999999</v>
      </c>
      <c r="AF52">
        <f>(Table7[[#This Row],[time]]-2)*2</f>
        <v>1.7167399999999997</v>
      </c>
      <c r="AG52">
        <v>78.304900000000004</v>
      </c>
      <c r="AH52">
        <v>10.036</v>
      </c>
      <c r="AI52">
        <f>Table7[[#This Row],[CFNM]]/Table7[[#This Row],[CAREA]]</f>
        <v>0.12816567034757723</v>
      </c>
      <c r="AJ52">
        <v>2.8583699999999999</v>
      </c>
      <c r="AK52">
        <f>(Table8[[#This Row],[time]]-2)*2</f>
        <v>1.7167399999999997</v>
      </c>
      <c r="AL52">
        <v>83.106200000000001</v>
      </c>
      <c r="AM52">
        <v>7.5922499999999999</v>
      </c>
      <c r="AN52">
        <f>Table8[[#This Row],[CFNM]]/Table8[[#This Row],[CAREA]]</f>
        <v>9.1355999913363864E-2</v>
      </c>
    </row>
    <row r="53" spans="1:40">
      <c r="A53">
        <v>2.9134199999999999</v>
      </c>
      <c r="B53">
        <f>(Table1[[#This Row],[time]]-2)*2</f>
        <v>1.8268399999999998</v>
      </c>
      <c r="C53">
        <v>81.371099999999998</v>
      </c>
      <c r="D53">
        <v>3.5208400000000002</v>
      </c>
      <c r="E53">
        <f>Table1[[#This Row],[CFNM]]/Table1[[#This Row],[CAREA]]</f>
        <v>4.3268924716514834E-2</v>
      </c>
      <c r="F53">
        <v>2.9134199999999999</v>
      </c>
      <c r="G53">
        <f>(Table2[[#This Row],[time]]-2)*2</f>
        <v>1.8268399999999998</v>
      </c>
      <c r="H53">
        <v>89.190399999999997</v>
      </c>
      <c r="I53">
        <v>6.3876100000000002E-3</v>
      </c>
      <c r="J53">
        <f>Table2[[#This Row],[CFNM]]/Table2[[#This Row],[CAREA]]</f>
        <v>7.161768531142366E-5</v>
      </c>
      <c r="K53">
        <v>2.9134199999999999</v>
      </c>
      <c r="L53">
        <f>(Table3[[#This Row],[time]]-2)*2</f>
        <v>1.8268399999999998</v>
      </c>
      <c r="M53">
        <v>79.154899999999998</v>
      </c>
      <c r="N53">
        <v>3.0135800000000001E-3</v>
      </c>
      <c r="O53">
        <f>Table3[[#This Row],[CFNM]]/Table3[[#This Row],[CAREA]]</f>
        <v>3.8071932375633096E-5</v>
      </c>
      <c r="P53">
        <v>2.9134199999999999</v>
      </c>
      <c r="Q53">
        <f>(Table4[[#This Row],[time]]-2)*2</f>
        <v>1.8268399999999998</v>
      </c>
      <c r="R53">
        <v>77.082899999999995</v>
      </c>
      <c r="S53">
        <v>4.5258700000000004E-3</v>
      </c>
      <c r="T53">
        <f>Table4[[#This Row],[CFNM]]/Table4[[#This Row],[CAREA]]</f>
        <v>5.871431925887584E-5</v>
      </c>
      <c r="U53">
        <v>2.9134199999999999</v>
      </c>
      <c r="V53">
        <f>(Table5[[#This Row],[time]]-2)*2</f>
        <v>1.8268399999999998</v>
      </c>
      <c r="W53">
        <v>70.286100000000005</v>
      </c>
      <c r="X53">
        <v>3.8257600000000001E-3</v>
      </c>
      <c r="Y53">
        <f>Table5[[#This Row],[CFNM]]/Table5[[#This Row],[CAREA]]</f>
        <v>5.4431246007389794E-5</v>
      </c>
      <c r="Z53">
        <v>2.9134199999999999</v>
      </c>
      <c r="AA53">
        <f>(Table6[[#This Row],[time]]-2)*2</f>
        <v>1.8268399999999998</v>
      </c>
      <c r="AB53">
        <v>71.110299999999995</v>
      </c>
      <c r="AC53">
        <v>2.8356700000000002E-3</v>
      </c>
      <c r="AD53">
        <f>Table6[[#This Row],[CFNM]]/Table6[[#This Row],[CAREA]]</f>
        <v>3.9877064222763796E-5</v>
      </c>
      <c r="AE53">
        <v>2.9134199999999999</v>
      </c>
      <c r="AF53">
        <f>(Table7[[#This Row],[time]]-2)*2</f>
        <v>1.8268399999999998</v>
      </c>
      <c r="AG53">
        <v>78.273399999999995</v>
      </c>
      <c r="AH53">
        <v>9.2726400000000009</v>
      </c>
      <c r="AI53">
        <f>Table7[[#This Row],[CFNM]]/Table7[[#This Row],[CAREA]]</f>
        <v>0.11846476580805231</v>
      </c>
      <c r="AJ53">
        <v>2.9134199999999999</v>
      </c>
      <c r="AK53">
        <f>(Table8[[#This Row],[time]]-2)*2</f>
        <v>1.8268399999999998</v>
      </c>
      <c r="AL53">
        <v>82.969899999999996</v>
      </c>
      <c r="AM53">
        <v>6.95763</v>
      </c>
      <c r="AN53">
        <f>Table8[[#This Row],[CFNM]]/Table8[[#This Row],[CAREA]]</f>
        <v>8.385727836239408E-2</v>
      </c>
    </row>
    <row r="54" spans="1:40">
      <c r="A54">
        <v>2.9619599999999999</v>
      </c>
      <c r="B54">
        <f>(Table1[[#This Row],[time]]-2)*2</f>
        <v>1.9239199999999999</v>
      </c>
      <c r="C54">
        <v>80.363100000000003</v>
      </c>
      <c r="D54">
        <v>3.4615800000000001</v>
      </c>
      <c r="E54">
        <f>Table1[[#This Row],[CFNM]]/Table1[[#This Row],[CAREA]]</f>
        <v>4.3074246762506672E-2</v>
      </c>
      <c r="F54">
        <v>2.9619599999999999</v>
      </c>
      <c r="G54">
        <f>(Table2[[#This Row],[time]]-2)*2</f>
        <v>1.9239199999999999</v>
      </c>
      <c r="H54">
        <v>88.617500000000007</v>
      </c>
      <c r="I54">
        <v>6.5525399999999999E-3</v>
      </c>
      <c r="J54">
        <f>Table2[[#This Row],[CFNM]]/Table2[[#This Row],[CAREA]]</f>
        <v>7.3941828645583536E-5</v>
      </c>
      <c r="K54">
        <v>2.9619599999999999</v>
      </c>
      <c r="L54">
        <f>(Table3[[#This Row],[time]]-2)*2</f>
        <v>1.9239199999999999</v>
      </c>
      <c r="M54">
        <v>78.717500000000001</v>
      </c>
      <c r="N54">
        <v>2.90822E-3</v>
      </c>
      <c r="O54">
        <f>Table3[[#This Row],[CFNM]]/Table3[[#This Row],[CAREA]]</f>
        <v>3.6945024930923875E-5</v>
      </c>
      <c r="P54">
        <v>2.9619599999999999</v>
      </c>
      <c r="Q54">
        <f>(Table4[[#This Row],[time]]-2)*2</f>
        <v>1.9239199999999999</v>
      </c>
      <c r="R54">
        <v>76.699200000000005</v>
      </c>
      <c r="S54">
        <v>4.43319E-3</v>
      </c>
      <c r="T54">
        <f>Table4[[#This Row],[CFNM]]/Table4[[#This Row],[CAREA]]</f>
        <v>5.7799690218411661E-5</v>
      </c>
      <c r="U54">
        <v>2.9619599999999999</v>
      </c>
      <c r="V54">
        <f>(Table5[[#This Row],[time]]-2)*2</f>
        <v>1.9239199999999999</v>
      </c>
      <c r="W54">
        <v>69.835300000000004</v>
      </c>
      <c r="X54">
        <v>3.7171000000000001E-3</v>
      </c>
      <c r="Y54">
        <f>Table5[[#This Row],[CFNM]]/Table5[[#This Row],[CAREA]]</f>
        <v>5.3226663306379436E-5</v>
      </c>
      <c r="Z54">
        <v>2.9619599999999999</v>
      </c>
      <c r="AA54">
        <f>(Table6[[#This Row],[time]]-2)*2</f>
        <v>1.9239199999999999</v>
      </c>
      <c r="AB54">
        <v>70.396699999999996</v>
      </c>
      <c r="AC54">
        <v>2.7010200000000002E-3</v>
      </c>
      <c r="AD54">
        <f>Table6[[#This Row],[CFNM]]/Table6[[#This Row],[CAREA]]</f>
        <v>3.8368559889881205E-5</v>
      </c>
      <c r="AE54">
        <v>2.9619599999999999</v>
      </c>
      <c r="AF54">
        <f>(Table7[[#This Row],[time]]-2)*2</f>
        <v>1.9239199999999999</v>
      </c>
      <c r="AG54">
        <v>78.121899999999997</v>
      </c>
      <c r="AH54">
        <v>8.5297599999999996</v>
      </c>
      <c r="AI54">
        <f>Table7[[#This Row],[CFNM]]/Table7[[#This Row],[CAREA]]</f>
        <v>0.1091852604711355</v>
      </c>
      <c r="AJ54">
        <v>2.9619599999999999</v>
      </c>
      <c r="AK54">
        <f>(Table8[[#This Row],[time]]-2)*2</f>
        <v>1.9239199999999999</v>
      </c>
      <c r="AL54">
        <v>82.875600000000006</v>
      </c>
      <c r="AM54">
        <v>6.3501399999999997</v>
      </c>
      <c r="AN54">
        <f>Table8[[#This Row],[CFNM]]/Table8[[#This Row],[CAREA]]</f>
        <v>7.6622552355578716E-2</v>
      </c>
    </row>
    <row r="55" spans="1:40">
      <c r="A55">
        <v>3</v>
      </c>
      <c r="B55">
        <f>(Table1[[#This Row],[time]]-2)*2</f>
        <v>2</v>
      </c>
      <c r="C55">
        <v>80.053700000000006</v>
      </c>
      <c r="D55">
        <v>3.3944299999999998</v>
      </c>
      <c r="E55">
        <f>Table1[[#This Row],[CFNM]]/Table1[[#This Row],[CAREA]]</f>
        <v>4.240191271608932E-2</v>
      </c>
      <c r="F55">
        <v>3</v>
      </c>
      <c r="G55">
        <f>(Table2[[#This Row],[time]]-2)*2</f>
        <v>2</v>
      </c>
      <c r="H55">
        <v>88.150800000000004</v>
      </c>
      <c r="I55">
        <v>3.7627500000000001E-2</v>
      </c>
      <c r="J55">
        <f>Table2[[#This Row],[CFNM]]/Table2[[#This Row],[CAREA]]</f>
        <v>4.2685375515593734E-4</v>
      </c>
      <c r="K55">
        <v>3</v>
      </c>
      <c r="L55">
        <f>(Table3[[#This Row],[time]]-2)*2</f>
        <v>2</v>
      </c>
      <c r="M55">
        <v>78.353099999999998</v>
      </c>
      <c r="N55">
        <v>2.8228900000000002E-3</v>
      </c>
      <c r="O55">
        <f>Table3[[#This Row],[CFNM]]/Table3[[#This Row],[CAREA]]</f>
        <v>3.6027802346046298E-5</v>
      </c>
      <c r="P55">
        <v>3</v>
      </c>
      <c r="Q55">
        <f>(Table4[[#This Row],[time]]-2)*2</f>
        <v>2</v>
      </c>
      <c r="R55">
        <v>76.386499999999998</v>
      </c>
      <c r="S55">
        <v>4.3565899999999996E-3</v>
      </c>
      <c r="T55">
        <f>Table4[[#This Row],[CFNM]]/Table4[[#This Row],[CAREA]]</f>
        <v>5.7033507229680635E-5</v>
      </c>
      <c r="U55">
        <v>3</v>
      </c>
      <c r="V55">
        <f>(Table5[[#This Row],[time]]-2)*2</f>
        <v>2</v>
      </c>
      <c r="W55">
        <v>69.483900000000006</v>
      </c>
      <c r="X55">
        <v>3.63139E-3</v>
      </c>
      <c r="Y55">
        <f>Table5[[#This Row],[CFNM]]/Table5[[#This Row],[CAREA]]</f>
        <v>5.2262322638769551E-5</v>
      </c>
      <c r="Z55">
        <v>3</v>
      </c>
      <c r="AA55">
        <f>(Table6[[#This Row],[time]]-2)*2</f>
        <v>2</v>
      </c>
      <c r="AB55">
        <v>69.745900000000006</v>
      </c>
      <c r="AC55">
        <v>2.5967799999999999E-3</v>
      </c>
      <c r="AD55">
        <f>Table6[[#This Row],[CFNM]]/Table6[[#This Row],[CAREA]]</f>
        <v>3.7232009336749539E-5</v>
      </c>
      <c r="AE55">
        <v>3</v>
      </c>
      <c r="AF55">
        <f>(Table7[[#This Row],[time]]-2)*2</f>
        <v>2</v>
      </c>
      <c r="AG55">
        <v>77.957999999999998</v>
      </c>
      <c r="AH55">
        <v>7.9305000000000003</v>
      </c>
      <c r="AI55">
        <f>Table7[[#This Row],[CFNM]]/Table7[[#This Row],[CAREA]]</f>
        <v>0.10172785345955515</v>
      </c>
      <c r="AJ55">
        <v>3</v>
      </c>
      <c r="AK55">
        <f>(Table8[[#This Row],[time]]-2)*2</f>
        <v>2</v>
      </c>
      <c r="AL55">
        <v>82.801299999999998</v>
      </c>
      <c r="AM55">
        <v>5.8777100000000004</v>
      </c>
      <c r="AN55">
        <f>Table8[[#This Row],[CFNM]]/Table8[[#This Row],[CAREA]]</f>
        <v>7.0985721238676205E-2</v>
      </c>
    </row>
    <row r="58" spans="1:40">
      <c r="A58" s="1" t="s">
        <v>23</v>
      </c>
    </row>
    <row r="59" spans="1:40">
      <c r="A59" t="s">
        <v>24</v>
      </c>
      <c r="E59" t="s">
        <v>2</v>
      </c>
    </row>
    <row r="60" spans="1:40">
      <c r="A60" t="s">
        <v>25</v>
      </c>
      <c r="E60" t="s">
        <v>4</v>
      </c>
      <c r="F60" t="s">
        <v>5</v>
      </c>
    </row>
    <row r="61" spans="1:40">
      <c r="E61" t="s">
        <v>6</v>
      </c>
    </row>
    <row r="63" spans="1:40">
      <c r="A63" t="s">
        <v>7</v>
      </c>
      <c r="F63" t="s">
        <v>8</v>
      </c>
      <c r="K63" t="s">
        <v>9</v>
      </c>
      <c r="P63" t="s">
        <v>26</v>
      </c>
      <c r="U63" t="s">
        <v>11</v>
      </c>
      <c r="Z63" t="s">
        <v>12</v>
      </c>
      <c r="AE63" t="s">
        <v>13</v>
      </c>
      <c r="AJ63" t="s">
        <v>14</v>
      </c>
    </row>
    <row r="64" spans="1:40">
      <c r="A64" t="s">
        <v>15</v>
      </c>
      <c r="B64" t="s">
        <v>16</v>
      </c>
      <c r="C64" t="s">
        <v>17</v>
      </c>
      <c r="D64" t="s">
        <v>18</v>
      </c>
      <c r="E64" s="2" t="s">
        <v>19</v>
      </c>
      <c r="F64" t="s">
        <v>15</v>
      </c>
      <c r="G64" t="s">
        <v>16</v>
      </c>
      <c r="H64" t="s">
        <v>17</v>
      </c>
      <c r="I64" t="s">
        <v>18</v>
      </c>
      <c r="J64" s="2" t="s">
        <v>19</v>
      </c>
      <c r="K64" t="s">
        <v>15</v>
      </c>
      <c r="L64" t="s">
        <v>16</v>
      </c>
      <c r="M64" t="s">
        <v>20</v>
      </c>
      <c r="N64" t="s">
        <v>18</v>
      </c>
      <c r="O64" t="s">
        <v>19</v>
      </c>
      <c r="P64" t="s">
        <v>15</v>
      </c>
      <c r="Q64" t="s">
        <v>16</v>
      </c>
      <c r="R64" t="s">
        <v>20</v>
      </c>
      <c r="S64" t="s">
        <v>18</v>
      </c>
      <c r="T64" t="s">
        <v>19</v>
      </c>
      <c r="U64" t="s">
        <v>15</v>
      </c>
      <c r="V64" t="s">
        <v>16</v>
      </c>
      <c r="W64" t="s">
        <v>20</v>
      </c>
      <c r="X64" t="s">
        <v>18</v>
      </c>
      <c r="Y64" t="s">
        <v>19</v>
      </c>
      <c r="Z64" t="s">
        <v>15</v>
      </c>
      <c r="AA64" t="s">
        <v>16</v>
      </c>
      <c r="AB64" t="s">
        <v>20</v>
      </c>
      <c r="AC64" t="s">
        <v>18</v>
      </c>
      <c r="AD64" t="s">
        <v>19</v>
      </c>
      <c r="AE64" t="s">
        <v>15</v>
      </c>
      <c r="AF64" t="s">
        <v>16</v>
      </c>
      <c r="AG64" t="s">
        <v>20</v>
      </c>
      <c r="AH64" t="s">
        <v>18</v>
      </c>
      <c r="AI64" t="s">
        <v>19</v>
      </c>
      <c r="AJ64" t="s">
        <v>15</v>
      </c>
      <c r="AK64" t="s">
        <v>16</v>
      </c>
      <c r="AL64" t="s">
        <v>20</v>
      </c>
      <c r="AM64" t="s">
        <v>18</v>
      </c>
      <c r="AN64" t="s">
        <v>19</v>
      </c>
    </row>
    <row r="65" spans="1:40">
      <c r="A65">
        <v>2</v>
      </c>
      <c r="B65">
        <f>-(Table219[[#This Row],[time]]-2)*2</f>
        <v>0</v>
      </c>
      <c r="C65">
        <v>91.921300000000002</v>
      </c>
      <c r="D65">
        <v>9.3756500000000003</v>
      </c>
      <c r="E65">
        <f>Table219[[#This Row],[CFNM]]/Table219[[#This Row],[CAREA ]]</f>
        <v>0.10199649047609205</v>
      </c>
      <c r="F65">
        <v>2</v>
      </c>
      <c r="G65">
        <f>-(Table320[[#This Row],[time]]-2)*2</f>
        <v>0</v>
      </c>
      <c r="H65">
        <v>94.718199999999996</v>
      </c>
      <c r="I65">
        <v>2.8455900000000001</v>
      </c>
      <c r="J65" s="2">
        <f>Table320[[#This Row],[CFNM]]/Table320[[#This Row],[CAREA ]]</f>
        <v>3.0042695068107292E-2</v>
      </c>
      <c r="K65">
        <v>2</v>
      </c>
      <c r="L65">
        <f>-(Table421[[#This Row],[time]]-2)*2</f>
        <v>0</v>
      </c>
      <c r="M65">
        <v>89.822999999999993</v>
      </c>
      <c r="N65">
        <v>2.7683800000000001</v>
      </c>
      <c r="O65">
        <f>Table421[[#This Row],[CFNM]]/Table421[[#This Row],[CAREA]]</f>
        <v>3.0820391213831649E-2</v>
      </c>
      <c r="P65">
        <v>2</v>
      </c>
      <c r="Q65">
        <f>-(Table16[[#This Row],[time]]-2)*2</f>
        <v>0</v>
      </c>
      <c r="R65">
        <v>84.903199999999998</v>
      </c>
      <c r="S65">
        <v>4.4528400000000001</v>
      </c>
      <c r="T65">
        <f>Table16[[#This Row],[CFNM]]/Table16[[#This Row],[CAREA]]</f>
        <v>5.2446079770844915E-2</v>
      </c>
      <c r="U65">
        <v>2</v>
      </c>
      <c r="V65">
        <f>-(Table622[[#This Row],[time]]-2)*2</f>
        <v>0</v>
      </c>
      <c r="W65">
        <v>83.020300000000006</v>
      </c>
      <c r="X65">
        <v>8.6436100000000007</v>
      </c>
      <c r="Y65">
        <f>Table622[[#This Row],[CFNM]]/Table622[[#This Row],[CAREA]]</f>
        <v>0.10411441538997089</v>
      </c>
      <c r="Z65">
        <v>2</v>
      </c>
      <c r="AA65">
        <f>-(Table723[[#This Row],[time]]-2)*2</f>
        <v>0</v>
      </c>
      <c r="AB65">
        <v>88.872600000000006</v>
      </c>
      <c r="AC65">
        <v>13.6356</v>
      </c>
      <c r="AD65">
        <f>Table723[[#This Row],[CFNM]]/Table723[[#This Row],[CAREA]]</f>
        <v>0.1534286157938442</v>
      </c>
      <c r="AE65">
        <v>2</v>
      </c>
      <c r="AF65">
        <f>-(Table824[[#This Row],[time]]-2)*2</f>
        <v>0</v>
      </c>
      <c r="AG65">
        <v>78.913399999999996</v>
      </c>
      <c r="AH65">
        <v>19.2013</v>
      </c>
      <c r="AI65">
        <f>Table824[[#This Row],[CFNM]]/Table824[[#This Row],[CAREA]]</f>
        <v>0.24332115965095916</v>
      </c>
      <c r="AJ65">
        <v>2</v>
      </c>
      <c r="AK65">
        <f>-(Table925[[#This Row],[time]]-2)*2</f>
        <v>0</v>
      </c>
      <c r="AL65">
        <v>83.194400000000002</v>
      </c>
      <c r="AM65">
        <v>18.7179</v>
      </c>
      <c r="AN65">
        <f>Table925[[#This Row],[CFNM]]/Table925[[#This Row],[CAREA]]</f>
        <v>0.22498990316655929</v>
      </c>
    </row>
    <row r="66" spans="1:40">
      <c r="A66">
        <v>2.0512600000000001</v>
      </c>
      <c r="B66">
        <f>-(Table219[[#This Row],[time]]-2)*2</f>
        <v>-0.10252000000000017</v>
      </c>
      <c r="C66">
        <v>92.124399999999994</v>
      </c>
      <c r="D66">
        <v>10.6538</v>
      </c>
      <c r="E66">
        <f>Table219[[#This Row],[CFNM]]/Table219[[#This Row],[CAREA ]]</f>
        <v>0.11564580067821338</v>
      </c>
      <c r="F66">
        <v>2.0512600000000001</v>
      </c>
      <c r="G66">
        <f>-(Table320[[#This Row],[time]]-2)*2</f>
        <v>-0.10252000000000017</v>
      </c>
      <c r="H66">
        <v>94.892200000000003</v>
      </c>
      <c r="I66">
        <v>3.71393</v>
      </c>
      <c r="J66" s="2">
        <f>Table320[[#This Row],[CFNM]]/Table320[[#This Row],[CAREA ]]</f>
        <v>3.9138411797808456E-2</v>
      </c>
      <c r="K66">
        <v>2.0512600000000001</v>
      </c>
      <c r="L66">
        <f>-(Table421[[#This Row],[time]]-2)*2</f>
        <v>-0.10252000000000017</v>
      </c>
      <c r="M66">
        <v>89.973500000000001</v>
      </c>
      <c r="N66">
        <v>4.2613500000000002</v>
      </c>
      <c r="O66">
        <f>Table421[[#This Row],[CFNM]]/Table421[[#This Row],[CAREA]]</f>
        <v>4.7362278893229671E-2</v>
      </c>
      <c r="P66">
        <v>2.0512600000000001</v>
      </c>
      <c r="Q66">
        <f>-(Table16[[#This Row],[time]]-2)*2</f>
        <v>-0.10252000000000017</v>
      </c>
      <c r="R66">
        <v>85.999200000000002</v>
      </c>
      <c r="S66">
        <v>6.5639500000000002</v>
      </c>
      <c r="T66">
        <f>Table16[[#This Row],[CFNM]]/Table16[[#This Row],[CAREA]]</f>
        <v>7.6325710006604708E-2</v>
      </c>
      <c r="U66">
        <v>2.0512600000000001</v>
      </c>
      <c r="V66">
        <f>-(Table622[[#This Row],[time]]-2)*2</f>
        <v>-0.10252000000000017</v>
      </c>
      <c r="W66">
        <v>82.888099999999994</v>
      </c>
      <c r="X66">
        <v>11.6563</v>
      </c>
      <c r="Y66">
        <f>Table622[[#This Row],[CFNM]]/Table622[[#This Row],[CAREA]]</f>
        <v>0.14062694162370715</v>
      </c>
      <c r="Z66">
        <v>2.0512600000000001</v>
      </c>
      <c r="AA66">
        <f>-(Table723[[#This Row],[time]]-2)*2</f>
        <v>-0.10252000000000017</v>
      </c>
      <c r="AB66">
        <v>89.042199999999994</v>
      </c>
      <c r="AC66">
        <v>17.507300000000001</v>
      </c>
      <c r="AD66">
        <f>Table723[[#This Row],[CFNM]]/Table723[[#This Row],[CAREA]]</f>
        <v>0.19661800809054586</v>
      </c>
      <c r="AE66">
        <v>2.0512600000000001</v>
      </c>
      <c r="AF66">
        <f>-(Table824[[#This Row],[time]]-2)*2</f>
        <v>-0.10252000000000017</v>
      </c>
      <c r="AG66">
        <v>79.140199999999993</v>
      </c>
      <c r="AH66">
        <v>20.781199999999998</v>
      </c>
      <c r="AI66">
        <f>Table824[[#This Row],[CFNM]]/Table824[[#This Row],[CAREA]]</f>
        <v>0.26258715545323363</v>
      </c>
      <c r="AJ66">
        <v>2.0512600000000001</v>
      </c>
      <c r="AK66">
        <f>-(Table925[[#This Row],[time]]-2)*2</f>
        <v>-0.10252000000000017</v>
      </c>
      <c r="AL66">
        <v>83.060500000000005</v>
      </c>
      <c r="AM66">
        <v>20.5792</v>
      </c>
      <c r="AN66">
        <f>Table925[[#This Row],[CFNM]]/Table925[[#This Row],[CAREA]]</f>
        <v>0.24776157138471355</v>
      </c>
    </row>
    <row r="67" spans="1:40">
      <c r="A67">
        <v>2.1153300000000002</v>
      </c>
      <c r="B67">
        <f>-(Table219[[#This Row],[time]]-2)*2</f>
        <v>-0.23066000000000031</v>
      </c>
      <c r="C67">
        <v>91.412400000000005</v>
      </c>
      <c r="D67">
        <v>11.7384</v>
      </c>
      <c r="E67">
        <f>Table219[[#This Row],[CFNM]]/Table219[[#This Row],[CAREA ]]</f>
        <v>0.12841146277747875</v>
      </c>
      <c r="F67">
        <v>2.1153300000000002</v>
      </c>
      <c r="G67">
        <f>-(Table320[[#This Row],[time]]-2)*2</f>
        <v>-0.23066000000000031</v>
      </c>
      <c r="H67">
        <v>94.722499999999997</v>
      </c>
      <c r="I67">
        <v>4.15787</v>
      </c>
      <c r="J67" s="2">
        <f>Table320[[#This Row],[CFNM]]/Table320[[#This Row],[CAREA ]]</f>
        <v>4.3895273034389927E-2</v>
      </c>
      <c r="K67">
        <v>2.1153300000000002</v>
      </c>
      <c r="L67">
        <f>-(Table421[[#This Row],[time]]-2)*2</f>
        <v>-0.23066000000000031</v>
      </c>
      <c r="M67">
        <v>89.880300000000005</v>
      </c>
      <c r="N67">
        <v>6.0972999999999997</v>
      </c>
      <c r="O67">
        <f>Table421[[#This Row],[CFNM]]/Table421[[#This Row],[CAREA]]</f>
        <v>6.7838002320864524E-2</v>
      </c>
      <c r="P67">
        <v>2.1153300000000002</v>
      </c>
      <c r="Q67">
        <f>-(Table16[[#This Row],[time]]-2)*2</f>
        <v>-0.23066000000000031</v>
      </c>
      <c r="R67">
        <v>86.470600000000005</v>
      </c>
      <c r="S67">
        <v>8.8812999999999995</v>
      </c>
      <c r="T67">
        <f>Table16[[#This Row],[CFNM]]/Table16[[#This Row],[CAREA]]</f>
        <v>0.10270889759062617</v>
      </c>
      <c r="U67">
        <v>2.1153300000000002</v>
      </c>
      <c r="V67">
        <f>-(Table622[[#This Row],[time]]-2)*2</f>
        <v>-0.23066000000000031</v>
      </c>
      <c r="W67">
        <v>82.017300000000006</v>
      </c>
      <c r="X67">
        <v>16.026599999999998</v>
      </c>
      <c r="Y67">
        <f>Table622[[#This Row],[CFNM]]/Table622[[#This Row],[CAREA]]</f>
        <v>0.1954051157499698</v>
      </c>
      <c r="Z67">
        <v>2.1153300000000002</v>
      </c>
      <c r="AA67">
        <f>-(Table723[[#This Row],[time]]-2)*2</f>
        <v>-0.23066000000000031</v>
      </c>
      <c r="AB67">
        <v>88.989800000000002</v>
      </c>
      <c r="AC67">
        <v>22.7315</v>
      </c>
      <c r="AD67">
        <f>Table723[[#This Row],[CFNM]]/Table723[[#This Row],[CAREA]]</f>
        <v>0.25543938743541394</v>
      </c>
      <c r="AE67">
        <v>2.1153300000000002</v>
      </c>
      <c r="AF67">
        <f>-(Table824[[#This Row],[time]]-2)*2</f>
        <v>-0.23066000000000031</v>
      </c>
      <c r="AG67">
        <v>79.448300000000003</v>
      </c>
      <c r="AH67">
        <v>22.5656</v>
      </c>
      <c r="AI67">
        <f>Table824[[#This Row],[CFNM]]/Table824[[#This Row],[CAREA]]</f>
        <v>0.28402873315099253</v>
      </c>
      <c r="AJ67">
        <v>2.1153300000000002</v>
      </c>
      <c r="AK67">
        <f>-(Table925[[#This Row],[time]]-2)*2</f>
        <v>-0.23066000000000031</v>
      </c>
      <c r="AL67">
        <v>82.838700000000003</v>
      </c>
      <c r="AM67">
        <v>23.0594</v>
      </c>
      <c r="AN67">
        <f>Table925[[#This Row],[CFNM]]/Table925[[#This Row],[CAREA]]</f>
        <v>0.27836506367193109</v>
      </c>
    </row>
    <row r="68" spans="1:40">
      <c r="A68">
        <v>2.1747100000000001</v>
      </c>
      <c r="B68">
        <f>-(Table219[[#This Row],[time]]-2)*2</f>
        <v>-0.34942000000000029</v>
      </c>
      <c r="C68">
        <v>90.541600000000003</v>
      </c>
      <c r="D68">
        <v>12.782500000000001</v>
      </c>
      <c r="E68">
        <f>Table219[[#This Row],[CFNM]]/Table219[[#This Row],[CAREA ]]</f>
        <v>0.14117819875062954</v>
      </c>
      <c r="F68">
        <v>2.1747100000000001</v>
      </c>
      <c r="G68">
        <f>-(Table320[[#This Row],[time]]-2)*2</f>
        <v>-0.34942000000000029</v>
      </c>
      <c r="H68">
        <v>94.393100000000004</v>
      </c>
      <c r="I68">
        <v>4.6758800000000003</v>
      </c>
      <c r="J68" s="2">
        <f>Table320[[#This Row],[CFNM]]/Table320[[#This Row],[CAREA ]]</f>
        <v>4.9536247882525315E-2</v>
      </c>
      <c r="K68">
        <v>2.1747100000000001</v>
      </c>
      <c r="L68">
        <f>-(Table421[[#This Row],[time]]-2)*2</f>
        <v>-0.34942000000000029</v>
      </c>
      <c r="M68">
        <v>89.996499999999997</v>
      </c>
      <c r="N68">
        <v>7.9249499999999999</v>
      </c>
      <c r="O68">
        <f>Table421[[#This Row],[CFNM]]/Table421[[#This Row],[CAREA]]</f>
        <v>8.8058424494285886E-2</v>
      </c>
      <c r="P68">
        <v>2.1747100000000001</v>
      </c>
      <c r="Q68">
        <f>-(Table16[[#This Row],[time]]-2)*2</f>
        <v>-0.34942000000000029</v>
      </c>
      <c r="R68">
        <v>86.756600000000006</v>
      </c>
      <c r="S68">
        <v>11.0403</v>
      </c>
      <c r="T68">
        <f>Table16[[#This Row],[CFNM]]/Table16[[#This Row],[CAREA]]</f>
        <v>0.12725602432552682</v>
      </c>
      <c r="U68">
        <v>2.1747100000000001</v>
      </c>
      <c r="V68">
        <f>-(Table622[[#This Row],[time]]-2)*2</f>
        <v>-0.34942000000000029</v>
      </c>
      <c r="W68">
        <v>81.835300000000004</v>
      </c>
      <c r="X68">
        <v>20.195</v>
      </c>
      <c r="Y68">
        <f>Table622[[#This Row],[CFNM]]/Table622[[#This Row],[CAREA]]</f>
        <v>0.24677614672396875</v>
      </c>
      <c r="Z68">
        <v>2.1747100000000001</v>
      </c>
      <c r="AA68">
        <f>-(Table723[[#This Row],[time]]-2)*2</f>
        <v>-0.34942000000000029</v>
      </c>
      <c r="AB68">
        <v>88.622500000000002</v>
      </c>
      <c r="AC68">
        <v>27.8687</v>
      </c>
      <c r="AD68">
        <f>Table723[[#This Row],[CFNM]]/Table723[[#This Row],[CAREA]]</f>
        <v>0.31446528816045588</v>
      </c>
      <c r="AE68">
        <v>2.1747100000000001</v>
      </c>
      <c r="AF68">
        <f>-(Table824[[#This Row],[time]]-2)*2</f>
        <v>-0.34942000000000029</v>
      </c>
      <c r="AG68">
        <v>79.764899999999997</v>
      </c>
      <c r="AH68">
        <v>25.466899999999999</v>
      </c>
      <c r="AI68">
        <f>Table824[[#This Row],[CFNM]]/Table824[[#This Row],[CAREA]]</f>
        <v>0.31927451798974238</v>
      </c>
      <c r="AJ68">
        <v>2.1747100000000001</v>
      </c>
      <c r="AK68">
        <f>-(Table925[[#This Row],[time]]-2)*2</f>
        <v>-0.34942000000000029</v>
      </c>
      <c r="AL68">
        <v>82.524500000000003</v>
      </c>
      <c r="AM68">
        <v>27.002300000000002</v>
      </c>
      <c r="AN68">
        <f>Table925[[#This Row],[CFNM]]/Table925[[#This Row],[CAREA]]</f>
        <v>0.32720343655520484</v>
      </c>
    </row>
    <row r="69" spans="1:40">
      <c r="A69">
        <v>2.2044700000000002</v>
      </c>
      <c r="B69">
        <f>-(Table219[[#This Row],[time]]-2)*2</f>
        <v>-0.4089400000000003</v>
      </c>
      <c r="C69">
        <v>90.171199999999999</v>
      </c>
      <c r="D69">
        <v>13.3354</v>
      </c>
      <c r="E69">
        <f>Table219[[#This Row],[CFNM]]/Table219[[#This Row],[CAREA ]]</f>
        <v>0.14788979186259027</v>
      </c>
      <c r="F69">
        <v>2.2044700000000002</v>
      </c>
      <c r="G69">
        <f>-(Table320[[#This Row],[time]]-2)*2</f>
        <v>-0.4089400000000003</v>
      </c>
      <c r="H69">
        <v>94.2196</v>
      </c>
      <c r="I69">
        <v>5.0099200000000002</v>
      </c>
      <c r="J69" s="2">
        <f>Table320[[#This Row],[CFNM]]/Table320[[#This Row],[CAREA ]]</f>
        <v>5.3172800563789278E-2</v>
      </c>
      <c r="K69">
        <v>2.2044700000000002</v>
      </c>
      <c r="L69">
        <f>-(Table421[[#This Row],[time]]-2)*2</f>
        <v>-0.4089400000000003</v>
      </c>
      <c r="M69">
        <v>90.018500000000003</v>
      </c>
      <c r="N69">
        <v>8.8872400000000003</v>
      </c>
      <c r="O69">
        <f>Table421[[#This Row],[CFNM]]/Table421[[#This Row],[CAREA]]</f>
        <v>9.8726817265339897E-2</v>
      </c>
      <c r="P69">
        <v>2.2044700000000002</v>
      </c>
      <c r="Q69">
        <f>-(Table16[[#This Row],[time]]-2)*2</f>
        <v>-0.4089400000000003</v>
      </c>
      <c r="R69">
        <v>86.892399999999995</v>
      </c>
      <c r="S69">
        <v>12.1812</v>
      </c>
      <c r="T69">
        <f>Table16[[#This Row],[CFNM]]/Table16[[#This Row],[CAREA]]</f>
        <v>0.14018717402212394</v>
      </c>
      <c r="U69">
        <v>2.2044700000000002</v>
      </c>
      <c r="V69">
        <f>-(Table622[[#This Row],[time]]-2)*2</f>
        <v>-0.4089400000000003</v>
      </c>
      <c r="W69">
        <v>81.524500000000003</v>
      </c>
      <c r="X69">
        <v>22.4223</v>
      </c>
      <c r="Y69">
        <f>Table622[[#This Row],[CFNM]]/Table622[[#This Row],[CAREA]]</f>
        <v>0.27503756539445195</v>
      </c>
      <c r="Z69">
        <v>2.2044700000000002</v>
      </c>
      <c r="AA69">
        <f>-(Table723[[#This Row],[time]]-2)*2</f>
        <v>-0.4089400000000003</v>
      </c>
      <c r="AB69">
        <v>88.262699999999995</v>
      </c>
      <c r="AC69">
        <v>30.801500000000001</v>
      </c>
      <c r="AD69">
        <f>Table723[[#This Row],[CFNM]]/Table723[[#This Row],[CAREA]]</f>
        <v>0.3489752749462684</v>
      </c>
      <c r="AE69">
        <v>2.2044700000000002</v>
      </c>
      <c r="AF69">
        <f>-(Table824[[#This Row],[time]]-2)*2</f>
        <v>-0.4089400000000003</v>
      </c>
      <c r="AG69">
        <v>79.959500000000006</v>
      </c>
      <c r="AH69">
        <v>27.334700000000002</v>
      </c>
      <c r="AI69">
        <f>Table824[[#This Row],[CFNM]]/Table824[[#This Row],[CAREA]]</f>
        <v>0.34185681501260012</v>
      </c>
      <c r="AJ69">
        <v>2.2044700000000002</v>
      </c>
      <c r="AK69">
        <f>-(Table925[[#This Row],[time]]-2)*2</f>
        <v>-0.4089400000000003</v>
      </c>
      <c r="AL69">
        <v>82.342699999999994</v>
      </c>
      <c r="AM69">
        <v>29.271100000000001</v>
      </c>
      <c r="AN69">
        <f>Table925[[#This Row],[CFNM]]/Table925[[#This Row],[CAREA]]</f>
        <v>0.3554789920660848</v>
      </c>
    </row>
    <row r="70" spans="1:40">
      <c r="A70">
        <v>2.2522099999999998</v>
      </c>
      <c r="B70">
        <f>-(Table219[[#This Row],[time]]-2)*2</f>
        <v>-0.50441999999999965</v>
      </c>
      <c r="C70">
        <v>89.644999999999996</v>
      </c>
      <c r="D70">
        <v>14.208399999999999</v>
      </c>
      <c r="E70">
        <f>Table219[[#This Row],[CFNM]]/Table219[[#This Row],[CAREA ]]</f>
        <v>0.15849629092531653</v>
      </c>
      <c r="F70">
        <v>2.2522099999999998</v>
      </c>
      <c r="G70">
        <f>-(Table320[[#This Row],[time]]-2)*2</f>
        <v>-0.50441999999999965</v>
      </c>
      <c r="H70">
        <v>93.676500000000004</v>
      </c>
      <c r="I70">
        <v>5.7644399999999996</v>
      </c>
      <c r="J70" s="2">
        <f>Table320[[#This Row],[CFNM]]/Table320[[#This Row],[CAREA ]]</f>
        <v>6.153560391346815E-2</v>
      </c>
      <c r="K70">
        <v>2.2522099999999998</v>
      </c>
      <c r="L70">
        <f>-(Table421[[#This Row],[time]]-2)*2</f>
        <v>-0.50441999999999965</v>
      </c>
      <c r="M70">
        <v>89.731999999999999</v>
      </c>
      <c r="N70">
        <v>10.4109</v>
      </c>
      <c r="O70">
        <f>Table421[[#This Row],[CFNM]]/Table421[[#This Row],[CAREA]]</f>
        <v>0.11602215486114206</v>
      </c>
      <c r="P70">
        <v>2.2522099999999998</v>
      </c>
      <c r="Q70">
        <f>-(Table16[[#This Row],[time]]-2)*2</f>
        <v>-0.50441999999999965</v>
      </c>
      <c r="R70">
        <v>87.073800000000006</v>
      </c>
      <c r="S70">
        <v>14.0962</v>
      </c>
      <c r="T70">
        <f>Table16[[#This Row],[CFNM]]/Table16[[#This Row],[CAREA]]</f>
        <v>0.16188796170604705</v>
      </c>
      <c r="U70">
        <v>2.2522099999999998</v>
      </c>
      <c r="V70">
        <f>-(Table622[[#This Row],[time]]-2)*2</f>
        <v>-0.50441999999999965</v>
      </c>
      <c r="W70">
        <v>80.921700000000001</v>
      </c>
      <c r="X70">
        <v>25.9495</v>
      </c>
      <c r="Y70">
        <f>Table622[[#This Row],[CFNM]]/Table622[[#This Row],[CAREA]]</f>
        <v>0.32067418257401908</v>
      </c>
      <c r="Z70">
        <v>2.2522099999999998</v>
      </c>
      <c r="AA70">
        <f>-(Table723[[#This Row],[time]]-2)*2</f>
        <v>-0.50441999999999965</v>
      </c>
      <c r="AB70">
        <v>88.990499999999997</v>
      </c>
      <c r="AC70">
        <v>35.593499999999999</v>
      </c>
      <c r="AD70">
        <f>Table723[[#This Row],[CFNM]]/Table723[[#This Row],[CAREA]]</f>
        <v>0.39996965968277515</v>
      </c>
      <c r="AE70">
        <v>2.2522099999999998</v>
      </c>
      <c r="AF70">
        <f>-(Table824[[#This Row],[time]]-2)*2</f>
        <v>-0.50441999999999965</v>
      </c>
      <c r="AG70">
        <v>80.126400000000004</v>
      </c>
      <c r="AH70">
        <v>30.5975</v>
      </c>
      <c r="AI70">
        <f>Table824[[#This Row],[CFNM]]/Table824[[#This Row],[CAREA]]</f>
        <v>0.38186540266379121</v>
      </c>
      <c r="AJ70">
        <v>2.2522099999999998</v>
      </c>
      <c r="AK70">
        <f>-(Table925[[#This Row],[time]]-2)*2</f>
        <v>-0.50441999999999965</v>
      </c>
      <c r="AL70">
        <v>82.070999999999998</v>
      </c>
      <c r="AM70">
        <v>32.880200000000002</v>
      </c>
      <c r="AN70">
        <f>Table925[[#This Row],[CFNM]]/Table925[[#This Row],[CAREA]]</f>
        <v>0.4006311608241645</v>
      </c>
    </row>
    <row r="71" spans="1:40">
      <c r="A71">
        <v>2.3005900000000001</v>
      </c>
      <c r="B71">
        <f>-(Table219[[#This Row],[time]]-2)*2</f>
        <v>-0.60118000000000027</v>
      </c>
      <c r="C71">
        <v>89.2346</v>
      </c>
      <c r="D71">
        <v>15.114599999999999</v>
      </c>
      <c r="E71">
        <f>Table219[[#This Row],[CFNM]]/Table219[[#This Row],[CAREA ]]</f>
        <v>0.16938048694116406</v>
      </c>
      <c r="F71">
        <v>2.3005900000000001</v>
      </c>
      <c r="G71">
        <f>-(Table320[[#This Row],[time]]-2)*2</f>
        <v>-0.60118000000000027</v>
      </c>
      <c r="H71">
        <v>93.491699999999994</v>
      </c>
      <c r="I71">
        <v>6.6702300000000001</v>
      </c>
      <c r="J71" s="2">
        <f>Table320[[#This Row],[CFNM]]/Table320[[#This Row],[CAREA ]]</f>
        <v>7.1345691649633072E-2</v>
      </c>
      <c r="K71">
        <v>2.3005900000000001</v>
      </c>
      <c r="L71">
        <f>-(Table421[[#This Row],[time]]-2)*2</f>
        <v>-0.60118000000000027</v>
      </c>
      <c r="M71">
        <v>89.808999999999997</v>
      </c>
      <c r="N71">
        <v>11.898999999999999</v>
      </c>
      <c r="O71">
        <f>Table421[[#This Row],[CFNM]]/Table421[[#This Row],[CAREA]]</f>
        <v>0.13249228919150641</v>
      </c>
      <c r="P71">
        <v>2.3005900000000001</v>
      </c>
      <c r="Q71">
        <f>-(Table16[[#This Row],[time]]-2)*2</f>
        <v>-0.60118000000000027</v>
      </c>
      <c r="R71">
        <v>87.226399999999998</v>
      </c>
      <c r="S71">
        <v>15.988799999999999</v>
      </c>
      <c r="T71">
        <f>Table16[[#This Row],[CFNM]]/Table16[[#This Row],[CAREA]]</f>
        <v>0.18330230297249456</v>
      </c>
      <c r="U71">
        <v>2.3005900000000001</v>
      </c>
      <c r="V71">
        <f>-(Table622[[#This Row],[time]]-2)*2</f>
        <v>-0.60118000000000027</v>
      </c>
      <c r="W71">
        <v>80.283299999999997</v>
      </c>
      <c r="X71">
        <v>28.830500000000001</v>
      </c>
      <c r="Y71">
        <f>Table622[[#This Row],[CFNM]]/Table622[[#This Row],[CAREA]]</f>
        <v>0.35910955329439626</v>
      </c>
      <c r="Z71">
        <v>2.3005900000000001</v>
      </c>
      <c r="AA71">
        <f>-(Table723[[#This Row],[time]]-2)*2</f>
        <v>-0.60118000000000027</v>
      </c>
      <c r="AB71">
        <v>88.389200000000002</v>
      </c>
      <c r="AC71">
        <v>39.603099999999998</v>
      </c>
      <c r="AD71">
        <f>Table723[[#This Row],[CFNM]]/Table723[[#This Row],[CAREA]]</f>
        <v>0.44805360835939229</v>
      </c>
      <c r="AE71">
        <v>2.3005900000000001</v>
      </c>
      <c r="AF71">
        <f>-(Table824[[#This Row],[time]]-2)*2</f>
        <v>-0.60118000000000027</v>
      </c>
      <c r="AG71">
        <v>80.169200000000004</v>
      </c>
      <c r="AH71">
        <v>34.055599999999998</v>
      </c>
      <c r="AI71">
        <f>Table824[[#This Row],[CFNM]]/Table824[[#This Row],[CAREA]]</f>
        <v>0.42479655528557098</v>
      </c>
      <c r="AJ71">
        <v>2.3005900000000001</v>
      </c>
      <c r="AK71">
        <f>-(Table925[[#This Row],[time]]-2)*2</f>
        <v>-0.60118000000000027</v>
      </c>
      <c r="AL71">
        <v>81.680099999999996</v>
      </c>
      <c r="AM71">
        <v>36.2605</v>
      </c>
      <c r="AN71">
        <f>Table925[[#This Row],[CFNM]]/Table925[[#This Row],[CAREA]]</f>
        <v>0.44393309998396185</v>
      </c>
    </row>
    <row r="72" spans="1:40">
      <c r="A72">
        <v>2.3578800000000002</v>
      </c>
      <c r="B72">
        <f>-(Table219[[#This Row],[time]]-2)*2</f>
        <v>-0.7157600000000004</v>
      </c>
      <c r="C72">
        <v>88.948400000000007</v>
      </c>
      <c r="D72">
        <v>16.355799999999999</v>
      </c>
      <c r="E72">
        <f>Table219[[#This Row],[CFNM]]/Table219[[#This Row],[CAREA ]]</f>
        <v>0.18387964257929312</v>
      </c>
      <c r="F72">
        <v>2.3578800000000002</v>
      </c>
      <c r="G72">
        <f>-(Table320[[#This Row],[time]]-2)*2</f>
        <v>-0.7157600000000004</v>
      </c>
      <c r="H72">
        <v>93.64</v>
      </c>
      <c r="I72">
        <v>7.7564099999999998</v>
      </c>
      <c r="J72" s="2">
        <f>Table320[[#This Row],[CFNM]]/Table320[[#This Row],[CAREA ]]</f>
        <v>8.2832229816317812E-2</v>
      </c>
      <c r="K72">
        <v>2.3578800000000002</v>
      </c>
      <c r="L72">
        <f>-(Table421[[#This Row],[time]]-2)*2</f>
        <v>-0.7157600000000004</v>
      </c>
      <c r="M72">
        <v>89.895899999999997</v>
      </c>
      <c r="N72">
        <v>13.697900000000001</v>
      </c>
      <c r="O72">
        <f>Table421[[#This Row],[CFNM]]/Table421[[#This Row],[CAREA]]</f>
        <v>0.1523751361296789</v>
      </c>
      <c r="P72">
        <v>2.3578800000000002</v>
      </c>
      <c r="Q72">
        <f>-(Table16[[#This Row],[time]]-2)*2</f>
        <v>-0.7157600000000004</v>
      </c>
      <c r="R72">
        <v>87.409300000000002</v>
      </c>
      <c r="S72">
        <v>18.257000000000001</v>
      </c>
      <c r="T72">
        <f>Table16[[#This Row],[CFNM]]/Table16[[#This Row],[CAREA]]</f>
        <v>0.20886793510530346</v>
      </c>
      <c r="U72">
        <v>2.3578800000000002</v>
      </c>
      <c r="V72">
        <f>-(Table622[[#This Row],[time]]-2)*2</f>
        <v>-0.7157600000000004</v>
      </c>
      <c r="W72">
        <v>78.989400000000003</v>
      </c>
      <c r="X72">
        <v>31.429300000000001</v>
      </c>
      <c r="Y72">
        <f>Table622[[#This Row],[CFNM]]/Table622[[#This Row],[CAREA]]</f>
        <v>0.39789262863118341</v>
      </c>
      <c r="Z72">
        <v>2.3578800000000002</v>
      </c>
      <c r="AA72">
        <f>-(Table723[[#This Row],[time]]-2)*2</f>
        <v>-0.7157600000000004</v>
      </c>
      <c r="AB72">
        <v>87.533699999999996</v>
      </c>
      <c r="AC72">
        <v>43.692300000000003</v>
      </c>
      <c r="AD72">
        <f>Table723[[#This Row],[CFNM]]/Table723[[#This Row],[CAREA]]</f>
        <v>0.49914832801538156</v>
      </c>
      <c r="AE72">
        <v>2.3578800000000002</v>
      </c>
      <c r="AF72">
        <f>-(Table824[[#This Row],[time]]-2)*2</f>
        <v>-0.7157600000000004</v>
      </c>
      <c r="AG72">
        <v>80.042699999999996</v>
      </c>
      <c r="AH72">
        <v>38.150799999999997</v>
      </c>
      <c r="AI72">
        <f>Table824[[#This Row],[CFNM]]/Table824[[#This Row],[CAREA]]</f>
        <v>0.4766305984180943</v>
      </c>
      <c r="AJ72">
        <v>2.3578800000000002</v>
      </c>
      <c r="AK72">
        <f>-(Table925[[#This Row],[time]]-2)*2</f>
        <v>-0.7157600000000004</v>
      </c>
      <c r="AL72">
        <v>81.454599999999999</v>
      </c>
      <c r="AM72">
        <v>40.306600000000003</v>
      </c>
      <c r="AN72">
        <f>Table925[[#This Row],[CFNM]]/Table925[[#This Row],[CAREA]]</f>
        <v>0.49483515970859843</v>
      </c>
    </row>
    <row r="73" spans="1:40">
      <c r="A73">
        <v>2.41099</v>
      </c>
      <c r="B73">
        <f>-(Table219[[#This Row],[time]]-2)*2</f>
        <v>-0.82197999999999993</v>
      </c>
      <c r="C73">
        <v>88.809899999999999</v>
      </c>
      <c r="D73">
        <v>17.456</v>
      </c>
      <c r="E73">
        <f>Table219[[#This Row],[CFNM]]/Table219[[#This Row],[CAREA ]]</f>
        <v>0.19655466338775293</v>
      </c>
      <c r="F73">
        <v>2.41099</v>
      </c>
      <c r="G73">
        <f>-(Table320[[#This Row],[time]]-2)*2</f>
        <v>-0.82197999999999993</v>
      </c>
      <c r="H73">
        <v>93.6554</v>
      </c>
      <c r="I73">
        <v>8.7631200000000007</v>
      </c>
      <c r="J73" s="2">
        <f>Table320[[#This Row],[CFNM]]/Table320[[#This Row],[CAREA ]]</f>
        <v>9.3567696043153958E-2</v>
      </c>
      <c r="K73">
        <v>2.41099</v>
      </c>
      <c r="L73">
        <f>-(Table421[[#This Row],[time]]-2)*2</f>
        <v>-0.82197999999999993</v>
      </c>
      <c r="M73">
        <v>89.944699999999997</v>
      </c>
      <c r="N73">
        <v>15.460699999999999</v>
      </c>
      <c r="O73">
        <f>Table421[[#This Row],[CFNM]]/Table421[[#This Row],[CAREA]]</f>
        <v>0.1718911731319355</v>
      </c>
      <c r="P73">
        <v>2.41099</v>
      </c>
      <c r="Q73">
        <f>-(Table16[[#This Row],[time]]-2)*2</f>
        <v>-0.82197999999999993</v>
      </c>
      <c r="R73">
        <v>87.921099999999996</v>
      </c>
      <c r="S73">
        <v>20.395299999999999</v>
      </c>
      <c r="T73">
        <f>Table16[[#This Row],[CFNM]]/Table16[[#This Row],[CAREA]]</f>
        <v>0.23197275739270778</v>
      </c>
      <c r="U73">
        <v>2.41099</v>
      </c>
      <c r="V73">
        <f>-(Table622[[#This Row],[time]]-2)*2</f>
        <v>-0.82197999999999993</v>
      </c>
      <c r="W73">
        <v>78.062799999999996</v>
      </c>
      <c r="X73">
        <v>33.748199999999997</v>
      </c>
      <c r="Y73">
        <f>Table622[[#This Row],[CFNM]]/Table622[[#This Row],[CAREA]]</f>
        <v>0.43232115681220762</v>
      </c>
      <c r="Z73">
        <v>2.41099</v>
      </c>
      <c r="AA73">
        <f>-(Table723[[#This Row],[time]]-2)*2</f>
        <v>-0.82197999999999993</v>
      </c>
      <c r="AB73">
        <v>86.666899999999998</v>
      </c>
      <c r="AC73">
        <v>47.144199999999998</v>
      </c>
      <c r="AD73">
        <f>Table723[[#This Row],[CFNM]]/Table723[[#This Row],[CAREA]]</f>
        <v>0.54397007392672403</v>
      </c>
      <c r="AE73">
        <v>2.41099</v>
      </c>
      <c r="AF73">
        <f>-(Table824[[#This Row],[time]]-2)*2</f>
        <v>-0.82197999999999993</v>
      </c>
      <c r="AG73">
        <v>79.782499999999999</v>
      </c>
      <c r="AH73">
        <v>41.934699999999999</v>
      </c>
      <c r="AI73">
        <f>Table824[[#This Row],[CFNM]]/Table824[[#This Row],[CAREA]]</f>
        <v>0.52561275969040833</v>
      </c>
      <c r="AJ73">
        <v>2.41099</v>
      </c>
      <c r="AK73">
        <f>-(Table925[[#This Row],[time]]-2)*2</f>
        <v>-0.82197999999999993</v>
      </c>
      <c r="AL73">
        <v>81.226600000000005</v>
      </c>
      <c r="AM73">
        <v>44.030799999999999</v>
      </c>
      <c r="AN73">
        <f>Table925[[#This Row],[CFNM]]/Table925[[#This Row],[CAREA]]</f>
        <v>0.5420736556743726</v>
      </c>
    </row>
    <row r="74" spans="1:40">
      <c r="A74">
        <v>2.45099</v>
      </c>
      <c r="B74">
        <f>-(Table219[[#This Row],[time]]-2)*2</f>
        <v>-0.90198</v>
      </c>
      <c r="C74">
        <v>88.7196</v>
      </c>
      <c r="D74">
        <v>18.2315</v>
      </c>
      <c r="E74">
        <f>Table219[[#This Row],[CFNM]]/Table219[[#This Row],[CAREA ]]</f>
        <v>0.20549574163995329</v>
      </c>
      <c r="F74">
        <v>2.45099</v>
      </c>
      <c r="G74">
        <f>-(Table320[[#This Row],[time]]-2)*2</f>
        <v>-0.90198</v>
      </c>
      <c r="H74">
        <v>93.686899999999994</v>
      </c>
      <c r="I74">
        <v>9.4866200000000003</v>
      </c>
      <c r="J74" s="2">
        <f>Table320[[#This Row],[CFNM]]/Table320[[#This Row],[CAREA ]]</f>
        <v>0.10125876723426648</v>
      </c>
      <c r="K74">
        <v>2.45099</v>
      </c>
      <c r="L74">
        <f>-(Table421[[#This Row],[time]]-2)*2</f>
        <v>-0.90198</v>
      </c>
      <c r="M74">
        <v>89.9024</v>
      </c>
      <c r="N74">
        <v>16.833100000000002</v>
      </c>
      <c r="O74">
        <f>Table421[[#This Row],[CFNM]]/Table421[[#This Row],[CAREA]]</f>
        <v>0.18723749310363241</v>
      </c>
      <c r="P74">
        <v>2.45099</v>
      </c>
      <c r="Q74">
        <f>-(Table16[[#This Row],[time]]-2)*2</f>
        <v>-0.90198</v>
      </c>
      <c r="R74">
        <v>88.054599999999994</v>
      </c>
      <c r="S74">
        <v>22.007100000000001</v>
      </c>
      <c r="T74">
        <f>Table16[[#This Row],[CFNM]]/Table16[[#This Row],[CAREA]]</f>
        <v>0.24992561433474234</v>
      </c>
      <c r="U74">
        <v>2.45099</v>
      </c>
      <c r="V74">
        <f>-(Table622[[#This Row],[time]]-2)*2</f>
        <v>-0.90198</v>
      </c>
      <c r="W74">
        <v>77.430099999999996</v>
      </c>
      <c r="X74">
        <v>35.470999999999997</v>
      </c>
      <c r="Y74">
        <f>Table622[[#This Row],[CFNM]]/Table622[[#This Row],[CAREA]]</f>
        <v>0.45810350238473152</v>
      </c>
      <c r="Z74">
        <v>2.45099</v>
      </c>
      <c r="AA74">
        <f>-(Table723[[#This Row],[time]]-2)*2</f>
        <v>-0.90198</v>
      </c>
      <c r="AB74">
        <v>85.237499999999997</v>
      </c>
      <c r="AC74">
        <v>49.603000000000002</v>
      </c>
      <c r="AD74">
        <f>Table723[[#This Row],[CFNM]]/Table723[[#This Row],[CAREA]]</f>
        <v>0.58193870068925069</v>
      </c>
      <c r="AE74">
        <v>2.45099</v>
      </c>
      <c r="AF74">
        <f>-(Table824[[#This Row],[time]]-2)*2</f>
        <v>-0.90198</v>
      </c>
      <c r="AG74">
        <v>79.468100000000007</v>
      </c>
      <c r="AH74">
        <v>44.720999999999997</v>
      </c>
      <c r="AI74">
        <f>Table824[[#This Row],[CFNM]]/Table824[[#This Row],[CAREA]]</f>
        <v>0.56275411139815845</v>
      </c>
      <c r="AJ74">
        <v>2.45099</v>
      </c>
      <c r="AK74">
        <f>-(Table925[[#This Row],[time]]-2)*2</f>
        <v>-0.90198</v>
      </c>
      <c r="AL74">
        <v>80.214299999999994</v>
      </c>
      <c r="AM74">
        <v>46.756900000000002</v>
      </c>
      <c r="AN74">
        <f>Table925[[#This Row],[CFNM]]/Table925[[#This Row],[CAREA]]</f>
        <v>0.58289980714161949</v>
      </c>
    </row>
    <row r="75" spans="1:40">
      <c r="A75">
        <v>2.5060500000000001</v>
      </c>
      <c r="B75">
        <f>-(Table219[[#This Row],[time]]-2)*2</f>
        <v>-1.0121000000000002</v>
      </c>
      <c r="C75">
        <v>88.629099999999994</v>
      </c>
      <c r="D75">
        <v>19.222000000000001</v>
      </c>
      <c r="E75">
        <f>Table219[[#This Row],[CFNM]]/Table219[[#This Row],[CAREA ]]</f>
        <v>0.21688136289322585</v>
      </c>
      <c r="F75">
        <v>2.5060500000000001</v>
      </c>
      <c r="G75">
        <f>-(Table320[[#This Row],[time]]-2)*2</f>
        <v>-1.0121000000000002</v>
      </c>
      <c r="H75">
        <v>93.763900000000007</v>
      </c>
      <c r="I75">
        <v>10.5161</v>
      </c>
      <c r="J75" s="2">
        <f>Table320[[#This Row],[CFNM]]/Table320[[#This Row],[CAREA ]]</f>
        <v>0.11215510446984393</v>
      </c>
      <c r="K75">
        <v>2.5060500000000001</v>
      </c>
      <c r="L75">
        <f>-(Table421[[#This Row],[time]]-2)*2</f>
        <v>-1.0121000000000002</v>
      </c>
      <c r="M75">
        <v>90.422799999999995</v>
      </c>
      <c r="N75">
        <v>18.747399999999999</v>
      </c>
      <c r="O75">
        <f>Table421[[#This Row],[CFNM]]/Table421[[#This Row],[CAREA]]</f>
        <v>0.20733045205412795</v>
      </c>
      <c r="P75">
        <v>2.5060500000000001</v>
      </c>
      <c r="Q75">
        <f>-(Table16[[#This Row],[time]]-2)*2</f>
        <v>-1.0121000000000002</v>
      </c>
      <c r="R75">
        <v>88.284999999999997</v>
      </c>
      <c r="S75">
        <v>24.343800000000002</v>
      </c>
      <c r="T75">
        <f>Table16[[#This Row],[CFNM]]/Table16[[#This Row],[CAREA]]</f>
        <v>0.27574106586622871</v>
      </c>
      <c r="U75">
        <v>2.5060500000000001</v>
      </c>
      <c r="V75">
        <f>-(Table622[[#This Row],[time]]-2)*2</f>
        <v>-1.0121000000000002</v>
      </c>
      <c r="W75">
        <v>76.418300000000002</v>
      </c>
      <c r="X75">
        <v>38.142099999999999</v>
      </c>
      <c r="Y75">
        <f>Table622[[#This Row],[CFNM]]/Table622[[#This Row],[CAREA]]</f>
        <v>0.49912259236334749</v>
      </c>
      <c r="Z75">
        <v>2.5060500000000001</v>
      </c>
      <c r="AA75">
        <f>-(Table723[[#This Row],[time]]-2)*2</f>
        <v>-1.0121000000000002</v>
      </c>
      <c r="AB75">
        <v>84.412300000000002</v>
      </c>
      <c r="AC75">
        <v>53.0349</v>
      </c>
      <c r="AD75">
        <f>Table723[[#This Row],[CFNM]]/Table723[[#This Row],[CAREA]]</f>
        <v>0.62828402969709385</v>
      </c>
      <c r="AE75">
        <v>2.5060500000000001</v>
      </c>
      <c r="AF75">
        <f>-(Table824[[#This Row],[time]]-2)*2</f>
        <v>-1.0121000000000002</v>
      </c>
      <c r="AG75">
        <v>78.714699999999993</v>
      </c>
      <c r="AH75">
        <v>48.645600000000002</v>
      </c>
      <c r="AI75">
        <f>Table824[[#This Row],[CFNM]]/Table824[[#This Row],[CAREA]]</f>
        <v>0.61799892523251698</v>
      </c>
      <c r="AJ75">
        <v>2.5060500000000001</v>
      </c>
      <c r="AK75">
        <f>-(Table925[[#This Row],[time]]-2)*2</f>
        <v>-1.0121000000000002</v>
      </c>
      <c r="AL75">
        <v>79.873000000000005</v>
      </c>
      <c r="AM75">
        <v>50.407200000000003</v>
      </c>
      <c r="AN75">
        <f>Table925[[#This Row],[CFNM]]/Table925[[#This Row],[CAREA]]</f>
        <v>0.63109185832509107</v>
      </c>
    </row>
    <row r="76" spans="1:40">
      <c r="A76">
        <v>2.5542699999999998</v>
      </c>
      <c r="B76">
        <f>-(Table219[[#This Row],[time]]-2)*2</f>
        <v>-1.1085399999999996</v>
      </c>
      <c r="C76">
        <v>88.552700000000002</v>
      </c>
      <c r="D76">
        <v>20.002700000000001</v>
      </c>
      <c r="E76">
        <f>Table219[[#This Row],[CFNM]]/Table219[[#This Row],[CAREA ]]</f>
        <v>0.22588469916784018</v>
      </c>
      <c r="F76">
        <v>2.5542699999999998</v>
      </c>
      <c r="G76">
        <f>-(Table320[[#This Row],[time]]-2)*2</f>
        <v>-1.1085399999999996</v>
      </c>
      <c r="H76">
        <v>94.103099999999998</v>
      </c>
      <c r="I76">
        <v>11.529199999999999</v>
      </c>
      <c r="J76" s="2">
        <f>Table320[[#This Row],[CFNM]]/Table320[[#This Row],[CAREA ]]</f>
        <v>0.12251668648535489</v>
      </c>
      <c r="K76">
        <v>2.5542699999999998</v>
      </c>
      <c r="L76">
        <f>-(Table421[[#This Row],[time]]-2)*2</f>
        <v>-1.1085399999999996</v>
      </c>
      <c r="M76">
        <v>90.337999999999994</v>
      </c>
      <c r="N76">
        <v>20.284300000000002</v>
      </c>
      <c r="O76">
        <f>Table421[[#This Row],[CFNM]]/Table421[[#This Row],[CAREA]]</f>
        <v>0.22453784675330429</v>
      </c>
      <c r="P76">
        <v>2.5542699999999998</v>
      </c>
      <c r="Q76">
        <f>-(Table16[[#This Row],[time]]-2)*2</f>
        <v>-1.1085399999999996</v>
      </c>
      <c r="R76">
        <v>88.381</v>
      </c>
      <c r="S76">
        <v>26.500900000000001</v>
      </c>
      <c r="T76">
        <f>Table16[[#This Row],[CFNM]]/Table16[[#This Row],[CAREA]]</f>
        <v>0.29984838370237948</v>
      </c>
      <c r="U76">
        <v>2.5542699999999998</v>
      </c>
      <c r="V76">
        <f>-(Table622[[#This Row],[time]]-2)*2</f>
        <v>-1.1085399999999996</v>
      </c>
      <c r="W76">
        <v>73.838200000000001</v>
      </c>
      <c r="X76">
        <v>41.222200000000001</v>
      </c>
      <c r="Y76">
        <f>Table622[[#This Row],[CFNM]]/Table622[[#This Row],[CAREA]]</f>
        <v>0.55827742279741377</v>
      </c>
      <c r="Z76">
        <v>2.5542699999999998</v>
      </c>
      <c r="AA76">
        <f>-(Table723[[#This Row],[time]]-2)*2</f>
        <v>-1.1085399999999996</v>
      </c>
      <c r="AB76">
        <v>83.095799999999997</v>
      </c>
      <c r="AC76">
        <v>56.418599999999998</v>
      </c>
      <c r="AD76">
        <f>Table723[[#This Row],[CFNM]]/Table723[[#This Row],[CAREA]]</f>
        <v>0.67895850331785723</v>
      </c>
      <c r="AE76">
        <v>2.5542699999999998</v>
      </c>
      <c r="AF76">
        <f>-(Table824[[#This Row],[time]]-2)*2</f>
        <v>-1.1085399999999996</v>
      </c>
      <c r="AG76">
        <v>77.941800000000001</v>
      </c>
      <c r="AH76">
        <v>52.252299999999998</v>
      </c>
      <c r="AI76">
        <f>Table824[[#This Row],[CFNM]]/Table824[[#This Row],[CAREA]]</f>
        <v>0.6704015047124906</v>
      </c>
      <c r="AJ76">
        <v>2.5542699999999998</v>
      </c>
      <c r="AK76">
        <f>-(Table925[[#This Row],[time]]-2)*2</f>
        <v>-1.1085399999999996</v>
      </c>
      <c r="AL76">
        <v>79.654200000000003</v>
      </c>
      <c r="AM76">
        <v>53.759</v>
      </c>
      <c r="AN76">
        <f>Table925[[#This Row],[CFNM]]/Table925[[#This Row],[CAREA]]</f>
        <v>0.67490477589380093</v>
      </c>
    </row>
    <row r="77" spans="1:40">
      <c r="A77">
        <v>2.6017399999999999</v>
      </c>
      <c r="B77">
        <f>-(Table219[[#This Row],[time]]-2)*2</f>
        <v>-1.2034799999999999</v>
      </c>
      <c r="C77">
        <v>88.449399999999997</v>
      </c>
      <c r="D77">
        <v>20.787099999999999</v>
      </c>
      <c r="E77">
        <f>Table219[[#This Row],[CFNM]]/Table219[[#This Row],[CAREA ]]</f>
        <v>0.23501685709569539</v>
      </c>
      <c r="F77">
        <v>2.6017399999999999</v>
      </c>
      <c r="G77">
        <f>-(Table320[[#This Row],[time]]-2)*2</f>
        <v>-1.2034799999999999</v>
      </c>
      <c r="H77">
        <v>94.153499999999994</v>
      </c>
      <c r="I77">
        <v>12.460699999999999</v>
      </c>
      <c r="J77" s="2">
        <f>Table320[[#This Row],[CFNM]]/Table320[[#This Row],[CAREA ]]</f>
        <v>0.13234452250845694</v>
      </c>
      <c r="K77">
        <v>2.6017399999999999</v>
      </c>
      <c r="L77">
        <f>-(Table421[[#This Row],[time]]-2)*2</f>
        <v>-1.2034799999999999</v>
      </c>
      <c r="M77">
        <v>90.325900000000004</v>
      </c>
      <c r="N77">
        <v>21.784600000000001</v>
      </c>
      <c r="O77">
        <f>Table421[[#This Row],[CFNM]]/Table421[[#This Row],[CAREA]]</f>
        <v>0.24117777957374353</v>
      </c>
      <c r="P77">
        <v>2.6017399999999999</v>
      </c>
      <c r="Q77">
        <f>-(Table16[[#This Row],[time]]-2)*2</f>
        <v>-1.2034799999999999</v>
      </c>
      <c r="R77">
        <v>88.455200000000005</v>
      </c>
      <c r="S77">
        <v>28.6113</v>
      </c>
      <c r="T77">
        <f>Table16[[#This Row],[CFNM]]/Table16[[#This Row],[CAREA]]</f>
        <v>0.32345526322929574</v>
      </c>
      <c r="U77">
        <v>2.6017399999999999</v>
      </c>
      <c r="V77">
        <f>-(Table622[[#This Row],[time]]-2)*2</f>
        <v>-1.2034799999999999</v>
      </c>
      <c r="W77">
        <v>70.425200000000004</v>
      </c>
      <c r="X77">
        <v>44.616900000000001</v>
      </c>
      <c r="Y77">
        <f>Table622[[#This Row],[CFNM]]/Table622[[#This Row],[CAREA]]</f>
        <v>0.63353600699749524</v>
      </c>
      <c r="Z77">
        <v>2.6017399999999999</v>
      </c>
      <c r="AA77">
        <f>-(Table723[[#This Row],[time]]-2)*2</f>
        <v>-1.2034799999999999</v>
      </c>
      <c r="AB77">
        <v>81.683099999999996</v>
      </c>
      <c r="AC77">
        <v>59.939599999999999</v>
      </c>
      <c r="AD77">
        <f>Table723[[#This Row],[CFNM]]/Table723[[#This Row],[CAREA]]</f>
        <v>0.73380662585039014</v>
      </c>
      <c r="AE77">
        <v>2.6017399999999999</v>
      </c>
      <c r="AF77">
        <f>-(Table824[[#This Row],[time]]-2)*2</f>
        <v>-1.2034799999999999</v>
      </c>
      <c r="AG77">
        <v>77.25</v>
      </c>
      <c r="AH77">
        <v>55.843899999999998</v>
      </c>
      <c r="AI77">
        <f>Table824[[#This Row],[CFNM]]/Table824[[#This Row],[CAREA]]</f>
        <v>0.7228983818770226</v>
      </c>
      <c r="AJ77">
        <v>2.6017399999999999</v>
      </c>
      <c r="AK77">
        <f>-(Table925[[#This Row],[time]]-2)*2</f>
        <v>-1.2034799999999999</v>
      </c>
      <c r="AL77">
        <v>78.087199999999996</v>
      </c>
      <c r="AM77">
        <v>57.204999999999998</v>
      </c>
      <c r="AN77">
        <f>Table925[[#This Row],[CFNM]]/Table925[[#This Row],[CAREA]]</f>
        <v>0.73257845075761463</v>
      </c>
    </row>
    <row r="78" spans="1:40">
      <c r="A78">
        <v>2.6549200000000002</v>
      </c>
      <c r="B78">
        <f>-(Table219[[#This Row],[time]]-2)*2</f>
        <v>-1.3098400000000003</v>
      </c>
      <c r="C78">
        <v>88.3476</v>
      </c>
      <c r="D78">
        <v>21.652899999999999</v>
      </c>
      <c r="E78">
        <f>Table219[[#This Row],[CFNM]]/Table219[[#This Row],[CAREA ]]</f>
        <v>0.24508758585405827</v>
      </c>
      <c r="F78">
        <v>2.6549200000000002</v>
      </c>
      <c r="G78">
        <f>-(Table320[[#This Row],[time]]-2)*2</f>
        <v>-1.3098400000000003</v>
      </c>
      <c r="H78">
        <v>94.1785</v>
      </c>
      <c r="I78">
        <v>13.462999999999999</v>
      </c>
      <c r="J78" s="2">
        <f>Table320[[#This Row],[CFNM]]/Table320[[#This Row],[CAREA ]]</f>
        <v>0.1429519476313596</v>
      </c>
      <c r="K78">
        <v>2.6549200000000002</v>
      </c>
      <c r="L78">
        <f>-(Table421[[#This Row],[time]]-2)*2</f>
        <v>-1.3098400000000003</v>
      </c>
      <c r="M78">
        <v>90.255200000000002</v>
      </c>
      <c r="N78">
        <v>23.499099999999999</v>
      </c>
      <c r="O78">
        <f>Table421[[#This Row],[CFNM]]/Table421[[#This Row],[CAREA]]</f>
        <v>0.26036283781987074</v>
      </c>
      <c r="P78">
        <v>2.6549200000000002</v>
      </c>
      <c r="Q78">
        <f>-(Table16[[#This Row],[time]]-2)*2</f>
        <v>-1.3098400000000003</v>
      </c>
      <c r="R78">
        <v>88.2072</v>
      </c>
      <c r="S78">
        <v>31.0334</v>
      </c>
      <c r="T78">
        <f>Table16[[#This Row],[CFNM]]/Table16[[#This Row],[CAREA]]</f>
        <v>0.35182388739241244</v>
      </c>
      <c r="U78">
        <v>2.6549200000000002</v>
      </c>
      <c r="V78">
        <f>-(Table622[[#This Row],[time]]-2)*2</f>
        <v>-1.3098400000000003</v>
      </c>
      <c r="W78">
        <v>67.444599999999994</v>
      </c>
      <c r="X78">
        <v>48.563800000000001</v>
      </c>
      <c r="Y78">
        <f>Table622[[#This Row],[CFNM]]/Table622[[#This Row],[CAREA]]</f>
        <v>0.72005468191671396</v>
      </c>
      <c r="Z78">
        <v>2.6549200000000002</v>
      </c>
      <c r="AA78">
        <f>-(Table723[[#This Row],[time]]-2)*2</f>
        <v>-1.3098400000000003</v>
      </c>
      <c r="AB78">
        <v>77.036799999999999</v>
      </c>
      <c r="AC78">
        <v>64.189400000000006</v>
      </c>
      <c r="AD78">
        <f>Table723[[#This Row],[CFNM]]/Table723[[#This Row],[CAREA]]</f>
        <v>0.83323035224723774</v>
      </c>
      <c r="AE78">
        <v>2.6549200000000002</v>
      </c>
      <c r="AF78">
        <f>-(Table824[[#This Row],[time]]-2)*2</f>
        <v>-1.3098400000000003</v>
      </c>
      <c r="AG78">
        <v>76.416200000000003</v>
      </c>
      <c r="AH78">
        <v>59.911999999999999</v>
      </c>
      <c r="AI78">
        <f>Table824[[#This Row],[CFNM]]/Table824[[#This Row],[CAREA]]</f>
        <v>0.78402223612270694</v>
      </c>
      <c r="AJ78">
        <v>2.6549200000000002</v>
      </c>
      <c r="AK78">
        <f>-(Table925[[#This Row],[time]]-2)*2</f>
        <v>-1.3098400000000003</v>
      </c>
      <c r="AL78">
        <v>77.826499999999996</v>
      </c>
      <c r="AM78">
        <v>61.163200000000003</v>
      </c>
      <c r="AN78">
        <f>Table925[[#This Row],[CFNM]]/Table925[[#This Row],[CAREA]]</f>
        <v>0.78589169498821099</v>
      </c>
    </row>
    <row r="79" spans="1:40">
      <c r="A79">
        <v>2.7033499999999999</v>
      </c>
      <c r="B79">
        <f>-(Table219[[#This Row],[time]]-2)*2</f>
        <v>-1.4066999999999998</v>
      </c>
      <c r="C79">
        <v>88.288499999999999</v>
      </c>
      <c r="D79">
        <v>22.3949</v>
      </c>
      <c r="E79">
        <f>Table219[[#This Row],[CFNM]]/Table219[[#This Row],[CAREA ]]</f>
        <v>0.25365591215163924</v>
      </c>
      <c r="F79">
        <v>2.7033499999999999</v>
      </c>
      <c r="G79">
        <f>-(Table320[[#This Row],[time]]-2)*2</f>
        <v>-1.4066999999999998</v>
      </c>
      <c r="H79">
        <v>94.188599999999994</v>
      </c>
      <c r="I79">
        <v>14.3255</v>
      </c>
      <c r="J79" s="2">
        <f>Table320[[#This Row],[CFNM]]/Table320[[#This Row],[CAREA ]]</f>
        <v>0.15209377780325858</v>
      </c>
      <c r="K79">
        <v>2.7033499999999999</v>
      </c>
      <c r="L79">
        <f>-(Table421[[#This Row],[time]]-2)*2</f>
        <v>-1.4066999999999998</v>
      </c>
      <c r="M79">
        <v>90.183000000000007</v>
      </c>
      <c r="N79">
        <v>25.106100000000001</v>
      </c>
      <c r="O79">
        <f>Table421[[#This Row],[CFNM]]/Table421[[#This Row],[CAREA]]</f>
        <v>0.27839060576827118</v>
      </c>
      <c r="P79">
        <v>2.7033499999999999</v>
      </c>
      <c r="Q79">
        <f>-(Table16[[#This Row],[time]]-2)*2</f>
        <v>-1.4066999999999998</v>
      </c>
      <c r="R79">
        <v>88.122600000000006</v>
      </c>
      <c r="S79">
        <v>33.244199999999999</v>
      </c>
      <c r="T79">
        <f>Table16[[#This Row],[CFNM]]/Table16[[#This Row],[CAREA]]</f>
        <v>0.37724942296300834</v>
      </c>
      <c r="U79">
        <v>2.7033499999999999</v>
      </c>
      <c r="V79">
        <f>-(Table622[[#This Row],[time]]-2)*2</f>
        <v>-1.4066999999999998</v>
      </c>
      <c r="W79">
        <v>62.555</v>
      </c>
      <c r="X79">
        <v>52.2333</v>
      </c>
      <c r="Y79">
        <f>Table622[[#This Row],[CFNM]]/Table622[[#This Row],[CAREA]]</f>
        <v>0.83499800175845251</v>
      </c>
      <c r="Z79">
        <v>2.7033499999999999</v>
      </c>
      <c r="AA79">
        <f>-(Table723[[#This Row],[time]]-2)*2</f>
        <v>-1.4066999999999998</v>
      </c>
      <c r="AB79">
        <v>73.933999999999997</v>
      </c>
      <c r="AC79">
        <v>68.467500000000001</v>
      </c>
      <c r="AD79">
        <f>Table723[[#This Row],[CFNM]]/Table723[[#This Row],[CAREA]]</f>
        <v>0.92606243406281286</v>
      </c>
      <c r="AE79">
        <v>2.7033499999999999</v>
      </c>
      <c r="AF79">
        <f>-(Table824[[#This Row],[time]]-2)*2</f>
        <v>-1.4066999999999998</v>
      </c>
      <c r="AG79">
        <v>75.701999999999998</v>
      </c>
      <c r="AH79">
        <v>63.543100000000003</v>
      </c>
      <c r="AI79">
        <f>Table824[[#This Row],[CFNM]]/Table824[[#This Row],[CAREA]]</f>
        <v>0.83938469261049908</v>
      </c>
      <c r="AJ79">
        <v>2.7033499999999999</v>
      </c>
      <c r="AK79">
        <f>-(Table925[[#This Row],[time]]-2)*2</f>
        <v>-1.4066999999999998</v>
      </c>
      <c r="AL79">
        <v>77.525199999999998</v>
      </c>
      <c r="AM79">
        <v>64.782499999999999</v>
      </c>
      <c r="AN79">
        <f>Table925[[#This Row],[CFNM]]/Table925[[#This Row],[CAREA]]</f>
        <v>0.83563151078617015</v>
      </c>
    </row>
    <row r="80" spans="1:40">
      <c r="A80">
        <v>2.75569</v>
      </c>
      <c r="B80">
        <f>-(Table219[[#This Row],[time]]-2)*2</f>
        <v>-1.5113799999999999</v>
      </c>
      <c r="C80">
        <v>88.242900000000006</v>
      </c>
      <c r="D80">
        <v>23.1492</v>
      </c>
      <c r="E80">
        <f>Table219[[#This Row],[CFNM]]/Table219[[#This Row],[CAREA ]]</f>
        <v>0.26233498672414435</v>
      </c>
      <c r="F80">
        <v>2.75569</v>
      </c>
      <c r="G80">
        <f>-(Table320[[#This Row],[time]]-2)*2</f>
        <v>-1.5113799999999999</v>
      </c>
      <c r="H80">
        <v>93.942300000000003</v>
      </c>
      <c r="I80">
        <v>15.2301</v>
      </c>
      <c r="J80" s="2">
        <f>Table320[[#This Row],[CFNM]]/Table320[[#This Row],[CAREA ]]</f>
        <v>0.16212185564969134</v>
      </c>
      <c r="K80">
        <v>2.75569</v>
      </c>
      <c r="L80">
        <f>-(Table421[[#This Row],[time]]-2)*2</f>
        <v>-1.5113799999999999</v>
      </c>
      <c r="M80">
        <v>90.056799999999996</v>
      </c>
      <c r="N80">
        <v>26.863299999999999</v>
      </c>
      <c r="O80">
        <f>Table421[[#This Row],[CFNM]]/Table421[[#This Row],[CAREA]]</f>
        <v>0.29829285517584458</v>
      </c>
      <c r="P80">
        <v>2.75569</v>
      </c>
      <c r="Q80">
        <f>-(Table16[[#This Row],[time]]-2)*2</f>
        <v>-1.5113799999999999</v>
      </c>
      <c r="R80">
        <v>88.113600000000005</v>
      </c>
      <c r="S80">
        <v>35.718400000000003</v>
      </c>
      <c r="T80">
        <f>Table16[[#This Row],[CFNM]]/Table16[[#This Row],[CAREA]]</f>
        <v>0.40536761634980301</v>
      </c>
      <c r="U80">
        <v>2.75569</v>
      </c>
      <c r="V80">
        <f>-(Table622[[#This Row],[time]]-2)*2</f>
        <v>-1.5113799999999999</v>
      </c>
      <c r="W80">
        <v>57.677300000000002</v>
      </c>
      <c r="X80">
        <v>56.45</v>
      </c>
      <c r="Y80">
        <f>Table622[[#This Row],[CFNM]]/Table622[[#This Row],[CAREA]]</f>
        <v>0.9787212646916551</v>
      </c>
      <c r="Z80">
        <v>2.75569</v>
      </c>
      <c r="AA80">
        <f>-(Table723[[#This Row],[time]]-2)*2</f>
        <v>-1.5113799999999999</v>
      </c>
      <c r="AB80">
        <v>68.026499999999999</v>
      </c>
      <c r="AC80">
        <v>73.340800000000002</v>
      </c>
      <c r="AD80">
        <f>Table723[[#This Row],[CFNM]]/Table723[[#This Row],[CAREA]]</f>
        <v>1.0781210263647256</v>
      </c>
      <c r="AE80">
        <v>2.75569</v>
      </c>
      <c r="AF80">
        <f>-(Table824[[#This Row],[time]]-2)*2</f>
        <v>-1.5113799999999999</v>
      </c>
      <c r="AG80">
        <v>74.882300000000001</v>
      </c>
      <c r="AH80">
        <v>67.568799999999996</v>
      </c>
      <c r="AI80">
        <f>Table824[[#This Row],[CFNM]]/Table824[[#This Row],[CAREA]]</f>
        <v>0.90233339520821332</v>
      </c>
      <c r="AJ80">
        <v>2.75569</v>
      </c>
      <c r="AK80">
        <f>-(Table925[[#This Row],[time]]-2)*2</f>
        <v>-1.5113799999999999</v>
      </c>
      <c r="AL80">
        <v>77.232399999999998</v>
      </c>
      <c r="AM80">
        <v>68.751900000000006</v>
      </c>
      <c r="AN80">
        <f>Table925[[#This Row],[CFNM]]/Table925[[#This Row],[CAREA]]</f>
        <v>0.89019504767429225</v>
      </c>
    </row>
    <row r="81" spans="1:40">
      <c r="A81">
        <v>2.8036300000000001</v>
      </c>
      <c r="B81">
        <f>-(Table219[[#This Row],[time]]-2)*2</f>
        <v>-1.6072600000000001</v>
      </c>
      <c r="C81">
        <v>88.221900000000005</v>
      </c>
      <c r="D81">
        <v>23.800999999999998</v>
      </c>
      <c r="E81">
        <f>Table219[[#This Row],[CFNM]]/Table219[[#This Row],[CAREA ]]</f>
        <v>0.26978562012380142</v>
      </c>
      <c r="F81">
        <v>2.8036300000000001</v>
      </c>
      <c r="G81">
        <f>-(Table320[[#This Row],[time]]-2)*2</f>
        <v>-1.6072600000000001</v>
      </c>
      <c r="H81">
        <v>93.766800000000003</v>
      </c>
      <c r="I81">
        <v>16.109200000000001</v>
      </c>
      <c r="J81" s="2">
        <f>Table320[[#This Row],[CFNM]]/Table320[[#This Row],[CAREA ]]</f>
        <v>0.17180067998481341</v>
      </c>
      <c r="K81">
        <v>2.8036300000000001</v>
      </c>
      <c r="L81">
        <f>-(Table421[[#This Row],[time]]-2)*2</f>
        <v>-1.6072600000000001</v>
      </c>
      <c r="M81">
        <v>89.839799999999997</v>
      </c>
      <c r="N81">
        <v>28.477599999999999</v>
      </c>
      <c r="O81">
        <f>Table421[[#This Row],[CFNM]]/Table421[[#This Row],[CAREA]]</f>
        <v>0.31698200574800922</v>
      </c>
      <c r="P81">
        <v>2.8036300000000001</v>
      </c>
      <c r="Q81">
        <f>-(Table16[[#This Row],[time]]-2)*2</f>
        <v>-1.6072600000000001</v>
      </c>
      <c r="R81">
        <v>88.008499999999998</v>
      </c>
      <c r="S81">
        <v>38.155999999999999</v>
      </c>
      <c r="T81">
        <f>Table16[[#This Row],[CFNM]]/Table16[[#This Row],[CAREA]]</f>
        <v>0.4335490321957538</v>
      </c>
      <c r="U81">
        <v>2.8036300000000001</v>
      </c>
      <c r="V81">
        <f>-(Table622[[#This Row],[time]]-2)*2</f>
        <v>-1.6072600000000001</v>
      </c>
      <c r="W81">
        <v>51.753500000000003</v>
      </c>
      <c r="X81">
        <v>60.409100000000002</v>
      </c>
      <c r="Y81">
        <f>Table622[[#This Row],[CFNM]]/Table622[[#This Row],[CAREA]]</f>
        <v>1.1672466596462074</v>
      </c>
      <c r="Z81">
        <v>2.8036300000000001</v>
      </c>
      <c r="AA81">
        <f>-(Table723[[#This Row],[time]]-2)*2</f>
        <v>-1.6072600000000001</v>
      </c>
      <c r="AB81">
        <v>63.498899999999999</v>
      </c>
      <c r="AC81">
        <v>78.040300000000002</v>
      </c>
      <c r="AD81">
        <f>Table723[[#This Row],[CFNM]]/Table723[[#This Row],[CAREA]]</f>
        <v>1.2290023921674234</v>
      </c>
      <c r="AE81">
        <v>2.8036300000000001</v>
      </c>
      <c r="AF81">
        <f>-(Table824[[#This Row],[time]]-2)*2</f>
        <v>-1.6072600000000001</v>
      </c>
      <c r="AG81">
        <v>74.245800000000003</v>
      </c>
      <c r="AH81">
        <v>71.258099999999999</v>
      </c>
      <c r="AI81">
        <f>Table824[[#This Row],[CFNM]]/Table824[[#This Row],[CAREA]]</f>
        <v>0.95975933992225815</v>
      </c>
      <c r="AJ81">
        <v>2.8036300000000001</v>
      </c>
      <c r="AK81">
        <f>-(Table925[[#This Row],[time]]-2)*2</f>
        <v>-1.6072600000000001</v>
      </c>
      <c r="AL81">
        <v>76.957599999999999</v>
      </c>
      <c r="AM81">
        <v>72.381299999999996</v>
      </c>
      <c r="AN81">
        <f>Table925[[#This Row],[CFNM]]/Table925[[#This Row],[CAREA]]</f>
        <v>0.94053478798715129</v>
      </c>
    </row>
    <row r="82" spans="1:40">
      <c r="A82">
        <v>2.8530199999999999</v>
      </c>
      <c r="B82">
        <f>-(Table219[[#This Row],[time]]-2)*2</f>
        <v>-1.7060399999999998</v>
      </c>
      <c r="C82">
        <v>87.921999999999997</v>
      </c>
      <c r="D82">
        <v>24.477499999999999</v>
      </c>
      <c r="E82">
        <f>Table219[[#This Row],[CFNM]]/Table219[[#This Row],[CAREA ]]</f>
        <v>0.27840017288050772</v>
      </c>
      <c r="F82">
        <v>2.8530199999999999</v>
      </c>
      <c r="G82">
        <f>-(Table320[[#This Row],[time]]-2)*2</f>
        <v>-1.7060399999999998</v>
      </c>
      <c r="H82">
        <v>93.778199999999998</v>
      </c>
      <c r="I82">
        <v>17.006399999999999</v>
      </c>
      <c r="J82" s="2">
        <f>Table320[[#This Row],[CFNM]]/Table320[[#This Row],[CAREA ]]</f>
        <v>0.18134705080711722</v>
      </c>
      <c r="K82">
        <v>2.8530199999999999</v>
      </c>
      <c r="L82">
        <f>-(Table421[[#This Row],[time]]-2)*2</f>
        <v>-1.7060399999999998</v>
      </c>
      <c r="M82">
        <v>89.852699999999999</v>
      </c>
      <c r="N82">
        <v>30.247499999999999</v>
      </c>
      <c r="O82">
        <f>Table421[[#This Row],[CFNM]]/Table421[[#This Row],[CAREA]]</f>
        <v>0.33663429145701795</v>
      </c>
      <c r="P82">
        <v>2.8530199999999999</v>
      </c>
      <c r="Q82">
        <f>-(Table16[[#This Row],[time]]-2)*2</f>
        <v>-1.7060399999999998</v>
      </c>
      <c r="R82">
        <v>87.895600000000002</v>
      </c>
      <c r="S82">
        <v>40.807699999999997</v>
      </c>
      <c r="T82">
        <f>Table16[[#This Row],[CFNM]]/Table16[[#This Row],[CAREA]]</f>
        <v>0.46427466221289798</v>
      </c>
      <c r="U82">
        <v>2.8530199999999999</v>
      </c>
      <c r="V82">
        <f>-(Table622[[#This Row],[time]]-2)*2</f>
        <v>-1.7060399999999998</v>
      </c>
      <c r="W82">
        <v>46.533499999999997</v>
      </c>
      <c r="X82">
        <v>64.653700000000001</v>
      </c>
      <c r="Y82">
        <f>Table622[[#This Row],[CFNM]]/Table622[[#This Row],[CAREA]]</f>
        <v>1.3894011840931804</v>
      </c>
      <c r="Z82">
        <v>2.8530199999999999</v>
      </c>
      <c r="AA82">
        <f>-(Table723[[#This Row],[time]]-2)*2</f>
        <v>-1.7060399999999998</v>
      </c>
      <c r="AB82">
        <v>60.301600000000001</v>
      </c>
      <c r="AC82">
        <v>83.099900000000005</v>
      </c>
      <c r="AD82">
        <f>Table723[[#This Row],[CFNM]]/Table723[[#This Row],[CAREA]]</f>
        <v>1.3780712286241161</v>
      </c>
      <c r="AE82">
        <v>2.8530199999999999</v>
      </c>
      <c r="AF82">
        <f>-(Table824[[#This Row],[time]]-2)*2</f>
        <v>-1.7060399999999998</v>
      </c>
      <c r="AG82">
        <v>73.606200000000001</v>
      </c>
      <c r="AH82">
        <v>74.958699999999993</v>
      </c>
      <c r="AI82">
        <f>Table824[[#This Row],[CFNM]]/Table824[[#This Row],[CAREA]]</f>
        <v>1.018374810817567</v>
      </c>
      <c r="AJ82">
        <v>2.8530199999999999</v>
      </c>
      <c r="AK82">
        <f>-(Table925[[#This Row],[time]]-2)*2</f>
        <v>-1.7060399999999998</v>
      </c>
      <c r="AL82">
        <v>76.679900000000004</v>
      </c>
      <c r="AM82">
        <v>76.174899999999994</v>
      </c>
      <c r="AN82">
        <f>Table925[[#This Row],[CFNM]]/Table925[[#This Row],[CAREA]]</f>
        <v>0.99341418024801798</v>
      </c>
    </row>
    <row r="83" spans="1:40">
      <c r="A83">
        <v>2.90564</v>
      </c>
      <c r="B83">
        <f>-(Table219[[#This Row],[time]]-2)*2</f>
        <v>-1.81128</v>
      </c>
      <c r="C83">
        <v>87.982100000000003</v>
      </c>
      <c r="D83">
        <v>25.1919</v>
      </c>
      <c r="E83">
        <f>Table219[[#This Row],[CFNM]]/Table219[[#This Row],[CAREA ]]</f>
        <v>0.2863298330001216</v>
      </c>
      <c r="F83">
        <v>2.90564</v>
      </c>
      <c r="G83">
        <f>-(Table320[[#This Row],[time]]-2)*2</f>
        <v>-1.81128</v>
      </c>
      <c r="H83">
        <v>93.8262</v>
      </c>
      <c r="I83">
        <v>18.0608</v>
      </c>
      <c r="J83" s="2">
        <f>Table320[[#This Row],[CFNM]]/Table320[[#This Row],[CAREA ]]</f>
        <v>0.19249207577414412</v>
      </c>
      <c r="K83">
        <v>2.90564</v>
      </c>
      <c r="L83">
        <f>-(Table421[[#This Row],[time]]-2)*2</f>
        <v>-1.81128</v>
      </c>
      <c r="M83">
        <v>89.402600000000007</v>
      </c>
      <c r="N83">
        <v>32.345199999999998</v>
      </c>
      <c r="O83">
        <f>Table421[[#This Row],[CFNM]]/Table421[[#This Row],[CAREA]]</f>
        <v>0.36179261005832042</v>
      </c>
      <c r="P83">
        <v>2.90564</v>
      </c>
      <c r="Q83">
        <f>-(Table16[[#This Row],[time]]-2)*2</f>
        <v>-1.81128</v>
      </c>
      <c r="R83">
        <v>87.779399999999995</v>
      </c>
      <c r="S83">
        <v>43.958399999999997</v>
      </c>
      <c r="T83">
        <f>Table16[[#This Row],[CFNM]]/Table16[[#This Row],[CAREA]]</f>
        <v>0.50078264376379877</v>
      </c>
      <c r="U83">
        <v>2.90564</v>
      </c>
      <c r="V83">
        <f>-(Table622[[#This Row],[time]]-2)*2</f>
        <v>-1.81128</v>
      </c>
      <c r="W83">
        <v>43.408700000000003</v>
      </c>
      <c r="X83">
        <v>69.306700000000006</v>
      </c>
      <c r="Y83">
        <f>Table622[[#This Row],[CFNM]]/Table622[[#This Row],[CAREA]]</f>
        <v>1.596608513961487</v>
      </c>
      <c r="Z83">
        <v>2.90564</v>
      </c>
      <c r="AA83">
        <f>-(Table723[[#This Row],[time]]-2)*2</f>
        <v>-1.81128</v>
      </c>
      <c r="AB83">
        <v>56.7943</v>
      </c>
      <c r="AC83">
        <v>88.7791</v>
      </c>
      <c r="AD83">
        <f>Table723[[#This Row],[CFNM]]/Table723[[#This Row],[CAREA]]</f>
        <v>1.5631691912744765</v>
      </c>
      <c r="AE83">
        <v>2.90564</v>
      </c>
      <c r="AF83">
        <f>-(Table824[[#This Row],[time]]-2)*2</f>
        <v>-1.81128</v>
      </c>
      <c r="AG83">
        <v>72.934299999999993</v>
      </c>
      <c r="AH83">
        <v>78.846500000000006</v>
      </c>
      <c r="AI83">
        <f>Table824[[#This Row],[CFNM]]/Table824[[#This Row],[CAREA]]</f>
        <v>1.0810619968930943</v>
      </c>
      <c r="AJ83">
        <v>2.90564</v>
      </c>
      <c r="AK83">
        <f>-(Table925[[#This Row],[time]]-2)*2</f>
        <v>-1.81128</v>
      </c>
      <c r="AL83">
        <v>76.398700000000005</v>
      </c>
      <c r="AM83">
        <v>80.4328</v>
      </c>
      <c r="AN83">
        <f>Table925[[#This Row],[CFNM]]/Table925[[#This Row],[CAREA]]</f>
        <v>1.0528032545056394</v>
      </c>
    </row>
    <row r="84" spans="1:40">
      <c r="A84">
        <v>2.9504700000000001</v>
      </c>
      <c r="B84">
        <f>-(Table219[[#This Row],[time]]-2)*2</f>
        <v>-1.9009400000000003</v>
      </c>
      <c r="C84">
        <v>88.109099999999998</v>
      </c>
      <c r="D84">
        <v>25.745799999999999</v>
      </c>
      <c r="E84">
        <f>Table219[[#This Row],[CFNM]]/Table219[[#This Row],[CAREA ]]</f>
        <v>0.29220364298352836</v>
      </c>
      <c r="F84">
        <v>2.9504700000000001</v>
      </c>
      <c r="G84">
        <f>-(Table320[[#This Row],[time]]-2)*2</f>
        <v>-1.9009400000000003</v>
      </c>
      <c r="H84">
        <v>93.958399999999997</v>
      </c>
      <c r="I84">
        <v>19.048200000000001</v>
      </c>
      <c r="J84" s="2">
        <f>Table320[[#This Row],[CFNM]]/Table320[[#This Row],[CAREA ]]</f>
        <v>0.20273014440433215</v>
      </c>
      <c r="K84">
        <v>2.9504700000000001</v>
      </c>
      <c r="L84">
        <f>-(Table421[[#This Row],[time]]-2)*2</f>
        <v>-1.9009400000000003</v>
      </c>
      <c r="M84">
        <v>89.084599999999995</v>
      </c>
      <c r="N84">
        <v>34.262500000000003</v>
      </c>
      <c r="O84">
        <f>Table421[[#This Row],[CFNM]]/Table421[[#This Row],[CAREA]]</f>
        <v>0.3846063180392571</v>
      </c>
      <c r="P84">
        <v>2.9504700000000001</v>
      </c>
      <c r="Q84">
        <f>-(Table16[[#This Row],[time]]-2)*2</f>
        <v>-1.9009400000000003</v>
      </c>
      <c r="R84">
        <v>87.690600000000003</v>
      </c>
      <c r="S84">
        <v>46.942</v>
      </c>
      <c r="T84">
        <f>Table16[[#This Row],[CFNM]]/Table16[[#This Row],[CAREA]]</f>
        <v>0.53531393330642052</v>
      </c>
      <c r="U84">
        <v>2.9504700000000001</v>
      </c>
      <c r="V84">
        <f>-(Table622[[#This Row],[time]]-2)*2</f>
        <v>-1.9009400000000003</v>
      </c>
      <c r="W84">
        <v>41.517099999999999</v>
      </c>
      <c r="X84">
        <v>73.224599999999995</v>
      </c>
      <c r="Y84">
        <f>Table622[[#This Row],[CFNM]]/Table622[[#This Row],[CAREA]]</f>
        <v>1.7637214545331923</v>
      </c>
      <c r="Z84">
        <v>2.9504700000000001</v>
      </c>
      <c r="AA84">
        <f>-(Table723[[#This Row],[time]]-2)*2</f>
        <v>-1.9009400000000003</v>
      </c>
      <c r="AB84">
        <v>53.731000000000002</v>
      </c>
      <c r="AC84">
        <v>93.581299999999999</v>
      </c>
      <c r="AD84">
        <f>Table723[[#This Row],[CFNM]]/Table723[[#This Row],[CAREA]]</f>
        <v>1.7416630995142468</v>
      </c>
      <c r="AE84">
        <v>2.9504700000000001</v>
      </c>
      <c r="AF84">
        <f>-(Table824[[#This Row],[time]]-2)*2</f>
        <v>-1.9009400000000003</v>
      </c>
      <c r="AG84">
        <v>72.326999999999998</v>
      </c>
      <c r="AH84">
        <v>82.231200000000001</v>
      </c>
      <c r="AI84">
        <f>Table824[[#This Row],[CFNM]]/Table824[[#This Row],[CAREA]]</f>
        <v>1.1369364137873823</v>
      </c>
      <c r="AJ84">
        <v>2.9504700000000001</v>
      </c>
      <c r="AK84">
        <f>-(Table925[[#This Row],[time]]-2)*2</f>
        <v>-1.9009400000000003</v>
      </c>
      <c r="AL84">
        <v>76.075800000000001</v>
      </c>
      <c r="AM84">
        <v>84.031999999999996</v>
      </c>
      <c r="AN84">
        <f>Table925[[#This Row],[CFNM]]/Table925[[#This Row],[CAREA]]</f>
        <v>1.1045825347876723</v>
      </c>
    </row>
    <row r="85" spans="1:40">
      <c r="A85">
        <v>3</v>
      </c>
      <c r="B85">
        <f>-(Table219[[#This Row],[time]]-2)*2</f>
        <v>-2</v>
      </c>
      <c r="C85">
        <v>88.392600000000002</v>
      </c>
      <c r="D85">
        <v>26.154299999999999</v>
      </c>
      <c r="E85">
        <f>Table219[[#This Row],[CFNM]]/Table219[[#This Row],[CAREA ]]</f>
        <v>0.29588789106780433</v>
      </c>
      <c r="F85">
        <v>3</v>
      </c>
      <c r="G85">
        <f>-(Table320[[#This Row],[time]]-2)*2</f>
        <v>-2</v>
      </c>
      <c r="H85">
        <v>94.186599999999999</v>
      </c>
      <c r="I85">
        <v>20.078700000000001</v>
      </c>
      <c r="J85" s="2">
        <f>Table320[[#This Row],[CFNM]]/Table320[[#This Row],[CAREA ]]</f>
        <v>0.2131800064977396</v>
      </c>
      <c r="K85">
        <v>3</v>
      </c>
      <c r="L85">
        <f>-(Table421[[#This Row],[time]]-2)*2</f>
        <v>-2</v>
      </c>
      <c r="M85">
        <v>88.654399999999995</v>
      </c>
      <c r="N85">
        <v>36.3551</v>
      </c>
      <c r="O85">
        <f>Table421[[#This Row],[CFNM]]/Table421[[#This Row],[CAREA]]</f>
        <v>0.41007665722175102</v>
      </c>
      <c r="P85">
        <v>3</v>
      </c>
      <c r="Q85">
        <f>-(Table16[[#This Row],[time]]-2)*2</f>
        <v>-2</v>
      </c>
      <c r="R85">
        <v>87.5779</v>
      </c>
      <c r="S85">
        <v>50.372999999999998</v>
      </c>
      <c r="T85">
        <f>Table16[[#This Row],[CFNM]]/Table16[[#This Row],[CAREA]]</f>
        <v>0.57517935460886815</v>
      </c>
      <c r="U85">
        <v>3</v>
      </c>
      <c r="V85">
        <f>-(Table622[[#This Row],[time]]-2)*2</f>
        <v>-2</v>
      </c>
      <c r="W85">
        <v>39.824199999999998</v>
      </c>
      <c r="X85">
        <v>77.386300000000006</v>
      </c>
      <c r="Y85">
        <f>Table622[[#This Row],[CFNM]]/Table622[[#This Row],[CAREA]]</f>
        <v>1.943197854570839</v>
      </c>
      <c r="Z85">
        <v>3</v>
      </c>
      <c r="AA85">
        <f>-(Table723[[#This Row],[time]]-2)*2</f>
        <v>-2</v>
      </c>
      <c r="AB85">
        <v>51.966700000000003</v>
      </c>
      <c r="AC85">
        <v>98.698800000000006</v>
      </c>
      <c r="AD85">
        <f>Table723[[#This Row],[CFNM]]/Table723[[#This Row],[CAREA]]</f>
        <v>1.8992701095124378</v>
      </c>
      <c r="AE85">
        <v>3</v>
      </c>
      <c r="AF85">
        <f>-(Table824[[#This Row],[time]]-2)*2</f>
        <v>-2</v>
      </c>
      <c r="AG85">
        <v>71.783799999999999</v>
      </c>
      <c r="AH85">
        <v>85.895200000000003</v>
      </c>
      <c r="AI85">
        <f>Table824[[#This Row],[CFNM]]/Table824[[#This Row],[CAREA]]</f>
        <v>1.1965819586034732</v>
      </c>
      <c r="AJ85">
        <v>3</v>
      </c>
      <c r="AK85">
        <f>-(Table925[[#This Row],[time]]-2)*2</f>
        <v>-2</v>
      </c>
      <c r="AL85">
        <v>75.672499999999999</v>
      </c>
      <c r="AM85">
        <v>87.896900000000002</v>
      </c>
      <c r="AN85">
        <f>Table925[[#This Row],[CFNM]]/Table925[[#This Row],[CAREA]]</f>
        <v>1.1615434933430242</v>
      </c>
    </row>
    <row r="87" spans="1:40">
      <c r="A87" t="s">
        <v>27</v>
      </c>
      <c r="D87" t="s">
        <v>2</v>
      </c>
    </row>
    <row r="88" spans="1:40">
      <c r="A88" t="s">
        <v>28</v>
      </c>
      <c r="D88" t="s">
        <v>4</v>
      </c>
      <c r="E88" t="s">
        <v>5</v>
      </c>
    </row>
    <row r="90" spans="1:40">
      <c r="A90" t="s">
        <v>7</v>
      </c>
      <c r="F90" t="s">
        <v>8</v>
      </c>
      <c r="K90" t="s">
        <v>9</v>
      </c>
      <c r="P90" t="s">
        <v>26</v>
      </c>
      <c r="U90" t="s">
        <v>11</v>
      </c>
      <c r="Z90" t="s">
        <v>12</v>
      </c>
      <c r="AE90" t="s">
        <v>13</v>
      </c>
      <c r="AJ90" t="s">
        <v>14</v>
      </c>
    </row>
    <row r="91" spans="1:40">
      <c r="A91" t="s">
        <v>15</v>
      </c>
      <c r="B91" t="s">
        <v>16</v>
      </c>
      <c r="C91" t="s">
        <v>20</v>
      </c>
      <c r="D91" t="s">
        <v>18</v>
      </c>
      <c r="E91" t="s">
        <v>19</v>
      </c>
      <c r="F91" t="s">
        <v>15</v>
      </c>
      <c r="G91" t="s">
        <v>16</v>
      </c>
      <c r="H91" t="s">
        <v>20</v>
      </c>
      <c r="I91" t="s">
        <v>18</v>
      </c>
      <c r="J91" t="s">
        <v>19</v>
      </c>
      <c r="K91" t="s">
        <v>15</v>
      </c>
      <c r="L91" t="s">
        <v>16</v>
      </c>
      <c r="M91" t="s">
        <v>20</v>
      </c>
      <c r="N91" t="s">
        <v>18</v>
      </c>
      <c r="O91" t="s">
        <v>19</v>
      </c>
      <c r="P91" t="s">
        <v>15</v>
      </c>
      <c r="Q91" t="s">
        <v>16</v>
      </c>
      <c r="R91" t="s">
        <v>20</v>
      </c>
      <c r="S91" t="s">
        <v>18</v>
      </c>
      <c r="T91" t="s">
        <v>19</v>
      </c>
      <c r="U91" t="s">
        <v>15</v>
      </c>
      <c r="V91" t="s">
        <v>16</v>
      </c>
      <c r="W91" t="s">
        <v>20</v>
      </c>
      <c r="X91" t="s">
        <v>18</v>
      </c>
      <c r="Y91" t="s">
        <v>19</v>
      </c>
      <c r="Z91" t="s">
        <v>15</v>
      </c>
      <c r="AA91" t="s">
        <v>16</v>
      </c>
      <c r="AB91" t="s">
        <v>20</v>
      </c>
      <c r="AC91" t="s">
        <v>18</v>
      </c>
      <c r="AD91" t="s">
        <v>19</v>
      </c>
      <c r="AE91" t="s">
        <v>15</v>
      </c>
      <c r="AF91" t="s">
        <v>16</v>
      </c>
      <c r="AG91" t="s">
        <v>20</v>
      </c>
      <c r="AH91" t="s">
        <v>18</v>
      </c>
      <c r="AI91" t="s">
        <v>19</v>
      </c>
      <c r="AJ91" t="s">
        <v>15</v>
      </c>
      <c r="AK91" t="s">
        <v>16</v>
      </c>
      <c r="AL91" t="s">
        <v>20</v>
      </c>
      <c r="AM91" t="s">
        <v>18</v>
      </c>
      <c r="AN91" t="s">
        <v>19</v>
      </c>
    </row>
    <row r="92" spans="1:40">
      <c r="A92">
        <v>2</v>
      </c>
      <c r="B92">
        <f>(Table1274[[#This Row],[time]]-2)*2</f>
        <v>0</v>
      </c>
      <c r="C92">
        <v>91.921300000000002</v>
      </c>
      <c r="D92">
        <v>9.3756500000000003</v>
      </c>
      <c r="E92" s="2">
        <f>Table1274[[#This Row],[CFNM]]/Table1274[[#This Row],[CAREA]]</f>
        <v>0.10199649047609205</v>
      </c>
      <c r="F92">
        <v>2</v>
      </c>
      <c r="G92">
        <f>(Table2275[[#This Row],[time]]-2)*2</f>
        <v>0</v>
      </c>
      <c r="H92">
        <v>94.718199999999996</v>
      </c>
      <c r="I92">
        <v>2.8455900000000001</v>
      </c>
      <c r="J92" s="2">
        <f>Table2275[[#This Row],[CFNM]]/Table2275[[#This Row],[CAREA]]</f>
        <v>3.0042695068107292E-2</v>
      </c>
      <c r="K92">
        <v>2</v>
      </c>
      <c r="L92">
        <f>(Table3276[[#This Row],[time]]-2)*2</f>
        <v>0</v>
      </c>
      <c r="M92">
        <v>89.822999999999993</v>
      </c>
      <c r="N92">
        <v>2.7683800000000001</v>
      </c>
      <c r="O92">
        <f>Table3276[[#This Row],[CFNM]]/Table3276[[#This Row],[CAREA]]</f>
        <v>3.0820391213831649E-2</v>
      </c>
      <c r="P92">
        <v>2</v>
      </c>
      <c r="Q92">
        <f>(Table4277[[#This Row],[time]]-2)*2</f>
        <v>0</v>
      </c>
      <c r="R92">
        <v>84.903199999999998</v>
      </c>
      <c r="S92">
        <v>4.4528400000000001</v>
      </c>
      <c r="T92">
        <f>Table4277[[#This Row],[CFNM]]/Table4277[[#This Row],[CAREA]]</f>
        <v>5.2446079770844915E-2</v>
      </c>
      <c r="U92">
        <v>2</v>
      </c>
      <c r="V92">
        <f>(Table5278[[#This Row],[time]]-2)*2</f>
        <v>0</v>
      </c>
      <c r="W92">
        <v>83.020300000000006</v>
      </c>
      <c r="X92">
        <v>8.6436100000000007</v>
      </c>
      <c r="Y92">
        <f>Table5278[[#This Row],[CFNM]]/Table5278[[#This Row],[CAREA]]</f>
        <v>0.10411441538997089</v>
      </c>
      <c r="Z92">
        <v>2</v>
      </c>
      <c r="AA92">
        <f>(Table6279[[#This Row],[time]]-2)*2</f>
        <v>0</v>
      </c>
      <c r="AB92">
        <v>88.872600000000006</v>
      </c>
      <c r="AC92">
        <v>13.6356</v>
      </c>
      <c r="AD92">
        <f>Table6279[[#This Row],[CFNM]]/Table6279[[#This Row],[CAREA]]</f>
        <v>0.1534286157938442</v>
      </c>
      <c r="AE92">
        <v>2</v>
      </c>
      <c r="AF92">
        <f>(Table7280[[#This Row],[time]]-2)*2</f>
        <v>0</v>
      </c>
      <c r="AG92">
        <v>78.913399999999996</v>
      </c>
      <c r="AH92">
        <v>19.2013</v>
      </c>
      <c r="AI92">
        <f>Table7280[[#This Row],[CFNM]]/Table7280[[#This Row],[CAREA]]</f>
        <v>0.24332115965095916</v>
      </c>
      <c r="AJ92">
        <v>2</v>
      </c>
      <c r="AK92">
        <f>(Table8281[[#This Row],[time]]-2)*2</f>
        <v>0</v>
      </c>
      <c r="AL92">
        <v>83.194400000000002</v>
      </c>
      <c r="AM92">
        <v>18.7179</v>
      </c>
      <c r="AN92">
        <f>Table8281[[#This Row],[CFNM]]/Table8281[[#This Row],[CAREA]]</f>
        <v>0.22498990316655929</v>
      </c>
    </row>
    <row r="93" spans="1:40">
      <c r="A93">
        <v>2.0512600000000001</v>
      </c>
      <c r="B93">
        <f>(Table1274[[#This Row],[time]]-2)*2</f>
        <v>0.10252000000000017</v>
      </c>
      <c r="C93">
        <v>92.346299999999999</v>
      </c>
      <c r="D93">
        <v>10.1022</v>
      </c>
      <c r="E93">
        <f>Table1274[[#This Row],[CFNM]]/Table1274[[#This Row],[CAREA]]</f>
        <v>0.10939474564763288</v>
      </c>
      <c r="F93">
        <v>2.0512600000000001</v>
      </c>
      <c r="G93">
        <f>(Table2275[[#This Row],[time]]-2)*2</f>
        <v>0.10252000000000017</v>
      </c>
      <c r="H93">
        <v>94.979100000000003</v>
      </c>
      <c r="I93">
        <v>3.5464199999999999</v>
      </c>
      <c r="J93">
        <f>Table2275[[#This Row],[CFNM]]/Table2275[[#This Row],[CAREA]]</f>
        <v>3.7338951411415772E-2</v>
      </c>
      <c r="K93">
        <v>2.0512600000000001</v>
      </c>
      <c r="L93">
        <f>(Table3276[[#This Row],[time]]-2)*2</f>
        <v>0.10252000000000017</v>
      </c>
      <c r="M93">
        <v>90.117599999999996</v>
      </c>
      <c r="N93">
        <v>3.04345</v>
      </c>
      <c r="O93">
        <f>Table3276[[#This Row],[CFNM]]/Table3276[[#This Row],[CAREA]]</f>
        <v>3.3771982387458169E-2</v>
      </c>
      <c r="P93">
        <v>2.0512600000000001</v>
      </c>
      <c r="Q93">
        <f>(Table4277[[#This Row],[time]]-2)*2</f>
        <v>0.10252000000000017</v>
      </c>
      <c r="R93">
        <v>85.926699999999997</v>
      </c>
      <c r="S93">
        <v>5.1715099999999996</v>
      </c>
      <c r="T93">
        <f>Table4277[[#This Row],[CFNM]]/Table4277[[#This Row],[CAREA]]</f>
        <v>6.0185134539089712E-2</v>
      </c>
      <c r="U93">
        <v>2.0512600000000001</v>
      </c>
      <c r="V93">
        <f>(Table5278[[#This Row],[time]]-2)*2</f>
        <v>0.10252000000000017</v>
      </c>
      <c r="W93">
        <v>82.772900000000007</v>
      </c>
      <c r="X93">
        <v>7.9917899999999999</v>
      </c>
      <c r="Y93">
        <f>Table5278[[#This Row],[CFNM]]/Table5278[[#This Row],[CAREA]]</f>
        <v>9.6550803463452406E-2</v>
      </c>
      <c r="Z93">
        <v>2.0512600000000001</v>
      </c>
      <c r="AA93">
        <f>(Table6279[[#This Row],[time]]-2)*2</f>
        <v>0.10252000000000017</v>
      </c>
      <c r="AB93">
        <v>88.828400000000002</v>
      </c>
      <c r="AC93">
        <v>13.194000000000001</v>
      </c>
      <c r="AD93">
        <f>Table6279[[#This Row],[CFNM]]/Table6279[[#This Row],[CAREA]]</f>
        <v>0.14853357709921602</v>
      </c>
      <c r="AE93">
        <v>2.0512600000000001</v>
      </c>
      <c r="AF93">
        <f>(Table7280[[#This Row],[time]]-2)*2</f>
        <v>0.10252000000000017</v>
      </c>
      <c r="AG93">
        <v>78.825999999999993</v>
      </c>
      <c r="AH93">
        <v>18.478200000000001</v>
      </c>
      <c r="AI93">
        <f>Table7280[[#This Row],[CFNM]]/Table7280[[#This Row],[CAREA]]</f>
        <v>0.23441757795651186</v>
      </c>
      <c r="AJ93">
        <v>2.0512600000000001</v>
      </c>
      <c r="AK93">
        <f>(Table8281[[#This Row],[time]]-2)*2</f>
        <v>0.10252000000000017</v>
      </c>
      <c r="AL93">
        <v>83.2667</v>
      </c>
      <c r="AM93">
        <v>17.740100000000002</v>
      </c>
      <c r="AN93">
        <f>Table8281[[#This Row],[CFNM]]/Table8281[[#This Row],[CAREA]]</f>
        <v>0.21305155602419698</v>
      </c>
    </row>
    <row r="94" spans="1:40">
      <c r="A94">
        <v>2.1153300000000002</v>
      </c>
      <c r="B94">
        <f>(Table1274[[#This Row],[time]]-2)*2</f>
        <v>0.23066000000000031</v>
      </c>
      <c r="C94">
        <v>92.718999999999994</v>
      </c>
      <c r="D94">
        <v>9.6948299999999996</v>
      </c>
      <c r="E94">
        <f>Table1274[[#This Row],[CFNM]]/Table1274[[#This Row],[CAREA]]</f>
        <v>0.10456141675384766</v>
      </c>
      <c r="F94">
        <v>2.1153300000000002</v>
      </c>
      <c r="G94">
        <f>(Table2275[[#This Row],[time]]-2)*2</f>
        <v>0.23066000000000031</v>
      </c>
      <c r="H94">
        <v>95.736000000000004</v>
      </c>
      <c r="I94">
        <v>3.5061900000000001</v>
      </c>
      <c r="J94">
        <f>Table2275[[#This Row],[CFNM]]/Table2275[[#This Row],[CAREA]]</f>
        <v>3.6623527199799451E-2</v>
      </c>
      <c r="K94">
        <v>2.1153300000000002</v>
      </c>
      <c r="L94">
        <f>(Table3276[[#This Row],[time]]-2)*2</f>
        <v>0.23066000000000031</v>
      </c>
      <c r="M94">
        <v>89.992400000000004</v>
      </c>
      <c r="N94">
        <v>2.0946799999999999</v>
      </c>
      <c r="O94">
        <f>Table3276[[#This Row],[CFNM]]/Table3276[[#This Row],[CAREA]]</f>
        <v>2.3276187766966987E-2</v>
      </c>
      <c r="P94">
        <v>2.1153300000000002</v>
      </c>
      <c r="Q94">
        <f>(Table4277[[#This Row],[time]]-2)*2</f>
        <v>0.23066000000000031</v>
      </c>
      <c r="R94">
        <v>86.005899999999997</v>
      </c>
      <c r="S94">
        <v>4.1980300000000002</v>
      </c>
      <c r="T94">
        <f>Table4277[[#This Row],[CFNM]]/Table4277[[#This Row],[CAREA]]</f>
        <v>4.8810953667132145E-2</v>
      </c>
      <c r="U94">
        <v>2.1153300000000002</v>
      </c>
      <c r="V94">
        <f>(Table5278[[#This Row],[time]]-2)*2</f>
        <v>0.23066000000000031</v>
      </c>
      <c r="W94">
        <v>83.258499999999998</v>
      </c>
      <c r="X94">
        <v>4.3645399999999999</v>
      </c>
      <c r="Y94">
        <f>Table5278[[#This Row],[CFNM]]/Table5278[[#This Row],[CAREA]]</f>
        <v>5.2421554555991283E-2</v>
      </c>
      <c r="Z94">
        <v>2.1153300000000002</v>
      </c>
      <c r="AA94">
        <f>(Table6279[[#This Row],[time]]-2)*2</f>
        <v>0.23066000000000031</v>
      </c>
      <c r="AB94">
        <v>88.407200000000003</v>
      </c>
      <c r="AC94">
        <v>9.1620000000000008</v>
      </c>
      <c r="AD94">
        <f>Table6279[[#This Row],[CFNM]]/Table6279[[#This Row],[CAREA]]</f>
        <v>0.1036340931507841</v>
      </c>
      <c r="AE94">
        <v>2.1153300000000002</v>
      </c>
      <c r="AF94">
        <f>(Table7280[[#This Row],[time]]-2)*2</f>
        <v>0.23066000000000031</v>
      </c>
      <c r="AG94">
        <v>78.585999999999999</v>
      </c>
      <c r="AH94">
        <v>17.349399999999999</v>
      </c>
      <c r="AI94">
        <f>Table7280[[#This Row],[CFNM]]/Table7280[[#This Row],[CAREA]]</f>
        <v>0.2207696027282213</v>
      </c>
      <c r="AJ94">
        <v>2.1153300000000002</v>
      </c>
      <c r="AK94">
        <f>(Table8281[[#This Row],[time]]-2)*2</f>
        <v>0.23066000000000031</v>
      </c>
      <c r="AL94">
        <v>83.443600000000004</v>
      </c>
      <c r="AM94">
        <v>16.3126</v>
      </c>
      <c r="AN94">
        <f>Table8281[[#This Row],[CFNM]]/Table8281[[#This Row],[CAREA]]</f>
        <v>0.19549252429185701</v>
      </c>
    </row>
    <row r="95" spans="1:40">
      <c r="A95">
        <v>2.16533</v>
      </c>
      <c r="B95">
        <f>(Table1274[[#This Row],[time]]-2)*2</f>
        <v>0.33065999999999995</v>
      </c>
      <c r="C95">
        <v>93.3917</v>
      </c>
      <c r="D95">
        <v>9.0836299999999994</v>
      </c>
      <c r="E95">
        <f>Table1274[[#This Row],[CFNM]]/Table1274[[#This Row],[CAREA]]</f>
        <v>9.7263782541703384E-2</v>
      </c>
      <c r="F95">
        <v>2.16533</v>
      </c>
      <c r="G95">
        <f>(Table2275[[#This Row],[time]]-2)*2</f>
        <v>0.33065999999999995</v>
      </c>
      <c r="H95">
        <v>95.611199999999997</v>
      </c>
      <c r="I95">
        <v>3.2458</v>
      </c>
      <c r="J95">
        <f>Table2275[[#This Row],[CFNM]]/Table2275[[#This Row],[CAREA]]</f>
        <v>3.394790568468966E-2</v>
      </c>
      <c r="K95">
        <v>2.16533</v>
      </c>
      <c r="L95">
        <f>(Table3276[[#This Row],[time]]-2)*2</f>
        <v>0.33065999999999995</v>
      </c>
      <c r="M95">
        <v>89.747399999999999</v>
      </c>
      <c r="N95">
        <v>1.15283</v>
      </c>
      <c r="O95">
        <f>Table3276[[#This Row],[CFNM]]/Table3276[[#This Row],[CAREA]]</f>
        <v>1.284527462634015E-2</v>
      </c>
      <c r="P95">
        <v>2.16533</v>
      </c>
      <c r="Q95">
        <f>(Table4277[[#This Row],[time]]-2)*2</f>
        <v>0.33065999999999995</v>
      </c>
      <c r="R95">
        <v>85.838300000000004</v>
      </c>
      <c r="S95">
        <v>2.8441700000000001</v>
      </c>
      <c r="T95">
        <f>Table4277[[#This Row],[CFNM]]/Table4277[[#This Row],[CAREA]]</f>
        <v>3.3134043894159131E-2</v>
      </c>
      <c r="U95">
        <v>2.16533</v>
      </c>
      <c r="V95">
        <f>(Table5278[[#This Row],[time]]-2)*2</f>
        <v>0.33065999999999995</v>
      </c>
      <c r="W95">
        <v>83.101500000000001</v>
      </c>
      <c r="X95">
        <v>2.07056</v>
      </c>
      <c r="Y95">
        <f>Table5278[[#This Row],[CFNM]]/Table5278[[#This Row],[CAREA]]</f>
        <v>2.4916036413301805E-2</v>
      </c>
      <c r="Z95">
        <v>2.16533</v>
      </c>
      <c r="AA95">
        <f>(Table6279[[#This Row],[time]]-2)*2</f>
        <v>0.33065999999999995</v>
      </c>
      <c r="AB95">
        <v>87.479100000000003</v>
      </c>
      <c r="AC95">
        <v>5.5485899999999999</v>
      </c>
      <c r="AD95">
        <f>Table6279[[#This Row],[CFNM]]/Table6279[[#This Row],[CAREA]]</f>
        <v>6.3427607279910286E-2</v>
      </c>
      <c r="AE95">
        <v>2.16533</v>
      </c>
      <c r="AF95">
        <f>(Table7280[[#This Row],[time]]-2)*2</f>
        <v>0.33065999999999995</v>
      </c>
      <c r="AG95">
        <v>78.385000000000005</v>
      </c>
      <c r="AH95">
        <v>16.560199999999998</v>
      </c>
      <c r="AI95">
        <f>Table7280[[#This Row],[CFNM]]/Table7280[[#This Row],[CAREA]]</f>
        <v>0.21126746188684056</v>
      </c>
      <c r="AJ95">
        <v>2.16533</v>
      </c>
      <c r="AK95">
        <f>(Table8281[[#This Row],[time]]-2)*2</f>
        <v>0.33065999999999995</v>
      </c>
      <c r="AL95">
        <v>83.586299999999994</v>
      </c>
      <c r="AM95">
        <v>15.2704</v>
      </c>
      <c r="AN95">
        <f>Table8281[[#This Row],[CFNM]]/Table8281[[#This Row],[CAREA]]</f>
        <v>0.18269022555131645</v>
      </c>
    </row>
    <row r="96" spans="1:40">
      <c r="A96">
        <v>2.2246999999999999</v>
      </c>
      <c r="B96">
        <f>(Table1274[[#This Row],[time]]-2)*2</f>
        <v>0.4493999999999998</v>
      </c>
      <c r="C96">
        <v>93.606200000000001</v>
      </c>
      <c r="D96">
        <v>7.8368599999999997</v>
      </c>
      <c r="E96">
        <f>Table1274[[#This Row],[CFNM]]/Table1274[[#This Row],[CAREA]]</f>
        <v>8.3721591091188402E-2</v>
      </c>
      <c r="F96">
        <v>2.2246999999999999</v>
      </c>
      <c r="G96">
        <f>(Table2275[[#This Row],[time]]-2)*2</f>
        <v>0.4493999999999998</v>
      </c>
      <c r="H96">
        <v>96.0595</v>
      </c>
      <c r="I96">
        <v>2.6086800000000001</v>
      </c>
      <c r="J96">
        <f>Table2275[[#This Row],[CFNM]]/Table2275[[#This Row],[CAREA]]</f>
        <v>2.7156918368302981E-2</v>
      </c>
      <c r="K96">
        <v>2.2246999999999999</v>
      </c>
      <c r="L96">
        <f>(Table3276[[#This Row],[time]]-2)*2</f>
        <v>0.4493999999999998</v>
      </c>
      <c r="M96">
        <v>88.813100000000006</v>
      </c>
      <c r="N96">
        <v>5.7579500000000004E-3</v>
      </c>
      <c r="O96">
        <f>Table3276[[#This Row],[CFNM]]/Table3276[[#This Row],[CAREA]]</f>
        <v>6.4832215067371822E-5</v>
      </c>
      <c r="P96">
        <v>2.2246999999999999</v>
      </c>
      <c r="Q96">
        <f>(Table4277[[#This Row],[time]]-2)*2</f>
        <v>0.4493999999999998</v>
      </c>
      <c r="R96">
        <v>84.713899999999995</v>
      </c>
      <c r="S96">
        <v>0.88139100000000004</v>
      </c>
      <c r="T96">
        <f>Table4277[[#This Row],[CFNM]]/Table4277[[#This Row],[CAREA]]</f>
        <v>1.0404325618345986E-2</v>
      </c>
      <c r="U96">
        <v>2.2246999999999999</v>
      </c>
      <c r="V96">
        <f>(Table5278[[#This Row],[time]]-2)*2</f>
        <v>0.4493999999999998</v>
      </c>
      <c r="W96">
        <v>82.202399999999997</v>
      </c>
      <c r="X96">
        <v>1.1598299999999999</v>
      </c>
      <c r="Y96">
        <f>Table5278[[#This Row],[CFNM]]/Table5278[[#This Row],[CAREA]]</f>
        <v>1.4109442060085837E-2</v>
      </c>
      <c r="Z96">
        <v>2.2246999999999999</v>
      </c>
      <c r="AA96">
        <f>(Table6279[[#This Row],[time]]-2)*2</f>
        <v>0.4493999999999998</v>
      </c>
      <c r="AB96">
        <v>85.861199999999997</v>
      </c>
      <c r="AC96">
        <v>3.7114600000000002</v>
      </c>
      <c r="AD96">
        <f>Table6279[[#This Row],[CFNM]]/Table6279[[#This Row],[CAREA]]</f>
        <v>4.3226276828183162E-2</v>
      </c>
      <c r="AE96">
        <v>2.2246999999999999</v>
      </c>
      <c r="AF96">
        <f>(Table7280[[#This Row],[time]]-2)*2</f>
        <v>0.4493999999999998</v>
      </c>
      <c r="AG96">
        <v>78.135000000000005</v>
      </c>
      <c r="AH96">
        <v>15.838800000000001</v>
      </c>
      <c r="AI96">
        <f>Table7280[[#This Row],[CFNM]]/Table7280[[#This Row],[CAREA]]</f>
        <v>0.20271069303129199</v>
      </c>
      <c r="AJ96">
        <v>2.2246999999999999</v>
      </c>
      <c r="AK96">
        <f>(Table8281[[#This Row],[time]]-2)*2</f>
        <v>0.4493999999999998</v>
      </c>
      <c r="AL96">
        <v>83.749499999999998</v>
      </c>
      <c r="AM96">
        <v>14.2498</v>
      </c>
      <c r="AN96">
        <f>Table8281[[#This Row],[CFNM]]/Table8281[[#This Row],[CAREA]]</f>
        <v>0.17014788147988943</v>
      </c>
    </row>
    <row r="97" spans="1:40">
      <c r="A97">
        <v>2.2668900000000001</v>
      </c>
      <c r="B97">
        <f>(Table1274[[#This Row],[time]]-2)*2</f>
        <v>0.53378000000000014</v>
      </c>
      <c r="C97">
        <v>93.655900000000003</v>
      </c>
      <c r="D97">
        <v>7.10602</v>
      </c>
      <c r="E97">
        <f>Table1274[[#This Row],[CFNM]]/Table1274[[#This Row],[CAREA]]</f>
        <v>7.5873703632125686E-2</v>
      </c>
      <c r="F97">
        <v>2.2668900000000001</v>
      </c>
      <c r="G97">
        <f>(Table2275[[#This Row],[time]]-2)*2</f>
        <v>0.53378000000000014</v>
      </c>
      <c r="H97">
        <v>95.961600000000004</v>
      </c>
      <c r="I97">
        <v>2.0083000000000002</v>
      </c>
      <c r="J97">
        <f>Table2275[[#This Row],[CFNM]]/Table2275[[#This Row],[CAREA]]</f>
        <v>2.0928162931839404E-2</v>
      </c>
      <c r="K97">
        <v>2.2668900000000001</v>
      </c>
      <c r="L97">
        <f>(Table3276[[#This Row],[time]]-2)*2</f>
        <v>0.53378000000000014</v>
      </c>
      <c r="M97">
        <v>87.899199999999993</v>
      </c>
      <c r="N97">
        <v>4.2969899999999997E-3</v>
      </c>
      <c r="O97">
        <f>Table3276[[#This Row],[CFNM]]/Table3276[[#This Row],[CAREA]]</f>
        <v>4.8885427853723354E-5</v>
      </c>
      <c r="P97">
        <v>2.2668900000000001</v>
      </c>
      <c r="Q97">
        <f>(Table4277[[#This Row],[time]]-2)*2</f>
        <v>0.53378000000000014</v>
      </c>
      <c r="R97">
        <v>83.986000000000004</v>
      </c>
      <c r="S97">
        <v>6.3854799999999998E-3</v>
      </c>
      <c r="T97">
        <f>Table4277[[#This Row],[CFNM]]/Table4277[[#This Row],[CAREA]]</f>
        <v>7.6030290762746171E-5</v>
      </c>
      <c r="U97">
        <v>2.2668900000000001</v>
      </c>
      <c r="V97">
        <f>(Table5278[[#This Row],[time]]-2)*2</f>
        <v>0.53378000000000014</v>
      </c>
      <c r="W97">
        <v>81.060500000000005</v>
      </c>
      <c r="X97">
        <v>0.94934399999999997</v>
      </c>
      <c r="Y97">
        <f>Table5278[[#This Row],[CFNM]]/Table5278[[#This Row],[CAREA]]</f>
        <v>1.1711548781465695E-2</v>
      </c>
      <c r="Z97">
        <v>2.2668900000000001</v>
      </c>
      <c r="AA97">
        <f>(Table6279[[#This Row],[time]]-2)*2</f>
        <v>0.53378000000000014</v>
      </c>
      <c r="AB97">
        <v>85.579400000000007</v>
      </c>
      <c r="AC97">
        <v>2.7992499999999998</v>
      </c>
      <c r="AD97">
        <f>Table6279[[#This Row],[CFNM]]/Table6279[[#This Row],[CAREA]]</f>
        <v>3.2709390343937904E-2</v>
      </c>
      <c r="AE97">
        <v>2.2668900000000001</v>
      </c>
      <c r="AF97">
        <f>(Table7280[[#This Row],[time]]-2)*2</f>
        <v>0.53378000000000014</v>
      </c>
      <c r="AG97">
        <v>78.001000000000005</v>
      </c>
      <c r="AH97">
        <v>15.379799999999999</v>
      </c>
      <c r="AI97">
        <f>Table7280[[#This Row],[CFNM]]/Table7280[[#This Row],[CAREA]]</f>
        <v>0.19717439520006153</v>
      </c>
      <c r="AJ97">
        <v>2.2668900000000001</v>
      </c>
      <c r="AK97">
        <f>(Table8281[[#This Row],[time]]-2)*2</f>
        <v>0.53378000000000014</v>
      </c>
      <c r="AL97">
        <v>83.869900000000001</v>
      </c>
      <c r="AM97">
        <v>13.5341</v>
      </c>
      <c r="AN97">
        <f>Table8281[[#This Row],[CFNM]]/Table8281[[#This Row],[CAREA]]</f>
        <v>0.16137016975100721</v>
      </c>
    </row>
    <row r="98" spans="1:40">
      <c r="A98">
        <v>2.3168899999999999</v>
      </c>
      <c r="B98">
        <f>(Table1274[[#This Row],[time]]-2)*2</f>
        <v>0.63377999999999979</v>
      </c>
      <c r="C98">
        <v>93.489199999999997</v>
      </c>
      <c r="D98">
        <v>5.6883699999999999</v>
      </c>
      <c r="E98">
        <f>Table1274[[#This Row],[CFNM]]/Table1274[[#This Row],[CAREA]]</f>
        <v>6.0845209927991681E-2</v>
      </c>
      <c r="F98">
        <v>2.3168899999999999</v>
      </c>
      <c r="G98">
        <f>(Table2275[[#This Row],[time]]-2)*2</f>
        <v>0.63377999999999979</v>
      </c>
      <c r="H98">
        <v>95.813000000000002</v>
      </c>
      <c r="I98">
        <v>1.2413799999999999</v>
      </c>
      <c r="J98">
        <f>Table2275[[#This Row],[CFNM]]/Table2275[[#This Row],[CAREA]]</f>
        <v>1.2956279419285482E-2</v>
      </c>
      <c r="K98">
        <v>2.3168899999999999</v>
      </c>
      <c r="L98">
        <f>(Table3276[[#This Row],[time]]-2)*2</f>
        <v>0.63377999999999979</v>
      </c>
      <c r="M98">
        <v>87.1143</v>
      </c>
      <c r="N98">
        <v>3.8215699999999998E-3</v>
      </c>
      <c r="O98">
        <f>Table3276[[#This Row],[CFNM]]/Table3276[[#This Row],[CAREA]]</f>
        <v>4.3868457876605792E-5</v>
      </c>
      <c r="P98">
        <v>2.3168899999999999</v>
      </c>
      <c r="Q98">
        <f>(Table4277[[#This Row],[time]]-2)*2</f>
        <v>0.63377999999999979</v>
      </c>
      <c r="R98">
        <v>83.129499999999993</v>
      </c>
      <c r="S98">
        <v>5.0456499999999996E-3</v>
      </c>
      <c r="T98">
        <f>Table4277[[#This Row],[CFNM]]/Table4277[[#This Row],[CAREA]]</f>
        <v>6.0696263059443399E-5</v>
      </c>
      <c r="U98">
        <v>2.3168899999999999</v>
      </c>
      <c r="V98">
        <f>(Table5278[[#This Row],[time]]-2)*2</f>
        <v>0.63377999999999979</v>
      </c>
      <c r="W98">
        <v>80.478300000000004</v>
      </c>
      <c r="X98">
        <v>0.64264100000000002</v>
      </c>
      <c r="Y98">
        <f>Table5278[[#This Row],[CFNM]]/Table5278[[#This Row],[CAREA]]</f>
        <v>7.9852705636177697E-3</v>
      </c>
      <c r="Z98">
        <v>2.3168899999999999</v>
      </c>
      <c r="AA98">
        <f>(Table6279[[#This Row],[time]]-2)*2</f>
        <v>0.63377999999999979</v>
      </c>
      <c r="AB98">
        <v>85.176000000000002</v>
      </c>
      <c r="AC98">
        <v>1.97786</v>
      </c>
      <c r="AD98">
        <f>Table6279[[#This Row],[CFNM]]/Table6279[[#This Row],[CAREA]]</f>
        <v>2.3220860336244951E-2</v>
      </c>
      <c r="AE98">
        <v>2.3168899999999999</v>
      </c>
      <c r="AF98">
        <f>(Table7280[[#This Row],[time]]-2)*2</f>
        <v>0.63377999999999979</v>
      </c>
      <c r="AG98">
        <v>77.837000000000003</v>
      </c>
      <c r="AH98">
        <v>14.805899999999999</v>
      </c>
      <c r="AI98">
        <f>Table7280[[#This Row],[CFNM]]/Table7280[[#This Row],[CAREA]]</f>
        <v>0.19021673497180003</v>
      </c>
      <c r="AJ98">
        <v>2.3168899999999999</v>
      </c>
      <c r="AK98">
        <f>(Table8281[[#This Row],[time]]-2)*2</f>
        <v>0.63377999999999979</v>
      </c>
      <c r="AL98">
        <v>84.191000000000003</v>
      </c>
      <c r="AM98">
        <v>12.830299999999999</v>
      </c>
      <c r="AN98">
        <f>Table8281[[#This Row],[CFNM]]/Table8281[[#This Row],[CAREA]]</f>
        <v>0.15239514912520338</v>
      </c>
    </row>
    <row r="99" spans="1:40">
      <c r="A99">
        <v>2.3668900000000002</v>
      </c>
      <c r="B99">
        <f>(Table1274[[#This Row],[time]]-2)*2</f>
        <v>0.73378000000000032</v>
      </c>
      <c r="C99">
        <v>92.734700000000004</v>
      </c>
      <c r="D99">
        <v>4.1527000000000003</v>
      </c>
      <c r="E99">
        <f>Table1274[[#This Row],[CFNM]]/Table1274[[#This Row],[CAREA]]</f>
        <v>4.4780432782981994E-2</v>
      </c>
      <c r="F99">
        <v>2.3668900000000002</v>
      </c>
      <c r="G99">
        <f>(Table2275[[#This Row],[time]]-2)*2</f>
        <v>0.73378000000000032</v>
      </c>
      <c r="H99">
        <v>95.575100000000006</v>
      </c>
      <c r="I99">
        <v>0.40912399999999999</v>
      </c>
      <c r="J99">
        <f>Table2275[[#This Row],[CFNM]]/Table2275[[#This Row],[CAREA]]</f>
        <v>4.2806546893490033E-3</v>
      </c>
      <c r="K99">
        <v>2.3668900000000002</v>
      </c>
      <c r="L99">
        <f>(Table3276[[#This Row],[time]]-2)*2</f>
        <v>0.73378000000000032</v>
      </c>
      <c r="M99">
        <v>86.903300000000002</v>
      </c>
      <c r="N99">
        <v>3.6273199999999998E-3</v>
      </c>
      <c r="O99">
        <f>Table3276[[#This Row],[CFNM]]/Table3276[[#This Row],[CAREA]]</f>
        <v>4.1739726799787808E-5</v>
      </c>
      <c r="P99">
        <v>2.3668900000000002</v>
      </c>
      <c r="Q99">
        <f>(Table4277[[#This Row],[time]]-2)*2</f>
        <v>0.73378000000000032</v>
      </c>
      <c r="R99">
        <v>82.87</v>
      </c>
      <c r="S99">
        <v>4.7247299999999999E-3</v>
      </c>
      <c r="T99">
        <f>Table4277[[#This Row],[CFNM]]/Table4277[[#This Row],[CAREA]]</f>
        <v>5.7013756486062504E-5</v>
      </c>
      <c r="U99">
        <v>2.3668900000000002</v>
      </c>
      <c r="V99">
        <f>(Table5278[[#This Row],[time]]-2)*2</f>
        <v>0.73378000000000032</v>
      </c>
      <c r="W99">
        <v>79.921400000000006</v>
      </c>
      <c r="X99">
        <v>0.51145600000000002</v>
      </c>
      <c r="Y99">
        <f>Table5278[[#This Row],[CFNM]]/Table5278[[#This Row],[CAREA]]</f>
        <v>6.3994874964652766E-3</v>
      </c>
      <c r="Z99">
        <v>2.3668900000000002</v>
      </c>
      <c r="AA99">
        <f>(Table6279[[#This Row],[time]]-2)*2</f>
        <v>0.73378000000000032</v>
      </c>
      <c r="AB99">
        <v>83.431799999999996</v>
      </c>
      <c r="AC99">
        <v>1.4127799999999999</v>
      </c>
      <c r="AD99">
        <f>Table6279[[#This Row],[CFNM]]/Table6279[[#This Row],[CAREA]]</f>
        <v>1.6933351551806385E-2</v>
      </c>
      <c r="AE99">
        <v>2.3668900000000002</v>
      </c>
      <c r="AF99">
        <f>(Table7280[[#This Row],[time]]-2)*2</f>
        <v>0.73378000000000032</v>
      </c>
      <c r="AG99">
        <v>77.5869</v>
      </c>
      <c r="AH99">
        <v>14.3035</v>
      </c>
      <c r="AI99">
        <f>Table7280[[#This Row],[CFNM]]/Table7280[[#This Row],[CAREA]]</f>
        <v>0.18435457532134936</v>
      </c>
      <c r="AJ99">
        <v>2.3668900000000002</v>
      </c>
      <c r="AK99">
        <f>(Table8281[[#This Row],[time]]-2)*2</f>
        <v>0.73378000000000032</v>
      </c>
      <c r="AL99">
        <v>84.279200000000003</v>
      </c>
      <c r="AM99">
        <v>12.164</v>
      </c>
      <c r="AN99">
        <f>Table8281[[#This Row],[CFNM]]/Table8281[[#This Row],[CAREA]]</f>
        <v>0.14432979904887563</v>
      </c>
    </row>
    <row r="100" spans="1:40">
      <c r="A100">
        <v>2.4262700000000001</v>
      </c>
      <c r="B100">
        <f>(Table1274[[#This Row],[time]]-2)*2</f>
        <v>0.8525400000000003</v>
      </c>
      <c r="C100">
        <v>91.670299999999997</v>
      </c>
      <c r="D100">
        <v>2.59396</v>
      </c>
      <c r="E100">
        <f>Table1274[[#This Row],[CFNM]]/Table1274[[#This Row],[CAREA]]</f>
        <v>2.8296623879271697E-2</v>
      </c>
      <c r="F100">
        <v>2.4262700000000001</v>
      </c>
      <c r="G100">
        <f>(Table2275[[#This Row],[time]]-2)*2</f>
        <v>0.8525400000000003</v>
      </c>
      <c r="H100">
        <v>94.619</v>
      </c>
      <c r="I100">
        <v>5.1933400000000003E-3</v>
      </c>
      <c r="J100">
        <f>Table2275[[#This Row],[CFNM]]/Table2275[[#This Row],[CAREA]]</f>
        <v>5.48868620467348E-5</v>
      </c>
      <c r="K100">
        <v>2.4262700000000001</v>
      </c>
      <c r="L100">
        <f>(Table3276[[#This Row],[time]]-2)*2</f>
        <v>0.8525400000000003</v>
      </c>
      <c r="M100">
        <v>86.475499999999997</v>
      </c>
      <c r="N100">
        <v>3.4146100000000002E-3</v>
      </c>
      <c r="O100">
        <f>Table3276[[#This Row],[CFNM]]/Table3276[[#This Row],[CAREA]]</f>
        <v>3.948644413735683E-5</v>
      </c>
      <c r="P100">
        <v>2.4262700000000001</v>
      </c>
      <c r="Q100">
        <f>(Table4277[[#This Row],[time]]-2)*2</f>
        <v>0.8525400000000003</v>
      </c>
      <c r="R100">
        <v>82.339600000000004</v>
      </c>
      <c r="S100">
        <v>4.4985399999999997E-3</v>
      </c>
      <c r="T100">
        <f>Table4277[[#This Row],[CFNM]]/Table4277[[#This Row],[CAREA]]</f>
        <v>5.4633979276071288E-5</v>
      </c>
      <c r="U100">
        <v>2.4262700000000001</v>
      </c>
      <c r="V100">
        <f>(Table5278[[#This Row],[time]]-2)*2</f>
        <v>0.8525400000000003</v>
      </c>
      <c r="W100">
        <v>79.315100000000001</v>
      </c>
      <c r="X100">
        <v>0.373392</v>
      </c>
      <c r="Y100">
        <f>Table5278[[#This Row],[CFNM]]/Table5278[[#This Row],[CAREA]]</f>
        <v>4.7077038294095321E-3</v>
      </c>
      <c r="Z100">
        <v>2.4262700000000001</v>
      </c>
      <c r="AA100">
        <f>(Table6279[[#This Row],[time]]-2)*2</f>
        <v>0.8525400000000003</v>
      </c>
      <c r="AB100">
        <v>82.334199999999996</v>
      </c>
      <c r="AC100">
        <v>0.84607500000000002</v>
      </c>
      <c r="AD100">
        <f>Table6279[[#This Row],[CFNM]]/Table6279[[#This Row],[CAREA]]</f>
        <v>1.0276106405357676E-2</v>
      </c>
      <c r="AE100">
        <v>2.4262700000000001</v>
      </c>
      <c r="AF100">
        <f>(Table7280[[#This Row],[time]]-2)*2</f>
        <v>0.8525400000000003</v>
      </c>
      <c r="AG100">
        <v>77.503299999999996</v>
      </c>
      <c r="AH100">
        <v>13.645099999999999</v>
      </c>
      <c r="AI100">
        <f>Table7280[[#This Row],[CFNM]]/Table7280[[#This Row],[CAREA]]</f>
        <v>0.17605830977519668</v>
      </c>
      <c r="AJ100">
        <v>2.4262700000000001</v>
      </c>
      <c r="AK100">
        <f>(Table8281[[#This Row],[time]]-2)*2</f>
        <v>0.8525400000000003</v>
      </c>
      <c r="AL100">
        <v>83.984399999999994</v>
      </c>
      <c r="AM100">
        <v>11.3797</v>
      </c>
      <c r="AN100">
        <f>Table8281[[#This Row],[CFNM]]/Table8281[[#This Row],[CAREA]]</f>
        <v>0.1354977829215902</v>
      </c>
    </row>
    <row r="101" spans="1:40">
      <c r="A101">
        <v>2.4684599999999999</v>
      </c>
      <c r="B101">
        <f>(Table1274[[#This Row],[time]]-2)*2</f>
        <v>0.93691999999999975</v>
      </c>
      <c r="C101">
        <v>91.255899999999997</v>
      </c>
      <c r="D101">
        <v>1.54877</v>
      </c>
      <c r="E101">
        <f>Table1274[[#This Row],[CFNM]]/Table1274[[#This Row],[CAREA]]</f>
        <v>1.6971724567945743E-2</v>
      </c>
      <c r="F101">
        <v>2.4684599999999999</v>
      </c>
      <c r="G101">
        <f>(Table2275[[#This Row],[time]]-2)*2</f>
        <v>0.93691999999999975</v>
      </c>
      <c r="H101">
        <v>94.184700000000007</v>
      </c>
      <c r="I101">
        <v>4.8497899999999997E-3</v>
      </c>
      <c r="J101">
        <f>Table2275[[#This Row],[CFNM]]/Table2275[[#This Row],[CAREA]]</f>
        <v>5.1492333680523473E-5</v>
      </c>
      <c r="K101">
        <v>2.4684599999999999</v>
      </c>
      <c r="L101">
        <f>(Table3276[[#This Row],[time]]-2)*2</f>
        <v>0.93691999999999975</v>
      </c>
      <c r="M101">
        <v>84.577200000000005</v>
      </c>
      <c r="N101">
        <v>3.2713099999999999E-3</v>
      </c>
      <c r="O101">
        <f>Table3276[[#This Row],[CFNM]]/Table3276[[#This Row],[CAREA]]</f>
        <v>3.8678390866569239E-5</v>
      </c>
      <c r="P101">
        <v>2.4684599999999999</v>
      </c>
      <c r="Q101">
        <f>(Table4277[[#This Row],[time]]-2)*2</f>
        <v>0.93691999999999975</v>
      </c>
      <c r="R101">
        <v>82.253699999999995</v>
      </c>
      <c r="S101">
        <v>4.3762899999999997E-3</v>
      </c>
      <c r="T101">
        <f>Table4277[[#This Row],[CFNM]]/Table4277[[#This Row],[CAREA]]</f>
        <v>5.3204779845769857E-5</v>
      </c>
      <c r="U101">
        <v>2.4684599999999999</v>
      </c>
      <c r="V101">
        <f>(Table5278[[#This Row],[time]]-2)*2</f>
        <v>0.93691999999999975</v>
      </c>
      <c r="W101">
        <v>79.057199999999995</v>
      </c>
      <c r="X101">
        <v>0.28449200000000002</v>
      </c>
      <c r="Y101">
        <f>Table5278[[#This Row],[CFNM]]/Table5278[[#This Row],[CAREA]]</f>
        <v>3.598559018027454E-3</v>
      </c>
      <c r="Z101">
        <v>2.4684599999999999</v>
      </c>
      <c r="AA101">
        <f>(Table6279[[#This Row],[time]]-2)*2</f>
        <v>0.93691999999999975</v>
      </c>
      <c r="AB101">
        <v>82.124600000000001</v>
      </c>
      <c r="AC101">
        <v>0.55476499999999995</v>
      </c>
      <c r="AD101">
        <f>Table6279[[#This Row],[CFNM]]/Table6279[[#This Row],[CAREA]]</f>
        <v>6.7551622778071361E-3</v>
      </c>
      <c r="AE101">
        <v>2.4684599999999999</v>
      </c>
      <c r="AF101">
        <f>(Table7280[[#This Row],[time]]-2)*2</f>
        <v>0.93691999999999975</v>
      </c>
      <c r="AG101">
        <v>77.555999999999997</v>
      </c>
      <c r="AH101">
        <v>13.1785</v>
      </c>
      <c r="AI101">
        <f>Table7280[[#This Row],[CFNM]]/Table7280[[#This Row],[CAREA]]</f>
        <v>0.16992237866831708</v>
      </c>
      <c r="AJ101">
        <v>2.4684599999999999</v>
      </c>
      <c r="AK101">
        <f>(Table8281[[#This Row],[time]]-2)*2</f>
        <v>0.93691999999999975</v>
      </c>
      <c r="AL101">
        <v>83.951099999999997</v>
      </c>
      <c r="AM101">
        <v>10.827500000000001</v>
      </c>
      <c r="AN101">
        <f>Table8281[[#This Row],[CFNM]]/Table8281[[#This Row],[CAREA]]</f>
        <v>0.12897389075306936</v>
      </c>
    </row>
    <row r="102" spans="1:40">
      <c r="A102">
        <v>2.5278299999999998</v>
      </c>
      <c r="B102">
        <f>(Table1274[[#This Row],[time]]-2)*2</f>
        <v>1.0556599999999996</v>
      </c>
      <c r="C102">
        <v>90.385000000000005</v>
      </c>
      <c r="D102">
        <v>0.66146199999999999</v>
      </c>
      <c r="E102">
        <f>Table1274[[#This Row],[CFNM]]/Table1274[[#This Row],[CAREA]]</f>
        <v>7.318271837141118E-3</v>
      </c>
      <c r="F102">
        <v>2.5278299999999998</v>
      </c>
      <c r="G102">
        <f>(Table2275[[#This Row],[time]]-2)*2</f>
        <v>1.0556599999999996</v>
      </c>
      <c r="H102">
        <v>93.155900000000003</v>
      </c>
      <c r="I102">
        <v>4.29329E-3</v>
      </c>
      <c r="J102">
        <f>Table2275[[#This Row],[CFNM]]/Table2275[[#This Row],[CAREA]]</f>
        <v>4.6087150679667095E-5</v>
      </c>
      <c r="K102">
        <v>2.5278299999999998</v>
      </c>
      <c r="L102">
        <f>(Table3276[[#This Row],[time]]-2)*2</f>
        <v>1.0556599999999996</v>
      </c>
      <c r="M102">
        <v>82.675799999999995</v>
      </c>
      <c r="N102">
        <v>3.05952E-3</v>
      </c>
      <c r="O102">
        <f>Table3276[[#This Row],[CFNM]]/Table3276[[#This Row],[CAREA]]</f>
        <v>3.7006233988664156E-5</v>
      </c>
      <c r="P102">
        <v>2.5278299999999998</v>
      </c>
      <c r="Q102">
        <f>(Table4277[[#This Row],[time]]-2)*2</f>
        <v>1.0556599999999996</v>
      </c>
      <c r="R102">
        <v>82.1267</v>
      </c>
      <c r="S102">
        <v>4.2236699999999997E-3</v>
      </c>
      <c r="T102">
        <f>Table4277[[#This Row],[CFNM]]/Table4277[[#This Row],[CAREA]]</f>
        <v>5.1428707107432777E-5</v>
      </c>
      <c r="U102">
        <v>2.5278299999999998</v>
      </c>
      <c r="V102">
        <f>(Table5278[[#This Row],[time]]-2)*2</f>
        <v>1.0556599999999996</v>
      </c>
      <c r="W102">
        <v>78.581599999999995</v>
      </c>
      <c r="X102">
        <v>0.15556800000000001</v>
      </c>
      <c r="Y102">
        <f>Table5278[[#This Row],[CFNM]]/Table5278[[#This Row],[CAREA]]</f>
        <v>1.9797000824620524E-3</v>
      </c>
      <c r="Z102">
        <v>2.5278299999999998</v>
      </c>
      <c r="AA102">
        <f>(Table6279[[#This Row],[time]]-2)*2</f>
        <v>1.0556599999999996</v>
      </c>
      <c r="AB102">
        <v>81.283799999999999</v>
      </c>
      <c r="AC102">
        <v>0.31965900000000003</v>
      </c>
      <c r="AD102">
        <f>Table6279[[#This Row],[CFNM]]/Table6279[[#This Row],[CAREA]]</f>
        <v>3.9326286418695979E-3</v>
      </c>
      <c r="AE102">
        <v>2.5278299999999998</v>
      </c>
      <c r="AF102">
        <f>(Table7280[[#This Row],[time]]-2)*2</f>
        <v>1.0556599999999996</v>
      </c>
      <c r="AG102">
        <v>77.574299999999994</v>
      </c>
      <c r="AH102">
        <v>12.5024</v>
      </c>
      <c r="AI102">
        <f>Table7280[[#This Row],[CFNM]]/Table7280[[#This Row],[CAREA]]</f>
        <v>0.16116677817266803</v>
      </c>
      <c r="AJ102">
        <v>2.5278299999999998</v>
      </c>
      <c r="AK102">
        <f>(Table8281[[#This Row],[time]]-2)*2</f>
        <v>1.0556599999999996</v>
      </c>
      <c r="AL102">
        <v>83.954599999999999</v>
      </c>
      <c r="AM102">
        <v>10.042299999999999</v>
      </c>
      <c r="AN102">
        <f>Table8281[[#This Row],[CFNM]]/Table8281[[#This Row],[CAREA]]</f>
        <v>0.11961583998970872</v>
      </c>
    </row>
    <row r="103" spans="1:40">
      <c r="A103">
        <v>2.57002</v>
      </c>
      <c r="B103">
        <f>(Table1274[[#This Row],[time]]-2)*2</f>
        <v>1.1400399999999999</v>
      </c>
      <c r="C103">
        <v>90.006299999999996</v>
      </c>
      <c r="D103">
        <v>0.14602599999999999</v>
      </c>
      <c r="E103">
        <f>Table1274[[#This Row],[CFNM]]/Table1274[[#This Row],[CAREA]]</f>
        <v>1.6223975432830813E-3</v>
      </c>
      <c r="F103">
        <v>2.57002</v>
      </c>
      <c r="G103">
        <f>(Table2275[[#This Row],[time]]-2)*2</f>
        <v>1.1400399999999999</v>
      </c>
      <c r="H103">
        <v>92.094899999999996</v>
      </c>
      <c r="I103">
        <v>3.90084E-3</v>
      </c>
      <c r="J103">
        <f>Table2275[[#This Row],[CFNM]]/Table2275[[#This Row],[CAREA]]</f>
        <v>4.2356742881527641E-5</v>
      </c>
      <c r="K103">
        <v>2.57002</v>
      </c>
      <c r="L103">
        <f>(Table3276[[#This Row],[time]]-2)*2</f>
        <v>1.1400399999999999</v>
      </c>
      <c r="M103">
        <v>82.5364</v>
      </c>
      <c r="N103">
        <v>2.9191600000000001E-3</v>
      </c>
      <c r="O103">
        <f>Table3276[[#This Row],[CFNM]]/Table3276[[#This Row],[CAREA]]</f>
        <v>3.5368152718073482E-5</v>
      </c>
      <c r="P103">
        <v>2.57002</v>
      </c>
      <c r="Q103">
        <f>(Table4277[[#This Row],[time]]-2)*2</f>
        <v>1.1400399999999999</v>
      </c>
      <c r="R103">
        <v>82.025800000000004</v>
      </c>
      <c r="S103">
        <v>4.1230499999999996E-3</v>
      </c>
      <c r="T103">
        <f>Table4277[[#This Row],[CFNM]]/Table4277[[#This Row],[CAREA]]</f>
        <v>5.0265282386761233E-5</v>
      </c>
      <c r="U103">
        <v>2.57002</v>
      </c>
      <c r="V103">
        <f>(Table5278[[#This Row],[time]]-2)*2</f>
        <v>1.1400399999999999</v>
      </c>
      <c r="W103">
        <v>78.247799999999998</v>
      </c>
      <c r="X103">
        <v>5.1436000000000003E-2</v>
      </c>
      <c r="Y103">
        <f>Table5278[[#This Row],[CFNM]]/Table5278[[#This Row],[CAREA]]</f>
        <v>6.5734755481943266E-4</v>
      </c>
      <c r="Z103">
        <v>2.57002</v>
      </c>
      <c r="AA103">
        <f>(Table6279[[#This Row],[time]]-2)*2</f>
        <v>1.1400399999999999</v>
      </c>
      <c r="AB103">
        <v>80.259600000000006</v>
      </c>
      <c r="AC103">
        <v>0.171016</v>
      </c>
      <c r="AD103">
        <f>Table6279[[#This Row],[CFNM]]/Table6279[[#This Row],[CAREA]]</f>
        <v>2.1307856007256451E-3</v>
      </c>
      <c r="AE103">
        <v>2.57002</v>
      </c>
      <c r="AF103">
        <f>(Table7280[[#This Row],[time]]-2)*2</f>
        <v>1.1400399999999999</v>
      </c>
      <c r="AG103">
        <v>77.651499999999999</v>
      </c>
      <c r="AH103">
        <v>12.0219</v>
      </c>
      <c r="AI103">
        <f>Table7280[[#This Row],[CFNM]]/Table7280[[#This Row],[CAREA]]</f>
        <v>0.15481864484266242</v>
      </c>
      <c r="AJ103">
        <v>2.57002</v>
      </c>
      <c r="AK103">
        <f>(Table8281[[#This Row],[time]]-2)*2</f>
        <v>1.1400399999999999</v>
      </c>
      <c r="AL103">
        <v>83.885099999999994</v>
      </c>
      <c r="AM103">
        <v>9.48672</v>
      </c>
      <c r="AN103">
        <f>Table8281[[#This Row],[CFNM]]/Table8281[[#This Row],[CAREA]]</f>
        <v>0.11309183633327016</v>
      </c>
    </row>
    <row r="104" spans="1:40">
      <c r="A104">
        <v>2.60127</v>
      </c>
      <c r="B104">
        <f>(Table1274[[#This Row],[time]]-2)*2</f>
        <v>1.2025399999999999</v>
      </c>
      <c r="C104">
        <v>89.453699999999998</v>
      </c>
      <c r="D104">
        <v>4.75948E-3</v>
      </c>
      <c r="E104">
        <f>Table1274[[#This Row],[CFNM]]/Table1274[[#This Row],[CAREA]]</f>
        <v>5.320607196795661E-5</v>
      </c>
      <c r="F104">
        <v>2.60127</v>
      </c>
      <c r="G104">
        <f>(Table2275[[#This Row],[time]]-2)*2</f>
        <v>1.2025399999999999</v>
      </c>
      <c r="H104">
        <v>91.882400000000004</v>
      </c>
      <c r="I104">
        <v>3.71908E-3</v>
      </c>
      <c r="J104">
        <f>Table2275[[#This Row],[CFNM]]/Table2275[[#This Row],[CAREA]]</f>
        <v>4.0476522163112848E-5</v>
      </c>
      <c r="K104">
        <v>2.60127</v>
      </c>
      <c r="L104">
        <f>(Table3276[[#This Row],[time]]-2)*2</f>
        <v>1.2025399999999999</v>
      </c>
      <c r="M104">
        <v>82.408500000000004</v>
      </c>
      <c r="N104">
        <v>2.83856E-3</v>
      </c>
      <c r="O104">
        <f>Table3276[[#This Row],[CFNM]]/Table3276[[#This Row],[CAREA]]</f>
        <v>3.4444990504620277E-5</v>
      </c>
      <c r="P104">
        <v>2.60127</v>
      </c>
      <c r="Q104">
        <f>(Table4277[[#This Row],[time]]-2)*2</f>
        <v>1.2025399999999999</v>
      </c>
      <c r="R104">
        <v>81.927899999999994</v>
      </c>
      <c r="S104">
        <v>4.0285800000000004E-3</v>
      </c>
      <c r="T104">
        <f>Table4277[[#This Row],[CFNM]]/Table4277[[#This Row],[CAREA]]</f>
        <v>4.9172259999340894E-5</v>
      </c>
      <c r="U104">
        <v>2.60127</v>
      </c>
      <c r="V104">
        <f>(Table5278[[#This Row],[time]]-2)*2</f>
        <v>1.2025399999999999</v>
      </c>
      <c r="W104">
        <v>77.749399999999994</v>
      </c>
      <c r="X104">
        <v>5.6143299999999998E-3</v>
      </c>
      <c r="Y104">
        <f>Table5278[[#This Row],[CFNM]]/Table5278[[#This Row],[CAREA]]</f>
        <v>7.2210589406477741E-5</v>
      </c>
      <c r="Z104">
        <v>2.60127</v>
      </c>
      <c r="AA104">
        <f>(Table6279[[#This Row],[time]]-2)*2</f>
        <v>1.2025399999999999</v>
      </c>
      <c r="AB104">
        <v>78.508300000000006</v>
      </c>
      <c r="AC104">
        <v>5.62502E-2</v>
      </c>
      <c r="AD104">
        <f>Table6279[[#This Row],[CFNM]]/Table6279[[#This Row],[CAREA]]</f>
        <v>7.1648730134266049E-4</v>
      </c>
      <c r="AE104">
        <v>2.60127</v>
      </c>
      <c r="AF104">
        <f>(Table7280[[#This Row],[time]]-2)*2</f>
        <v>1.2025399999999999</v>
      </c>
      <c r="AG104">
        <v>77.743799999999993</v>
      </c>
      <c r="AH104">
        <v>11.6729</v>
      </c>
      <c r="AI104">
        <f>Table7280[[#This Row],[CFNM]]/Table7280[[#This Row],[CAREA]]</f>
        <v>0.15014573509398821</v>
      </c>
      <c r="AJ104">
        <v>2.60127</v>
      </c>
      <c r="AK104">
        <f>(Table8281[[#This Row],[time]]-2)*2</f>
        <v>1.2025399999999999</v>
      </c>
      <c r="AL104">
        <v>83.822500000000005</v>
      </c>
      <c r="AM104">
        <v>9.0530000000000008</v>
      </c>
      <c r="AN104">
        <f>Table8281[[#This Row],[CFNM]]/Table8281[[#This Row],[CAREA]]</f>
        <v>0.10800202809508187</v>
      </c>
    </row>
    <row r="105" spans="1:40">
      <c r="A105">
        <v>2.6509800000000001</v>
      </c>
      <c r="B105">
        <f>(Table1274[[#This Row],[time]]-2)*2</f>
        <v>1.3019600000000002</v>
      </c>
      <c r="C105">
        <v>88.700400000000002</v>
      </c>
      <c r="D105">
        <v>4.1361999999999996E-3</v>
      </c>
      <c r="E105">
        <f>Table1274[[#This Row],[CFNM]]/Table1274[[#This Row],[CAREA]]</f>
        <v>4.663113131395123E-5</v>
      </c>
      <c r="F105">
        <v>2.6509800000000001</v>
      </c>
      <c r="G105">
        <f>(Table2275[[#This Row],[time]]-2)*2</f>
        <v>1.3019600000000002</v>
      </c>
      <c r="H105">
        <v>91.627700000000004</v>
      </c>
      <c r="I105">
        <v>3.6490400000000001E-3</v>
      </c>
      <c r="J105">
        <f>Table2275[[#This Row],[CFNM]]/Table2275[[#This Row],[CAREA]]</f>
        <v>3.982463818255833E-5</v>
      </c>
      <c r="K105">
        <v>2.6509800000000001</v>
      </c>
      <c r="L105">
        <f>(Table3276[[#This Row],[time]]-2)*2</f>
        <v>1.3019600000000002</v>
      </c>
      <c r="M105">
        <v>82.117000000000004</v>
      </c>
      <c r="N105">
        <v>2.7627400000000001E-3</v>
      </c>
      <c r="O105">
        <f>Table3276[[#This Row],[CFNM]]/Table3276[[#This Row],[CAREA]]</f>
        <v>3.364394705115871E-5</v>
      </c>
      <c r="P105">
        <v>2.6509800000000001</v>
      </c>
      <c r="Q105">
        <f>(Table4277[[#This Row],[time]]-2)*2</f>
        <v>1.3019600000000002</v>
      </c>
      <c r="R105">
        <v>81.263800000000003</v>
      </c>
      <c r="S105">
        <v>3.9094400000000001E-3</v>
      </c>
      <c r="T105">
        <f>Table4277[[#This Row],[CFNM]]/Table4277[[#This Row],[CAREA]]</f>
        <v>4.8108013654296255E-5</v>
      </c>
      <c r="U105">
        <v>2.6509800000000001</v>
      </c>
      <c r="V105">
        <f>(Table5278[[#This Row],[time]]-2)*2</f>
        <v>1.3019600000000002</v>
      </c>
      <c r="W105">
        <v>77.029499999999999</v>
      </c>
      <c r="X105">
        <v>5.26671E-3</v>
      </c>
      <c r="Y105">
        <f>Table5278[[#This Row],[CFNM]]/Table5278[[#This Row],[CAREA]]</f>
        <v>6.8372636457461104E-5</v>
      </c>
      <c r="Z105">
        <v>2.6509800000000001</v>
      </c>
      <c r="AA105">
        <f>(Table6279[[#This Row],[time]]-2)*2</f>
        <v>1.3019600000000002</v>
      </c>
      <c r="AB105">
        <v>78.082999999999998</v>
      </c>
      <c r="AC105">
        <v>3.8585099999999999E-3</v>
      </c>
      <c r="AD105">
        <f>Table6279[[#This Row],[CFNM]]/Table6279[[#This Row],[CAREA]]</f>
        <v>4.9415493769450458E-5</v>
      </c>
      <c r="AE105">
        <v>2.6509800000000001</v>
      </c>
      <c r="AF105">
        <f>(Table7280[[#This Row],[time]]-2)*2</f>
        <v>1.3019600000000002</v>
      </c>
      <c r="AG105">
        <v>77.813000000000002</v>
      </c>
      <c r="AH105">
        <v>11.153499999999999</v>
      </c>
      <c r="AI105">
        <f>Table7280[[#This Row],[CFNM]]/Table7280[[#This Row],[CAREA]]</f>
        <v>0.14333723156798991</v>
      </c>
      <c r="AJ105">
        <v>2.6509800000000001</v>
      </c>
      <c r="AK105">
        <f>(Table8281[[#This Row],[time]]-2)*2</f>
        <v>1.3019600000000002</v>
      </c>
      <c r="AL105">
        <v>83.741500000000002</v>
      </c>
      <c r="AM105">
        <v>8.3737100000000009</v>
      </c>
      <c r="AN105">
        <f>Table8281[[#This Row],[CFNM]]/Table8281[[#This Row],[CAREA]]</f>
        <v>9.999474573538808E-2</v>
      </c>
    </row>
    <row r="106" spans="1:40">
      <c r="A106">
        <v>2.7066699999999999</v>
      </c>
      <c r="B106">
        <f>(Table1274[[#This Row],[time]]-2)*2</f>
        <v>1.4133399999999998</v>
      </c>
      <c r="C106">
        <v>88.123599999999996</v>
      </c>
      <c r="D106">
        <v>3.81979E-3</v>
      </c>
      <c r="E106">
        <f>Table1274[[#This Row],[CFNM]]/Table1274[[#This Row],[CAREA]]</f>
        <v>4.3345823366271917E-5</v>
      </c>
      <c r="F106">
        <v>2.7066699999999999</v>
      </c>
      <c r="G106">
        <f>(Table2275[[#This Row],[time]]-2)*2</f>
        <v>1.4133399999999998</v>
      </c>
      <c r="H106">
        <v>91.430899999999994</v>
      </c>
      <c r="I106">
        <v>3.66505E-3</v>
      </c>
      <c r="J106">
        <f>Table2275[[#This Row],[CFNM]]/Table2275[[#This Row],[CAREA]]</f>
        <v>4.0085463448352801E-5</v>
      </c>
      <c r="K106">
        <v>2.7066699999999999</v>
      </c>
      <c r="L106">
        <f>(Table3276[[#This Row],[time]]-2)*2</f>
        <v>1.4133399999999998</v>
      </c>
      <c r="M106">
        <v>80.836299999999994</v>
      </c>
      <c r="N106">
        <v>2.6915300000000001E-3</v>
      </c>
      <c r="O106">
        <f>Table3276[[#This Row],[CFNM]]/Table3276[[#This Row],[CAREA]]</f>
        <v>3.3296056350921556E-5</v>
      </c>
      <c r="P106">
        <v>2.7066699999999999</v>
      </c>
      <c r="Q106">
        <f>(Table4277[[#This Row],[time]]-2)*2</f>
        <v>1.4133399999999998</v>
      </c>
      <c r="R106">
        <v>80.944800000000001</v>
      </c>
      <c r="S106">
        <v>3.8437900000000001E-3</v>
      </c>
      <c r="T106">
        <f>Table4277[[#This Row],[CFNM]]/Table4277[[#This Row],[CAREA]]</f>
        <v>4.7486558741265656E-5</v>
      </c>
      <c r="U106">
        <v>2.7066699999999999</v>
      </c>
      <c r="V106">
        <f>(Table5278[[#This Row],[time]]-2)*2</f>
        <v>1.4133399999999998</v>
      </c>
      <c r="W106">
        <v>76.454300000000003</v>
      </c>
      <c r="X106">
        <v>4.7658400000000004E-3</v>
      </c>
      <c r="Y106">
        <f>Table5278[[#This Row],[CFNM]]/Table5278[[#This Row],[CAREA]]</f>
        <v>6.2335800602451405E-5</v>
      </c>
      <c r="Z106">
        <v>2.7066699999999999</v>
      </c>
      <c r="AA106">
        <f>(Table6279[[#This Row],[time]]-2)*2</f>
        <v>1.4133399999999998</v>
      </c>
      <c r="AB106">
        <v>76.621099999999998</v>
      </c>
      <c r="AC106">
        <v>3.6335600000000001E-3</v>
      </c>
      <c r="AD106">
        <f>Table6279[[#This Row],[CFNM]]/Table6279[[#This Row],[CAREA]]</f>
        <v>4.742244629742982E-5</v>
      </c>
      <c r="AE106">
        <v>2.7066699999999999</v>
      </c>
      <c r="AF106">
        <f>(Table7280[[#This Row],[time]]-2)*2</f>
        <v>1.4133399999999998</v>
      </c>
      <c r="AG106">
        <v>77.878299999999996</v>
      </c>
      <c r="AH106">
        <v>10.543699999999999</v>
      </c>
      <c r="AI106">
        <f>Table7280[[#This Row],[CFNM]]/Table7280[[#This Row],[CAREA]]</f>
        <v>0.13538687927188961</v>
      </c>
      <c r="AJ106">
        <v>2.7066699999999999</v>
      </c>
      <c r="AK106">
        <f>(Table8281[[#This Row],[time]]-2)*2</f>
        <v>1.4133399999999998</v>
      </c>
      <c r="AL106">
        <v>83.637500000000003</v>
      </c>
      <c r="AM106">
        <v>7.7648799999999998</v>
      </c>
      <c r="AN106">
        <f>Table8281[[#This Row],[CFNM]]/Table8281[[#This Row],[CAREA]]</f>
        <v>9.2839695112838141E-2</v>
      </c>
    </row>
    <row r="107" spans="1:40">
      <c r="A107">
        <v>2.7557700000000001</v>
      </c>
      <c r="B107">
        <f>(Table1274[[#This Row],[time]]-2)*2</f>
        <v>1.5115400000000001</v>
      </c>
      <c r="C107">
        <v>87.431700000000006</v>
      </c>
      <c r="D107">
        <v>3.7072300000000002E-3</v>
      </c>
      <c r="E107">
        <f>Table1274[[#This Row],[CFNM]]/Table1274[[#This Row],[CAREA]]</f>
        <v>4.2401440209900985E-5</v>
      </c>
      <c r="F107">
        <v>2.7557700000000001</v>
      </c>
      <c r="G107">
        <f>(Table2275[[#This Row],[time]]-2)*2</f>
        <v>1.5115400000000001</v>
      </c>
      <c r="H107">
        <v>91.316900000000004</v>
      </c>
      <c r="I107">
        <v>3.69653E-3</v>
      </c>
      <c r="J107">
        <f>Table2275[[#This Row],[CFNM]]/Table2275[[#This Row],[CAREA]]</f>
        <v>4.0480239692762233E-5</v>
      </c>
      <c r="K107">
        <v>2.7557700000000001</v>
      </c>
      <c r="L107">
        <f>(Table3276[[#This Row],[time]]-2)*2</f>
        <v>1.5115400000000001</v>
      </c>
      <c r="M107">
        <v>80.452200000000005</v>
      </c>
      <c r="N107">
        <v>2.6260099999999998E-3</v>
      </c>
      <c r="O107">
        <f>Table3276[[#This Row],[CFNM]]/Table3276[[#This Row],[CAREA]]</f>
        <v>3.2640623873554725E-5</v>
      </c>
      <c r="P107">
        <v>2.7557700000000001</v>
      </c>
      <c r="Q107">
        <f>(Table4277[[#This Row],[time]]-2)*2</f>
        <v>1.5115400000000001</v>
      </c>
      <c r="R107">
        <v>80.566199999999995</v>
      </c>
      <c r="S107">
        <v>3.7930099999999999E-3</v>
      </c>
      <c r="T107">
        <f>Table4277[[#This Row],[CFNM]]/Table4277[[#This Row],[CAREA]]</f>
        <v>4.7079420402104107E-5</v>
      </c>
      <c r="U107">
        <v>2.7557700000000001</v>
      </c>
      <c r="V107">
        <f>(Table5278[[#This Row],[time]]-2)*2</f>
        <v>1.5115400000000001</v>
      </c>
      <c r="W107">
        <v>74.738</v>
      </c>
      <c r="X107">
        <v>4.3090899999999998E-3</v>
      </c>
      <c r="Y107">
        <f>Table5278[[#This Row],[CFNM]]/Table5278[[#This Row],[CAREA]]</f>
        <v>5.7655944767052903E-5</v>
      </c>
      <c r="Z107">
        <v>2.7557700000000001</v>
      </c>
      <c r="AA107">
        <f>(Table6279[[#This Row],[time]]-2)*2</f>
        <v>1.5115400000000001</v>
      </c>
      <c r="AB107">
        <v>76.401700000000005</v>
      </c>
      <c r="AC107">
        <v>3.4570099999999999E-3</v>
      </c>
      <c r="AD107">
        <f>Table6279[[#This Row],[CFNM]]/Table6279[[#This Row],[CAREA]]</f>
        <v>4.5247815166416453E-5</v>
      </c>
      <c r="AE107">
        <v>2.7557700000000001</v>
      </c>
      <c r="AF107">
        <f>(Table7280[[#This Row],[time]]-2)*2</f>
        <v>1.5115400000000001</v>
      </c>
      <c r="AG107">
        <v>77.956999999999994</v>
      </c>
      <c r="AH107">
        <v>9.9249200000000002</v>
      </c>
      <c r="AI107">
        <f>Table7280[[#This Row],[CFNM]]/Table7280[[#This Row],[CAREA]]</f>
        <v>0.12731274933617251</v>
      </c>
      <c r="AJ107">
        <v>2.7557700000000001</v>
      </c>
      <c r="AK107">
        <f>(Table8281[[#This Row],[time]]-2)*2</f>
        <v>1.5115400000000001</v>
      </c>
      <c r="AL107">
        <v>83.510800000000003</v>
      </c>
      <c r="AM107">
        <v>7.2578800000000001</v>
      </c>
      <c r="AN107">
        <f>Table8281[[#This Row],[CFNM]]/Table8281[[#This Row],[CAREA]]</f>
        <v>8.6909477576552971E-2</v>
      </c>
    </row>
    <row r="108" spans="1:40">
      <c r="A108">
        <v>2.8152300000000001</v>
      </c>
      <c r="B108">
        <f>(Table1274[[#This Row],[time]]-2)*2</f>
        <v>1.6304600000000002</v>
      </c>
      <c r="C108">
        <v>86.488399999999999</v>
      </c>
      <c r="D108">
        <v>3.5782700000000001E-3</v>
      </c>
      <c r="E108">
        <f>Table1274[[#This Row],[CFNM]]/Table1274[[#This Row],[CAREA]]</f>
        <v>4.1372831501103041E-5</v>
      </c>
      <c r="F108">
        <v>2.8152300000000001</v>
      </c>
      <c r="G108">
        <f>(Table2275[[#This Row],[time]]-2)*2</f>
        <v>1.6304600000000002</v>
      </c>
      <c r="H108">
        <v>91.250200000000007</v>
      </c>
      <c r="I108">
        <v>3.7529899999999999E-3</v>
      </c>
      <c r="J108">
        <f>Table2275[[#This Row],[CFNM]]/Table2275[[#This Row],[CAREA]]</f>
        <v>4.1128567389441335E-5</v>
      </c>
      <c r="K108">
        <v>2.8152300000000001</v>
      </c>
      <c r="L108">
        <f>(Table3276[[#This Row],[time]]-2)*2</f>
        <v>1.6304600000000002</v>
      </c>
      <c r="M108">
        <v>78.909599999999998</v>
      </c>
      <c r="N108">
        <v>2.5472699999999999E-3</v>
      </c>
      <c r="O108">
        <f>Table3276[[#This Row],[CFNM]]/Table3276[[#This Row],[CAREA]]</f>
        <v>3.2280863164938108E-5</v>
      </c>
      <c r="P108">
        <v>2.8152300000000001</v>
      </c>
      <c r="Q108">
        <f>(Table4277[[#This Row],[time]]-2)*2</f>
        <v>1.6304600000000002</v>
      </c>
      <c r="R108">
        <v>80.1691</v>
      </c>
      <c r="S108">
        <v>3.7312399999999998E-3</v>
      </c>
      <c r="T108">
        <f>Table4277[[#This Row],[CFNM]]/Table4277[[#This Row],[CAREA]]</f>
        <v>4.6542121590488101E-5</v>
      </c>
      <c r="U108">
        <v>2.8152300000000001</v>
      </c>
      <c r="V108">
        <f>(Table5278[[#This Row],[time]]-2)*2</f>
        <v>1.6304600000000002</v>
      </c>
      <c r="W108">
        <v>73.603899999999996</v>
      </c>
      <c r="X108">
        <v>4.1831799999999999E-3</v>
      </c>
      <c r="Y108">
        <f>Table5278[[#This Row],[CFNM]]/Table5278[[#This Row],[CAREA]]</f>
        <v>5.683367321568558E-5</v>
      </c>
      <c r="Z108">
        <v>2.8152300000000001</v>
      </c>
      <c r="AA108">
        <f>(Table6279[[#This Row],[time]]-2)*2</f>
        <v>1.6304600000000002</v>
      </c>
      <c r="AB108">
        <v>75.471400000000003</v>
      </c>
      <c r="AC108">
        <v>3.25245E-3</v>
      </c>
      <c r="AD108">
        <f>Table6279[[#This Row],[CFNM]]/Table6279[[#This Row],[CAREA]]</f>
        <v>4.3095132725774266E-5</v>
      </c>
      <c r="AE108">
        <v>2.8152300000000001</v>
      </c>
      <c r="AF108">
        <f>(Table7280[[#This Row],[time]]-2)*2</f>
        <v>1.6304600000000002</v>
      </c>
      <c r="AG108">
        <v>78.000799999999998</v>
      </c>
      <c r="AH108">
        <v>9.1149000000000004</v>
      </c>
      <c r="AI108">
        <f>Table7280[[#This Row],[CFNM]]/Table7280[[#This Row],[CAREA]]</f>
        <v>0.11685649377955099</v>
      </c>
      <c r="AJ108">
        <v>2.8152300000000001</v>
      </c>
      <c r="AK108">
        <f>(Table8281[[#This Row],[time]]-2)*2</f>
        <v>1.6304600000000002</v>
      </c>
      <c r="AL108">
        <v>83.364800000000002</v>
      </c>
      <c r="AM108">
        <v>6.6610100000000001</v>
      </c>
      <c r="AN108">
        <f>Table8281[[#This Row],[CFNM]]/Table8281[[#This Row],[CAREA]]</f>
        <v>7.9901949024048513E-2</v>
      </c>
    </row>
    <row r="109" spans="1:40">
      <c r="A109">
        <v>2.8503799999999999</v>
      </c>
      <c r="B109">
        <f>(Table1274[[#This Row],[time]]-2)*2</f>
        <v>1.7007599999999998</v>
      </c>
      <c r="C109">
        <v>85.828199999999995</v>
      </c>
      <c r="D109">
        <v>3.5050900000000002E-3</v>
      </c>
      <c r="E109">
        <f>Table1274[[#This Row],[CFNM]]/Table1274[[#This Row],[CAREA]]</f>
        <v>4.0838442376747976E-5</v>
      </c>
      <c r="F109">
        <v>2.8503799999999999</v>
      </c>
      <c r="G109">
        <f>(Table2275[[#This Row],[time]]-2)*2</f>
        <v>1.7007599999999998</v>
      </c>
      <c r="H109">
        <v>91.123599999999996</v>
      </c>
      <c r="I109">
        <v>3.7909200000000001E-3</v>
      </c>
      <c r="J109">
        <f>Table2275[[#This Row],[CFNM]]/Table2275[[#This Row],[CAREA]]</f>
        <v>4.1601956024564442E-5</v>
      </c>
      <c r="K109">
        <v>2.8503799999999999</v>
      </c>
      <c r="L109">
        <f>(Table3276[[#This Row],[time]]-2)*2</f>
        <v>1.7007599999999998</v>
      </c>
      <c r="M109">
        <v>77.827200000000005</v>
      </c>
      <c r="N109">
        <v>2.49796E-3</v>
      </c>
      <c r="O109">
        <f>Table3276[[#This Row],[CFNM]]/Table3276[[#This Row],[CAREA]]</f>
        <v>3.2096233707495575E-5</v>
      </c>
      <c r="P109">
        <v>2.8503799999999999</v>
      </c>
      <c r="Q109">
        <f>(Table4277[[#This Row],[time]]-2)*2</f>
        <v>1.7007599999999998</v>
      </c>
      <c r="R109">
        <v>79.902000000000001</v>
      </c>
      <c r="S109">
        <v>3.6905699999999998E-3</v>
      </c>
      <c r="T109">
        <f>Table4277[[#This Row],[CFNM]]/Table4277[[#This Row],[CAREA]]</f>
        <v>4.6188706165052186E-5</v>
      </c>
      <c r="U109">
        <v>2.8503799999999999</v>
      </c>
      <c r="V109">
        <f>(Table5278[[#This Row],[time]]-2)*2</f>
        <v>1.7007599999999998</v>
      </c>
      <c r="W109">
        <v>73.220699999999994</v>
      </c>
      <c r="X109">
        <v>4.1076400000000001E-3</v>
      </c>
      <c r="Y109">
        <f>Table5278[[#This Row],[CFNM]]/Table5278[[#This Row],[CAREA]]</f>
        <v>5.6099436361575352E-5</v>
      </c>
      <c r="Z109">
        <v>2.8503799999999999</v>
      </c>
      <c r="AA109">
        <f>(Table6279[[#This Row],[time]]-2)*2</f>
        <v>1.7007599999999998</v>
      </c>
      <c r="AB109">
        <v>74.431799999999996</v>
      </c>
      <c r="AC109">
        <v>3.1423200000000001E-3</v>
      </c>
      <c r="AD109">
        <f>Table6279[[#This Row],[CFNM]]/Table6279[[#This Row],[CAREA]]</f>
        <v>4.2217439320290527E-5</v>
      </c>
      <c r="AE109">
        <v>2.8503799999999999</v>
      </c>
      <c r="AF109">
        <f>(Table7280[[#This Row],[time]]-2)*2</f>
        <v>1.7007599999999998</v>
      </c>
      <c r="AG109">
        <v>77.982200000000006</v>
      </c>
      <c r="AH109">
        <v>8.6340000000000003</v>
      </c>
      <c r="AI109">
        <f>Table7280[[#This Row],[CFNM]]/Table7280[[#This Row],[CAREA]]</f>
        <v>0.11071757401047931</v>
      </c>
      <c r="AJ109">
        <v>2.8503799999999999</v>
      </c>
      <c r="AK109">
        <f>(Table8281[[#This Row],[time]]-2)*2</f>
        <v>1.7007599999999998</v>
      </c>
      <c r="AL109">
        <v>83.283699999999996</v>
      </c>
      <c r="AM109">
        <v>6.3230399999999998</v>
      </c>
      <c r="AN109">
        <f>Table8281[[#This Row],[CFNM]]/Table8281[[#This Row],[CAREA]]</f>
        <v>7.5921698963902898E-2</v>
      </c>
    </row>
    <row r="110" spans="1:40">
      <c r="A110">
        <v>2.9062800000000002</v>
      </c>
      <c r="B110">
        <f>(Table1274[[#This Row],[time]]-2)*2</f>
        <v>1.8125600000000004</v>
      </c>
      <c r="C110">
        <v>85.126000000000005</v>
      </c>
      <c r="D110">
        <v>3.3969400000000002E-3</v>
      </c>
      <c r="E110">
        <f>Table1274[[#This Row],[CFNM]]/Table1274[[#This Row],[CAREA]]</f>
        <v>3.9904846932781993E-5</v>
      </c>
      <c r="F110">
        <v>2.9062800000000002</v>
      </c>
      <c r="G110">
        <f>(Table2275[[#This Row],[time]]-2)*2</f>
        <v>1.8125600000000004</v>
      </c>
      <c r="H110">
        <v>90.549400000000006</v>
      </c>
      <c r="I110">
        <v>3.8635900000000001E-3</v>
      </c>
      <c r="J110">
        <f>Table2275[[#This Row],[CFNM]]/Table2275[[#This Row],[CAREA]]</f>
        <v>4.2668311441047646E-5</v>
      </c>
      <c r="K110">
        <v>2.9062800000000002</v>
      </c>
      <c r="L110">
        <f>(Table3276[[#This Row],[time]]-2)*2</f>
        <v>1.8125600000000004</v>
      </c>
      <c r="M110">
        <v>77.293599999999998</v>
      </c>
      <c r="N110">
        <v>2.4210099999999999E-3</v>
      </c>
      <c r="O110">
        <f>Table3276[[#This Row],[CFNM]]/Table3276[[#This Row],[CAREA]]</f>
        <v>3.1322256952710183E-5</v>
      </c>
      <c r="P110">
        <v>2.9062800000000002</v>
      </c>
      <c r="Q110">
        <f>(Table4277[[#This Row],[time]]-2)*2</f>
        <v>1.8125600000000004</v>
      </c>
      <c r="R110">
        <v>79.474900000000005</v>
      </c>
      <c r="S110">
        <v>3.6223900000000001E-3</v>
      </c>
      <c r="T110">
        <f>Table4277[[#This Row],[CFNM]]/Table4277[[#This Row],[CAREA]]</f>
        <v>4.5579044453028564E-5</v>
      </c>
      <c r="U110">
        <v>2.9062800000000002</v>
      </c>
      <c r="V110">
        <f>(Table5278[[#This Row],[time]]-2)*2</f>
        <v>1.8125600000000004</v>
      </c>
      <c r="W110">
        <v>72.686300000000003</v>
      </c>
      <c r="X110">
        <v>3.9847299999999997E-3</v>
      </c>
      <c r="Y110">
        <f>Table5278[[#This Row],[CFNM]]/Table5278[[#This Row],[CAREA]]</f>
        <v>5.48209222370653E-5</v>
      </c>
      <c r="Z110">
        <v>2.9062800000000002</v>
      </c>
      <c r="AA110">
        <f>(Table6279[[#This Row],[time]]-2)*2</f>
        <v>1.8125600000000004</v>
      </c>
      <c r="AB110">
        <v>73.777100000000004</v>
      </c>
      <c r="AC110">
        <v>2.96999E-3</v>
      </c>
      <c r="AD110">
        <f>Table6279[[#This Row],[CFNM]]/Table6279[[#This Row],[CAREA]]</f>
        <v>4.0256258378277272E-5</v>
      </c>
      <c r="AE110">
        <v>2.9062800000000002</v>
      </c>
      <c r="AF110">
        <f>(Table7280[[#This Row],[time]]-2)*2</f>
        <v>1.8125600000000004</v>
      </c>
      <c r="AG110">
        <v>78.016300000000001</v>
      </c>
      <c r="AH110">
        <v>7.8509700000000002</v>
      </c>
      <c r="AI110">
        <f>Table7280[[#This Row],[CFNM]]/Table7280[[#This Row],[CAREA]]</f>
        <v>0.10063243194050474</v>
      </c>
      <c r="AJ110">
        <v>2.9062800000000002</v>
      </c>
      <c r="AK110">
        <f>(Table8281[[#This Row],[time]]-2)*2</f>
        <v>1.8125600000000004</v>
      </c>
      <c r="AL110">
        <v>83.141900000000007</v>
      </c>
      <c r="AM110">
        <v>5.7615800000000004</v>
      </c>
      <c r="AN110">
        <f>Table8281[[#This Row],[CFNM]]/Table8281[[#This Row],[CAREA]]</f>
        <v>6.929815171411767E-2</v>
      </c>
    </row>
    <row r="111" spans="1:40">
      <c r="A111">
        <v>2.9634900000000002</v>
      </c>
      <c r="B111">
        <f>(Table1274[[#This Row],[time]]-2)*2</f>
        <v>1.9269800000000004</v>
      </c>
      <c r="C111">
        <v>83.911199999999994</v>
      </c>
      <c r="D111">
        <v>3.2988700000000002E-3</v>
      </c>
      <c r="E111">
        <f>Table1274[[#This Row],[CFNM]]/Table1274[[#This Row],[CAREA]]</f>
        <v>3.9313822231120525E-5</v>
      </c>
      <c r="F111">
        <v>2.9634900000000002</v>
      </c>
      <c r="G111">
        <f>(Table2275[[#This Row],[time]]-2)*2</f>
        <v>1.9269800000000004</v>
      </c>
      <c r="H111">
        <v>90.076899999999995</v>
      </c>
      <c r="I111">
        <v>3.9453300000000004E-3</v>
      </c>
      <c r="J111">
        <f>Table2275[[#This Row],[CFNM]]/Table2275[[#This Row],[CAREA]]</f>
        <v>4.3799575695877639E-5</v>
      </c>
      <c r="K111">
        <v>2.9634900000000002</v>
      </c>
      <c r="L111">
        <f>(Table3276[[#This Row],[time]]-2)*2</f>
        <v>1.9269800000000004</v>
      </c>
      <c r="M111">
        <v>76.430300000000003</v>
      </c>
      <c r="N111">
        <v>2.3344199999999998E-3</v>
      </c>
      <c r="O111">
        <f>Table3276[[#This Row],[CFNM]]/Table3276[[#This Row],[CAREA]]</f>
        <v>3.054312229573873E-5</v>
      </c>
      <c r="P111">
        <v>2.9634900000000002</v>
      </c>
      <c r="Q111">
        <f>(Table4277[[#This Row],[time]]-2)*2</f>
        <v>1.9269800000000004</v>
      </c>
      <c r="R111">
        <v>78.754900000000006</v>
      </c>
      <c r="S111">
        <v>3.5657000000000002E-3</v>
      </c>
      <c r="T111">
        <f>Table4277[[#This Row],[CFNM]]/Table4277[[#This Row],[CAREA]]</f>
        <v>4.5275912990810729E-5</v>
      </c>
      <c r="U111">
        <v>2.9634900000000002</v>
      </c>
      <c r="V111">
        <f>(Table5278[[#This Row],[time]]-2)*2</f>
        <v>1.9269800000000004</v>
      </c>
      <c r="W111">
        <v>71.717799999999997</v>
      </c>
      <c r="X111">
        <v>3.86149E-3</v>
      </c>
      <c r="Y111">
        <f>Table5278[[#This Row],[CFNM]]/Table5278[[#This Row],[CAREA]]</f>
        <v>5.3842839573996971E-5</v>
      </c>
      <c r="Z111">
        <v>2.9634900000000002</v>
      </c>
      <c r="AA111">
        <f>(Table6279[[#This Row],[time]]-2)*2</f>
        <v>1.9269800000000004</v>
      </c>
      <c r="AB111">
        <v>70.735500000000002</v>
      </c>
      <c r="AC111">
        <v>2.8073199999999999E-3</v>
      </c>
      <c r="AD111">
        <f>Table6279[[#This Row],[CFNM]]/Table6279[[#This Row],[CAREA]]</f>
        <v>3.9687568476931667E-5</v>
      </c>
      <c r="AE111">
        <v>2.9634900000000002</v>
      </c>
      <c r="AF111">
        <f>(Table7280[[#This Row],[time]]-2)*2</f>
        <v>1.9269800000000004</v>
      </c>
      <c r="AG111">
        <v>78.025800000000004</v>
      </c>
      <c r="AH111">
        <v>7.1121699999999999</v>
      </c>
      <c r="AI111">
        <f>Table7280[[#This Row],[CFNM]]/Table7280[[#This Row],[CAREA]]</f>
        <v>9.1151516549654088E-2</v>
      </c>
      <c r="AJ111">
        <v>2.9634900000000002</v>
      </c>
      <c r="AK111">
        <f>(Table8281[[#This Row],[time]]-2)*2</f>
        <v>1.9269800000000004</v>
      </c>
      <c r="AL111">
        <v>82.980500000000006</v>
      </c>
      <c r="AM111">
        <v>5.2002699999999997</v>
      </c>
      <c r="AN111">
        <f>Table8281[[#This Row],[CFNM]]/Table8281[[#This Row],[CAREA]]</f>
        <v>6.2668578762480331E-2</v>
      </c>
    </row>
    <row r="112" spans="1:40">
      <c r="A112">
        <v>3</v>
      </c>
      <c r="B112">
        <f>(Table1274[[#This Row],[time]]-2)*2</f>
        <v>2</v>
      </c>
      <c r="C112">
        <v>83.010400000000004</v>
      </c>
      <c r="D112">
        <v>3.2474299999999999E-3</v>
      </c>
      <c r="E112">
        <f>Table1274[[#This Row],[CFNM]]/Table1274[[#This Row],[CAREA]]</f>
        <v>3.9120760772144214E-5</v>
      </c>
      <c r="F112">
        <v>3</v>
      </c>
      <c r="G112">
        <f>(Table2275[[#This Row],[time]]-2)*2</f>
        <v>2</v>
      </c>
      <c r="H112">
        <v>89.129499999999993</v>
      </c>
      <c r="I112">
        <v>3.9997000000000001E-3</v>
      </c>
      <c r="J112">
        <f>Table2275[[#This Row],[CFNM]]/Table2275[[#This Row],[CAREA]]</f>
        <v>4.4875153568683777E-5</v>
      </c>
      <c r="K112">
        <v>3</v>
      </c>
      <c r="L112">
        <f>(Table3276[[#This Row],[time]]-2)*2</f>
        <v>2</v>
      </c>
      <c r="M112">
        <v>74.621700000000004</v>
      </c>
      <c r="N112">
        <v>2.2761499999999998E-3</v>
      </c>
      <c r="O112">
        <f>Table3276[[#This Row],[CFNM]]/Table3276[[#This Row],[CAREA]]</f>
        <v>3.0502521384530233E-5</v>
      </c>
      <c r="P112">
        <v>3</v>
      </c>
      <c r="Q112">
        <f>(Table4277[[#This Row],[time]]-2)*2</f>
        <v>2</v>
      </c>
      <c r="R112">
        <v>78.433099999999996</v>
      </c>
      <c r="S112">
        <v>3.5317999999999999E-3</v>
      </c>
      <c r="T112">
        <f>Table4277[[#This Row],[CFNM]]/Table4277[[#This Row],[CAREA]]</f>
        <v>4.5029458226182569E-5</v>
      </c>
      <c r="U112">
        <v>3</v>
      </c>
      <c r="V112">
        <f>(Table5278[[#This Row],[time]]-2)*2</f>
        <v>2</v>
      </c>
      <c r="W112">
        <v>70.816699999999997</v>
      </c>
      <c r="X112">
        <v>3.7814699999999999E-3</v>
      </c>
      <c r="Y112">
        <f>Table5278[[#This Row],[CFNM]]/Table5278[[#This Row],[CAREA]]</f>
        <v>5.3397997929866824E-5</v>
      </c>
      <c r="Z112">
        <v>3</v>
      </c>
      <c r="AA112">
        <f>(Table6279[[#This Row],[time]]-2)*2</f>
        <v>2</v>
      </c>
      <c r="AB112">
        <v>70.533900000000003</v>
      </c>
      <c r="AC112">
        <v>2.7090299999999999E-3</v>
      </c>
      <c r="AD112">
        <f>Table6279[[#This Row],[CFNM]]/Table6279[[#This Row],[CAREA]]</f>
        <v>3.8407489164784593E-5</v>
      </c>
      <c r="AE112">
        <v>3</v>
      </c>
      <c r="AF112">
        <f>(Table7280[[#This Row],[time]]-2)*2</f>
        <v>2</v>
      </c>
      <c r="AG112">
        <v>77.993799999999993</v>
      </c>
      <c r="AH112">
        <v>6.6660599999999999</v>
      </c>
      <c r="AI112">
        <f>Table7280[[#This Row],[CFNM]]/Table7280[[#This Row],[CAREA]]</f>
        <v>8.5469101390110505E-2</v>
      </c>
      <c r="AJ112">
        <v>3</v>
      </c>
      <c r="AK112">
        <f>(Table8281[[#This Row],[time]]-2)*2</f>
        <v>2</v>
      </c>
      <c r="AL112">
        <v>82.885099999999994</v>
      </c>
      <c r="AM112">
        <v>4.8761599999999996</v>
      </c>
      <c r="AN112">
        <f>Table8281[[#This Row],[CFNM]]/Table8281[[#This Row],[CAREA]]</f>
        <v>5.8830356722740278E-2</v>
      </c>
    </row>
    <row r="115" spans="1:40">
      <c r="A115" s="1" t="s">
        <v>29</v>
      </c>
    </row>
    <row r="116" spans="1:40">
      <c r="A116" t="s">
        <v>30</v>
      </c>
      <c r="F116" t="s">
        <v>2</v>
      </c>
    </row>
    <row r="117" spans="1:40">
      <c r="F117" t="s">
        <v>4</v>
      </c>
      <c r="G117" t="s">
        <v>5</v>
      </c>
    </row>
    <row r="120" spans="1:40">
      <c r="A120" t="s">
        <v>7</v>
      </c>
      <c r="F120" t="s">
        <v>8</v>
      </c>
      <c r="K120" t="s">
        <v>9</v>
      </c>
      <c r="P120" t="s">
        <v>26</v>
      </c>
      <c r="U120" t="s">
        <v>11</v>
      </c>
      <c r="Z120" t="s">
        <v>12</v>
      </c>
      <c r="AE120" t="s">
        <v>13</v>
      </c>
      <c r="AJ120" t="s">
        <v>14</v>
      </c>
    </row>
    <row r="121" spans="1:40">
      <c r="A121" t="s">
        <v>15</v>
      </c>
      <c r="B121" t="s">
        <v>16</v>
      </c>
      <c r="C121" t="s">
        <v>20</v>
      </c>
      <c r="D121" t="s">
        <v>18</v>
      </c>
      <c r="E121" t="s">
        <v>19</v>
      </c>
      <c r="F121" t="s">
        <v>15</v>
      </c>
      <c r="G121" t="s">
        <v>16</v>
      </c>
      <c r="H121" t="s">
        <v>20</v>
      </c>
      <c r="I121" t="s">
        <v>18</v>
      </c>
      <c r="J121" t="s">
        <v>19</v>
      </c>
      <c r="K121" t="s">
        <v>15</v>
      </c>
      <c r="L121" t="s">
        <v>16</v>
      </c>
      <c r="M121" t="s">
        <v>20</v>
      </c>
      <c r="N121" t="s">
        <v>18</v>
      </c>
      <c r="O121" t="s">
        <v>19</v>
      </c>
      <c r="P121" t="s">
        <v>15</v>
      </c>
      <c r="Q121" t="s">
        <v>16</v>
      </c>
      <c r="R121" t="s">
        <v>20</v>
      </c>
      <c r="S121" t="s">
        <v>18</v>
      </c>
      <c r="T121" t="s">
        <v>19</v>
      </c>
      <c r="U121" t="s">
        <v>15</v>
      </c>
      <c r="V121" t="s">
        <v>16</v>
      </c>
      <c r="W121" t="s">
        <v>20</v>
      </c>
      <c r="X121" t="s">
        <v>18</v>
      </c>
      <c r="Y121" t="s">
        <v>19</v>
      </c>
      <c r="Z121" t="s">
        <v>15</v>
      </c>
      <c r="AA121" t="s">
        <v>16</v>
      </c>
      <c r="AB121" t="s">
        <v>20</v>
      </c>
      <c r="AC121" t="s">
        <v>18</v>
      </c>
      <c r="AD121" t="s">
        <v>19</v>
      </c>
      <c r="AE121" t="s">
        <v>15</v>
      </c>
      <c r="AF121" t="s">
        <v>16</v>
      </c>
      <c r="AG121" t="s">
        <v>20</v>
      </c>
      <c r="AH121" t="s">
        <v>18</v>
      </c>
      <c r="AI121" t="s">
        <v>19</v>
      </c>
      <c r="AJ121" t="s">
        <v>15</v>
      </c>
      <c r="AK121" t="s">
        <v>16</v>
      </c>
      <c r="AL121" t="s">
        <v>20</v>
      </c>
      <c r="AM121" t="s">
        <v>18</v>
      </c>
      <c r="AN121" t="s">
        <v>19</v>
      </c>
    </row>
    <row r="122" spans="1:40">
      <c r="A122">
        <v>2</v>
      </c>
      <c r="B122">
        <f>-(Table1322[[#This Row],[time]]-2)*2</f>
        <v>0</v>
      </c>
      <c r="C122">
        <v>91.122200000000007</v>
      </c>
      <c r="D122">
        <v>10.1982</v>
      </c>
      <c r="E122" s="2">
        <f>Table1322[[#This Row],[CFNM]]/Table1322[[#This Row],[CAREA]]</f>
        <v>0.11191784219432804</v>
      </c>
      <c r="F122">
        <v>2</v>
      </c>
      <c r="G122">
        <f>-(Table2323[[#This Row],[time]]-2)*2</f>
        <v>0</v>
      </c>
      <c r="H122">
        <v>95.889399999999995</v>
      </c>
      <c r="I122">
        <v>3.5990500000000001</v>
      </c>
      <c r="J122" s="2">
        <f>Table2323[[#This Row],[CFNM]]/Table2323[[#This Row],[CAREA]]</f>
        <v>3.7533345708701905E-2</v>
      </c>
      <c r="K122">
        <v>2</v>
      </c>
      <c r="L122">
        <f>-(Table3324[[#This Row],[time]]-2)*2</f>
        <v>0</v>
      </c>
      <c r="M122">
        <v>89.273899999999998</v>
      </c>
      <c r="N122">
        <v>3.63375</v>
      </c>
      <c r="O122">
        <f>Table3324[[#This Row],[CFNM]]/Table3324[[#This Row],[CAREA]]</f>
        <v>4.0703385872018584E-2</v>
      </c>
      <c r="P122">
        <v>2</v>
      </c>
      <c r="Q122">
        <f>-(Table4325[[#This Row],[time]]-2)*2</f>
        <v>0</v>
      </c>
      <c r="R122">
        <v>86.437299999999993</v>
      </c>
      <c r="S122">
        <v>6.4271799999999999</v>
      </c>
      <c r="T122">
        <f>Table4325[[#This Row],[CFNM]]/Table4325[[#This Row],[CAREA]]</f>
        <v>7.4356556717990963E-2</v>
      </c>
      <c r="U122">
        <v>2</v>
      </c>
      <c r="V122">
        <f>-(Table5326[[#This Row],[time]]-2)*2</f>
        <v>0</v>
      </c>
      <c r="W122">
        <v>82.674099999999996</v>
      </c>
      <c r="X122">
        <v>9.7119900000000001</v>
      </c>
      <c r="Y122">
        <f>Table5326[[#This Row],[CFNM]]/Table5326[[#This Row],[CAREA]]</f>
        <v>0.1174731868868243</v>
      </c>
      <c r="Z122">
        <v>2</v>
      </c>
      <c r="AA122">
        <f>-(Table6327[[#This Row],[time]]-2)*2</f>
        <v>0</v>
      </c>
      <c r="AB122">
        <v>88.971500000000006</v>
      </c>
      <c r="AC122">
        <v>16.248000000000001</v>
      </c>
      <c r="AD122">
        <f>Table6327[[#This Row],[CFNM]]/Table6327[[#This Row],[CAREA]]</f>
        <v>0.18262027727980309</v>
      </c>
      <c r="AE122">
        <v>2</v>
      </c>
      <c r="AF122">
        <f>-(Table7328[[#This Row],[time]]-2)*2</f>
        <v>0</v>
      </c>
      <c r="AG122">
        <v>78.961299999999994</v>
      </c>
      <c r="AH122">
        <v>19.617799999999999</v>
      </c>
      <c r="AI122">
        <f>Table7328[[#This Row],[CFNM]]/Table7328[[#This Row],[CAREA]]</f>
        <v>0.24844829049167125</v>
      </c>
      <c r="AJ122">
        <v>2</v>
      </c>
      <c r="AK122">
        <f>-(Table8329[[#This Row],[time]]-2)*2</f>
        <v>0</v>
      </c>
      <c r="AL122">
        <v>83.133399999999995</v>
      </c>
      <c r="AM122">
        <v>19.2318</v>
      </c>
      <c r="AN122">
        <f>Table8329[[#This Row],[CFNM]]/Table8329[[#This Row],[CAREA]]</f>
        <v>0.23133662282548292</v>
      </c>
    </row>
    <row r="123" spans="1:40">
      <c r="A123">
        <v>2.0512600000000001</v>
      </c>
      <c r="B123">
        <f>-(Table1322[[#This Row],[time]]-2)*2</f>
        <v>-0.10252000000000017</v>
      </c>
      <c r="C123">
        <v>90.996200000000002</v>
      </c>
      <c r="D123">
        <v>10.478</v>
      </c>
      <c r="E123">
        <f>Table1322[[#This Row],[CFNM]]/Table1322[[#This Row],[CAREA]]</f>
        <v>0.11514766550691127</v>
      </c>
      <c r="F123">
        <v>2.0512600000000001</v>
      </c>
      <c r="G123">
        <f>-(Table2323[[#This Row],[time]]-2)*2</f>
        <v>-0.10252000000000017</v>
      </c>
      <c r="H123">
        <v>95.976399999999998</v>
      </c>
      <c r="I123">
        <v>3.7360099999999998</v>
      </c>
      <c r="J123">
        <f>Table2323[[#This Row],[CFNM]]/Table2323[[#This Row],[CAREA]]</f>
        <v>3.8926340225305389E-2</v>
      </c>
      <c r="K123">
        <v>2.0512600000000001</v>
      </c>
      <c r="L123">
        <f>-(Table3324[[#This Row],[time]]-2)*2</f>
        <v>-0.10252000000000017</v>
      </c>
      <c r="M123">
        <v>89.114400000000003</v>
      </c>
      <c r="N123">
        <v>4.1658799999999996</v>
      </c>
      <c r="O123">
        <f>Table3324[[#This Row],[CFNM]]/Table3324[[#This Row],[CAREA]]</f>
        <v>4.6747551461941046E-2</v>
      </c>
      <c r="P123">
        <v>2.0512600000000001</v>
      </c>
      <c r="Q123">
        <f>-(Table4325[[#This Row],[time]]-2)*2</f>
        <v>-0.10252000000000017</v>
      </c>
      <c r="R123">
        <v>86.507099999999994</v>
      </c>
      <c r="S123">
        <v>7.0939899999999998</v>
      </c>
      <c r="T123">
        <f>Table4325[[#This Row],[CFNM]]/Table4325[[#This Row],[CAREA]]</f>
        <v>8.2004714063932324E-2</v>
      </c>
      <c r="U123">
        <v>2.0512600000000001</v>
      </c>
      <c r="V123">
        <f>-(Table5326[[#This Row],[time]]-2)*2</f>
        <v>-0.10252000000000017</v>
      </c>
      <c r="W123">
        <v>82.6006</v>
      </c>
      <c r="X123">
        <v>11.132400000000001</v>
      </c>
      <c r="Y123">
        <f>Table5326[[#This Row],[CFNM]]/Table5326[[#This Row],[CAREA]]</f>
        <v>0.13477383941521007</v>
      </c>
      <c r="Z123">
        <v>2.0512600000000001</v>
      </c>
      <c r="AA123">
        <f>-(Table6327[[#This Row],[time]]-2)*2</f>
        <v>-0.10252000000000017</v>
      </c>
      <c r="AB123">
        <v>89.032300000000006</v>
      </c>
      <c r="AC123">
        <v>18.081499999999998</v>
      </c>
      <c r="AD123">
        <f>Table6327[[#This Row],[CFNM]]/Table6327[[#This Row],[CAREA]]</f>
        <v>0.20308921593623883</v>
      </c>
      <c r="AE123">
        <v>2.0512600000000001</v>
      </c>
      <c r="AF123">
        <f>-(Table7328[[#This Row],[time]]-2)*2</f>
        <v>-0.10252000000000017</v>
      </c>
      <c r="AG123">
        <v>79.101600000000005</v>
      </c>
      <c r="AH123">
        <v>20.881599999999999</v>
      </c>
      <c r="AI123">
        <f>Table7328[[#This Row],[CFNM]]/Table7328[[#This Row],[CAREA]]</f>
        <v>0.26398454645670882</v>
      </c>
      <c r="AJ123">
        <v>2.0512600000000001</v>
      </c>
      <c r="AK123">
        <f>-(Table8329[[#This Row],[time]]-2)*2</f>
        <v>-0.10252000000000017</v>
      </c>
      <c r="AL123">
        <v>83.051500000000004</v>
      </c>
      <c r="AM123">
        <v>20.742899999999999</v>
      </c>
      <c r="AN123">
        <f>Table8329[[#This Row],[CFNM]]/Table8329[[#This Row],[CAREA]]</f>
        <v>0.24975948658362579</v>
      </c>
    </row>
    <row r="124" spans="1:40">
      <c r="A124">
        <v>2.1153300000000002</v>
      </c>
      <c r="B124">
        <f>-(Table1322[[#This Row],[time]]-2)*2</f>
        <v>-0.23066000000000031</v>
      </c>
      <c r="C124">
        <v>90.523700000000005</v>
      </c>
      <c r="D124">
        <v>11.123100000000001</v>
      </c>
      <c r="E124">
        <f>Table1322[[#This Row],[CFNM]]/Table1322[[#This Row],[CAREA]]</f>
        <v>0.12287500400447618</v>
      </c>
      <c r="F124">
        <v>2.1153300000000002</v>
      </c>
      <c r="G124">
        <f>-(Table2323[[#This Row],[time]]-2)*2</f>
        <v>-0.23066000000000031</v>
      </c>
      <c r="H124">
        <v>95.624300000000005</v>
      </c>
      <c r="I124">
        <v>3.91229</v>
      </c>
      <c r="J124">
        <f>Table2323[[#This Row],[CFNM]]/Table2323[[#This Row],[CAREA]]</f>
        <v>4.0913136096159659E-2</v>
      </c>
      <c r="K124">
        <v>2.1153300000000002</v>
      </c>
      <c r="L124">
        <f>-(Table3324[[#This Row],[time]]-2)*2</f>
        <v>-0.23066000000000031</v>
      </c>
      <c r="M124">
        <v>89.033900000000003</v>
      </c>
      <c r="N124">
        <v>5.3774499999999996</v>
      </c>
      <c r="O124">
        <f>Table3324[[#This Row],[CFNM]]/Table3324[[#This Row],[CAREA]]</f>
        <v>6.0397781069907071E-2</v>
      </c>
      <c r="P124">
        <v>2.1153300000000002</v>
      </c>
      <c r="Q124">
        <f>-(Table4325[[#This Row],[time]]-2)*2</f>
        <v>-0.23066000000000031</v>
      </c>
      <c r="R124">
        <v>86.644599999999997</v>
      </c>
      <c r="S124">
        <v>8.4918399999999998</v>
      </c>
      <c r="T124">
        <f>Table4325[[#This Row],[CFNM]]/Table4325[[#This Row],[CAREA]]</f>
        <v>9.8007723504984726E-2</v>
      </c>
      <c r="U124">
        <v>2.1153300000000002</v>
      </c>
      <c r="V124">
        <f>-(Table5326[[#This Row],[time]]-2)*2</f>
        <v>-0.23066000000000031</v>
      </c>
      <c r="W124">
        <v>82.227400000000003</v>
      </c>
      <c r="X124">
        <v>14.4465</v>
      </c>
      <c r="Y124">
        <f>Table5326[[#This Row],[CFNM]]/Table5326[[#This Row],[CAREA]]</f>
        <v>0.17568961197848892</v>
      </c>
      <c r="Z124">
        <v>2.1153300000000002</v>
      </c>
      <c r="AA124">
        <f>-(Table6327[[#This Row],[time]]-2)*2</f>
        <v>-0.23066000000000031</v>
      </c>
      <c r="AB124">
        <v>89.029499999999999</v>
      </c>
      <c r="AC124">
        <v>22.020800000000001</v>
      </c>
      <c r="AD124">
        <f>Table6327[[#This Row],[CFNM]]/Table6327[[#This Row],[CAREA]]</f>
        <v>0.24734273471152821</v>
      </c>
      <c r="AE124">
        <v>2.1153300000000002</v>
      </c>
      <c r="AF124">
        <f>-(Table7328[[#This Row],[time]]-2)*2</f>
        <v>-0.23066000000000031</v>
      </c>
      <c r="AG124">
        <v>79.3202</v>
      </c>
      <c r="AH124">
        <v>22.543700000000001</v>
      </c>
      <c r="AI124">
        <f>Table7328[[#This Row],[CFNM]]/Table7328[[#This Row],[CAREA]]</f>
        <v>0.28421133582618302</v>
      </c>
      <c r="AJ124">
        <v>2.1153300000000002</v>
      </c>
      <c r="AK124">
        <f>-(Table8329[[#This Row],[time]]-2)*2</f>
        <v>-0.23066000000000031</v>
      </c>
      <c r="AL124">
        <v>82.880899999999997</v>
      </c>
      <c r="AM124">
        <v>22.918199999999999</v>
      </c>
      <c r="AN124">
        <f>Table8329[[#This Row],[CFNM]]/Table8329[[#This Row],[CAREA]]</f>
        <v>0.27651968065018601</v>
      </c>
    </row>
    <row r="125" spans="1:40">
      <c r="A125">
        <v>2.16533</v>
      </c>
      <c r="B125">
        <f>-(Table1322[[#This Row],[time]]-2)*2</f>
        <v>-0.33065999999999995</v>
      </c>
      <c r="C125">
        <v>90.042100000000005</v>
      </c>
      <c r="D125">
        <v>11.7613</v>
      </c>
      <c r="E125">
        <f>Table1322[[#This Row],[CFNM]]/Table1322[[#This Row],[CAREA]]</f>
        <v>0.13062000997311257</v>
      </c>
      <c r="F125">
        <v>2.16533</v>
      </c>
      <c r="G125">
        <f>-(Table2323[[#This Row],[time]]-2)*2</f>
        <v>-0.33065999999999995</v>
      </c>
      <c r="H125">
        <v>95.131600000000006</v>
      </c>
      <c r="I125">
        <v>4.2254800000000001</v>
      </c>
      <c r="J125">
        <f>Table2323[[#This Row],[CFNM]]/Table2323[[#This Row],[CAREA]]</f>
        <v>4.4417207321226594E-2</v>
      </c>
      <c r="K125">
        <v>2.16533</v>
      </c>
      <c r="L125">
        <f>-(Table3324[[#This Row],[time]]-2)*2</f>
        <v>-0.33065999999999995</v>
      </c>
      <c r="M125">
        <v>89.087699999999998</v>
      </c>
      <c r="N125">
        <v>6.5302899999999999</v>
      </c>
      <c r="O125">
        <f>Table3324[[#This Row],[CFNM]]/Table3324[[#This Row],[CAREA]]</f>
        <v>7.3301813830641049E-2</v>
      </c>
      <c r="P125">
        <v>2.16533</v>
      </c>
      <c r="Q125">
        <f>-(Table4325[[#This Row],[time]]-2)*2</f>
        <v>-0.33065999999999995</v>
      </c>
      <c r="R125">
        <v>86.772999999999996</v>
      </c>
      <c r="S125">
        <v>9.8731600000000004</v>
      </c>
      <c r="T125">
        <f>Table4325[[#This Row],[CFNM]]/Table4325[[#This Row],[CAREA]]</f>
        <v>0.1137814758046858</v>
      </c>
      <c r="U125">
        <v>2.16533</v>
      </c>
      <c r="V125">
        <f>-(Table5326[[#This Row],[time]]-2)*2</f>
        <v>-0.33065999999999995</v>
      </c>
      <c r="W125">
        <v>81.942300000000003</v>
      </c>
      <c r="X125">
        <v>17.194199999999999</v>
      </c>
      <c r="Y125">
        <f>Table5326[[#This Row],[CFNM]]/Table5326[[#This Row],[CAREA]]</f>
        <v>0.20983301664707968</v>
      </c>
      <c r="Z125">
        <v>2.16533</v>
      </c>
      <c r="AA125">
        <f>-(Table6327[[#This Row],[time]]-2)*2</f>
        <v>-0.33065999999999995</v>
      </c>
      <c r="AB125">
        <v>88.9178</v>
      </c>
      <c r="AC125">
        <v>25.1661</v>
      </c>
      <c r="AD125">
        <f>Table6327[[#This Row],[CFNM]]/Table6327[[#This Row],[CAREA]]</f>
        <v>0.28302657060790976</v>
      </c>
      <c r="AE125">
        <v>2.16533</v>
      </c>
      <c r="AF125">
        <f>-(Table7328[[#This Row],[time]]-2)*2</f>
        <v>-0.33065999999999995</v>
      </c>
      <c r="AG125">
        <v>79.63</v>
      </c>
      <c r="AH125">
        <v>24.549900000000001</v>
      </c>
      <c r="AI125">
        <f>Table7328[[#This Row],[CFNM]]/Table7328[[#This Row],[CAREA]]</f>
        <v>0.3082996358156474</v>
      </c>
      <c r="AJ125">
        <v>2.16533</v>
      </c>
      <c r="AK125">
        <f>-(Table8329[[#This Row],[time]]-2)*2</f>
        <v>-0.33065999999999995</v>
      </c>
      <c r="AL125">
        <v>82.662300000000002</v>
      </c>
      <c r="AM125">
        <v>25.6812</v>
      </c>
      <c r="AN125">
        <f>Table8329[[#This Row],[CFNM]]/Table8329[[#This Row],[CAREA]]</f>
        <v>0.3106760881320747</v>
      </c>
    </row>
    <row r="126" spans="1:40">
      <c r="A126">
        <v>2.2036099999999998</v>
      </c>
      <c r="B126">
        <f>-(Table1322[[#This Row],[time]]-2)*2</f>
        <v>-0.40721999999999969</v>
      </c>
      <c r="C126">
        <v>89.640799999999999</v>
      </c>
      <c r="D126">
        <v>12.286</v>
      </c>
      <c r="E126">
        <f>Table1322[[#This Row],[CFNM]]/Table1322[[#This Row],[CAREA]]</f>
        <v>0.13705812531793557</v>
      </c>
      <c r="F126">
        <v>2.2036099999999998</v>
      </c>
      <c r="G126">
        <f>-(Table2323[[#This Row],[time]]-2)*2</f>
        <v>-0.40721999999999969</v>
      </c>
      <c r="H126">
        <v>94.840299999999999</v>
      </c>
      <c r="I126">
        <v>4.5146800000000002</v>
      </c>
      <c r="J126">
        <f>Table2323[[#This Row],[CFNM]]/Table2323[[#This Row],[CAREA]]</f>
        <v>4.7602970467195908E-2</v>
      </c>
      <c r="K126">
        <v>2.2036099999999998</v>
      </c>
      <c r="L126">
        <f>-(Table3324[[#This Row],[time]]-2)*2</f>
        <v>-0.40721999999999969</v>
      </c>
      <c r="M126">
        <v>88.875200000000007</v>
      </c>
      <c r="N126">
        <v>7.4753800000000004</v>
      </c>
      <c r="O126">
        <f>Table3324[[#This Row],[CFNM]]/Table3324[[#This Row],[CAREA]]</f>
        <v>8.4110978090625954E-2</v>
      </c>
      <c r="P126">
        <v>2.2036099999999998</v>
      </c>
      <c r="Q126">
        <f>-(Table4325[[#This Row],[time]]-2)*2</f>
        <v>-0.40721999999999969</v>
      </c>
      <c r="R126">
        <v>86.866699999999994</v>
      </c>
      <c r="S126">
        <v>11.002000000000001</v>
      </c>
      <c r="T126">
        <f>Table4325[[#This Row],[CFNM]]/Table4325[[#This Row],[CAREA]]</f>
        <v>0.12665382707067266</v>
      </c>
      <c r="U126">
        <v>2.2036099999999998</v>
      </c>
      <c r="V126">
        <f>-(Table5326[[#This Row],[time]]-2)*2</f>
        <v>-0.40721999999999969</v>
      </c>
      <c r="W126">
        <v>81.584999999999994</v>
      </c>
      <c r="X126">
        <v>19.471399999999999</v>
      </c>
      <c r="Y126">
        <f>Table5326[[#This Row],[CFNM]]/Table5326[[#This Row],[CAREA]]</f>
        <v>0.23866397009254153</v>
      </c>
      <c r="Z126">
        <v>2.2036099999999998</v>
      </c>
      <c r="AA126">
        <f>-(Table6327[[#This Row],[time]]-2)*2</f>
        <v>-0.40721999999999969</v>
      </c>
      <c r="AB126">
        <v>88.696299999999994</v>
      </c>
      <c r="AC126">
        <v>28.0352</v>
      </c>
      <c r="AD126">
        <f>Table6327[[#This Row],[CFNM]]/Table6327[[#This Row],[CAREA]]</f>
        <v>0.31608082862532033</v>
      </c>
      <c r="AE126">
        <v>2.2036099999999998</v>
      </c>
      <c r="AF126">
        <f>-(Table7328[[#This Row],[time]]-2)*2</f>
        <v>-0.40721999999999969</v>
      </c>
      <c r="AG126">
        <v>79.790800000000004</v>
      </c>
      <c r="AH126">
        <v>26.677299999999999</v>
      </c>
      <c r="AI126">
        <f>Table7328[[#This Row],[CFNM]]/Table7328[[#This Row],[CAREA]]</f>
        <v>0.33434055053966116</v>
      </c>
      <c r="AJ126">
        <v>2.2036099999999998</v>
      </c>
      <c r="AK126">
        <f>-(Table8329[[#This Row],[time]]-2)*2</f>
        <v>-0.40721999999999969</v>
      </c>
      <c r="AL126">
        <v>82.460999999999999</v>
      </c>
      <c r="AM126">
        <v>28.4434</v>
      </c>
      <c r="AN126">
        <f>Table8329[[#This Row],[CFNM]]/Table8329[[#This Row],[CAREA]]</f>
        <v>0.34493154339627219</v>
      </c>
    </row>
    <row r="127" spans="1:40">
      <c r="A127">
        <v>2.2521499999999999</v>
      </c>
      <c r="B127">
        <f>-(Table1322[[#This Row],[time]]-2)*2</f>
        <v>-0.50429999999999975</v>
      </c>
      <c r="C127">
        <v>89.145399999999995</v>
      </c>
      <c r="D127">
        <v>13.2446</v>
      </c>
      <c r="E127">
        <f>Table1322[[#This Row],[CFNM]]/Table1322[[#This Row],[CAREA]]</f>
        <v>0.14857300544952404</v>
      </c>
      <c r="F127">
        <v>2.2521499999999999</v>
      </c>
      <c r="G127">
        <f>-(Table2323[[#This Row],[time]]-2)*2</f>
        <v>-0.50429999999999975</v>
      </c>
      <c r="H127">
        <v>94.470299999999995</v>
      </c>
      <c r="I127">
        <v>5.0861799999999997</v>
      </c>
      <c r="J127">
        <f>Table2323[[#This Row],[CFNM]]/Table2323[[#This Row],[CAREA]]</f>
        <v>5.383893138901856E-2</v>
      </c>
      <c r="K127">
        <v>2.2521499999999999</v>
      </c>
      <c r="L127">
        <f>-(Table3324[[#This Row],[time]]-2)*2</f>
        <v>-0.50429999999999975</v>
      </c>
      <c r="M127">
        <v>88.988799999999998</v>
      </c>
      <c r="N127">
        <v>8.7904499999999999</v>
      </c>
      <c r="O127">
        <f>Table3324[[#This Row],[CFNM]]/Table3324[[#This Row],[CAREA]]</f>
        <v>9.8781532057966845E-2</v>
      </c>
      <c r="P127">
        <v>2.2521499999999999</v>
      </c>
      <c r="Q127">
        <f>-(Table4325[[#This Row],[time]]-2)*2</f>
        <v>-0.50429999999999975</v>
      </c>
      <c r="R127">
        <v>86.998999999999995</v>
      </c>
      <c r="S127">
        <v>12.704700000000001</v>
      </c>
      <c r="T127">
        <f>Table4325[[#This Row],[CFNM]]/Table4325[[#This Row],[CAREA]]</f>
        <v>0.1460327130196899</v>
      </c>
      <c r="U127">
        <v>2.2521499999999999</v>
      </c>
      <c r="V127">
        <f>-(Table5326[[#This Row],[time]]-2)*2</f>
        <v>-0.50429999999999975</v>
      </c>
      <c r="W127">
        <v>81.072699999999998</v>
      </c>
      <c r="X127">
        <v>22.889299999999999</v>
      </c>
      <c r="Y127">
        <f>Table5326[[#This Row],[CFNM]]/Table5326[[#This Row],[CAREA]]</f>
        <v>0.28233055023454257</v>
      </c>
      <c r="Z127">
        <v>2.2521499999999999</v>
      </c>
      <c r="AA127">
        <f>-(Table6327[[#This Row],[time]]-2)*2</f>
        <v>-0.50429999999999975</v>
      </c>
      <c r="AB127">
        <v>88.950900000000004</v>
      </c>
      <c r="AC127">
        <v>32.4238</v>
      </c>
      <c r="AD127">
        <f>Table6327[[#This Row],[CFNM]]/Table6327[[#This Row],[CAREA]]</f>
        <v>0.36451345630004867</v>
      </c>
      <c r="AE127">
        <v>2.2521499999999999</v>
      </c>
      <c r="AF127">
        <f>-(Table7328[[#This Row],[time]]-2)*2</f>
        <v>-0.50429999999999975</v>
      </c>
      <c r="AG127">
        <v>80.069100000000006</v>
      </c>
      <c r="AH127">
        <v>29.764099999999999</v>
      </c>
      <c r="AI127">
        <f>Table7328[[#This Row],[CFNM]]/Table7328[[#This Row],[CAREA]]</f>
        <v>0.37173016806733178</v>
      </c>
      <c r="AJ127">
        <v>2.2521499999999999</v>
      </c>
      <c r="AK127">
        <f>-(Table8329[[#This Row],[time]]-2)*2</f>
        <v>-0.50429999999999975</v>
      </c>
      <c r="AL127">
        <v>82.185400000000001</v>
      </c>
      <c r="AM127">
        <v>32.087899999999998</v>
      </c>
      <c r="AN127">
        <f>Table8329[[#This Row],[CFNM]]/Table8329[[#This Row],[CAREA]]</f>
        <v>0.39043309395586073</v>
      </c>
    </row>
    <row r="128" spans="1:40">
      <c r="A128">
        <v>2.3048199999999999</v>
      </c>
      <c r="B128">
        <f>-(Table1322[[#This Row],[time]]-2)*2</f>
        <v>-0.60963999999999974</v>
      </c>
      <c r="C128">
        <v>88.793700000000001</v>
      </c>
      <c r="D128">
        <v>14.555099999999999</v>
      </c>
      <c r="E128">
        <f>Table1322[[#This Row],[CFNM]]/Table1322[[#This Row],[CAREA]]</f>
        <v>0.16392041327256324</v>
      </c>
      <c r="F128">
        <v>2.3048199999999999</v>
      </c>
      <c r="G128">
        <f>-(Table2323[[#This Row],[time]]-2)*2</f>
        <v>-0.60963999999999974</v>
      </c>
      <c r="H128">
        <v>94.146199999999993</v>
      </c>
      <c r="I128">
        <v>6.1024099999999999</v>
      </c>
      <c r="J128">
        <f>Table2323[[#This Row],[CFNM]]/Table2323[[#This Row],[CAREA]]</f>
        <v>6.4818441955171849E-2</v>
      </c>
      <c r="K128">
        <v>2.3048199999999999</v>
      </c>
      <c r="L128">
        <f>-(Table3324[[#This Row],[time]]-2)*2</f>
        <v>-0.60963999999999974</v>
      </c>
      <c r="M128">
        <v>89.127200000000002</v>
      </c>
      <c r="N128">
        <v>10.2559</v>
      </c>
      <c r="O128">
        <f>Table3324[[#This Row],[CFNM]]/Table3324[[#This Row],[CAREA]]</f>
        <v>0.11507037133445233</v>
      </c>
      <c r="P128">
        <v>2.3048199999999999</v>
      </c>
      <c r="Q128">
        <f>-(Table4325[[#This Row],[time]]-2)*2</f>
        <v>-0.60963999999999974</v>
      </c>
      <c r="R128">
        <v>87.121899999999997</v>
      </c>
      <c r="S128">
        <v>14.719200000000001</v>
      </c>
      <c r="T128">
        <f>Table4325[[#This Row],[CFNM]]/Table4325[[#This Row],[CAREA]]</f>
        <v>0.16894948342494828</v>
      </c>
      <c r="U128">
        <v>2.3048199999999999</v>
      </c>
      <c r="V128">
        <f>-(Table5326[[#This Row],[time]]-2)*2</f>
        <v>-0.60963999999999974</v>
      </c>
      <c r="W128">
        <v>80.937399999999997</v>
      </c>
      <c r="X128">
        <v>26.581099999999999</v>
      </c>
      <c r="Y128">
        <f>Table5326[[#This Row],[CFNM]]/Table5326[[#This Row],[CAREA]]</f>
        <v>0.32841554089950997</v>
      </c>
      <c r="Z128">
        <v>2.3048199999999999</v>
      </c>
      <c r="AA128">
        <f>-(Table6327[[#This Row],[time]]-2)*2</f>
        <v>-0.60963999999999974</v>
      </c>
      <c r="AB128">
        <v>88.922200000000004</v>
      </c>
      <c r="AC128">
        <v>37.389499999999998</v>
      </c>
      <c r="AD128">
        <f>Table6327[[#This Row],[CFNM]]/Table6327[[#This Row],[CAREA]]</f>
        <v>0.4204743022552298</v>
      </c>
      <c r="AE128">
        <v>2.3048199999999999</v>
      </c>
      <c r="AF128">
        <f>-(Table7328[[#This Row],[time]]-2)*2</f>
        <v>-0.60963999999999974</v>
      </c>
      <c r="AG128">
        <v>80.1858</v>
      </c>
      <c r="AH128">
        <v>33.4756</v>
      </c>
      <c r="AI128">
        <f>Table7328[[#This Row],[CFNM]]/Table7328[[#This Row],[CAREA]]</f>
        <v>0.41747541335248883</v>
      </c>
      <c r="AJ128">
        <v>2.3048199999999999</v>
      </c>
      <c r="AK128">
        <f>-(Table8329[[#This Row],[time]]-2)*2</f>
        <v>-0.60963999999999974</v>
      </c>
      <c r="AL128">
        <v>81.762600000000006</v>
      </c>
      <c r="AM128">
        <v>35.882800000000003</v>
      </c>
      <c r="AN128">
        <f>Table8329[[#This Row],[CFNM]]/Table8329[[#This Row],[CAREA]]</f>
        <v>0.43886569164874895</v>
      </c>
    </row>
    <row r="129" spans="1:40">
      <c r="A129">
        <v>2.3521100000000001</v>
      </c>
      <c r="B129">
        <f>-(Table1322[[#This Row],[time]]-2)*2</f>
        <v>-0.70422000000000029</v>
      </c>
      <c r="C129">
        <v>88.580500000000001</v>
      </c>
      <c r="D129">
        <v>15.717599999999999</v>
      </c>
      <c r="E129">
        <f>Table1322[[#This Row],[CFNM]]/Table1322[[#This Row],[CAREA]]</f>
        <v>0.17743860104650572</v>
      </c>
      <c r="F129">
        <v>2.3521100000000001</v>
      </c>
      <c r="G129">
        <f>-(Table2323[[#This Row],[time]]-2)*2</f>
        <v>-0.70422000000000029</v>
      </c>
      <c r="H129">
        <v>93.857200000000006</v>
      </c>
      <c r="I129">
        <v>6.9933199999999998</v>
      </c>
      <c r="J129">
        <f>Table2323[[#This Row],[CFNM]]/Table2323[[#This Row],[CAREA]]</f>
        <v>7.4510213387997931E-2</v>
      </c>
      <c r="K129">
        <v>2.3521100000000001</v>
      </c>
      <c r="L129">
        <f>-(Table3324[[#This Row],[time]]-2)*2</f>
        <v>-0.70422000000000029</v>
      </c>
      <c r="M129">
        <v>88.507000000000005</v>
      </c>
      <c r="N129">
        <v>11.5983</v>
      </c>
      <c r="O129">
        <f>Table3324[[#This Row],[CFNM]]/Table3324[[#This Row],[CAREA]]</f>
        <v>0.13104387223609432</v>
      </c>
      <c r="P129">
        <v>2.3521100000000001</v>
      </c>
      <c r="Q129">
        <f>-(Table4325[[#This Row],[time]]-2)*2</f>
        <v>-0.70422000000000029</v>
      </c>
      <c r="R129">
        <v>87.206999999999994</v>
      </c>
      <c r="S129">
        <v>16.428000000000001</v>
      </c>
      <c r="T129">
        <f>Table4325[[#This Row],[CFNM]]/Table4325[[#This Row],[CAREA]]</f>
        <v>0.18837937321545292</v>
      </c>
      <c r="U129">
        <v>2.3521100000000001</v>
      </c>
      <c r="V129">
        <f>-(Table5326[[#This Row],[time]]-2)*2</f>
        <v>-0.70422000000000029</v>
      </c>
      <c r="W129">
        <v>80.344099999999997</v>
      </c>
      <c r="X129">
        <v>29.431999999999999</v>
      </c>
      <c r="Y129">
        <f>Table5326[[#This Row],[CFNM]]/Table5326[[#This Row],[CAREA]]</f>
        <v>0.36632434740074254</v>
      </c>
      <c r="Z129">
        <v>2.3521100000000001</v>
      </c>
      <c r="AA129">
        <f>-(Table6327[[#This Row],[time]]-2)*2</f>
        <v>-0.70422000000000029</v>
      </c>
      <c r="AB129">
        <v>88.388199999999998</v>
      </c>
      <c r="AC129">
        <v>41.178199999999997</v>
      </c>
      <c r="AD129">
        <f>Table6327[[#This Row],[CFNM]]/Table6327[[#This Row],[CAREA]]</f>
        <v>0.46587892954036847</v>
      </c>
      <c r="AE129">
        <v>2.3521100000000001</v>
      </c>
      <c r="AF129">
        <f>-(Table7328[[#This Row],[time]]-2)*2</f>
        <v>-0.70422000000000029</v>
      </c>
      <c r="AG129">
        <v>80.105999999999995</v>
      </c>
      <c r="AH129">
        <v>36.825299999999999</v>
      </c>
      <c r="AI129">
        <f>Table7328[[#This Row],[CFNM]]/Table7328[[#This Row],[CAREA]]</f>
        <v>0.45970713804209423</v>
      </c>
      <c r="AJ129">
        <v>2.3521100000000001</v>
      </c>
      <c r="AK129">
        <f>-(Table8329[[#This Row],[time]]-2)*2</f>
        <v>-0.70422000000000029</v>
      </c>
      <c r="AL129">
        <v>81.561999999999998</v>
      </c>
      <c r="AM129">
        <v>39.181600000000003</v>
      </c>
      <c r="AN129">
        <f>Table8329[[#This Row],[CFNM]]/Table8329[[#This Row],[CAREA]]</f>
        <v>0.4803903778720483</v>
      </c>
    </row>
    <row r="130" spans="1:40">
      <c r="A130">
        <v>2.4011</v>
      </c>
      <c r="B130">
        <f>-(Table1322[[#This Row],[time]]-2)*2</f>
        <v>-0.80220000000000002</v>
      </c>
      <c r="C130">
        <v>88.364000000000004</v>
      </c>
      <c r="D130">
        <v>16.8842</v>
      </c>
      <c r="E130">
        <f>Table1322[[#This Row],[CFNM]]/Table1322[[#This Row],[CAREA]]</f>
        <v>0.19107555112941921</v>
      </c>
      <c r="F130">
        <v>2.4011</v>
      </c>
      <c r="G130">
        <f>-(Table2323[[#This Row],[time]]-2)*2</f>
        <v>-0.80220000000000002</v>
      </c>
      <c r="H130">
        <v>93.551299999999998</v>
      </c>
      <c r="I130">
        <v>7.8894299999999999</v>
      </c>
      <c r="J130">
        <f>Table2323[[#This Row],[CFNM]]/Table2323[[#This Row],[CAREA]]</f>
        <v>8.433266026233735E-2</v>
      </c>
      <c r="K130">
        <v>2.4011</v>
      </c>
      <c r="L130">
        <f>-(Table3324[[#This Row],[time]]-2)*2</f>
        <v>-0.80220000000000002</v>
      </c>
      <c r="M130">
        <v>88.627200000000002</v>
      </c>
      <c r="N130">
        <v>13.023999999999999</v>
      </c>
      <c r="O130">
        <f>Table3324[[#This Row],[CFNM]]/Table3324[[#This Row],[CAREA]]</f>
        <v>0.14695262853841709</v>
      </c>
      <c r="P130">
        <v>2.4011</v>
      </c>
      <c r="Q130">
        <f>-(Table4325[[#This Row],[time]]-2)*2</f>
        <v>-0.80220000000000002</v>
      </c>
      <c r="R130">
        <v>87.317300000000003</v>
      </c>
      <c r="S130">
        <v>18.192799999999998</v>
      </c>
      <c r="T130">
        <f>Table4325[[#This Row],[CFNM]]/Table4325[[#This Row],[CAREA]]</f>
        <v>0.20835275483781562</v>
      </c>
      <c r="U130">
        <v>2.4011</v>
      </c>
      <c r="V130">
        <f>-(Table5326[[#This Row],[time]]-2)*2</f>
        <v>-0.80220000000000002</v>
      </c>
      <c r="W130">
        <v>79.246899999999997</v>
      </c>
      <c r="X130">
        <v>31.920100000000001</v>
      </c>
      <c r="Y130">
        <f>Table5326[[#This Row],[CFNM]]/Table5326[[#This Row],[CAREA]]</f>
        <v>0.40279304300862245</v>
      </c>
      <c r="Z130">
        <v>2.4011</v>
      </c>
      <c r="AA130">
        <f>-(Table6327[[#This Row],[time]]-2)*2</f>
        <v>-0.80220000000000002</v>
      </c>
      <c r="AB130">
        <v>87.713899999999995</v>
      </c>
      <c r="AC130">
        <v>44.755099999999999</v>
      </c>
      <c r="AD130">
        <f>Table6327[[#This Row],[CFNM]]/Table6327[[#This Row],[CAREA]]</f>
        <v>0.51023954014130035</v>
      </c>
      <c r="AE130">
        <v>2.4011</v>
      </c>
      <c r="AF130">
        <f>-(Table7328[[#This Row],[time]]-2)*2</f>
        <v>-0.80220000000000002</v>
      </c>
      <c r="AG130">
        <v>80.006299999999996</v>
      </c>
      <c r="AH130">
        <v>40.345999999999997</v>
      </c>
      <c r="AI130">
        <f>Table7328[[#This Row],[CFNM]]/Table7328[[#This Row],[CAREA]]</f>
        <v>0.50428528753360669</v>
      </c>
      <c r="AJ130">
        <v>2.4011</v>
      </c>
      <c r="AK130">
        <f>-(Table8329[[#This Row],[time]]-2)*2</f>
        <v>-0.80220000000000002</v>
      </c>
      <c r="AL130">
        <v>81.384200000000007</v>
      </c>
      <c r="AM130">
        <v>42.6432</v>
      </c>
      <c r="AN130">
        <f>Table8329[[#This Row],[CFNM]]/Table8329[[#This Row],[CAREA]]</f>
        <v>0.52397394088778904</v>
      </c>
    </row>
    <row r="131" spans="1:40">
      <c r="A131">
        <v>2.4565000000000001</v>
      </c>
      <c r="B131">
        <f>-(Table1322[[#This Row],[time]]-2)*2</f>
        <v>-0.91300000000000026</v>
      </c>
      <c r="C131">
        <v>88.171499999999995</v>
      </c>
      <c r="D131">
        <v>18.100999999999999</v>
      </c>
      <c r="E131">
        <f>Table1322[[#This Row],[CFNM]]/Table1322[[#This Row],[CAREA]]</f>
        <v>0.20529309357332018</v>
      </c>
      <c r="F131">
        <v>2.4565000000000001</v>
      </c>
      <c r="G131">
        <f>-(Table2323[[#This Row],[time]]-2)*2</f>
        <v>-0.91300000000000026</v>
      </c>
      <c r="H131">
        <v>93.204800000000006</v>
      </c>
      <c r="I131">
        <v>8.8864000000000001</v>
      </c>
      <c r="J131">
        <f>Table2323[[#This Row],[CFNM]]/Table2323[[#This Row],[CAREA]]</f>
        <v>9.5342729129830217E-2</v>
      </c>
      <c r="K131">
        <v>2.4565000000000001</v>
      </c>
      <c r="L131">
        <f>-(Table3324[[#This Row],[time]]-2)*2</f>
        <v>-0.91300000000000026</v>
      </c>
      <c r="M131">
        <v>88.781400000000005</v>
      </c>
      <c r="N131">
        <v>14.6129</v>
      </c>
      <c r="O131">
        <f>Table3324[[#This Row],[CFNM]]/Table3324[[#This Row],[CAREA]]</f>
        <v>0.16459416048857078</v>
      </c>
      <c r="P131">
        <v>2.4565000000000001</v>
      </c>
      <c r="Q131">
        <f>-(Table4325[[#This Row],[time]]-2)*2</f>
        <v>-0.91300000000000026</v>
      </c>
      <c r="R131">
        <v>87.441400000000002</v>
      </c>
      <c r="S131">
        <v>20.219000000000001</v>
      </c>
      <c r="T131">
        <f>Table4325[[#This Row],[CFNM]]/Table4325[[#This Row],[CAREA]]</f>
        <v>0.23122914317474333</v>
      </c>
      <c r="U131">
        <v>2.4565000000000001</v>
      </c>
      <c r="V131">
        <f>-(Table5326[[#This Row],[time]]-2)*2</f>
        <v>-0.91300000000000026</v>
      </c>
      <c r="W131">
        <v>78.350200000000001</v>
      </c>
      <c r="X131">
        <v>34.579300000000003</v>
      </c>
      <c r="Y131">
        <f>Table5326[[#This Row],[CFNM]]/Table5326[[#This Row],[CAREA]]</f>
        <v>0.44134284277513014</v>
      </c>
      <c r="Z131">
        <v>2.4565000000000001</v>
      </c>
      <c r="AA131">
        <f>-(Table6327[[#This Row],[time]]-2)*2</f>
        <v>-0.91300000000000026</v>
      </c>
      <c r="AB131">
        <v>86.977599999999995</v>
      </c>
      <c r="AC131">
        <v>48.544400000000003</v>
      </c>
      <c r="AD131">
        <f>Table6327[[#This Row],[CFNM]]/Table6327[[#This Row],[CAREA]]</f>
        <v>0.55812531042475311</v>
      </c>
      <c r="AE131">
        <v>2.4565000000000001</v>
      </c>
      <c r="AF131">
        <f>-(Table7328[[#This Row],[time]]-2)*2</f>
        <v>-0.91300000000000026</v>
      </c>
      <c r="AG131">
        <v>79.663200000000003</v>
      </c>
      <c r="AH131">
        <v>44.228999999999999</v>
      </c>
      <c r="AI131">
        <f>Table7328[[#This Row],[CFNM]]/Table7328[[#This Row],[CAREA]]</f>
        <v>0.55519989154339766</v>
      </c>
      <c r="AJ131">
        <v>2.4565000000000001</v>
      </c>
      <c r="AK131">
        <f>-(Table8329[[#This Row],[time]]-2)*2</f>
        <v>-0.91300000000000026</v>
      </c>
      <c r="AL131">
        <v>80.380700000000004</v>
      </c>
      <c r="AM131">
        <v>46.464500000000001</v>
      </c>
      <c r="AN131">
        <f>Table8329[[#This Row],[CFNM]]/Table8329[[#This Row],[CAREA]]</f>
        <v>0.5780554287285381</v>
      </c>
    </row>
    <row r="132" spans="1:40">
      <c r="A132">
        <v>2.50468</v>
      </c>
      <c r="B132">
        <f>-(Table1322[[#This Row],[time]]-2)*2</f>
        <v>-1.00936</v>
      </c>
      <c r="C132">
        <v>88.026799999999994</v>
      </c>
      <c r="D132">
        <v>19.074300000000001</v>
      </c>
      <c r="E132">
        <f>Table1322[[#This Row],[CFNM]]/Table1322[[#This Row],[CAREA]]</f>
        <v>0.21668741792272356</v>
      </c>
      <c r="F132">
        <v>2.50468</v>
      </c>
      <c r="G132">
        <f>-(Table2323[[#This Row],[time]]-2)*2</f>
        <v>-1.00936</v>
      </c>
      <c r="H132">
        <v>93.105500000000006</v>
      </c>
      <c r="I132">
        <v>9.7397799999999997</v>
      </c>
      <c r="J132">
        <f>Table2323[[#This Row],[CFNM]]/Table2323[[#This Row],[CAREA]]</f>
        <v>0.10461014655417777</v>
      </c>
      <c r="K132">
        <v>2.50468</v>
      </c>
      <c r="L132">
        <f>-(Table3324[[#This Row],[time]]-2)*2</f>
        <v>-1.00936</v>
      </c>
      <c r="M132">
        <v>88.962500000000006</v>
      </c>
      <c r="N132">
        <v>16.000900000000001</v>
      </c>
      <c r="O132">
        <f>Table3324[[#This Row],[CFNM]]/Table3324[[#This Row],[CAREA]]</f>
        <v>0.17986117746241395</v>
      </c>
      <c r="P132">
        <v>2.50468</v>
      </c>
      <c r="Q132">
        <f>-(Table4325[[#This Row],[time]]-2)*2</f>
        <v>-1.00936</v>
      </c>
      <c r="R132">
        <v>87.889499999999998</v>
      </c>
      <c r="S132">
        <v>21.994199999999999</v>
      </c>
      <c r="T132">
        <f>Table4325[[#This Row],[CFNM]]/Table4325[[#This Row],[CAREA]]</f>
        <v>0.25024832317853668</v>
      </c>
      <c r="U132">
        <v>2.50468</v>
      </c>
      <c r="V132">
        <f>-(Table5326[[#This Row],[time]]-2)*2</f>
        <v>-1.00936</v>
      </c>
      <c r="W132">
        <v>77.680599999999998</v>
      </c>
      <c r="X132">
        <v>36.859000000000002</v>
      </c>
      <c r="Y132">
        <f>Table5326[[#This Row],[CFNM]]/Table5326[[#This Row],[CAREA]]</f>
        <v>0.47449427527593763</v>
      </c>
      <c r="Z132">
        <v>2.50468</v>
      </c>
      <c r="AA132">
        <f>-(Table6327[[#This Row],[time]]-2)*2</f>
        <v>-1.00936</v>
      </c>
      <c r="AB132">
        <v>86.243700000000004</v>
      </c>
      <c r="AC132">
        <v>51.686500000000002</v>
      </c>
      <c r="AD132">
        <f>Table6327[[#This Row],[CFNM]]/Table6327[[#This Row],[CAREA]]</f>
        <v>0.59930754362347627</v>
      </c>
      <c r="AE132">
        <v>2.50468</v>
      </c>
      <c r="AF132">
        <f>-(Table7328[[#This Row],[time]]-2)*2</f>
        <v>-1.00936</v>
      </c>
      <c r="AG132">
        <v>79.2136</v>
      </c>
      <c r="AH132">
        <v>47.554900000000004</v>
      </c>
      <c r="AI132">
        <f>Table7328[[#This Row],[CFNM]]/Table7328[[#This Row],[CAREA]]</f>
        <v>0.60033756829635321</v>
      </c>
      <c r="AJ132">
        <v>2.50468</v>
      </c>
      <c r="AK132">
        <f>-(Table8329[[#This Row],[time]]-2)*2</f>
        <v>-1.00936</v>
      </c>
      <c r="AL132">
        <v>80.093900000000005</v>
      </c>
      <c r="AM132">
        <v>49.711599999999997</v>
      </c>
      <c r="AN132">
        <f>Table8329[[#This Row],[CFNM]]/Table8329[[#This Row],[CAREA]]</f>
        <v>0.62066649270418839</v>
      </c>
    </row>
    <row r="133" spans="1:40">
      <c r="A133">
        <v>2.5597300000000001</v>
      </c>
      <c r="B133">
        <f>-(Table1322[[#This Row],[time]]-2)*2</f>
        <v>-1.1194600000000001</v>
      </c>
      <c r="C133">
        <v>87.786799999999999</v>
      </c>
      <c r="D133">
        <v>20.111999999999998</v>
      </c>
      <c r="E133">
        <f>Table1322[[#This Row],[CFNM]]/Table1322[[#This Row],[CAREA]]</f>
        <v>0.22910050258125367</v>
      </c>
      <c r="F133">
        <v>2.5597300000000001</v>
      </c>
      <c r="G133">
        <f>-(Table2323[[#This Row],[time]]-2)*2</f>
        <v>-1.1194600000000001</v>
      </c>
      <c r="H133">
        <v>93.007400000000004</v>
      </c>
      <c r="I133">
        <v>10.7331</v>
      </c>
      <c r="J133">
        <f>Table2323[[#This Row],[CFNM]]/Table2323[[#This Row],[CAREA]]</f>
        <v>0.1154004950143752</v>
      </c>
      <c r="K133">
        <v>2.5597300000000001</v>
      </c>
      <c r="L133">
        <f>-(Table3324[[#This Row],[time]]-2)*2</f>
        <v>-1.1194600000000001</v>
      </c>
      <c r="M133">
        <v>89.149299999999997</v>
      </c>
      <c r="N133">
        <v>17.6813</v>
      </c>
      <c r="O133">
        <f>Table3324[[#This Row],[CFNM]]/Table3324[[#This Row],[CAREA]]</f>
        <v>0.19833358197989218</v>
      </c>
      <c r="P133">
        <v>2.5597300000000001</v>
      </c>
      <c r="Q133">
        <f>-(Table4325[[#This Row],[time]]-2)*2</f>
        <v>-1.1194600000000001</v>
      </c>
      <c r="R133">
        <v>88.083799999999997</v>
      </c>
      <c r="S133">
        <v>24.069199999999999</v>
      </c>
      <c r="T133">
        <f>Table4325[[#This Row],[CFNM]]/Table4325[[#This Row],[CAREA]]</f>
        <v>0.27325342457977514</v>
      </c>
      <c r="U133">
        <v>2.5597300000000001</v>
      </c>
      <c r="V133">
        <f>-(Table5326[[#This Row],[time]]-2)*2</f>
        <v>-1.1194600000000001</v>
      </c>
      <c r="W133">
        <v>76.719899999999996</v>
      </c>
      <c r="X133">
        <v>39.4788</v>
      </c>
      <c r="Y133">
        <f>Table5326[[#This Row],[CFNM]]/Table5326[[#This Row],[CAREA]]</f>
        <v>0.51458356958233786</v>
      </c>
      <c r="Z133">
        <v>2.5597300000000001</v>
      </c>
      <c r="AA133">
        <f>-(Table6327[[#This Row],[time]]-2)*2</f>
        <v>-1.1194600000000001</v>
      </c>
      <c r="AB133">
        <v>84.722399999999993</v>
      </c>
      <c r="AC133">
        <v>55.309800000000003</v>
      </c>
      <c r="AD133">
        <f>Table6327[[#This Row],[CFNM]]/Table6327[[#This Row],[CAREA]]</f>
        <v>0.65283561372199095</v>
      </c>
      <c r="AE133">
        <v>2.5597300000000001</v>
      </c>
      <c r="AF133">
        <f>-(Table7328[[#This Row],[time]]-2)*2</f>
        <v>-1.1194600000000001</v>
      </c>
      <c r="AG133">
        <v>78.326400000000007</v>
      </c>
      <c r="AH133">
        <v>51.627200000000002</v>
      </c>
      <c r="AI133">
        <f>Table7328[[#This Row],[CFNM]]/Table7328[[#This Row],[CAREA]]</f>
        <v>0.6591289782244556</v>
      </c>
      <c r="AJ133">
        <v>2.5597300000000001</v>
      </c>
      <c r="AK133">
        <f>-(Table8329[[#This Row],[time]]-2)*2</f>
        <v>-1.1194600000000001</v>
      </c>
      <c r="AL133">
        <v>79.795699999999997</v>
      </c>
      <c r="AM133">
        <v>53.424999999999997</v>
      </c>
      <c r="AN133">
        <f>Table8329[[#This Row],[CFNM]]/Table8329[[#This Row],[CAREA]]</f>
        <v>0.66952229255461138</v>
      </c>
    </row>
    <row r="134" spans="1:40">
      <c r="A134">
        <v>2.60432</v>
      </c>
      <c r="B134">
        <f>-(Table1322[[#This Row],[time]]-2)*2</f>
        <v>-1.2086399999999999</v>
      </c>
      <c r="C134">
        <v>87.682000000000002</v>
      </c>
      <c r="D134">
        <v>20.9377</v>
      </c>
      <c r="E134">
        <f>Table1322[[#This Row],[CFNM]]/Table1322[[#This Row],[CAREA]]</f>
        <v>0.23879131406674117</v>
      </c>
      <c r="F134">
        <v>2.60432</v>
      </c>
      <c r="G134">
        <f>-(Table2323[[#This Row],[time]]-2)*2</f>
        <v>-1.2086399999999999</v>
      </c>
      <c r="H134">
        <v>92.928299999999993</v>
      </c>
      <c r="I134">
        <v>11.5457</v>
      </c>
      <c r="J134">
        <f>Table2323[[#This Row],[CFNM]]/Table2323[[#This Row],[CAREA]]</f>
        <v>0.12424309924963656</v>
      </c>
      <c r="K134">
        <v>2.60432</v>
      </c>
      <c r="L134">
        <f>-(Table3324[[#This Row],[time]]-2)*2</f>
        <v>-1.2086399999999999</v>
      </c>
      <c r="M134">
        <v>89.555700000000002</v>
      </c>
      <c r="N134">
        <v>19.174299999999999</v>
      </c>
      <c r="O134">
        <f>Table3324[[#This Row],[CFNM]]/Table3324[[#This Row],[CAREA]]</f>
        <v>0.21410474151840697</v>
      </c>
      <c r="P134">
        <v>2.60432</v>
      </c>
      <c r="Q134">
        <f>-(Table4325[[#This Row],[time]]-2)*2</f>
        <v>-1.2086399999999999</v>
      </c>
      <c r="R134">
        <v>88.218699999999998</v>
      </c>
      <c r="S134">
        <v>25.8293</v>
      </c>
      <c r="T134">
        <f>Table4325[[#This Row],[CFNM]]/Table4325[[#This Row],[CAREA]]</f>
        <v>0.29278713016627994</v>
      </c>
      <c r="U134">
        <v>2.60432</v>
      </c>
      <c r="V134">
        <f>-(Table5326[[#This Row],[time]]-2)*2</f>
        <v>-1.2086399999999999</v>
      </c>
      <c r="W134">
        <v>75.875100000000003</v>
      </c>
      <c r="X134">
        <v>41.643000000000001</v>
      </c>
      <c r="Y134">
        <f>Table5326[[#This Row],[CFNM]]/Table5326[[#This Row],[CAREA]]</f>
        <v>0.54883617945808305</v>
      </c>
      <c r="Z134">
        <v>2.60432</v>
      </c>
      <c r="AA134">
        <f>-(Table6327[[#This Row],[time]]-2)*2</f>
        <v>-1.2086399999999999</v>
      </c>
      <c r="AB134">
        <v>84.049599999999998</v>
      </c>
      <c r="AC134">
        <v>58.265500000000003</v>
      </c>
      <c r="AD134">
        <f>Table6327[[#This Row],[CFNM]]/Table6327[[#This Row],[CAREA]]</f>
        <v>0.69322757038700966</v>
      </c>
      <c r="AE134">
        <v>2.60432</v>
      </c>
      <c r="AF134">
        <f>-(Table7328[[#This Row],[time]]-2)*2</f>
        <v>-1.2086399999999999</v>
      </c>
      <c r="AG134">
        <v>77.649500000000003</v>
      </c>
      <c r="AH134">
        <v>55.035299999999999</v>
      </c>
      <c r="AI134">
        <f>Table7328[[#This Row],[CFNM]]/Table7328[[#This Row],[CAREA]]</f>
        <v>0.70876567138230118</v>
      </c>
      <c r="AJ134">
        <v>2.60432</v>
      </c>
      <c r="AK134">
        <f>-(Table8329[[#This Row],[time]]-2)*2</f>
        <v>-1.2086399999999999</v>
      </c>
      <c r="AL134">
        <v>79.618600000000001</v>
      </c>
      <c r="AM134">
        <v>56.626800000000003</v>
      </c>
      <c r="AN134">
        <f>Table8329[[#This Row],[CFNM]]/Table8329[[#This Row],[CAREA]]</f>
        <v>0.7112257688530067</v>
      </c>
    </row>
    <row r="135" spans="1:40">
      <c r="A135">
        <v>2.65144</v>
      </c>
      <c r="B135">
        <f>-(Table1322[[#This Row],[time]]-2)*2</f>
        <v>-1.30288</v>
      </c>
      <c r="C135">
        <v>87.316699999999997</v>
      </c>
      <c r="D135">
        <v>21.757100000000001</v>
      </c>
      <c r="E135">
        <f>Table1322[[#This Row],[CFNM]]/Table1322[[#This Row],[CAREA]]</f>
        <v>0.24917455652813267</v>
      </c>
      <c r="F135">
        <v>2.65144</v>
      </c>
      <c r="G135">
        <f>-(Table2323[[#This Row],[time]]-2)*2</f>
        <v>-1.30288</v>
      </c>
      <c r="H135">
        <v>92.853999999999999</v>
      </c>
      <c r="I135">
        <v>12.459</v>
      </c>
      <c r="J135">
        <f>Table2323[[#This Row],[CFNM]]/Table2323[[#This Row],[CAREA]]</f>
        <v>0.13417838757619488</v>
      </c>
      <c r="K135">
        <v>2.65144</v>
      </c>
      <c r="L135">
        <f>-(Table3324[[#This Row],[time]]-2)*2</f>
        <v>-1.30288</v>
      </c>
      <c r="M135">
        <v>89.671300000000002</v>
      </c>
      <c r="N135">
        <v>20.755500000000001</v>
      </c>
      <c r="O135">
        <f>Table3324[[#This Row],[CFNM]]/Table3324[[#This Row],[CAREA]]</f>
        <v>0.23146201739017946</v>
      </c>
      <c r="P135">
        <v>2.65144</v>
      </c>
      <c r="Q135">
        <f>-(Table4325[[#This Row],[time]]-2)*2</f>
        <v>-1.30288</v>
      </c>
      <c r="R135">
        <v>88.3643</v>
      </c>
      <c r="S135">
        <v>27.798200000000001</v>
      </c>
      <c r="T135">
        <f>Table4325[[#This Row],[CFNM]]/Table4325[[#This Row],[CAREA]]</f>
        <v>0.31458632049368357</v>
      </c>
      <c r="U135">
        <v>2.65144</v>
      </c>
      <c r="V135">
        <f>-(Table5326[[#This Row],[time]]-2)*2</f>
        <v>-1.30288</v>
      </c>
      <c r="W135">
        <v>75.034700000000001</v>
      </c>
      <c r="X135">
        <v>44.239400000000003</v>
      </c>
      <c r="Y135">
        <f>Table5326[[#This Row],[CFNM]]/Table5326[[#This Row],[CAREA]]</f>
        <v>0.58958588493057218</v>
      </c>
      <c r="Z135">
        <v>2.65144</v>
      </c>
      <c r="AA135">
        <f>-(Table6327[[#This Row],[time]]-2)*2</f>
        <v>-1.30288</v>
      </c>
      <c r="AB135">
        <v>83.401799999999994</v>
      </c>
      <c r="AC135">
        <v>61.722799999999999</v>
      </c>
      <c r="AD135">
        <f>Table6327[[#This Row],[CFNM]]/Table6327[[#This Row],[CAREA]]</f>
        <v>0.74006556213415065</v>
      </c>
      <c r="AE135">
        <v>2.65144</v>
      </c>
      <c r="AF135">
        <f>-(Table7328[[#This Row],[time]]-2)*2</f>
        <v>-1.30288</v>
      </c>
      <c r="AG135">
        <v>76.959299999999999</v>
      </c>
      <c r="AH135">
        <v>58.6295</v>
      </c>
      <c r="AI135">
        <f>Table7328[[#This Row],[CFNM]]/Table7328[[#This Row],[CAREA]]</f>
        <v>0.76182475672205963</v>
      </c>
      <c r="AJ135">
        <v>2.65144</v>
      </c>
      <c r="AK135">
        <f>-(Table8329[[#This Row],[time]]-2)*2</f>
        <v>-1.30288</v>
      </c>
      <c r="AL135">
        <v>78.082599999999999</v>
      </c>
      <c r="AM135">
        <v>60.110599999999998</v>
      </c>
      <c r="AN135">
        <f>Table8329[[#This Row],[CFNM]]/Table8329[[#This Row],[CAREA]]</f>
        <v>0.76983348402845186</v>
      </c>
    </row>
    <row r="136" spans="1:40">
      <c r="A136">
        <v>2.7019600000000001</v>
      </c>
      <c r="B136">
        <f>-(Table1322[[#This Row],[time]]-2)*2</f>
        <v>-1.4039200000000003</v>
      </c>
      <c r="C136">
        <v>87.224599999999995</v>
      </c>
      <c r="D136">
        <v>22.582599999999999</v>
      </c>
      <c r="E136">
        <f>Table1322[[#This Row],[CFNM]]/Table1322[[#This Row],[CAREA]]</f>
        <v>0.25890173185087695</v>
      </c>
      <c r="F136">
        <v>2.7019600000000001</v>
      </c>
      <c r="G136">
        <f>-(Table2323[[#This Row],[time]]-2)*2</f>
        <v>-1.4039200000000003</v>
      </c>
      <c r="H136">
        <v>92.802400000000006</v>
      </c>
      <c r="I136">
        <v>13.446300000000001</v>
      </c>
      <c r="J136">
        <f>Table2323[[#This Row],[CFNM]]/Table2323[[#This Row],[CAREA]]</f>
        <v>0.14489172693809643</v>
      </c>
      <c r="K136">
        <v>2.7019600000000001</v>
      </c>
      <c r="L136">
        <f>-(Table3324[[#This Row],[time]]-2)*2</f>
        <v>-1.4039200000000003</v>
      </c>
      <c r="M136">
        <v>89.577100000000002</v>
      </c>
      <c r="N136">
        <v>22.442</v>
      </c>
      <c r="O136">
        <f>Table3324[[#This Row],[CFNM]]/Table3324[[#This Row],[CAREA]]</f>
        <v>0.25053278125770984</v>
      </c>
      <c r="P136">
        <v>2.7019600000000001</v>
      </c>
      <c r="Q136">
        <f>-(Table4325[[#This Row],[time]]-2)*2</f>
        <v>-1.4039200000000003</v>
      </c>
      <c r="R136">
        <v>88.459400000000002</v>
      </c>
      <c r="S136">
        <v>30.022300000000001</v>
      </c>
      <c r="T136">
        <f>Table4325[[#This Row],[CFNM]]/Table4325[[#This Row],[CAREA]]</f>
        <v>0.33939072614103194</v>
      </c>
      <c r="U136">
        <v>2.7019600000000001</v>
      </c>
      <c r="V136">
        <f>-(Table5326[[#This Row],[time]]-2)*2</f>
        <v>-1.4039200000000003</v>
      </c>
      <c r="W136">
        <v>74.075900000000004</v>
      </c>
      <c r="X136">
        <v>47.113999999999997</v>
      </c>
      <c r="Y136">
        <f>Table5326[[#This Row],[CFNM]]/Table5326[[#This Row],[CAREA]]</f>
        <v>0.63602332202511203</v>
      </c>
      <c r="Z136">
        <v>2.7019600000000001</v>
      </c>
      <c r="AA136">
        <f>-(Table6327[[#This Row],[time]]-2)*2</f>
        <v>-1.4039200000000003</v>
      </c>
      <c r="AB136">
        <v>82.685299999999998</v>
      </c>
      <c r="AC136">
        <v>65.643100000000004</v>
      </c>
      <c r="AD136">
        <f>Table6327[[#This Row],[CFNM]]/Table6327[[#This Row],[CAREA]]</f>
        <v>0.79389081251443738</v>
      </c>
      <c r="AE136">
        <v>2.7019600000000001</v>
      </c>
      <c r="AF136">
        <f>-(Table7328[[#This Row],[time]]-2)*2</f>
        <v>-1.4039200000000003</v>
      </c>
      <c r="AG136">
        <v>76.194999999999993</v>
      </c>
      <c r="AH136">
        <v>62.369100000000003</v>
      </c>
      <c r="AI136">
        <f>Table7328[[#This Row],[CFNM]]/Table7328[[#This Row],[CAREA]]</f>
        <v>0.81854583634096734</v>
      </c>
      <c r="AJ136">
        <v>2.7019600000000001</v>
      </c>
      <c r="AK136">
        <f>-(Table8329[[#This Row],[time]]-2)*2</f>
        <v>-1.4039200000000003</v>
      </c>
      <c r="AL136">
        <v>77.865899999999996</v>
      </c>
      <c r="AM136">
        <v>63.918700000000001</v>
      </c>
      <c r="AN136">
        <f>Table8329[[#This Row],[CFNM]]/Table8329[[#This Row],[CAREA]]</f>
        <v>0.82088179806564887</v>
      </c>
    </row>
    <row r="137" spans="1:40">
      <c r="A137">
        <v>2.7559499999999999</v>
      </c>
      <c r="B137">
        <f>-(Table1322[[#This Row],[time]]-2)*2</f>
        <v>-1.5118999999999998</v>
      </c>
      <c r="C137">
        <v>86.842600000000004</v>
      </c>
      <c r="D137">
        <v>23.432700000000001</v>
      </c>
      <c r="E137">
        <f>Table1322[[#This Row],[CFNM]]/Table1322[[#This Row],[CAREA]]</f>
        <v>0.26982955369830014</v>
      </c>
      <c r="F137">
        <v>2.7559499999999999</v>
      </c>
      <c r="G137">
        <f>-(Table2323[[#This Row],[time]]-2)*2</f>
        <v>-1.5118999999999998</v>
      </c>
      <c r="H137">
        <v>92.772999999999996</v>
      </c>
      <c r="I137">
        <v>14.464600000000001</v>
      </c>
      <c r="J137">
        <f>Table2323[[#This Row],[CFNM]]/Table2323[[#This Row],[CAREA]]</f>
        <v>0.15591389736237915</v>
      </c>
      <c r="K137">
        <v>2.7559499999999999</v>
      </c>
      <c r="L137">
        <f>-(Table3324[[#This Row],[time]]-2)*2</f>
        <v>-1.5118999999999998</v>
      </c>
      <c r="M137">
        <v>89.434799999999996</v>
      </c>
      <c r="N137">
        <v>24.302399999999999</v>
      </c>
      <c r="O137">
        <f>Table3324[[#This Row],[CFNM]]/Table3324[[#This Row],[CAREA]]</f>
        <v>0.27173315085402999</v>
      </c>
      <c r="P137">
        <v>2.7559499999999999</v>
      </c>
      <c r="Q137">
        <f>-(Table4325[[#This Row],[time]]-2)*2</f>
        <v>-1.5118999999999998</v>
      </c>
      <c r="R137">
        <v>88.544600000000003</v>
      </c>
      <c r="S137">
        <v>32.524500000000003</v>
      </c>
      <c r="T137">
        <f>Table4325[[#This Row],[CFNM]]/Table4325[[#This Row],[CAREA]]</f>
        <v>0.36732336020491368</v>
      </c>
      <c r="U137">
        <v>2.7559499999999999</v>
      </c>
      <c r="V137">
        <f>-(Table5326[[#This Row],[time]]-2)*2</f>
        <v>-1.5118999999999998</v>
      </c>
      <c r="W137">
        <v>73.136099999999999</v>
      </c>
      <c r="X137">
        <v>50.2121</v>
      </c>
      <c r="Y137">
        <f>Table5326[[#This Row],[CFNM]]/Table5326[[#This Row],[CAREA]]</f>
        <v>0.68655698075232341</v>
      </c>
      <c r="Z137">
        <v>2.7559499999999999</v>
      </c>
      <c r="AA137">
        <f>-(Table6327[[#This Row],[time]]-2)*2</f>
        <v>-1.5118999999999998</v>
      </c>
      <c r="AB137">
        <v>81.842299999999994</v>
      </c>
      <c r="AC137">
        <v>69.889399999999995</v>
      </c>
      <c r="AD137">
        <f>Table6327[[#This Row],[CFNM]]/Table6327[[#This Row],[CAREA]]</f>
        <v>0.85395205168965194</v>
      </c>
      <c r="AE137">
        <v>2.7559499999999999</v>
      </c>
      <c r="AF137">
        <f>-(Table7328[[#This Row],[time]]-2)*2</f>
        <v>-1.5118999999999998</v>
      </c>
      <c r="AG137">
        <v>75.433899999999994</v>
      </c>
      <c r="AH137">
        <v>66.414500000000004</v>
      </c>
      <c r="AI137">
        <f>Table7328[[#This Row],[CFNM]]/Table7328[[#This Row],[CAREA]]</f>
        <v>0.88043306789122677</v>
      </c>
      <c r="AJ137">
        <v>2.7559499999999999</v>
      </c>
      <c r="AK137">
        <f>-(Table8329[[#This Row],[time]]-2)*2</f>
        <v>-1.5118999999999998</v>
      </c>
      <c r="AL137">
        <v>77.570099999999996</v>
      </c>
      <c r="AM137">
        <v>67.925399999999996</v>
      </c>
      <c r="AN137">
        <f>Table8329[[#This Row],[CFNM]]/Table8329[[#This Row],[CAREA]]</f>
        <v>0.87566472132948137</v>
      </c>
    </row>
    <row r="138" spans="1:40">
      <c r="A138">
        <v>2.8036699999999999</v>
      </c>
      <c r="B138">
        <f>-(Table1322[[#This Row],[time]]-2)*2</f>
        <v>-1.6073399999999998</v>
      </c>
      <c r="C138">
        <v>86.695599999999999</v>
      </c>
      <c r="D138">
        <v>24.1495</v>
      </c>
      <c r="E138">
        <f>Table1322[[#This Row],[CFNM]]/Table1322[[#This Row],[CAREA]]</f>
        <v>0.27855508238019</v>
      </c>
      <c r="F138">
        <v>2.8036699999999999</v>
      </c>
      <c r="G138">
        <f>-(Table2323[[#This Row],[time]]-2)*2</f>
        <v>-1.6073399999999998</v>
      </c>
      <c r="H138">
        <v>92.772499999999994</v>
      </c>
      <c r="I138">
        <v>15.3538</v>
      </c>
      <c r="J138">
        <f>Table2323[[#This Row],[CFNM]]/Table2323[[#This Row],[CAREA]]</f>
        <v>0.16549947452100569</v>
      </c>
      <c r="K138">
        <v>2.8036699999999999</v>
      </c>
      <c r="L138">
        <f>-(Table3324[[#This Row],[time]]-2)*2</f>
        <v>-1.6073399999999998</v>
      </c>
      <c r="M138">
        <v>89.960300000000004</v>
      </c>
      <c r="N138">
        <v>26.009599999999999</v>
      </c>
      <c r="O138">
        <f>Table3324[[#This Row],[CFNM]]/Table3324[[#This Row],[CAREA]]</f>
        <v>0.28912309096345828</v>
      </c>
      <c r="P138">
        <v>2.8036699999999999</v>
      </c>
      <c r="Q138">
        <f>-(Table4325[[#This Row],[time]]-2)*2</f>
        <v>-1.6073399999999998</v>
      </c>
      <c r="R138">
        <v>88.276399999999995</v>
      </c>
      <c r="S138">
        <v>34.868400000000001</v>
      </c>
      <c r="T138">
        <f>Table4325[[#This Row],[CFNM]]/Table4325[[#This Row],[CAREA]]</f>
        <v>0.39499118677245565</v>
      </c>
      <c r="U138">
        <v>2.8036699999999999</v>
      </c>
      <c r="V138">
        <f>-(Table5326[[#This Row],[time]]-2)*2</f>
        <v>-1.6073399999999998</v>
      </c>
      <c r="W138">
        <v>72.196600000000004</v>
      </c>
      <c r="X138">
        <v>53.029299999999999</v>
      </c>
      <c r="Y138">
        <f>Table5326[[#This Row],[CFNM]]/Table5326[[#This Row],[CAREA]]</f>
        <v>0.73451242856311794</v>
      </c>
      <c r="Z138">
        <v>2.8036699999999999</v>
      </c>
      <c r="AA138">
        <f>-(Table6327[[#This Row],[time]]-2)*2</f>
        <v>-1.6073399999999998</v>
      </c>
      <c r="AB138">
        <v>81.049199999999999</v>
      </c>
      <c r="AC138">
        <v>73.763199999999998</v>
      </c>
      <c r="AD138">
        <f>Table6327[[#This Row],[CFNM]]/Table6327[[#This Row],[CAREA]]</f>
        <v>0.91010398622071531</v>
      </c>
      <c r="AE138">
        <v>2.8036699999999999</v>
      </c>
      <c r="AF138">
        <f>-(Table7328[[#This Row],[time]]-2)*2</f>
        <v>-1.6073399999999998</v>
      </c>
      <c r="AG138">
        <v>74.715699999999998</v>
      </c>
      <c r="AH138">
        <v>70.058000000000007</v>
      </c>
      <c r="AI138">
        <f>Table7328[[#This Row],[CFNM]]/Table7328[[#This Row],[CAREA]]</f>
        <v>0.93766102706660059</v>
      </c>
      <c r="AJ138">
        <v>2.8036699999999999</v>
      </c>
      <c r="AK138">
        <f>-(Table8329[[#This Row],[time]]-2)*2</f>
        <v>-1.6073399999999998</v>
      </c>
      <c r="AL138">
        <v>77.343599999999995</v>
      </c>
      <c r="AM138">
        <v>71.560400000000001</v>
      </c>
      <c r="AN138">
        <f>Table8329[[#This Row],[CFNM]]/Table8329[[#This Row],[CAREA]]</f>
        <v>0.92522716811733619</v>
      </c>
    </row>
    <row r="139" spans="1:40">
      <c r="A139">
        <v>2.8524799999999999</v>
      </c>
      <c r="B139">
        <f>-(Table1322[[#This Row],[time]]-2)*2</f>
        <v>-1.7049599999999998</v>
      </c>
      <c r="C139">
        <v>86.676900000000003</v>
      </c>
      <c r="D139">
        <v>24.8461</v>
      </c>
      <c r="E139">
        <f>Table1322[[#This Row],[CFNM]]/Table1322[[#This Row],[CAREA]]</f>
        <v>0.28665192225379538</v>
      </c>
      <c r="F139">
        <v>2.8524799999999999</v>
      </c>
      <c r="G139">
        <f>-(Table2323[[#This Row],[time]]-2)*2</f>
        <v>-1.7049599999999998</v>
      </c>
      <c r="H139">
        <v>92.796700000000001</v>
      </c>
      <c r="I139">
        <v>16.254000000000001</v>
      </c>
      <c r="J139">
        <f>Table2323[[#This Row],[CFNM]]/Table2323[[#This Row],[CAREA]]</f>
        <v>0.17515709071551036</v>
      </c>
      <c r="K139">
        <v>2.8524799999999999</v>
      </c>
      <c r="L139">
        <f>-(Table3324[[#This Row],[time]]-2)*2</f>
        <v>-1.7049599999999998</v>
      </c>
      <c r="M139">
        <v>90.357500000000002</v>
      </c>
      <c r="N139">
        <v>27.831099999999999</v>
      </c>
      <c r="O139">
        <f>Table3324[[#This Row],[CFNM]]/Table3324[[#This Row],[CAREA]]</f>
        <v>0.30801095647843285</v>
      </c>
      <c r="P139">
        <v>2.8524799999999999</v>
      </c>
      <c r="Q139">
        <f>-(Table4325[[#This Row],[time]]-2)*2</f>
        <v>-1.7049599999999998</v>
      </c>
      <c r="R139">
        <v>88.139899999999997</v>
      </c>
      <c r="S139">
        <v>37.405799999999999</v>
      </c>
      <c r="T139">
        <f>Table4325[[#This Row],[CFNM]]/Table4325[[#This Row],[CAREA]]</f>
        <v>0.42439122349809794</v>
      </c>
      <c r="U139">
        <v>2.8524799999999999</v>
      </c>
      <c r="V139">
        <f>-(Table5326[[#This Row],[time]]-2)*2</f>
        <v>-1.7049599999999998</v>
      </c>
      <c r="W139">
        <v>70.558000000000007</v>
      </c>
      <c r="X139">
        <v>55.976799999999997</v>
      </c>
      <c r="Y139">
        <f>Table5326[[#This Row],[CFNM]]/Table5326[[#This Row],[CAREA]]</f>
        <v>0.79334448255336021</v>
      </c>
      <c r="Z139">
        <v>2.8524799999999999</v>
      </c>
      <c r="AA139">
        <f>-(Table6327[[#This Row],[time]]-2)*2</f>
        <v>-1.7049599999999998</v>
      </c>
      <c r="AB139">
        <v>80.246700000000004</v>
      </c>
      <c r="AC139">
        <v>77.7714</v>
      </c>
      <c r="AD139">
        <f>Table6327[[#This Row],[CFNM]]/Table6327[[#This Row],[CAREA]]</f>
        <v>0.96915387174799705</v>
      </c>
      <c r="AE139">
        <v>2.8524799999999999</v>
      </c>
      <c r="AF139">
        <f>-(Table7328[[#This Row],[time]]-2)*2</f>
        <v>-1.7049599999999998</v>
      </c>
      <c r="AG139">
        <v>74.132499999999993</v>
      </c>
      <c r="AH139">
        <v>73.747399999999999</v>
      </c>
      <c r="AI139">
        <f>Table7328[[#This Row],[CFNM]]/Table7328[[#This Row],[CAREA]]</f>
        <v>0.99480524736114395</v>
      </c>
      <c r="AJ139">
        <v>2.8524799999999999</v>
      </c>
      <c r="AK139">
        <f>-(Table8329[[#This Row],[time]]-2)*2</f>
        <v>-1.7049599999999998</v>
      </c>
      <c r="AL139">
        <v>77.109300000000005</v>
      </c>
      <c r="AM139">
        <v>75.1755</v>
      </c>
      <c r="AN139">
        <f>Table8329[[#This Row],[CFNM]]/Table8329[[#This Row],[CAREA]]</f>
        <v>0.97492131299337426</v>
      </c>
    </row>
    <row r="140" spans="1:40">
      <c r="A140">
        <v>2.9108399999999999</v>
      </c>
      <c r="B140">
        <f>-(Table1322[[#This Row],[time]]-2)*2</f>
        <v>-1.8216799999999997</v>
      </c>
      <c r="C140">
        <v>86.694299999999998</v>
      </c>
      <c r="D140">
        <v>25.666399999999999</v>
      </c>
      <c r="E140">
        <f>Table1322[[#This Row],[CFNM]]/Table1322[[#This Row],[CAREA]]</f>
        <v>0.29605637279498193</v>
      </c>
      <c r="F140">
        <v>2.9108399999999999</v>
      </c>
      <c r="G140">
        <f>-(Table2323[[#This Row],[time]]-2)*2</f>
        <v>-1.8216799999999997</v>
      </c>
      <c r="H140">
        <v>92.793300000000002</v>
      </c>
      <c r="I140">
        <v>17.305</v>
      </c>
      <c r="J140">
        <f>Table2323[[#This Row],[CFNM]]/Table2323[[#This Row],[CAREA]]</f>
        <v>0.18648975734239431</v>
      </c>
      <c r="K140">
        <v>2.9108399999999999</v>
      </c>
      <c r="L140">
        <f>-(Table3324[[#This Row],[time]]-2)*2</f>
        <v>-1.8216799999999997</v>
      </c>
      <c r="M140">
        <v>90.097899999999996</v>
      </c>
      <c r="N140">
        <v>30.224499999999999</v>
      </c>
      <c r="O140">
        <f>Table3324[[#This Row],[CFNM]]/Table3324[[#This Row],[CAREA]]</f>
        <v>0.33546286872391035</v>
      </c>
      <c r="P140">
        <v>2.9108399999999999</v>
      </c>
      <c r="Q140">
        <f>-(Table4325[[#This Row],[time]]-2)*2</f>
        <v>-1.8216799999999997</v>
      </c>
      <c r="R140">
        <v>88.021900000000002</v>
      </c>
      <c r="S140">
        <v>40.7044</v>
      </c>
      <c r="T140">
        <f>Table4325[[#This Row],[CFNM]]/Table4325[[#This Row],[CAREA]]</f>
        <v>0.46243491676503234</v>
      </c>
      <c r="U140">
        <v>2.9108399999999999</v>
      </c>
      <c r="V140">
        <f>-(Table5326[[#This Row],[time]]-2)*2</f>
        <v>-1.8216799999999997</v>
      </c>
      <c r="W140">
        <v>69.302499999999995</v>
      </c>
      <c r="X140">
        <v>59.506799999999998</v>
      </c>
      <c r="Y140">
        <f>Table5326[[#This Row],[CFNM]]/Table5326[[#This Row],[CAREA]]</f>
        <v>0.85865300674578848</v>
      </c>
      <c r="Z140">
        <v>2.9108399999999999</v>
      </c>
      <c r="AA140">
        <f>-(Table6327[[#This Row],[time]]-2)*2</f>
        <v>-1.8216799999999997</v>
      </c>
      <c r="AB140">
        <v>78.510900000000007</v>
      </c>
      <c r="AC140">
        <v>82.651399999999995</v>
      </c>
      <c r="AD140">
        <f>Table6327[[#This Row],[CFNM]]/Table6327[[#This Row],[CAREA]]</f>
        <v>1.0527379000877584</v>
      </c>
      <c r="AE140">
        <v>2.9108399999999999</v>
      </c>
      <c r="AF140">
        <f>-(Table7328[[#This Row],[time]]-2)*2</f>
        <v>-1.8216799999999997</v>
      </c>
      <c r="AG140">
        <v>73.400899999999993</v>
      </c>
      <c r="AH140">
        <v>77.987899999999996</v>
      </c>
      <c r="AI140">
        <f>Table7328[[#This Row],[CFNM]]/Table7328[[#This Row],[CAREA]]</f>
        <v>1.0624924217550467</v>
      </c>
      <c r="AJ140">
        <v>2.9108399999999999</v>
      </c>
      <c r="AK140">
        <f>-(Table8329[[#This Row],[time]]-2)*2</f>
        <v>-1.8216799999999997</v>
      </c>
      <c r="AL140">
        <v>76.776600000000002</v>
      </c>
      <c r="AM140">
        <v>79.650000000000006</v>
      </c>
      <c r="AN140">
        <f>Table8329[[#This Row],[CFNM]]/Table8329[[#This Row],[CAREA]]</f>
        <v>1.0374254655715414</v>
      </c>
    </row>
    <row r="141" spans="1:40">
      <c r="A141">
        <v>2.9619900000000001</v>
      </c>
      <c r="B141">
        <f>-(Table1322[[#This Row],[time]]-2)*2</f>
        <v>-1.9239800000000002</v>
      </c>
      <c r="C141">
        <v>86.754400000000004</v>
      </c>
      <c r="D141">
        <v>26.2592</v>
      </c>
      <c r="E141">
        <f>Table1322[[#This Row],[CFNM]]/Table1322[[#This Row],[CAREA]]</f>
        <v>0.30268435952528056</v>
      </c>
      <c r="F141">
        <v>2.9619900000000001</v>
      </c>
      <c r="G141">
        <f>-(Table2323[[#This Row],[time]]-2)*2</f>
        <v>-1.9239800000000002</v>
      </c>
      <c r="H141">
        <v>92.893699999999995</v>
      </c>
      <c r="I141">
        <v>18.305399999999999</v>
      </c>
      <c r="J141">
        <f>Table2323[[#This Row],[CFNM]]/Table2323[[#This Row],[CAREA]]</f>
        <v>0.19705749690237334</v>
      </c>
      <c r="K141">
        <v>2.9619900000000001</v>
      </c>
      <c r="L141">
        <f>-(Table3324[[#This Row],[time]]-2)*2</f>
        <v>-1.9239800000000002</v>
      </c>
      <c r="M141">
        <v>89.778099999999995</v>
      </c>
      <c r="N141">
        <v>32.311100000000003</v>
      </c>
      <c r="O141">
        <f>Table3324[[#This Row],[CFNM]]/Table3324[[#This Row],[CAREA]]</f>
        <v>0.35989957461786343</v>
      </c>
      <c r="P141">
        <v>2.9619900000000001</v>
      </c>
      <c r="Q141">
        <f>-(Table4325[[#This Row],[time]]-2)*2</f>
        <v>-1.9239800000000002</v>
      </c>
      <c r="R141">
        <v>87.791799999999995</v>
      </c>
      <c r="S141">
        <v>43.959099999999999</v>
      </c>
      <c r="T141">
        <f>Table4325[[#This Row],[CFNM]]/Table4325[[#This Row],[CAREA]]</f>
        <v>0.50071988500064923</v>
      </c>
      <c r="U141">
        <v>2.9619900000000001</v>
      </c>
      <c r="V141">
        <f>-(Table5326[[#This Row],[time]]-2)*2</f>
        <v>-1.9239800000000002</v>
      </c>
      <c r="W141">
        <v>68.2059</v>
      </c>
      <c r="X141">
        <v>62.619599999999998</v>
      </c>
      <c r="Y141">
        <f>Table5326[[#This Row],[CFNM]]/Table5326[[#This Row],[CAREA]]</f>
        <v>0.91809652830620225</v>
      </c>
      <c r="Z141">
        <v>2.9619900000000001</v>
      </c>
      <c r="AA141">
        <f>-(Table6327[[#This Row],[time]]-2)*2</f>
        <v>-1.9239800000000002</v>
      </c>
      <c r="AB141">
        <v>76.795900000000003</v>
      </c>
      <c r="AC141">
        <v>87.080699999999993</v>
      </c>
      <c r="AD141">
        <f>Table6327[[#This Row],[CFNM]]/Table6327[[#This Row],[CAREA]]</f>
        <v>1.1339238162453984</v>
      </c>
      <c r="AE141">
        <v>2.9619900000000001</v>
      </c>
      <c r="AF141">
        <f>-(Table7328[[#This Row],[time]]-2)*2</f>
        <v>-1.9239800000000002</v>
      </c>
      <c r="AG141">
        <v>72.823300000000003</v>
      </c>
      <c r="AH141">
        <v>81.625200000000007</v>
      </c>
      <c r="AI141">
        <f>Table7328[[#This Row],[CFNM]]/Table7328[[#This Row],[CAREA]]</f>
        <v>1.1208665358477301</v>
      </c>
      <c r="AJ141">
        <v>2.9619900000000001</v>
      </c>
      <c r="AK141">
        <f>-(Table8329[[#This Row],[time]]-2)*2</f>
        <v>-1.9239800000000002</v>
      </c>
      <c r="AL141">
        <v>76.537000000000006</v>
      </c>
      <c r="AM141">
        <v>83.651300000000006</v>
      </c>
      <c r="AN141">
        <f>Table8329[[#This Row],[CFNM]]/Table8329[[#This Row],[CAREA]]</f>
        <v>1.0929524282373231</v>
      </c>
    </row>
    <row r="142" spans="1:40">
      <c r="A142">
        <v>3</v>
      </c>
      <c r="B142">
        <f>-(Table1322[[#This Row],[time]]-2)*2</f>
        <v>-2</v>
      </c>
      <c r="C142">
        <v>86.820999999999998</v>
      </c>
      <c r="D142">
        <v>26.658999999999999</v>
      </c>
      <c r="E142">
        <f>Table1322[[#This Row],[CFNM]]/Table1322[[#This Row],[CAREA]]</f>
        <v>0.30705704840994691</v>
      </c>
      <c r="F142">
        <v>3</v>
      </c>
      <c r="G142">
        <f>-(Table2323[[#This Row],[time]]-2)*2</f>
        <v>-2</v>
      </c>
      <c r="H142">
        <v>93.001300000000001</v>
      </c>
      <c r="I142">
        <v>19.072800000000001</v>
      </c>
      <c r="J142">
        <f>Table2323[[#This Row],[CFNM]]/Table2323[[#This Row],[CAREA]]</f>
        <v>0.2050810042440267</v>
      </c>
      <c r="K142">
        <v>3</v>
      </c>
      <c r="L142">
        <f>-(Table3324[[#This Row],[time]]-2)*2</f>
        <v>-2</v>
      </c>
      <c r="M142">
        <v>89.483500000000006</v>
      </c>
      <c r="N142">
        <v>33.904699999999998</v>
      </c>
      <c r="O142">
        <f>Table3324[[#This Row],[CFNM]]/Table3324[[#This Row],[CAREA]]</f>
        <v>0.37889331552744354</v>
      </c>
      <c r="P142">
        <v>3</v>
      </c>
      <c r="Q142">
        <f>-(Table4325[[#This Row],[time]]-2)*2</f>
        <v>-2</v>
      </c>
      <c r="R142">
        <v>87.644300000000001</v>
      </c>
      <c r="S142">
        <v>46.491300000000003</v>
      </c>
      <c r="T142">
        <f>Table4325[[#This Row],[CFNM]]/Table4325[[#This Row],[CAREA]]</f>
        <v>0.5304543478583319</v>
      </c>
      <c r="U142">
        <v>3</v>
      </c>
      <c r="V142">
        <f>-(Table5326[[#This Row],[time]]-2)*2</f>
        <v>-2</v>
      </c>
      <c r="W142">
        <v>67.409599999999998</v>
      </c>
      <c r="X142">
        <v>64.943200000000004</v>
      </c>
      <c r="Y142">
        <f>Table5326[[#This Row],[CFNM]]/Table5326[[#This Row],[CAREA]]</f>
        <v>0.96341173957418536</v>
      </c>
      <c r="Z142">
        <v>3</v>
      </c>
      <c r="AA142">
        <f>-(Table6327[[#This Row],[time]]-2)*2</f>
        <v>-2</v>
      </c>
      <c r="AB142">
        <v>74.848100000000002</v>
      </c>
      <c r="AC142">
        <v>90.447299999999998</v>
      </c>
      <c r="AD142">
        <f>Table6327[[#This Row],[CFNM]]/Table6327[[#This Row],[CAREA]]</f>
        <v>1.2084114359616343</v>
      </c>
      <c r="AE142">
        <v>3</v>
      </c>
      <c r="AF142">
        <f>-(Table7328[[#This Row],[time]]-2)*2</f>
        <v>-2</v>
      </c>
      <c r="AG142">
        <v>72.344899999999996</v>
      </c>
      <c r="AH142">
        <v>84.351699999999994</v>
      </c>
      <c r="AI142">
        <f>Table7328[[#This Row],[CFNM]]/Table7328[[#This Row],[CAREA]]</f>
        <v>1.165966087450532</v>
      </c>
      <c r="AJ142">
        <v>3</v>
      </c>
      <c r="AK142">
        <f>-(Table8329[[#This Row],[time]]-2)*2</f>
        <v>-2</v>
      </c>
      <c r="AL142">
        <v>76.368300000000005</v>
      </c>
      <c r="AM142">
        <v>86.598200000000006</v>
      </c>
      <c r="AN142">
        <f>Table8329[[#This Row],[CFNM]]/Table8329[[#This Row],[CAREA]]</f>
        <v>1.1339547953797584</v>
      </c>
    </row>
    <row r="144" spans="1:40">
      <c r="A144" t="s">
        <v>31</v>
      </c>
      <c r="E144" t="s">
        <v>2</v>
      </c>
    </row>
    <row r="145" spans="1:40">
      <c r="A145" t="s">
        <v>32</v>
      </c>
      <c r="E145" t="s">
        <v>4</v>
      </c>
      <c r="F145" t="s">
        <v>5</v>
      </c>
    </row>
    <row r="147" spans="1:40">
      <c r="A147" t="s">
        <v>7</v>
      </c>
      <c r="F147" t="s">
        <v>8</v>
      </c>
      <c r="K147" t="s">
        <v>9</v>
      </c>
      <c r="P147" t="s">
        <v>26</v>
      </c>
      <c r="U147" t="s">
        <v>11</v>
      </c>
      <c r="Z147" t="s">
        <v>12</v>
      </c>
      <c r="AE147" t="s">
        <v>13</v>
      </c>
      <c r="AJ147" t="s">
        <v>14</v>
      </c>
    </row>
    <row r="148" spans="1:40">
      <c r="A148" t="s">
        <v>15</v>
      </c>
      <c r="B148" t="s">
        <v>16</v>
      </c>
      <c r="C148" t="s">
        <v>20</v>
      </c>
      <c r="D148" t="s">
        <v>18</v>
      </c>
      <c r="E148" t="s">
        <v>19</v>
      </c>
      <c r="F148" t="s">
        <v>15</v>
      </c>
      <c r="G148" t="s">
        <v>16</v>
      </c>
      <c r="H148" t="s">
        <v>20</v>
      </c>
      <c r="I148" t="s">
        <v>18</v>
      </c>
      <c r="J148" t="s">
        <v>19</v>
      </c>
      <c r="K148" t="s">
        <v>15</v>
      </c>
      <c r="L148" t="s">
        <v>16</v>
      </c>
      <c r="M148" t="s">
        <v>20</v>
      </c>
      <c r="N148" t="s">
        <v>18</v>
      </c>
      <c r="O148" t="s">
        <v>19</v>
      </c>
      <c r="P148" t="s">
        <v>15</v>
      </c>
      <c r="Q148" t="s">
        <v>16</v>
      </c>
      <c r="R148" t="s">
        <v>20</v>
      </c>
      <c r="S148" t="s">
        <v>18</v>
      </c>
      <c r="T148" t="s">
        <v>19</v>
      </c>
      <c r="U148" t="s">
        <v>15</v>
      </c>
      <c r="V148" t="s">
        <v>16</v>
      </c>
      <c r="W148" t="s">
        <v>20</v>
      </c>
      <c r="X148" t="s">
        <v>18</v>
      </c>
      <c r="Y148" t="s">
        <v>19</v>
      </c>
      <c r="Z148" t="s">
        <v>15</v>
      </c>
      <c r="AA148" t="s">
        <v>16</v>
      </c>
      <c r="AB148" t="s">
        <v>20</v>
      </c>
      <c r="AC148" t="s">
        <v>18</v>
      </c>
      <c r="AD148" t="s">
        <v>19</v>
      </c>
      <c r="AE148" t="s">
        <v>15</v>
      </c>
      <c r="AF148" t="s">
        <v>16</v>
      </c>
      <c r="AG148" t="s">
        <v>20</v>
      </c>
      <c r="AH148" t="s">
        <v>18</v>
      </c>
      <c r="AI148" t="s">
        <v>19</v>
      </c>
      <c r="AJ148" t="s">
        <v>15</v>
      </c>
      <c r="AK148" t="s">
        <v>16</v>
      </c>
      <c r="AL148" t="s">
        <v>20</v>
      </c>
      <c r="AM148" t="s">
        <v>18</v>
      </c>
      <c r="AN148" t="s">
        <v>19</v>
      </c>
    </row>
    <row r="149" spans="1:40">
      <c r="A149">
        <v>10.1982</v>
      </c>
      <c r="B149">
        <f>(Table110[[#This Row],[time]]-2)*2</f>
        <v>16.3964</v>
      </c>
      <c r="C149">
        <v>91.122200000000007</v>
      </c>
      <c r="D149">
        <v>10.1982</v>
      </c>
      <c r="E149" s="2">
        <f>Table110[[#This Row],[CFNM]]/Table110[[#This Row],[CAREA]]</f>
        <v>0.11191784219432804</v>
      </c>
      <c r="F149">
        <v>2</v>
      </c>
      <c r="G149">
        <f>(Table211[[#This Row],[time]]-2)*2</f>
        <v>0</v>
      </c>
      <c r="H149">
        <v>95.889399999999995</v>
      </c>
      <c r="I149">
        <v>3.5990500000000001</v>
      </c>
      <c r="J149" s="2">
        <f>Table211[[#This Row],[CFNM]]/Table211[[#This Row],[CAREA]]</f>
        <v>3.7533345708701905E-2</v>
      </c>
      <c r="K149">
        <v>2</v>
      </c>
      <c r="L149">
        <f>(Table312[[#This Row],[time]]-2)*2</f>
        <v>0</v>
      </c>
      <c r="M149">
        <v>89.273899999999998</v>
      </c>
      <c r="N149">
        <v>3.63375</v>
      </c>
      <c r="O149">
        <f>Table312[[#This Row],[CFNM]]/Table312[[#This Row],[CAREA]]</f>
        <v>4.0703385872018584E-2</v>
      </c>
      <c r="P149">
        <v>2</v>
      </c>
      <c r="Q149">
        <f>(Table413[[#This Row],[time]]-2)*2</f>
        <v>0</v>
      </c>
      <c r="R149">
        <v>86.437299999999993</v>
      </c>
      <c r="S149">
        <v>6.4271799999999999</v>
      </c>
      <c r="T149">
        <f>Table413[[#This Row],[CFNM]]/Table413[[#This Row],[CAREA]]</f>
        <v>7.4356556717990963E-2</v>
      </c>
      <c r="U149">
        <v>2</v>
      </c>
      <c r="V149">
        <f>(Table514[[#This Row],[time]]-2)*2</f>
        <v>0</v>
      </c>
      <c r="W149">
        <v>82.674099999999996</v>
      </c>
      <c r="X149">
        <v>9.7119900000000001</v>
      </c>
      <c r="Y149">
        <f>Table514[[#This Row],[CFNM]]/Table514[[#This Row],[CAREA]]</f>
        <v>0.1174731868868243</v>
      </c>
      <c r="Z149">
        <v>2</v>
      </c>
      <c r="AA149">
        <f>(Table615[[#This Row],[time]]-2)*2</f>
        <v>0</v>
      </c>
      <c r="AB149">
        <v>88.971500000000006</v>
      </c>
      <c r="AC149">
        <v>16.248000000000001</v>
      </c>
      <c r="AD149">
        <f>Table615[[#This Row],[CFNM]]/Table615[[#This Row],[CAREA]]</f>
        <v>0.18262027727980309</v>
      </c>
      <c r="AE149">
        <v>2</v>
      </c>
      <c r="AF149">
        <f>(Table716[[#This Row],[time]]-2)*2</f>
        <v>0</v>
      </c>
      <c r="AG149">
        <v>78.961299999999994</v>
      </c>
      <c r="AH149">
        <v>19.617799999999999</v>
      </c>
      <c r="AI149">
        <f>Table716[[#This Row],[CFNM]]/Table716[[#This Row],[CAREA]]</f>
        <v>0.24844829049167125</v>
      </c>
      <c r="AJ149">
        <v>2</v>
      </c>
      <c r="AK149">
        <f>(Table817[[#This Row],[time]]-2)*2</f>
        <v>0</v>
      </c>
      <c r="AL149">
        <v>83.133399999999995</v>
      </c>
      <c r="AM149">
        <v>19.2318</v>
      </c>
      <c r="AN149">
        <f>Table817[[#This Row],[CFNM]]/Table817[[#This Row],[CAREA]]</f>
        <v>0.23133662282548292</v>
      </c>
    </row>
    <row r="150" spans="1:40">
      <c r="A150">
        <v>10.108499999999999</v>
      </c>
      <c r="B150">
        <f>(Table110[[#This Row],[time]]-2)*2</f>
        <v>16.216999999999999</v>
      </c>
      <c r="C150">
        <v>91.2483</v>
      </c>
      <c r="D150">
        <v>10.108499999999999</v>
      </c>
      <c r="E150">
        <f>Table110[[#This Row],[CFNM]]/Table110[[#This Row],[CAREA]]</f>
        <v>0.11078014604107692</v>
      </c>
      <c r="F150">
        <v>2.0512600000000001</v>
      </c>
      <c r="G150">
        <f>(Table211[[#This Row],[time]]-2)*2</f>
        <v>0.10252000000000017</v>
      </c>
      <c r="H150">
        <v>96.1464</v>
      </c>
      <c r="I150">
        <v>3.62235</v>
      </c>
      <c r="J150">
        <f>Table211[[#This Row],[CFNM]]/Table211[[#This Row],[CAREA]]</f>
        <v>3.7675357579690968E-2</v>
      </c>
      <c r="K150">
        <v>2.0512600000000001</v>
      </c>
      <c r="L150">
        <f>(Table312[[#This Row],[time]]-2)*2</f>
        <v>0.10252000000000017</v>
      </c>
      <c r="M150">
        <v>89.325999999999993</v>
      </c>
      <c r="N150">
        <v>3.2583099999999998</v>
      </c>
      <c r="O150">
        <f>Table312[[#This Row],[CFNM]]/Table312[[#This Row],[CAREA]]</f>
        <v>3.6476613751875157E-2</v>
      </c>
      <c r="P150">
        <v>2.0512600000000001</v>
      </c>
      <c r="Q150">
        <f>(Table413[[#This Row],[time]]-2)*2</f>
        <v>0.10252000000000017</v>
      </c>
      <c r="R150">
        <v>86.514300000000006</v>
      </c>
      <c r="S150">
        <v>6.0941400000000003</v>
      </c>
      <c r="T150">
        <f>Table413[[#This Row],[CFNM]]/Table413[[#This Row],[CAREA]]</f>
        <v>7.0440840415977479E-2</v>
      </c>
      <c r="U150">
        <v>2.0512600000000001</v>
      </c>
      <c r="V150">
        <f>(Table514[[#This Row],[time]]-2)*2</f>
        <v>0.10252000000000017</v>
      </c>
      <c r="W150">
        <v>82.864800000000002</v>
      </c>
      <c r="X150">
        <v>8.3762500000000006</v>
      </c>
      <c r="Y150">
        <f>Table514[[#This Row],[CFNM]]/Table514[[#This Row],[CAREA]]</f>
        <v>0.10108333091976328</v>
      </c>
      <c r="Z150">
        <v>2.0512600000000001</v>
      </c>
      <c r="AA150">
        <f>(Table615[[#This Row],[time]]-2)*2</f>
        <v>0.10252000000000017</v>
      </c>
      <c r="AB150">
        <v>88.894599999999997</v>
      </c>
      <c r="AC150">
        <v>14.7303</v>
      </c>
      <c r="AD150">
        <f>Table615[[#This Row],[CFNM]]/Table615[[#This Row],[CAREA]]</f>
        <v>0.16570522843907279</v>
      </c>
      <c r="AE150">
        <v>2.0512600000000001</v>
      </c>
      <c r="AF150">
        <f>(Table716[[#This Row],[time]]-2)*2</f>
        <v>0.10252000000000017</v>
      </c>
      <c r="AG150">
        <v>78.826800000000006</v>
      </c>
      <c r="AH150">
        <v>18.523299999999999</v>
      </c>
      <c r="AI150">
        <f>Table716[[#This Row],[CFNM]]/Table716[[#This Row],[CAREA]]</f>
        <v>0.2349873393312934</v>
      </c>
      <c r="AJ150">
        <v>2.0512600000000001</v>
      </c>
      <c r="AK150">
        <f>(Table817[[#This Row],[time]]-2)*2</f>
        <v>0.10252000000000017</v>
      </c>
      <c r="AL150">
        <v>83.214799999999997</v>
      </c>
      <c r="AM150">
        <v>17.898900000000001</v>
      </c>
      <c r="AN150">
        <f>Table817[[#This Row],[CFNM]]/Table817[[#This Row],[CAREA]]</f>
        <v>0.21509274792464805</v>
      </c>
    </row>
    <row r="151" spans="1:40">
      <c r="A151">
        <v>9.5646599999999999</v>
      </c>
      <c r="B151">
        <f>(Table110[[#This Row],[time]]-2)*2</f>
        <v>15.12932</v>
      </c>
      <c r="C151">
        <v>91.469499999999996</v>
      </c>
      <c r="D151">
        <v>9.5646599999999999</v>
      </c>
      <c r="E151">
        <f>Table110[[#This Row],[CFNM]]/Table110[[#This Row],[CAREA]]</f>
        <v>0.10456665883163241</v>
      </c>
      <c r="F151">
        <v>2.1153300000000002</v>
      </c>
      <c r="G151">
        <f>(Table211[[#This Row],[time]]-2)*2</f>
        <v>0.23066000000000031</v>
      </c>
      <c r="H151">
        <v>96.251000000000005</v>
      </c>
      <c r="I151">
        <v>3.5496099999999999</v>
      </c>
      <c r="J151">
        <f>Table211[[#This Row],[CFNM]]/Table211[[#This Row],[CAREA]]</f>
        <v>3.6878681779929555E-2</v>
      </c>
      <c r="K151">
        <v>2.1153300000000002</v>
      </c>
      <c r="L151">
        <f>(Table312[[#This Row],[time]]-2)*2</f>
        <v>0.23066000000000031</v>
      </c>
      <c r="M151">
        <v>89.325100000000006</v>
      </c>
      <c r="N151">
        <v>2.2324600000000001</v>
      </c>
      <c r="O151">
        <f>Table312[[#This Row],[CFNM]]/Table312[[#This Row],[CAREA]]</f>
        <v>2.4992527296359028E-2</v>
      </c>
      <c r="P151">
        <v>2.1153300000000002</v>
      </c>
      <c r="Q151">
        <f>(Table413[[#This Row],[time]]-2)*2</f>
        <v>0.23066000000000031</v>
      </c>
      <c r="R151">
        <v>86.455600000000004</v>
      </c>
      <c r="S151">
        <v>4.9751300000000001</v>
      </c>
      <c r="T151">
        <f>Table413[[#This Row],[CFNM]]/Table413[[#This Row],[CAREA]]</f>
        <v>5.754549155867289E-2</v>
      </c>
      <c r="U151">
        <v>2.1153300000000002</v>
      </c>
      <c r="V151">
        <f>(Table514[[#This Row],[time]]-2)*2</f>
        <v>0.23066000000000031</v>
      </c>
      <c r="W151">
        <v>82.746300000000005</v>
      </c>
      <c r="X151">
        <v>4.9558600000000004</v>
      </c>
      <c r="Y151">
        <f>Table514[[#This Row],[CFNM]]/Table514[[#This Row],[CAREA]]</f>
        <v>5.9892224788298691E-2</v>
      </c>
      <c r="Z151">
        <v>2.1153300000000002</v>
      </c>
      <c r="AA151">
        <f>(Table615[[#This Row],[time]]-2)*2</f>
        <v>0.23066000000000031</v>
      </c>
      <c r="AB151">
        <v>88.7102</v>
      </c>
      <c r="AC151">
        <v>10.6563</v>
      </c>
      <c r="AD151">
        <f>Table615[[#This Row],[CFNM]]/Table615[[#This Row],[CAREA]]</f>
        <v>0.12012485599175743</v>
      </c>
      <c r="AE151">
        <v>2.1153300000000002</v>
      </c>
      <c r="AF151">
        <f>(Table716[[#This Row],[time]]-2)*2</f>
        <v>0.23066000000000031</v>
      </c>
      <c r="AG151">
        <v>78.592600000000004</v>
      </c>
      <c r="AH151">
        <v>17.2959</v>
      </c>
      <c r="AI151">
        <f>Table716[[#This Row],[CFNM]]/Table716[[#This Row],[CAREA]]</f>
        <v>0.22007033741090126</v>
      </c>
      <c r="AJ151">
        <v>2.1153300000000002</v>
      </c>
      <c r="AK151">
        <f>(Table817[[#This Row],[time]]-2)*2</f>
        <v>0.23066000000000031</v>
      </c>
      <c r="AL151">
        <v>83.386600000000001</v>
      </c>
      <c r="AM151">
        <v>16.380600000000001</v>
      </c>
      <c r="AN151">
        <f>Table817[[#This Row],[CFNM]]/Table817[[#This Row],[CAREA]]</f>
        <v>0.19644163450722299</v>
      </c>
    </row>
    <row r="152" spans="1:40">
      <c r="A152">
        <v>9.0370799999999996</v>
      </c>
      <c r="B152">
        <f>(Table110[[#This Row],[time]]-2)*2</f>
        <v>14.074159999999999</v>
      </c>
      <c r="C152">
        <v>91.671999999999997</v>
      </c>
      <c r="D152">
        <v>9.0370799999999996</v>
      </c>
      <c r="E152">
        <f>Table110[[#This Row],[CFNM]]/Table110[[#This Row],[CAREA]]</f>
        <v>9.8580591674666193E-2</v>
      </c>
      <c r="F152">
        <v>2.16533</v>
      </c>
      <c r="G152">
        <f>(Table211[[#This Row],[time]]-2)*2</f>
        <v>0.33065999999999995</v>
      </c>
      <c r="H152">
        <v>96.252499999999998</v>
      </c>
      <c r="I152">
        <v>3.4518</v>
      </c>
      <c r="J152">
        <f>Table211[[#This Row],[CFNM]]/Table211[[#This Row],[CAREA]]</f>
        <v>3.5861925664268463E-2</v>
      </c>
      <c r="K152">
        <v>2.16533</v>
      </c>
      <c r="L152">
        <f>(Table312[[#This Row],[time]]-2)*2</f>
        <v>0.33065999999999995</v>
      </c>
      <c r="M152">
        <v>89.265799999999999</v>
      </c>
      <c r="N152">
        <v>1.3991</v>
      </c>
      <c r="O152">
        <f>Table312[[#This Row],[CFNM]]/Table312[[#This Row],[CAREA]]</f>
        <v>1.5673415798659735E-2</v>
      </c>
      <c r="P152">
        <v>2.16533</v>
      </c>
      <c r="Q152">
        <f>(Table413[[#This Row],[time]]-2)*2</f>
        <v>0.33065999999999995</v>
      </c>
      <c r="R152">
        <v>86.316299999999998</v>
      </c>
      <c r="S152">
        <v>3.7572999999999999</v>
      </c>
      <c r="T152">
        <f>Table413[[#This Row],[CFNM]]/Table413[[#This Row],[CAREA]]</f>
        <v>4.3529437661252855E-2</v>
      </c>
      <c r="U152">
        <v>2.16533</v>
      </c>
      <c r="V152">
        <f>(Table514[[#This Row],[time]]-2)*2</f>
        <v>0.33065999999999995</v>
      </c>
      <c r="W152">
        <v>83.087699999999998</v>
      </c>
      <c r="X152">
        <v>2.5692300000000001</v>
      </c>
      <c r="Y152">
        <f>Table514[[#This Row],[CFNM]]/Table514[[#This Row],[CAREA]]</f>
        <v>3.0921905408381748E-2</v>
      </c>
      <c r="Z152">
        <v>2.16533</v>
      </c>
      <c r="AA152">
        <f>(Table615[[#This Row],[time]]-2)*2</f>
        <v>0.33065999999999995</v>
      </c>
      <c r="AB152">
        <v>88.167500000000004</v>
      </c>
      <c r="AC152">
        <v>6.8285099999999996</v>
      </c>
      <c r="AD152">
        <f>Table615[[#This Row],[CFNM]]/Table615[[#This Row],[CAREA]]</f>
        <v>7.7449286868744138E-2</v>
      </c>
      <c r="AE152">
        <v>2.16533</v>
      </c>
      <c r="AF152">
        <f>(Table716[[#This Row],[time]]-2)*2</f>
        <v>0.33065999999999995</v>
      </c>
      <c r="AG152">
        <v>78.4084</v>
      </c>
      <c r="AH152">
        <v>16.448699999999999</v>
      </c>
      <c r="AI152">
        <f>Table716[[#This Row],[CFNM]]/Table716[[#This Row],[CAREA]]</f>
        <v>0.20978237025624805</v>
      </c>
      <c r="AJ152">
        <v>2.16533</v>
      </c>
      <c r="AK152">
        <f>(Table817[[#This Row],[time]]-2)*2</f>
        <v>0.33065999999999995</v>
      </c>
      <c r="AL152">
        <v>83.527100000000004</v>
      </c>
      <c r="AM152">
        <v>15.286099999999999</v>
      </c>
      <c r="AN152">
        <f>Table817[[#This Row],[CFNM]]/Table817[[#This Row],[CAREA]]</f>
        <v>0.18300767056440362</v>
      </c>
    </row>
    <row r="153" spans="1:40">
      <c r="A153">
        <v>7.9060499999999996</v>
      </c>
      <c r="B153">
        <f>(Table110[[#This Row],[time]]-2)*2</f>
        <v>11.812099999999999</v>
      </c>
      <c r="C153">
        <v>91.926199999999994</v>
      </c>
      <c r="D153">
        <v>7.9060499999999996</v>
      </c>
      <c r="E153">
        <f>Table110[[#This Row],[CFNM]]/Table110[[#This Row],[CAREA]]</f>
        <v>8.6004316506066825E-2</v>
      </c>
      <c r="F153">
        <v>2.2246999999999999</v>
      </c>
      <c r="G153">
        <f>(Table211[[#This Row],[time]]-2)*2</f>
        <v>0.4493999999999998</v>
      </c>
      <c r="H153">
        <v>96.294700000000006</v>
      </c>
      <c r="I153">
        <v>3.14242</v>
      </c>
      <c r="J153">
        <f>Table211[[#This Row],[CFNM]]/Table211[[#This Row],[CAREA]]</f>
        <v>3.2633364037688468E-2</v>
      </c>
      <c r="K153">
        <v>2.2246999999999999</v>
      </c>
      <c r="L153">
        <f>(Table312[[#This Row],[time]]-2)*2</f>
        <v>0.4493999999999998</v>
      </c>
      <c r="M153">
        <v>88.727900000000005</v>
      </c>
      <c r="N153">
        <v>0.19935600000000001</v>
      </c>
      <c r="O153">
        <f>Table312[[#This Row],[CFNM]]/Table312[[#This Row],[CAREA]]</f>
        <v>2.246824279623433E-3</v>
      </c>
      <c r="P153">
        <v>2.2246999999999999</v>
      </c>
      <c r="Q153">
        <f>(Table413[[#This Row],[time]]-2)*2</f>
        <v>0.4493999999999998</v>
      </c>
      <c r="R153">
        <v>85.775499999999994</v>
      </c>
      <c r="S153">
        <v>1.57718</v>
      </c>
      <c r="T153">
        <f>Table413[[#This Row],[CFNM]]/Table413[[#This Row],[CAREA]]</f>
        <v>1.838730173534401E-2</v>
      </c>
      <c r="U153">
        <v>2.2246999999999999</v>
      </c>
      <c r="V153">
        <f>(Table514[[#This Row],[time]]-2)*2</f>
        <v>0.4493999999999998</v>
      </c>
      <c r="W153">
        <v>81.604600000000005</v>
      </c>
      <c r="X153">
        <v>1.3144199999999999</v>
      </c>
      <c r="Y153">
        <f>Table514[[#This Row],[CFNM]]/Table514[[#This Row],[CAREA]]</f>
        <v>1.6107180232486893E-2</v>
      </c>
      <c r="Z153">
        <v>2.2246999999999999</v>
      </c>
      <c r="AA153">
        <f>(Table615[[#This Row],[time]]-2)*2</f>
        <v>0.4493999999999998</v>
      </c>
      <c r="AB153">
        <v>87.325100000000006</v>
      </c>
      <c r="AC153">
        <v>4.4288100000000004</v>
      </c>
      <c r="AD153">
        <f>Table615[[#This Row],[CFNM]]/Table615[[#This Row],[CAREA]]</f>
        <v>5.0716346159351666E-2</v>
      </c>
      <c r="AE153">
        <v>2.2246999999999999</v>
      </c>
      <c r="AF153">
        <f>(Table716[[#This Row],[time]]-2)*2</f>
        <v>0.4493999999999998</v>
      </c>
      <c r="AG153">
        <v>78.161199999999994</v>
      </c>
      <c r="AH153">
        <v>15.6531</v>
      </c>
      <c r="AI153">
        <f>Table716[[#This Row],[CFNM]]/Table716[[#This Row],[CAREA]]</f>
        <v>0.20026688433647388</v>
      </c>
      <c r="AJ153">
        <v>2.2246999999999999</v>
      </c>
      <c r="AK153">
        <f>(Table817[[#This Row],[time]]-2)*2</f>
        <v>0.4493999999999998</v>
      </c>
      <c r="AL153">
        <v>83.703199999999995</v>
      </c>
      <c r="AM153">
        <v>14.2209</v>
      </c>
      <c r="AN153">
        <f>Table817[[#This Row],[CFNM]]/Table817[[#This Row],[CAREA]]</f>
        <v>0.16989673035200567</v>
      </c>
    </row>
    <row r="154" spans="1:40">
      <c r="A154">
        <v>7.1966599999999996</v>
      </c>
      <c r="B154">
        <f>(Table110[[#This Row],[time]]-2)*2</f>
        <v>10.393319999999999</v>
      </c>
      <c r="C154">
        <v>92.325599999999994</v>
      </c>
      <c r="D154">
        <v>7.1966599999999996</v>
      </c>
      <c r="E154">
        <f>Table110[[#This Row],[CFNM]]/Table110[[#This Row],[CAREA]]</f>
        <v>7.79486946199104E-2</v>
      </c>
      <c r="F154">
        <v>2.2668900000000001</v>
      </c>
      <c r="G154">
        <f>(Table211[[#This Row],[time]]-2)*2</f>
        <v>0.53378000000000014</v>
      </c>
      <c r="H154">
        <v>96.5458</v>
      </c>
      <c r="I154">
        <v>2.6796700000000002</v>
      </c>
      <c r="J154">
        <f>Table211[[#This Row],[CFNM]]/Table211[[#This Row],[CAREA]]</f>
        <v>2.7755427993760476E-2</v>
      </c>
      <c r="K154">
        <v>2.2668900000000001</v>
      </c>
      <c r="L154">
        <f>(Table312[[#This Row],[time]]-2)*2</f>
        <v>0.53378000000000014</v>
      </c>
      <c r="M154">
        <v>88.016900000000007</v>
      </c>
      <c r="N154">
        <v>4.48549E-3</v>
      </c>
      <c r="O154">
        <f>Table312[[#This Row],[CFNM]]/Table312[[#This Row],[CAREA]]</f>
        <v>5.0961690311746942E-5</v>
      </c>
      <c r="P154">
        <v>2.2668900000000001</v>
      </c>
      <c r="Q154">
        <f>(Table413[[#This Row],[time]]-2)*2</f>
        <v>0.53378000000000014</v>
      </c>
      <c r="R154">
        <v>85.063999999999993</v>
      </c>
      <c r="S154">
        <v>0.47531699999999999</v>
      </c>
      <c r="T154">
        <f>Table413[[#This Row],[CFNM]]/Table413[[#This Row],[CAREA]]</f>
        <v>5.5877574532116996E-3</v>
      </c>
      <c r="U154">
        <v>2.2668900000000001</v>
      </c>
      <c r="V154">
        <f>(Table514[[#This Row],[time]]-2)*2</f>
        <v>0.53378000000000014</v>
      </c>
      <c r="W154">
        <v>80.739099999999993</v>
      </c>
      <c r="X154">
        <v>1.0388599999999999</v>
      </c>
      <c r="Y154">
        <f>Table514[[#This Row],[CFNM]]/Table514[[#This Row],[CAREA]]</f>
        <v>1.2866876147987778E-2</v>
      </c>
      <c r="Z154">
        <v>2.2668900000000001</v>
      </c>
      <c r="AA154">
        <f>(Table615[[#This Row],[time]]-2)*2</f>
        <v>0.53378000000000014</v>
      </c>
      <c r="AB154">
        <v>86.938900000000004</v>
      </c>
      <c r="AC154">
        <v>3.40489</v>
      </c>
      <c r="AD154">
        <f>Table615[[#This Row],[CFNM]]/Table615[[#This Row],[CAREA]]</f>
        <v>3.9164171619378664E-2</v>
      </c>
      <c r="AE154">
        <v>2.2668900000000001</v>
      </c>
      <c r="AF154">
        <f>(Table716[[#This Row],[time]]-2)*2</f>
        <v>0.53378000000000014</v>
      </c>
      <c r="AG154">
        <v>78.016999999999996</v>
      </c>
      <c r="AH154">
        <v>15.1785</v>
      </c>
      <c r="AI154">
        <f>Table716[[#This Row],[CFNM]]/Table716[[#This Row],[CAREA]]</f>
        <v>0.19455375110552828</v>
      </c>
      <c r="AJ154">
        <v>2.2668900000000001</v>
      </c>
      <c r="AK154">
        <f>(Table817[[#This Row],[time]]-2)*2</f>
        <v>0.53378000000000014</v>
      </c>
      <c r="AL154">
        <v>83.985299999999995</v>
      </c>
      <c r="AM154">
        <v>13.4877</v>
      </c>
      <c r="AN154">
        <f>Table817[[#This Row],[CFNM]]/Table817[[#This Row],[CAREA]]</f>
        <v>0.16059596143610846</v>
      </c>
    </row>
    <row r="155" spans="1:40">
      <c r="A155">
        <v>6.1504399999999997</v>
      </c>
      <c r="B155">
        <f>(Table110[[#This Row],[time]]-2)*2</f>
        <v>8.3008799999999994</v>
      </c>
      <c r="C155">
        <v>92.357500000000002</v>
      </c>
      <c r="D155">
        <v>6.1504399999999997</v>
      </c>
      <c r="E155">
        <f>Table110[[#This Row],[CFNM]]/Table110[[#This Row],[CAREA]]</f>
        <v>6.6593833743875702E-2</v>
      </c>
      <c r="F155">
        <v>2.3168899999999999</v>
      </c>
      <c r="G155">
        <f>(Table211[[#This Row],[time]]-2)*2</f>
        <v>0.63377999999999979</v>
      </c>
      <c r="H155">
        <v>96.5124</v>
      </c>
      <c r="I155">
        <v>2.0924900000000002</v>
      </c>
      <c r="J155">
        <f>Table211[[#This Row],[CFNM]]/Table211[[#This Row],[CAREA]]</f>
        <v>2.1681048238361082E-2</v>
      </c>
      <c r="K155">
        <v>2.3168899999999999</v>
      </c>
      <c r="L155">
        <f>(Table312[[#This Row],[time]]-2)*2</f>
        <v>0.63377999999999979</v>
      </c>
      <c r="M155">
        <v>86.880899999999997</v>
      </c>
      <c r="N155">
        <v>3.8756099999999998E-3</v>
      </c>
      <c r="O155">
        <f>Table312[[#This Row],[CFNM]]/Table312[[#This Row],[CAREA]]</f>
        <v>4.4608308615587543E-5</v>
      </c>
      <c r="P155">
        <v>2.3168899999999999</v>
      </c>
      <c r="Q155">
        <f>(Table413[[#This Row],[time]]-2)*2</f>
        <v>0.63377999999999979</v>
      </c>
      <c r="R155">
        <v>83.528199999999998</v>
      </c>
      <c r="S155">
        <v>5.2959799999999996E-3</v>
      </c>
      <c r="T155">
        <f>Table413[[#This Row],[CFNM]]/Table413[[#This Row],[CAREA]]</f>
        <v>6.3403497262002533E-5</v>
      </c>
      <c r="U155">
        <v>2.3168899999999999</v>
      </c>
      <c r="V155">
        <f>(Table514[[#This Row],[time]]-2)*2</f>
        <v>0.63377999999999979</v>
      </c>
      <c r="W155">
        <v>80.521600000000007</v>
      </c>
      <c r="X155">
        <v>0.74112900000000004</v>
      </c>
      <c r="Y155">
        <f>Table514[[#This Row],[CFNM]]/Table514[[#This Row],[CAREA]]</f>
        <v>9.2041017565473119E-3</v>
      </c>
      <c r="Z155">
        <v>2.3168899999999999</v>
      </c>
      <c r="AA155">
        <f>(Table615[[#This Row],[time]]-2)*2</f>
        <v>0.63377999999999979</v>
      </c>
      <c r="AB155">
        <v>85.539299999999997</v>
      </c>
      <c r="AC155">
        <v>2.4497300000000002</v>
      </c>
      <c r="AD155">
        <f>Table615[[#This Row],[CFNM]]/Table615[[#This Row],[CAREA]]</f>
        <v>2.8638649135543547E-2</v>
      </c>
      <c r="AE155">
        <v>2.3168899999999999</v>
      </c>
      <c r="AF155">
        <f>(Table716[[#This Row],[time]]-2)*2</f>
        <v>0.63377999999999979</v>
      </c>
      <c r="AG155">
        <v>77.878600000000006</v>
      </c>
      <c r="AH155">
        <v>14.57</v>
      </c>
      <c r="AI155">
        <f>Table716[[#This Row],[CFNM]]/Table716[[#This Row],[CAREA]]</f>
        <v>0.18708605444884729</v>
      </c>
      <c r="AJ155">
        <v>2.3168899999999999</v>
      </c>
      <c r="AK155">
        <f>(Table817[[#This Row],[time]]-2)*2</f>
        <v>0.63377999999999979</v>
      </c>
      <c r="AL155">
        <v>84.138900000000007</v>
      </c>
      <c r="AM155">
        <v>12.7052</v>
      </c>
      <c r="AN155">
        <f>Table817[[#This Row],[CFNM]]/Table817[[#This Row],[CAREA]]</f>
        <v>0.15100268722315122</v>
      </c>
    </row>
    <row r="156" spans="1:40">
      <c r="A156">
        <v>4.5858800000000004</v>
      </c>
      <c r="B156">
        <f>(Table110[[#This Row],[time]]-2)*2</f>
        <v>5.1717600000000008</v>
      </c>
      <c r="C156">
        <v>92.273499999999999</v>
      </c>
      <c r="D156">
        <v>4.5858800000000004</v>
      </c>
      <c r="E156">
        <f>Table110[[#This Row],[CFNM]]/Table110[[#This Row],[CAREA]]</f>
        <v>4.9698775921580958E-2</v>
      </c>
      <c r="F156">
        <v>2.3668900000000002</v>
      </c>
      <c r="G156">
        <f>(Table211[[#This Row],[time]]-2)*2</f>
        <v>0.73378000000000032</v>
      </c>
      <c r="H156">
        <v>96.340800000000002</v>
      </c>
      <c r="I156">
        <v>1.0441800000000001</v>
      </c>
      <c r="J156">
        <f>Table211[[#This Row],[CFNM]]/Table211[[#This Row],[CAREA]]</f>
        <v>1.0838398684669424E-2</v>
      </c>
      <c r="K156">
        <v>2.3668900000000002</v>
      </c>
      <c r="L156">
        <f>(Table312[[#This Row],[time]]-2)*2</f>
        <v>0.73378000000000032</v>
      </c>
      <c r="M156">
        <v>86.653899999999993</v>
      </c>
      <c r="N156">
        <v>3.6235600000000001E-3</v>
      </c>
      <c r="O156">
        <f>Table312[[#This Row],[CFNM]]/Table312[[#This Row],[CAREA]]</f>
        <v>4.1816467579647311E-5</v>
      </c>
      <c r="P156">
        <v>2.3668900000000002</v>
      </c>
      <c r="Q156">
        <f>(Table413[[#This Row],[time]]-2)*2</f>
        <v>0.73378000000000032</v>
      </c>
      <c r="R156">
        <v>83.186800000000005</v>
      </c>
      <c r="S156">
        <v>4.90407E-3</v>
      </c>
      <c r="T156">
        <f>Table413[[#This Row],[CFNM]]/Table413[[#This Row],[CAREA]]</f>
        <v>5.8952502079656863E-5</v>
      </c>
      <c r="U156">
        <v>2.3668900000000002</v>
      </c>
      <c r="V156">
        <f>(Table514[[#This Row],[time]]-2)*2</f>
        <v>0.73378000000000032</v>
      </c>
      <c r="W156">
        <v>79.971900000000005</v>
      </c>
      <c r="X156">
        <v>0.55576000000000003</v>
      </c>
      <c r="Y156">
        <f>Table514[[#This Row],[CFNM]]/Table514[[#This Row],[CAREA]]</f>
        <v>6.9494409911481404E-3</v>
      </c>
      <c r="Z156">
        <v>2.3668900000000002</v>
      </c>
      <c r="AA156">
        <f>(Table615[[#This Row],[time]]-2)*2</f>
        <v>0.73378000000000032</v>
      </c>
      <c r="AB156">
        <v>85.069800000000001</v>
      </c>
      <c r="AC156">
        <v>1.68848</v>
      </c>
      <c r="AD156">
        <f>Table615[[#This Row],[CFNM]]/Table615[[#This Row],[CAREA]]</f>
        <v>1.9848171736620988E-2</v>
      </c>
      <c r="AE156">
        <v>2.3668900000000002</v>
      </c>
      <c r="AF156">
        <f>(Table716[[#This Row],[time]]-2)*2</f>
        <v>0.73378000000000032</v>
      </c>
      <c r="AG156">
        <v>77.628799999999998</v>
      </c>
      <c r="AH156">
        <v>14.048</v>
      </c>
      <c r="AI156">
        <f>Table716[[#This Row],[CFNM]]/Table716[[#This Row],[CAREA]]</f>
        <v>0.18096376602498043</v>
      </c>
      <c r="AJ156">
        <v>2.3668900000000002</v>
      </c>
      <c r="AK156">
        <f>(Table817[[#This Row],[time]]-2)*2</f>
        <v>0.73378000000000032</v>
      </c>
      <c r="AL156">
        <v>84.265299999999996</v>
      </c>
      <c r="AM156">
        <v>12.026300000000001</v>
      </c>
      <c r="AN156">
        <f>Table817[[#This Row],[CFNM]]/Table817[[#This Row],[CAREA]]</f>
        <v>0.14271948239666862</v>
      </c>
    </row>
    <row r="157" spans="1:40">
      <c r="A157">
        <v>3.0367999999999999</v>
      </c>
      <c r="B157">
        <f>(Table110[[#This Row],[time]]-2)*2</f>
        <v>2.0735999999999999</v>
      </c>
      <c r="C157">
        <v>91.7453</v>
      </c>
      <c r="D157">
        <v>3.0367999999999999</v>
      </c>
      <c r="E157">
        <f>Table110[[#This Row],[CFNM]]/Table110[[#This Row],[CAREA]]</f>
        <v>3.3100333205079713E-2</v>
      </c>
      <c r="F157">
        <v>2.4262700000000001</v>
      </c>
      <c r="G157">
        <f>(Table211[[#This Row],[time]]-2)*2</f>
        <v>0.8525400000000003</v>
      </c>
      <c r="H157">
        <v>95.998599999999996</v>
      </c>
      <c r="I157">
        <v>0.16708500000000001</v>
      </c>
      <c r="J157">
        <f>Table211[[#This Row],[CFNM]]/Table211[[#This Row],[CAREA]]</f>
        <v>1.7404941322060948E-3</v>
      </c>
      <c r="K157">
        <v>2.4262700000000001</v>
      </c>
      <c r="L157">
        <f>(Table312[[#This Row],[time]]-2)*2</f>
        <v>0.8525400000000003</v>
      </c>
      <c r="M157">
        <v>85.596400000000003</v>
      </c>
      <c r="N157">
        <v>3.3880799999999999E-3</v>
      </c>
      <c r="O157">
        <f>Table312[[#This Row],[CFNM]]/Table312[[#This Row],[CAREA]]</f>
        <v>3.9582038496946131E-5</v>
      </c>
      <c r="P157">
        <v>2.4262700000000001</v>
      </c>
      <c r="Q157">
        <f>(Table413[[#This Row],[time]]-2)*2</f>
        <v>0.8525400000000003</v>
      </c>
      <c r="R157">
        <v>82.555499999999995</v>
      </c>
      <c r="S157">
        <v>4.5402300000000001E-3</v>
      </c>
      <c r="T157">
        <f>Table413[[#This Row],[CFNM]]/Table413[[#This Row],[CAREA]]</f>
        <v>5.4996093537075065E-5</v>
      </c>
      <c r="U157">
        <v>2.4262700000000001</v>
      </c>
      <c r="V157">
        <f>(Table514[[#This Row],[time]]-2)*2</f>
        <v>0.8525400000000003</v>
      </c>
      <c r="W157">
        <v>79.355900000000005</v>
      </c>
      <c r="X157">
        <v>0.39840999999999999</v>
      </c>
      <c r="Y157">
        <f>Table514[[#This Row],[CFNM]]/Table514[[#This Row],[CAREA]]</f>
        <v>5.0205466764285953E-3</v>
      </c>
      <c r="Z157">
        <v>2.4262700000000001</v>
      </c>
      <c r="AA157">
        <f>(Table615[[#This Row],[time]]-2)*2</f>
        <v>0.8525400000000003</v>
      </c>
      <c r="AB157">
        <v>83.274699999999996</v>
      </c>
      <c r="AC157">
        <v>1.08066</v>
      </c>
      <c r="AD157">
        <f>Table615[[#This Row],[CFNM]]/Table615[[#This Row],[CAREA]]</f>
        <v>1.2977050652839339E-2</v>
      </c>
      <c r="AE157">
        <v>2.4262700000000001</v>
      </c>
      <c r="AF157">
        <f>(Table716[[#This Row],[time]]-2)*2</f>
        <v>0.8525400000000003</v>
      </c>
      <c r="AG157">
        <v>77.482799999999997</v>
      </c>
      <c r="AH157">
        <v>13.395300000000001</v>
      </c>
      <c r="AI157">
        <f>Table716[[#This Row],[CFNM]]/Table716[[#This Row],[CAREA]]</f>
        <v>0.17288094906224349</v>
      </c>
      <c r="AJ157">
        <v>2.4262700000000001</v>
      </c>
      <c r="AK157">
        <f>(Table817[[#This Row],[time]]-2)*2</f>
        <v>0.8525400000000003</v>
      </c>
      <c r="AL157">
        <v>84.016000000000005</v>
      </c>
      <c r="AM157">
        <v>11.254099999999999</v>
      </c>
      <c r="AN157">
        <f>Table817[[#This Row],[CFNM]]/Table817[[#This Row],[CAREA]]</f>
        <v>0.13395186631117881</v>
      </c>
    </row>
    <row r="158" spans="1:40">
      <c r="A158">
        <v>2.4359299999999999</v>
      </c>
      <c r="B158">
        <f>(Table110[[#This Row],[time]]-2)*2</f>
        <v>0.87185999999999986</v>
      </c>
      <c r="C158">
        <v>91.559399999999997</v>
      </c>
      <c r="D158">
        <v>2.4359299999999999</v>
      </c>
      <c r="E158">
        <f>Table110[[#This Row],[CFNM]]/Table110[[#This Row],[CAREA]]</f>
        <v>2.6604914405293174E-2</v>
      </c>
      <c r="F158">
        <v>2.4526300000000001</v>
      </c>
      <c r="G158">
        <f>(Table211[[#This Row],[time]]-2)*2</f>
        <v>0.90526000000000018</v>
      </c>
      <c r="H158">
        <v>95.8489</v>
      </c>
      <c r="I158">
        <v>6.0312300000000003E-3</v>
      </c>
      <c r="J158">
        <f>Table211[[#This Row],[CFNM]]/Table211[[#This Row],[CAREA]]</f>
        <v>6.2924352809474082E-5</v>
      </c>
      <c r="K158">
        <v>2.4526300000000001</v>
      </c>
      <c r="L158">
        <f>(Table312[[#This Row],[time]]-2)*2</f>
        <v>0.90526000000000018</v>
      </c>
      <c r="M158">
        <v>84.668999999999997</v>
      </c>
      <c r="N158">
        <v>3.29058E-3</v>
      </c>
      <c r="O158">
        <f>Table312[[#This Row],[CFNM]]/Table312[[#This Row],[CAREA]]</f>
        <v>3.8864047053821356E-5</v>
      </c>
      <c r="P158">
        <v>2.4526300000000001</v>
      </c>
      <c r="Q158">
        <f>(Table413[[#This Row],[time]]-2)*2</f>
        <v>0.90526000000000018</v>
      </c>
      <c r="R158">
        <v>82.502499999999998</v>
      </c>
      <c r="S158">
        <v>4.4329199999999999E-3</v>
      </c>
      <c r="T158">
        <f>Table413[[#This Row],[CFNM]]/Table413[[#This Row],[CAREA]]</f>
        <v>5.3730735432259628E-5</v>
      </c>
      <c r="U158">
        <v>2.4526300000000001</v>
      </c>
      <c r="V158">
        <f>(Table514[[#This Row],[time]]-2)*2</f>
        <v>0.90526000000000018</v>
      </c>
      <c r="W158">
        <v>79.189300000000003</v>
      </c>
      <c r="X158">
        <v>0.34778199999999998</v>
      </c>
      <c r="Y158">
        <f>Table514[[#This Row],[CFNM]]/Table514[[#This Row],[CAREA]]</f>
        <v>4.3917802026283851E-3</v>
      </c>
      <c r="Z158">
        <v>2.4526300000000001</v>
      </c>
      <c r="AA158">
        <f>(Table615[[#This Row],[time]]-2)*2</f>
        <v>0.90526000000000018</v>
      </c>
      <c r="AB158">
        <v>82.383300000000006</v>
      </c>
      <c r="AC158">
        <v>0.832314</v>
      </c>
      <c r="AD158">
        <f>Table615[[#This Row],[CFNM]]/Table615[[#This Row],[CAREA]]</f>
        <v>1.010294562126062E-2</v>
      </c>
      <c r="AE158">
        <v>2.4526300000000001</v>
      </c>
      <c r="AF158">
        <f>(Table716[[#This Row],[time]]-2)*2</f>
        <v>0.90526000000000018</v>
      </c>
      <c r="AG158">
        <v>77.5107</v>
      </c>
      <c r="AH158">
        <v>13.0985</v>
      </c>
      <c r="AI158">
        <f>Table716[[#This Row],[CFNM]]/Table716[[#This Row],[CAREA]]</f>
        <v>0.16898957176235022</v>
      </c>
      <c r="AJ158">
        <v>2.4526300000000001</v>
      </c>
      <c r="AK158">
        <f>(Table817[[#This Row],[time]]-2)*2</f>
        <v>0.90526000000000018</v>
      </c>
      <c r="AL158">
        <v>83.980099999999993</v>
      </c>
      <c r="AM158">
        <v>10.8949</v>
      </c>
      <c r="AN158">
        <f>Table817[[#This Row],[CFNM]]/Table817[[#This Row],[CAREA]]</f>
        <v>0.1297319245868962</v>
      </c>
    </row>
    <row r="159" spans="1:40">
      <c r="A159">
        <v>1.2891600000000001</v>
      </c>
      <c r="B159">
        <f>(Table110[[#This Row],[time]]-2)*2</f>
        <v>-1.4216799999999998</v>
      </c>
      <c r="C159">
        <v>90.850300000000004</v>
      </c>
      <c r="D159">
        <v>1.2891600000000001</v>
      </c>
      <c r="E159">
        <f>Table110[[#This Row],[CFNM]]/Table110[[#This Row],[CAREA]]</f>
        <v>1.4189936632019928E-2</v>
      </c>
      <c r="F159">
        <v>2.5119600000000002</v>
      </c>
      <c r="G159">
        <f>(Table211[[#This Row],[time]]-2)*2</f>
        <v>1.0239200000000004</v>
      </c>
      <c r="H159">
        <v>95.083799999999997</v>
      </c>
      <c r="I159">
        <v>4.85134E-3</v>
      </c>
      <c r="J159">
        <f>Table211[[#This Row],[CFNM]]/Table211[[#This Row],[CAREA]]</f>
        <v>5.1021730305267566E-5</v>
      </c>
      <c r="K159">
        <v>2.5119600000000002</v>
      </c>
      <c r="L159">
        <f>(Table312[[#This Row],[time]]-2)*2</f>
        <v>1.0239200000000004</v>
      </c>
      <c r="M159">
        <v>83.743600000000001</v>
      </c>
      <c r="N159">
        <v>3.0715E-3</v>
      </c>
      <c r="O159">
        <f>Table312[[#This Row],[CFNM]]/Table312[[#This Row],[CAREA]]</f>
        <v>3.6677429678208244E-5</v>
      </c>
      <c r="P159">
        <v>2.5119600000000002</v>
      </c>
      <c r="Q159">
        <f>(Table413[[#This Row],[time]]-2)*2</f>
        <v>1.0239200000000004</v>
      </c>
      <c r="R159">
        <v>82.397800000000004</v>
      </c>
      <c r="S159">
        <v>4.2465100000000002E-3</v>
      </c>
      <c r="T159">
        <f>Table413[[#This Row],[CFNM]]/Table413[[#This Row],[CAREA]]</f>
        <v>5.1536691513608375E-5</v>
      </c>
      <c r="U159">
        <v>2.5119600000000002</v>
      </c>
      <c r="V159">
        <f>(Table514[[#This Row],[time]]-2)*2</f>
        <v>1.0239200000000004</v>
      </c>
      <c r="W159">
        <v>78.801100000000005</v>
      </c>
      <c r="X159">
        <v>0.22393299999999999</v>
      </c>
      <c r="Y159">
        <f>Table514[[#This Row],[CFNM]]/Table514[[#This Row],[CAREA]]</f>
        <v>2.8417496710071303E-3</v>
      </c>
      <c r="Z159">
        <v>2.5119600000000002</v>
      </c>
      <c r="AA159">
        <f>(Table615[[#This Row],[time]]-2)*2</f>
        <v>1.0239200000000004</v>
      </c>
      <c r="AB159">
        <v>82.0595</v>
      </c>
      <c r="AC159">
        <v>0.449633</v>
      </c>
      <c r="AD159">
        <f>Table615[[#This Row],[CFNM]]/Table615[[#This Row],[CAREA]]</f>
        <v>5.4793533960114304E-3</v>
      </c>
      <c r="AE159">
        <v>2.5119600000000002</v>
      </c>
      <c r="AF159">
        <f>(Table716[[#This Row],[time]]-2)*2</f>
        <v>1.0239200000000004</v>
      </c>
      <c r="AG159">
        <v>77.547499999999999</v>
      </c>
      <c r="AH159">
        <v>12.4153</v>
      </c>
      <c r="AI159">
        <f>Table716[[#This Row],[CFNM]]/Table716[[#This Row],[CAREA]]</f>
        <v>0.16009929398110836</v>
      </c>
      <c r="AJ159">
        <v>2.5119600000000002</v>
      </c>
      <c r="AK159">
        <f>(Table817[[#This Row],[time]]-2)*2</f>
        <v>1.0239200000000004</v>
      </c>
      <c r="AL159">
        <v>83.954700000000003</v>
      </c>
      <c r="AM159">
        <v>10.0944</v>
      </c>
      <c r="AN159">
        <f>Table817[[#This Row],[CFNM]]/Table817[[#This Row],[CAREA]]</f>
        <v>0.12023627027432651</v>
      </c>
    </row>
    <row r="160" spans="1:40">
      <c r="A160">
        <v>0.51323700000000005</v>
      </c>
      <c r="B160">
        <f>(Table110[[#This Row],[time]]-2)*2</f>
        <v>-2.9735259999999997</v>
      </c>
      <c r="C160">
        <v>90.124499999999998</v>
      </c>
      <c r="D160">
        <v>0.51323700000000005</v>
      </c>
      <c r="E160">
        <f>Table110[[#This Row],[CFNM]]/Table110[[#This Row],[CAREA]]</f>
        <v>5.6947555881031245E-3</v>
      </c>
      <c r="F160">
        <v>2.5713400000000002</v>
      </c>
      <c r="G160">
        <f>(Table211[[#This Row],[time]]-2)*2</f>
        <v>1.1426800000000004</v>
      </c>
      <c r="H160">
        <v>94.249899999999997</v>
      </c>
      <c r="I160">
        <v>4.3166100000000002E-3</v>
      </c>
      <c r="J160">
        <f>Table211[[#This Row],[CFNM]]/Table211[[#This Row],[CAREA]]</f>
        <v>4.5799624190582698E-5</v>
      </c>
      <c r="K160">
        <v>2.5713400000000002</v>
      </c>
      <c r="L160">
        <f>(Table312[[#This Row],[time]]-2)*2</f>
        <v>1.1426800000000004</v>
      </c>
      <c r="M160">
        <v>82.303399999999996</v>
      </c>
      <c r="N160">
        <v>2.85112E-3</v>
      </c>
      <c r="O160">
        <f>Table312[[#This Row],[CFNM]]/Table312[[#This Row],[CAREA]]</f>
        <v>3.4641582243260911E-5</v>
      </c>
      <c r="P160">
        <v>2.5713400000000002</v>
      </c>
      <c r="Q160">
        <f>(Table413[[#This Row],[time]]-2)*2</f>
        <v>1.1426800000000004</v>
      </c>
      <c r="R160">
        <v>82.290599999999998</v>
      </c>
      <c r="S160">
        <v>4.0792399999999996E-3</v>
      </c>
      <c r="T160">
        <f>Table413[[#This Row],[CFNM]]/Table413[[#This Row],[CAREA]]</f>
        <v>4.9571153934957327E-5</v>
      </c>
      <c r="U160">
        <v>2.5713400000000002</v>
      </c>
      <c r="V160">
        <f>(Table514[[#This Row],[time]]-2)*2</f>
        <v>1.1426800000000004</v>
      </c>
      <c r="W160">
        <v>78.345699999999994</v>
      </c>
      <c r="X160">
        <v>8.6384900000000001E-2</v>
      </c>
      <c r="Y160">
        <f>Table514[[#This Row],[CFNM]]/Table514[[#This Row],[CAREA]]</f>
        <v>1.1026118855278592E-3</v>
      </c>
      <c r="Z160">
        <v>2.5713400000000002</v>
      </c>
      <c r="AA160">
        <f>(Table615[[#This Row],[time]]-2)*2</f>
        <v>1.1426800000000004</v>
      </c>
      <c r="AB160">
        <v>80.592600000000004</v>
      </c>
      <c r="AC160">
        <v>0.23174600000000001</v>
      </c>
      <c r="AD160">
        <f>Table615[[#This Row],[CFNM]]/Table615[[#This Row],[CAREA]]</f>
        <v>2.8755245518819346E-3</v>
      </c>
      <c r="AE160">
        <v>2.5713400000000002</v>
      </c>
      <c r="AF160">
        <f>(Table716[[#This Row],[time]]-2)*2</f>
        <v>1.1426800000000004</v>
      </c>
      <c r="AG160">
        <v>77.593500000000006</v>
      </c>
      <c r="AH160">
        <v>11.7058</v>
      </c>
      <c r="AI160">
        <f>Table716[[#This Row],[CFNM]]/Table716[[#This Row],[CAREA]]</f>
        <v>0.15086057466153735</v>
      </c>
      <c r="AJ160">
        <v>2.5713400000000002</v>
      </c>
      <c r="AK160">
        <f>(Table817[[#This Row],[time]]-2)*2</f>
        <v>1.1426800000000004</v>
      </c>
      <c r="AL160">
        <v>83.922700000000006</v>
      </c>
      <c r="AM160">
        <v>9.2843800000000005</v>
      </c>
      <c r="AN160">
        <f>Table817[[#This Row],[CFNM]]/Table817[[#This Row],[CAREA]]</f>
        <v>0.11063013940209264</v>
      </c>
    </row>
    <row r="161" spans="1:40">
      <c r="A161">
        <v>4.8829600000000004E-3</v>
      </c>
      <c r="B161">
        <f>(Table110[[#This Row],[time]]-2)*2</f>
        <v>-3.99023408</v>
      </c>
      <c r="C161">
        <v>89.508700000000005</v>
      </c>
      <c r="D161">
        <v>4.8829600000000004E-3</v>
      </c>
      <c r="E161">
        <f>Table110[[#This Row],[CFNM]]/Table110[[#This Row],[CAREA]]</f>
        <v>5.4552909381993037E-5</v>
      </c>
      <c r="F161">
        <v>2.6214300000000001</v>
      </c>
      <c r="G161">
        <f>(Table211[[#This Row],[time]]-2)*2</f>
        <v>1.2428600000000003</v>
      </c>
      <c r="H161">
        <v>92.616799999999998</v>
      </c>
      <c r="I161">
        <v>3.8332700000000002E-3</v>
      </c>
      <c r="J161">
        <f>Table211[[#This Row],[CFNM]]/Table211[[#This Row],[CAREA]]</f>
        <v>4.1388495391764778E-5</v>
      </c>
      <c r="K161">
        <v>2.6214300000000001</v>
      </c>
      <c r="L161">
        <f>(Table312[[#This Row],[time]]-2)*2</f>
        <v>1.2428600000000003</v>
      </c>
      <c r="M161">
        <v>81.355800000000002</v>
      </c>
      <c r="N161">
        <v>2.6738399999999998E-3</v>
      </c>
      <c r="O161">
        <f>Table312[[#This Row],[CFNM]]/Table312[[#This Row],[CAREA]]</f>
        <v>3.2866003407255537E-5</v>
      </c>
      <c r="P161">
        <v>2.6214300000000001</v>
      </c>
      <c r="Q161">
        <f>(Table413[[#This Row],[time]]-2)*2</f>
        <v>1.2428600000000003</v>
      </c>
      <c r="R161">
        <v>82.201800000000006</v>
      </c>
      <c r="S161">
        <v>3.93824E-3</v>
      </c>
      <c r="T161">
        <f>Table413[[#This Row],[CFNM]]/Table413[[#This Row],[CAREA]]</f>
        <v>4.7909413175867189E-5</v>
      </c>
      <c r="U161">
        <v>2.6214300000000001</v>
      </c>
      <c r="V161">
        <f>(Table514[[#This Row],[time]]-2)*2</f>
        <v>1.2428600000000003</v>
      </c>
      <c r="W161">
        <v>77.724800000000002</v>
      </c>
      <c r="X161">
        <v>5.45876E-3</v>
      </c>
      <c r="Y161">
        <f>Table514[[#This Row],[CFNM]]/Table514[[#This Row],[CAREA]]</f>
        <v>7.0231895096545765E-5</v>
      </c>
      <c r="Z161">
        <v>2.6214300000000001</v>
      </c>
      <c r="AA161">
        <f>(Table615[[#This Row],[time]]-2)*2</f>
        <v>1.2428600000000003</v>
      </c>
      <c r="AB161">
        <v>79.419700000000006</v>
      </c>
      <c r="AC161">
        <v>6.5580399999999997E-2</v>
      </c>
      <c r="AD161">
        <f>Table615[[#This Row],[CFNM]]/Table615[[#This Row],[CAREA]]</f>
        <v>8.2574474595094153E-4</v>
      </c>
      <c r="AE161">
        <v>2.6214300000000001</v>
      </c>
      <c r="AF161">
        <f>(Table716[[#This Row],[time]]-2)*2</f>
        <v>1.2428600000000003</v>
      </c>
      <c r="AG161">
        <v>77.7226</v>
      </c>
      <c r="AH161">
        <v>11.0907</v>
      </c>
      <c r="AI161">
        <f>Table716[[#This Row],[CFNM]]/Table716[[#This Row],[CAREA]]</f>
        <v>0.1426959468674491</v>
      </c>
      <c r="AJ161">
        <v>2.6214300000000001</v>
      </c>
      <c r="AK161">
        <f>(Table817[[#This Row],[time]]-2)*2</f>
        <v>1.2428600000000003</v>
      </c>
      <c r="AL161">
        <v>83.825400000000002</v>
      </c>
      <c r="AM161">
        <v>8.5883599999999998</v>
      </c>
      <c r="AN161">
        <f>Table817[[#This Row],[CFNM]]/Table817[[#This Row],[CAREA]]</f>
        <v>0.10245534169833964</v>
      </c>
    </row>
    <row r="162" spans="1:40">
      <c r="A162">
        <v>3.9634099999999997E-3</v>
      </c>
      <c r="B162">
        <f>(Table110[[#This Row],[time]]-2)*2</f>
        <v>-3.9920731800000002</v>
      </c>
      <c r="C162">
        <v>88.997799999999998</v>
      </c>
      <c r="D162">
        <v>3.9634099999999997E-3</v>
      </c>
      <c r="E162">
        <f>Table110[[#This Row],[CFNM]]/Table110[[#This Row],[CAREA]]</f>
        <v>4.4533797464656426E-5</v>
      </c>
      <c r="F162">
        <v>2.6574499999999999</v>
      </c>
      <c r="G162">
        <f>(Table211[[#This Row],[time]]-2)*2</f>
        <v>1.3148999999999997</v>
      </c>
      <c r="H162">
        <v>91.796300000000002</v>
      </c>
      <c r="I162">
        <v>3.4906999999999998E-3</v>
      </c>
      <c r="J162">
        <f>Table211[[#This Row],[CFNM]]/Table211[[#This Row],[CAREA]]</f>
        <v>3.8026587128239369E-5</v>
      </c>
      <c r="K162">
        <v>2.6574499999999999</v>
      </c>
      <c r="L162">
        <f>(Table312[[#This Row],[time]]-2)*2</f>
        <v>1.3148999999999997</v>
      </c>
      <c r="M162">
        <v>78.389099999999999</v>
      </c>
      <c r="N162">
        <v>2.5611000000000002E-3</v>
      </c>
      <c r="O162">
        <f>Table312[[#This Row],[CFNM]]/Table312[[#This Row],[CAREA]]</f>
        <v>3.2671634194039738E-5</v>
      </c>
      <c r="P162">
        <v>2.6574499999999999</v>
      </c>
      <c r="Q162">
        <f>(Table413[[#This Row],[time]]-2)*2</f>
        <v>1.3148999999999997</v>
      </c>
      <c r="R162">
        <v>82.135400000000004</v>
      </c>
      <c r="S162">
        <v>3.8355099999999999E-3</v>
      </c>
      <c r="T162">
        <f>Table413[[#This Row],[CFNM]]/Table413[[#This Row],[CAREA]]</f>
        <v>4.6697404529593813E-5</v>
      </c>
      <c r="U162">
        <v>2.6574499999999999</v>
      </c>
      <c r="V162">
        <f>(Table514[[#This Row],[time]]-2)*2</f>
        <v>1.3148999999999997</v>
      </c>
      <c r="W162">
        <v>77.240200000000002</v>
      </c>
      <c r="X162">
        <v>5.0293400000000002E-3</v>
      </c>
      <c r="Y162">
        <f>Table514[[#This Row],[CFNM]]/Table514[[#This Row],[CAREA]]</f>
        <v>6.5112985207184859E-5</v>
      </c>
      <c r="Z162">
        <v>2.6574499999999999</v>
      </c>
      <c r="AA162">
        <f>(Table615[[#This Row],[time]]-2)*2</f>
        <v>1.3148999999999997</v>
      </c>
      <c r="AB162">
        <v>78.406999999999996</v>
      </c>
      <c r="AC162">
        <v>4.09392E-3</v>
      </c>
      <c r="AD162">
        <f>Table615[[#This Row],[CFNM]]/Table615[[#This Row],[CAREA]]</f>
        <v>5.2213705408955833E-5</v>
      </c>
      <c r="AE162">
        <v>2.6574499999999999</v>
      </c>
      <c r="AF162">
        <f>(Table716[[#This Row],[time]]-2)*2</f>
        <v>1.3148999999999997</v>
      </c>
      <c r="AG162">
        <v>77.758300000000006</v>
      </c>
      <c r="AH162">
        <v>10.6378</v>
      </c>
      <c r="AI162">
        <f>Table716[[#This Row],[CFNM]]/Table716[[#This Row],[CAREA]]</f>
        <v>0.13680597441044878</v>
      </c>
      <c r="AJ162">
        <v>2.6574499999999999</v>
      </c>
      <c r="AK162">
        <f>(Table817[[#This Row],[time]]-2)*2</f>
        <v>1.3148999999999997</v>
      </c>
      <c r="AL162">
        <v>83.765799999999999</v>
      </c>
      <c r="AM162">
        <v>8.0983900000000002</v>
      </c>
      <c r="AN162">
        <f>Table817[[#This Row],[CFNM]]/Table817[[#This Row],[CAREA]]</f>
        <v>9.6678954895673422E-2</v>
      </c>
    </row>
    <row r="163" spans="1:40">
      <c r="A163">
        <v>3.7498900000000001E-3</v>
      </c>
      <c r="B163">
        <f>(Table110[[#This Row],[time]]-2)*2</f>
        <v>-3.9925002200000002</v>
      </c>
      <c r="C163">
        <v>86.889200000000002</v>
      </c>
      <c r="D163">
        <v>3.7498900000000001E-3</v>
      </c>
      <c r="E163">
        <f>Table110[[#This Row],[CFNM]]/Table110[[#This Row],[CAREA]]</f>
        <v>4.3157147263411332E-5</v>
      </c>
      <c r="F163">
        <v>2.7044299999999999</v>
      </c>
      <c r="G163">
        <f>(Table211[[#This Row],[time]]-2)*2</f>
        <v>1.4088599999999998</v>
      </c>
      <c r="H163">
        <v>90.680700000000002</v>
      </c>
      <c r="I163">
        <v>3.21763E-3</v>
      </c>
      <c r="J163">
        <f>Table211[[#This Row],[CFNM]]/Table211[[#This Row],[CAREA]]</f>
        <v>3.5483074127129584E-5</v>
      </c>
      <c r="K163">
        <v>2.7044299999999999</v>
      </c>
      <c r="L163">
        <f>(Table312[[#This Row],[time]]-2)*2</f>
        <v>1.4088599999999998</v>
      </c>
      <c r="M163">
        <v>78.0274</v>
      </c>
      <c r="N163">
        <v>2.44056E-3</v>
      </c>
      <c r="O163">
        <f>Table312[[#This Row],[CFNM]]/Table312[[#This Row],[CAREA]]</f>
        <v>3.1278243283769548E-5</v>
      </c>
      <c r="P163">
        <v>2.7044299999999999</v>
      </c>
      <c r="Q163">
        <f>(Table413[[#This Row],[time]]-2)*2</f>
        <v>1.4088599999999998</v>
      </c>
      <c r="R163">
        <v>82.009</v>
      </c>
      <c r="S163">
        <v>3.6819600000000002E-3</v>
      </c>
      <c r="T163">
        <f>Table413[[#This Row],[CFNM]]/Table413[[#This Row],[CAREA]]</f>
        <v>4.4897023497421017E-5</v>
      </c>
      <c r="U163">
        <v>2.7044299999999999</v>
      </c>
      <c r="V163">
        <f>(Table514[[#This Row],[time]]-2)*2</f>
        <v>1.4088599999999998</v>
      </c>
      <c r="W163">
        <v>76.822100000000006</v>
      </c>
      <c r="X163">
        <v>4.6368800000000003E-3</v>
      </c>
      <c r="Y163">
        <f>Table514[[#This Row],[CFNM]]/Table514[[#This Row],[CAREA]]</f>
        <v>6.035867282982371E-5</v>
      </c>
      <c r="Z163">
        <v>2.7044299999999999</v>
      </c>
      <c r="AA163">
        <f>(Table615[[#This Row],[time]]-2)*2</f>
        <v>1.4088599999999998</v>
      </c>
      <c r="AB163">
        <v>78.033600000000007</v>
      </c>
      <c r="AC163">
        <v>3.7911799999999999E-3</v>
      </c>
      <c r="AD163">
        <f>Table615[[#This Row],[CFNM]]/Table615[[#This Row],[CAREA]]</f>
        <v>4.8583943326977091E-5</v>
      </c>
      <c r="AE163">
        <v>2.7044299999999999</v>
      </c>
      <c r="AF163">
        <f>(Table716[[#This Row],[time]]-2)*2</f>
        <v>1.4088599999999998</v>
      </c>
      <c r="AG163">
        <v>77.768000000000001</v>
      </c>
      <c r="AH163">
        <v>10.042199999999999</v>
      </c>
      <c r="AI163">
        <f>Table716[[#This Row],[CFNM]]/Table716[[#This Row],[CAREA]]</f>
        <v>0.12913023351507047</v>
      </c>
      <c r="AJ163">
        <v>2.7044299999999999</v>
      </c>
      <c r="AK163">
        <f>(Table817[[#This Row],[time]]-2)*2</f>
        <v>1.4088599999999998</v>
      </c>
      <c r="AL163">
        <v>83.6922</v>
      </c>
      <c r="AM163">
        <v>7.51776</v>
      </c>
      <c r="AN163">
        <f>Table817[[#This Row],[CFNM]]/Table817[[#This Row],[CAREA]]</f>
        <v>8.9826292055890516E-2</v>
      </c>
    </row>
    <row r="164" spans="1:40">
      <c r="A164">
        <v>3.5306399999999998E-3</v>
      </c>
      <c r="B164">
        <f>(Table110[[#This Row],[time]]-2)*2</f>
        <v>-3.9929387200000002</v>
      </c>
      <c r="C164">
        <v>85.857299999999995</v>
      </c>
      <c r="D164">
        <v>3.5306399999999998E-3</v>
      </c>
      <c r="E164">
        <f>Table110[[#This Row],[CFNM]]/Table110[[#This Row],[CAREA]]</f>
        <v>4.1122187629939448E-5</v>
      </c>
      <c r="F164">
        <v>2.7639</v>
      </c>
      <c r="G164">
        <f>(Table211[[#This Row],[time]]-2)*2</f>
        <v>1.5278</v>
      </c>
      <c r="H164">
        <v>89.286699999999996</v>
      </c>
      <c r="I164">
        <v>3.0820000000000001E-3</v>
      </c>
      <c r="J164">
        <f>Table211[[#This Row],[CFNM]]/Table211[[#This Row],[CAREA]]</f>
        <v>3.4518018921071114E-5</v>
      </c>
      <c r="K164">
        <v>2.7639</v>
      </c>
      <c r="L164">
        <f>(Table312[[#This Row],[time]]-2)*2</f>
        <v>1.5278</v>
      </c>
      <c r="M164">
        <v>76.246399999999994</v>
      </c>
      <c r="N164">
        <v>2.3203299999999998E-3</v>
      </c>
      <c r="O164">
        <f>Table312[[#This Row],[CFNM]]/Table312[[#This Row],[CAREA]]</f>
        <v>3.0431994166281949E-5</v>
      </c>
      <c r="P164">
        <v>2.7639</v>
      </c>
      <c r="Q164">
        <f>(Table413[[#This Row],[time]]-2)*2</f>
        <v>1.5278</v>
      </c>
      <c r="R164">
        <v>81.319400000000002</v>
      </c>
      <c r="S164">
        <v>3.5104200000000002E-3</v>
      </c>
      <c r="T164">
        <f>Table413[[#This Row],[CFNM]]/Table413[[#This Row],[CAREA]]</f>
        <v>4.3168296863970964E-5</v>
      </c>
      <c r="U164">
        <v>2.7639</v>
      </c>
      <c r="V164">
        <f>(Table514[[#This Row],[time]]-2)*2</f>
        <v>1.5278</v>
      </c>
      <c r="W164">
        <v>75.108099999999993</v>
      </c>
      <c r="X164">
        <v>4.3276399999999998E-3</v>
      </c>
      <c r="Y164">
        <f>Table514[[#This Row],[CFNM]]/Table514[[#This Row],[CAREA]]</f>
        <v>5.7618818742585688E-5</v>
      </c>
      <c r="Z164">
        <v>2.7639</v>
      </c>
      <c r="AA164">
        <f>(Table615[[#This Row],[time]]-2)*2</f>
        <v>1.5278</v>
      </c>
      <c r="AB164">
        <v>76.601200000000006</v>
      </c>
      <c r="AC164">
        <v>3.5588600000000001E-3</v>
      </c>
      <c r="AD164">
        <f>Table615[[#This Row],[CFNM]]/Table615[[#This Row],[CAREA]]</f>
        <v>4.6459585489522353E-5</v>
      </c>
      <c r="AE164">
        <v>2.7639</v>
      </c>
      <c r="AF164">
        <f>(Table716[[#This Row],[time]]-2)*2</f>
        <v>1.5278</v>
      </c>
      <c r="AG164">
        <v>77.813000000000002</v>
      </c>
      <c r="AH164">
        <v>9.2320100000000007</v>
      </c>
      <c r="AI164">
        <f>Table716[[#This Row],[CFNM]]/Table716[[#This Row],[CAREA]]</f>
        <v>0.11864354285273669</v>
      </c>
      <c r="AJ164">
        <v>2.7639</v>
      </c>
      <c r="AK164">
        <f>(Table817[[#This Row],[time]]-2)*2</f>
        <v>1.5278</v>
      </c>
      <c r="AL164">
        <v>83.5642</v>
      </c>
      <c r="AM164">
        <v>6.8067200000000003</v>
      </c>
      <c r="AN164">
        <f>Table817[[#This Row],[CFNM]]/Table817[[#This Row],[CAREA]]</f>
        <v>8.1454977131355299E-2</v>
      </c>
    </row>
    <row r="165" spans="1:40">
      <c r="A165">
        <v>3.4368599999999999E-3</v>
      </c>
      <c r="B165">
        <f>(Table110[[#This Row],[time]]-2)*2</f>
        <v>-3.9931262799999998</v>
      </c>
      <c r="C165">
        <v>85.6374</v>
      </c>
      <c r="D165">
        <v>3.4368599999999999E-3</v>
      </c>
      <c r="E165">
        <f>Table110[[#This Row],[CFNM]]/Table110[[#This Row],[CAREA]]</f>
        <v>4.0132699031030835E-5</v>
      </c>
      <c r="F165">
        <v>2.80111</v>
      </c>
      <c r="G165">
        <f>(Table211[[#This Row],[time]]-2)*2</f>
        <v>1.60222</v>
      </c>
      <c r="H165">
        <v>89.246799999999993</v>
      </c>
      <c r="I165">
        <v>3.0620399999999998E-3</v>
      </c>
      <c r="J165">
        <f>Table211[[#This Row],[CFNM]]/Table211[[#This Row],[CAREA]]</f>
        <v>3.4309801583922339E-5</v>
      </c>
      <c r="K165">
        <v>2.80111</v>
      </c>
      <c r="L165">
        <f>(Table312[[#This Row],[time]]-2)*2</f>
        <v>1.60222</v>
      </c>
      <c r="M165">
        <v>76.053899999999999</v>
      </c>
      <c r="N165">
        <v>2.2684900000000002E-3</v>
      </c>
      <c r="O165">
        <f>Table312[[#This Row],[CFNM]]/Table312[[#This Row],[CAREA]]</f>
        <v>2.982739872642955E-5</v>
      </c>
      <c r="P165">
        <v>2.80111</v>
      </c>
      <c r="Q165">
        <f>(Table413[[#This Row],[time]]-2)*2</f>
        <v>1.60222</v>
      </c>
      <c r="R165">
        <v>81.132099999999994</v>
      </c>
      <c r="S165">
        <v>3.43926E-3</v>
      </c>
      <c r="T165">
        <f>Table413[[#This Row],[CFNM]]/Table413[[#This Row],[CAREA]]</f>
        <v>4.2390866253924162E-5</v>
      </c>
      <c r="U165">
        <v>2.80111</v>
      </c>
      <c r="V165">
        <f>(Table514[[#This Row],[time]]-2)*2</f>
        <v>1.60222</v>
      </c>
      <c r="W165">
        <v>74.466899999999995</v>
      </c>
      <c r="X165">
        <v>4.2654900000000003E-3</v>
      </c>
      <c r="Y165">
        <f>Table514[[#This Row],[CFNM]]/Table514[[#This Row],[CAREA]]</f>
        <v>5.7280348718692472E-5</v>
      </c>
      <c r="Z165">
        <v>2.80111</v>
      </c>
      <c r="AA165">
        <f>(Table615[[#This Row],[time]]-2)*2</f>
        <v>1.60222</v>
      </c>
      <c r="AB165">
        <v>76.464399999999998</v>
      </c>
      <c r="AC165">
        <v>3.4218E-3</v>
      </c>
      <c r="AD165">
        <f>Table615[[#This Row],[CFNM]]/Table615[[#This Row],[CAREA]]</f>
        <v>4.4750236711463111E-5</v>
      </c>
      <c r="AE165">
        <v>2.80111</v>
      </c>
      <c r="AF165">
        <f>(Table716[[#This Row],[time]]-2)*2</f>
        <v>1.60222</v>
      </c>
      <c r="AG165">
        <v>77.894000000000005</v>
      </c>
      <c r="AH165">
        <v>8.7120800000000003</v>
      </c>
      <c r="AI165">
        <f>Table716[[#This Row],[CFNM]]/Table716[[#This Row],[CAREA]]</f>
        <v>0.11184532826661873</v>
      </c>
      <c r="AJ165">
        <v>2.80111</v>
      </c>
      <c r="AK165">
        <f>(Table817[[#This Row],[time]]-2)*2</f>
        <v>1.60222</v>
      </c>
      <c r="AL165">
        <v>83.4589</v>
      </c>
      <c r="AM165">
        <v>6.3887</v>
      </c>
      <c r="AN165">
        <f>Table817[[#This Row],[CFNM]]/Table817[[#This Row],[CAREA]]</f>
        <v>7.6549055882596098E-2</v>
      </c>
    </row>
    <row r="166" spans="1:40">
      <c r="A166">
        <v>3.31416E-3</v>
      </c>
      <c r="B166">
        <f>(Table110[[#This Row],[time]]-2)*2</f>
        <v>-3.9933716800000001</v>
      </c>
      <c r="C166">
        <v>84.012900000000002</v>
      </c>
      <c r="D166">
        <v>3.31416E-3</v>
      </c>
      <c r="E166">
        <f>Table110[[#This Row],[CFNM]]/Table110[[#This Row],[CAREA]]</f>
        <v>3.9448227593619548E-5</v>
      </c>
      <c r="F166">
        <v>2.85094</v>
      </c>
      <c r="G166">
        <f>(Table211[[#This Row],[time]]-2)*2</f>
        <v>1.7018800000000001</v>
      </c>
      <c r="H166">
        <v>89.905900000000003</v>
      </c>
      <c r="I166">
        <v>3.0467100000000002E-3</v>
      </c>
      <c r="J166">
        <f>Table211[[#This Row],[CFNM]]/Table211[[#This Row],[CAREA]]</f>
        <v>3.3887764874162876E-5</v>
      </c>
      <c r="K166">
        <v>2.85094</v>
      </c>
      <c r="L166">
        <f>(Table312[[#This Row],[time]]-2)*2</f>
        <v>1.7018800000000001</v>
      </c>
      <c r="M166">
        <v>75.762699999999995</v>
      </c>
      <c r="N166">
        <v>2.1993300000000002E-3</v>
      </c>
      <c r="O166">
        <f>Table312[[#This Row],[CFNM]]/Table312[[#This Row],[CAREA]]</f>
        <v>2.9029192465421644E-5</v>
      </c>
      <c r="P166">
        <v>2.85094</v>
      </c>
      <c r="Q166">
        <f>(Table413[[#This Row],[time]]-2)*2</f>
        <v>1.7018800000000001</v>
      </c>
      <c r="R166">
        <v>80.864400000000003</v>
      </c>
      <c r="S166">
        <v>3.35813E-3</v>
      </c>
      <c r="T166">
        <f>Table413[[#This Row],[CFNM]]/Table413[[#This Row],[CAREA]]</f>
        <v>4.1527915869035076E-5</v>
      </c>
      <c r="U166">
        <v>2.85094</v>
      </c>
      <c r="V166">
        <f>(Table514[[#This Row],[time]]-2)*2</f>
        <v>1.7018800000000001</v>
      </c>
      <c r="W166">
        <v>73.681600000000003</v>
      </c>
      <c r="X166">
        <v>4.1767699999999998E-3</v>
      </c>
      <c r="Y166">
        <f>Table514[[#This Row],[CFNM]]/Table514[[#This Row],[CAREA]]</f>
        <v>5.6686744044646145E-5</v>
      </c>
      <c r="Z166">
        <v>2.85094</v>
      </c>
      <c r="AA166">
        <f>(Table615[[#This Row],[time]]-2)*2</f>
        <v>1.7018800000000001</v>
      </c>
      <c r="AB166">
        <v>75.042100000000005</v>
      </c>
      <c r="AC166">
        <v>3.2423600000000001E-3</v>
      </c>
      <c r="AD166">
        <f>Table615[[#This Row],[CFNM]]/Table615[[#This Row],[CAREA]]</f>
        <v>4.3207213017759365E-5</v>
      </c>
      <c r="AE166">
        <v>2.85094</v>
      </c>
      <c r="AF166">
        <f>(Table716[[#This Row],[time]]-2)*2</f>
        <v>1.7018800000000001</v>
      </c>
      <c r="AG166">
        <v>77.910899999999998</v>
      </c>
      <c r="AH166">
        <v>8.0141100000000005</v>
      </c>
      <c r="AI166">
        <f>Table716[[#This Row],[CFNM]]/Table716[[#This Row],[CAREA]]</f>
        <v>0.10286250062571477</v>
      </c>
      <c r="AJ166">
        <v>2.85094</v>
      </c>
      <c r="AK166">
        <f>(Table817[[#This Row],[time]]-2)*2</f>
        <v>1.7018800000000001</v>
      </c>
      <c r="AL166">
        <v>83.327200000000005</v>
      </c>
      <c r="AM166">
        <v>5.8601299999999998</v>
      </c>
      <c r="AN166">
        <f>Table817[[#This Row],[CFNM]]/Table817[[#This Row],[CAREA]]</f>
        <v>7.0326736047773106E-2</v>
      </c>
    </row>
    <row r="167" spans="1:40">
      <c r="A167">
        <v>3.1832499999999999E-3</v>
      </c>
      <c r="B167">
        <f>(Table110[[#This Row],[time]]-2)*2</f>
        <v>-3.9936335000000001</v>
      </c>
      <c r="C167">
        <v>83.050700000000006</v>
      </c>
      <c r="D167">
        <v>3.1832499999999999E-3</v>
      </c>
      <c r="E167">
        <f>Table110[[#This Row],[CFNM]]/Table110[[#This Row],[CAREA]]</f>
        <v>3.8328996624953188E-5</v>
      </c>
      <c r="F167">
        <v>2.9053100000000001</v>
      </c>
      <c r="G167">
        <f>(Table211[[#This Row],[time]]-2)*2</f>
        <v>1.8106200000000001</v>
      </c>
      <c r="H167">
        <v>89.833200000000005</v>
      </c>
      <c r="I167">
        <v>3.0398700000000001E-3</v>
      </c>
      <c r="J167">
        <f>Table211[[#This Row],[CFNM]]/Table211[[#This Row],[CAREA]]</f>
        <v>3.3839048369645074E-5</v>
      </c>
      <c r="K167">
        <v>2.9053100000000001</v>
      </c>
      <c r="L167">
        <f>(Table312[[#This Row],[time]]-2)*2</f>
        <v>1.8106200000000001</v>
      </c>
      <c r="M167">
        <v>74.908299999999997</v>
      </c>
      <c r="N167">
        <v>2.1177100000000001E-3</v>
      </c>
      <c r="O167">
        <f>Table312[[#This Row],[CFNM]]/Table312[[#This Row],[CAREA]]</f>
        <v>2.8270698974612963E-5</v>
      </c>
      <c r="P167">
        <v>2.9053100000000001</v>
      </c>
      <c r="Q167">
        <f>(Table413[[#This Row],[time]]-2)*2</f>
        <v>1.8106200000000001</v>
      </c>
      <c r="R167">
        <v>80.527199999999993</v>
      </c>
      <c r="S167">
        <v>3.2754400000000001E-3</v>
      </c>
      <c r="T167">
        <f>Table413[[#This Row],[CFNM]]/Table413[[#This Row],[CAREA]]</f>
        <v>4.0674952065885815E-5</v>
      </c>
      <c r="U167">
        <v>2.9053100000000001</v>
      </c>
      <c r="V167">
        <f>(Table514[[#This Row],[time]]-2)*2</f>
        <v>1.8106200000000001</v>
      </c>
      <c r="W167">
        <v>73.114000000000004</v>
      </c>
      <c r="X167">
        <v>4.0748700000000004E-3</v>
      </c>
      <c r="Y167">
        <f>Table514[[#This Row],[CFNM]]/Table514[[#This Row],[CAREA]]</f>
        <v>5.5733101731542525E-5</v>
      </c>
      <c r="Z167">
        <v>2.9053100000000001</v>
      </c>
      <c r="AA167">
        <f>(Table615[[#This Row],[time]]-2)*2</f>
        <v>1.8106200000000001</v>
      </c>
      <c r="AB167">
        <v>73.824399999999997</v>
      </c>
      <c r="AC167">
        <v>3.06405E-3</v>
      </c>
      <c r="AD167">
        <f>Table615[[#This Row],[CFNM]]/Table615[[#This Row],[CAREA]]</f>
        <v>4.1504570304668922E-5</v>
      </c>
      <c r="AE167">
        <v>2.9053100000000001</v>
      </c>
      <c r="AF167">
        <f>(Table716[[#This Row],[time]]-2)*2</f>
        <v>1.8106200000000001</v>
      </c>
      <c r="AG167">
        <v>77.9011</v>
      </c>
      <c r="AH167">
        <v>7.2772800000000002</v>
      </c>
      <c r="AI167">
        <f>Table716[[#This Row],[CFNM]]/Table716[[#This Row],[CAREA]]</f>
        <v>9.3416909388955999E-2</v>
      </c>
      <c r="AJ167">
        <v>2.9053100000000001</v>
      </c>
      <c r="AK167">
        <f>(Table817[[#This Row],[time]]-2)*2</f>
        <v>1.8106200000000001</v>
      </c>
      <c r="AL167">
        <v>83.201400000000007</v>
      </c>
      <c r="AM167">
        <v>5.3216900000000003</v>
      </c>
      <c r="AN167">
        <f>Table817[[#This Row],[CFNM]]/Table817[[#This Row],[CAREA]]</f>
        <v>6.3961543916328328E-2</v>
      </c>
    </row>
    <row r="168" spans="1:40">
      <c r="A168">
        <v>3.0520600000000001E-3</v>
      </c>
      <c r="B168">
        <f>(Table110[[#This Row],[time]]-2)*2</f>
        <v>-3.9938958800000002</v>
      </c>
      <c r="C168">
        <v>81.889499999999998</v>
      </c>
      <c r="D168">
        <v>3.0520600000000001E-3</v>
      </c>
      <c r="E168">
        <f>Table110[[#This Row],[CFNM]]/Table110[[#This Row],[CAREA]]</f>
        <v>3.7270468130834844E-5</v>
      </c>
      <c r="F168">
        <v>2.9608099999999999</v>
      </c>
      <c r="G168">
        <f>(Table211[[#This Row],[time]]-2)*2</f>
        <v>1.9216199999999999</v>
      </c>
      <c r="H168">
        <v>90.014799999999994</v>
      </c>
      <c r="I168">
        <v>3.0477600000000001E-3</v>
      </c>
      <c r="J168">
        <f>Table211[[#This Row],[CFNM]]/Table211[[#This Row],[CAREA]]</f>
        <v>3.3858432168932226E-5</v>
      </c>
      <c r="K168">
        <v>2.9608099999999999</v>
      </c>
      <c r="L168">
        <f>(Table312[[#This Row],[time]]-2)*2</f>
        <v>1.9216199999999999</v>
      </c>
      <c r="M168">
        <v>72.507099999999994</v>
      </c>
      <c r="N168">
        <v>2.0374299999999998E-3</v>
      </c>
      <c r="O168">
        <f>Table312[[#This Row],[CFNM]]/Table312[[#This Row],[CAREA]]</f>
        <v>2.8099730922902722E-5</v>
      </c>
      <c r="P168">
        <v>2.9608099999999999</v>
      </c>
      <c r="Q168">
        <f>(Table413[[#This Row],[time]]-2)*2</f>
        <v>1.9216199999999999</v>
      </c>
      <c r="R168">
        <v>80.113699999999994</v>
      </c>
      <c r="S168">
        <v>3.1941000000000001E-3</v>
      </c>
      <c r="T168">
        <f>Table413[[#This Row],[CFNM]]/Table413[[#This Row],[CAREA]]</f>
        <v>3.9869585351818734E-5</v>
      </c>
      <c r="U168">
        <v>2.9608099999999999</v>
      </c>
      <c r="V168">
        <f>(Table514[[#This Row],[time]]-2)*2</f>
        <v>1.9216199999999999</v>
      </c>
      <c r="W168">
        <v>72.460899999999995</v>
      </c>
      <c r="X168">
        <v>3.9654800000000004E-3</v>
      </c>
      <c r="Y168">
        <f>Table514[[#This Row],[CFNM]]/Table514[[#This Row],[CAREA]]</f>
        <v>5.4725790046770059E-5</v>
      </c>
      <c r="Z168">
        <v>2.9608099999999999</v>
      </c>
      <c r="AA168">
        <f>(Table615[[#This Row],[time]]-2)*2</f>
        <v>1.9216199999999999</v>
      </c>
      <c r="AB168">
        <v>71.270600000000002</v>
      </c>
      <c r="AC168">
        <v>2.8909199999999999E-3</v>
      </c>
      <c r="AD168">
        <f>Table615[[#This Row],[CFNM]]/Table615[[#This Row],[CAREA]]</f>
        <v>4.0562588220107587E-5</v>
      </c>
      <c r="AE168">
        <v>2.9608099999999999</v>
      </c>
      <c r="AF168">
        <f>(Table716[[#This Row],[time]]-2)*2</f>
        <v>1.9216199999999999</v>
      </c>
      <c r="AG168">
        <v>77.912300000000002</v>
      </c>
      <c r="AH168">
        <v>6.4827500000000002</v>
      </c>
      <c r="AI168">
        <f>Table716[[#This Row],[CFNM]]/Table716[[#This Row],[CAREA]]</f>
        <v>8.3205732599345675E-2</v>
      </c>
      <c r="AJ168">
        <v>2.9608099999999999</v>
      </c>
      <c r="AK168">
        <f>(Table817[[#This Row],[time]]-2)*2</f>
        <v>1.9216199999999999</v>
      </c>
      <c r="AL168">
        <v>83.072800000000001</v>
      </c>
      <c r="AM168">
        <v>4.7907500000000001</v>
      </c>
      <c r="AN168">
        <f>Table817[[#This Row],[CFNM]]/Table817[[#This Row],[CAREA]]</f>
        <v>5.766929729105074E-2</v>
      </c>
    </row>
    <row r="169" spans="1:40">
      <c r="A169">
        <v>2.9643500000000001E-3</v>
      </c>
      <c r="B169">
        <f>(Table110[[#This Row],[time]]-2)*2</f>
        <v>-3.9940712999999999</v>
      </c>
      <c r="C169">
        <v>81.385099999999994</v>
      </c>
      <c r="D169">
        <v>2.9643500000000001E-3</v>
      </c>
      <c r="E169">
        <f>Table110[[#This Row],[CFNM]]/Table110[[#This Row],[CAREA]]</f>
        <v>3.6423743412491973E-5</v>
      </c>
      <c r="F169">
        <v>3</v>
      </c>
      <c r="G169">
        <f>(Table211[[#This Row],[time]]-2)*2</f>
        <v>2</v>
      </c>
      <c r="H169">
        <v>89.660399999999996</v>
      </c>
      <c r="I169">
        <v>3.0605799999999998E-3</v>
      </c>
      <c r="J169">
        <f>Table211[[#This Row],[CFNM]]/Table211[[#This Row],[CAREA]]</f>
        <v>3.4135248113994584E-5</v>
      </c>
      <c r="K169">
        <v>3</v>
      </c>
      <c r="L169">
        <f>(Table312[[#This Row],[time]]-2)*2</f>
        <v>2</v>
      </c>
      <c r="M169">
        <v>70.797899999999998</v>
      </c>
      <c r="N169">
        <v>1.9812800000000002E-3</v>
      </c>
      <c r="O169">
        <f>Table312[[#This Row],[CFNM]]/Table312[[#This Row],[CAREA]]</f>
        <v>2.7985010854841742E-5</v>
      </c>
      <c r="P169">
        <v>3</v>
      </c>
      <c r="Q169">
        <f>(Table413[[#This Row],[time]]-2)*2</f>
        <v>2</v>
      </c>
      <c r="R169">
        <v>79.859099999999998</v>
      </c>
      <c r="S169">
        <v>3.1414199999999998E-3</v>
      </c>
      <c r="T169">
        <f>Table413[[#This Row],[CFNM]]/Table413[[#This Row],[CAREA]]</f>
        <v>3.9337032348223309E-5</v>
      </c>
      <c r="U169">
        <v>3</v>
      </c>
      <c r="V169">
        <f>(Table514[[#This Row],[time]]-2)*2</f>
        <v>2</v>
      </c>
      <c r="W169">
        <v>71.842100000000002</v>
      </c>
      <c r="X169">
        <v>3.88778E-3</v>
      </c>
      <c r="Y169">
        <f>Table514[[#This Row],[CFNM]]/Table514[[#This Row],[CAREA]]</f>
        <v>5.4115623012133554E-5</v>
      </c>
      <c r="Z169">
        <v>3</v>
      </c>
      <c r="AA169">
        <f>(Table615[[#This Row],[time]]-2)*2</f>
        <v>2</v>
      </c>
      <c r="AB169">
        <v>70.123599999999996</v>
      </c>
      <c r="AC169">
        <v>2.7751E-3</v>
      </c>
      <c r="AD169">
        <f>Table615[[#This Row],[CFNM]]/Table615[[#This Row],[CAREA]]</f>
        <v>3.9574408615644377E-5</v>
      </c>
      <c r="AE169">
        <v>3</v>
      </c>
      <c r="AF169">
        <f>(Table716[[#This Row],[time]]-2)*2</f>
        <v>2</v>
      </c>
      <c r="AG169">
        <v>77.908299999999997</v>
      </c>
      <c r="AH169">
        <v>5.9951600000000003</v>
      </c>
      <c r="AI169">
        <f>Table716[[#This Row],[CFNM]]/Table716[[#This Row],[CAREA]]</f>
        <v>7.695149297314921E-2</v>
      </c>
      <c r="AJ169">
        <v>3</v>
      </c>
      <c r="AK169">
        <f>(Table817[[#This Row],[time]]-2)*2</f>
        <v>2</v>
      </c>
      <c r="AL169">
        <v>82.9773</v>
      </c>
      <c r="AM169">
        <v>4.4425600000000003</v>
      </c>
      <c r="AN169">
        <f>Table817[[#This Row],[CFNM]]/Table817[[#This Row],[CAREA]]</f>
        <v>5.3539461997437858E-2</v>
      </c>
    </row>
    <row r="172" spans="1:40">
      <c r="A172" s="1" t="s">
        <v>33</v>
      </c>
    </row>
    <row r="173" spans="1:40">
      <c r="A173" t="s">
        <v>34</v>
      </c>
      <c r="F173" t="s">
        <v>2</v>
      </c>
    </row>
    <row r="174" spans="1:40">
      <c r="F174" t="s">
        <v>4</v>
      </c>
      <c r="G174" t="s">
        <v>5</v>
      </c>
    </row>
    <row r="177" spans="1:40">
      <c r="A177" t="s">
        <v>7</v>
      </c>
      <c r="F177" t="s">
        <v>8</v>
      </c>
      <c r="K177" t="s">
        <v>9</v>
      </c>
      <c r="P177" t="s">
        <v>26</v>
      </c>
      <c r="U177" t="s">
        <v>11</v>
      </c>
      <c r="Z177" t="s">
        <v>12</v>
      </c>
      <c r="AE177" t="s">
        <v>13</v>
      </c>
      <c r="AJ177" t="s">
        <v>14</v>
      </c>
    </row>
    <row r="178" spans="1:40">
      <c r="A178" t="s">
        <v>15</v>
      </c>
      <c r="B178" t="s">
        <v>16</v>
      </c>
      <c r="C178" t="s">
        <v>20</v>
      </c>
      <c r="D178" t="s">
        <v>18</v>
      </c>
      <c r="E178" t="s">
        <v>19</v>
      </c>
      <c r="F178" t="s">
        <v>15</v>
      </c>
      <c r="G178" t="s">
        <v>16</v>
      </c>
      <c r="H178" t="s">
        <v>20</v>
      </c>
      <c r="I178" t="s">
        <v>18</v>
      </c>
      <c r="J178" t="s">
        <v>19</v>
      </c>
      <c r="K178" t="s">
        <v>15</v>
      </c>
      <c r="L178" t="s">
        <v>16</v>
      </c>
      <c r="M178" t="s">
        <v>20</v>
      </c>
      <c r="N178" t="s">
        <v>18</v>
      </c>
      <c r="O178" t="s">
        <v>19</v>
      </c>
      <c r="P178" t="s">
        <v>15</v>
      </c>
      <c r="Q178" t="s">
        <v>16</v>
      </c>
      <c r="R178" t="s">
        <v>20</v>
      </c>
      <c r="S178" t="s">
        <v>18</v>
      </c>
      <c r="T178" t="s">
        <v>19</v>
      </c>
      <c r="U178" t="s">
        <v>15</v>
      </c>
      <c r="V178" t="s">
        <v>16</v>
      </c>
      <c r="W178" t="s">
        <v>20</v>
      </c>
      <c r="X178" t="s">
        <v>18</v>
      </c>
      <c r="Y178" t="s">
        <v>19</v>
      </c>
      <c r="Z178" t="s">
        <v>15</v>
      </c>
      <c r="AA178" t="s">
        <v>16</v>
      </c>
      <c r="AB178" t="s">
        <v>20</v>
      </c>
      <c r="AC178" t="s">
        <v>18</v>
      </c>
      <c r="AD178" t="s">
        <v>19</v>
      </c>
      <c r="AE178" t="s">
        <v>15</v>
      </c>
      <c r="AF178" t="s">
        <v>16</v>
      </c>
      <c r="AG178" t="s">
        <v>20</v>
      </c>
      <c r="AH178" t="s">
        <v>18</v>
      </c>
      <c r="AI178" t="s">
        <v>19</v>
      </c>
      <c r="AJ178" t="s">
        <v>15</v>
      </c>
      <c r="AK178" t="s">
        <v>16</v>
      </c>
      <c r="AL178" t="s">
        <v>20</v>
      </c>
      <c r="AM178" t="s">
        <v>18</v>
      </c>
      <c r="AN178" t="s">
        <v>19</v>
      </c>
    </row>
    <row r="179" spans="1:40">
      <c r="A179">
        <v>2</v>
      </c>
      <c r="B179">
        <f>-(Table1354[[#This Row],[time]]-2)*2</f>
        <v>0</v>
      </c>
      <c r="C179">
        <v>80.560199999999995</v>
      </c>
      <c r="D179">
        <v>3.9786999999999999</v>
      </c>
      <c r="E179" s="2">
        <f>Table1354[[#This Row],[CFNM]]/Table1354[[#This Row],[CAREA]]</f>
        <v>4.9387911152157023E-2</v>
      </c>
      <c r="F179">
        <v>2</v>
      </c>
      <c r="G179">
        <f>-(Table2355[[#This Row],[time]]-2)*2</f>
        <v>0</v>
      </c>
      <c r="H179">
        <v>87.831100000000006</v>
      </c>
      <c r="I179">
        <v>3.8477199999999998E-3</v>
      </c>
      <c r="J179" s="2">
        <f>Table2355[[#This Row],[CFNM]]/Table2355[[#This Row],[CAREA]]</f>
        <v>4.3808172731526752E-5</v>
      </c>
      <c r="K179">
        <v>2</v>
      </c>
      <c r="L179">
        <f>-(Table3356[[#This Row],[time]]-2)*2</f>
        <v>0</v>
      </c>
      <c r="M179">
        <v>85.165199999999999</v>
      </c>
      <c r="N179">
        <v>3.6992800000000001E-3</v>
      </c>
      <c r="O179">
        <f>Table3356[[#This Row],[CFNM]]/Table3356[[#This Row],[CAREA]]</f>
        <v>4.3436521020322855E-5</v>
      </c>
      <c r="P179">
        <v>2</v>
      </c>
      <c r="Q179">
        <f>-(Table4357[[#This Row],[time]]-2)*2</f>
        <v>0</v>
      </c>
      <c r="R179">
        <v>79.099999999999994</v>
      </c>
      <c r="S179">
        <v>4.5241600000000002E-3</v>
      </c>
      <c r="T179">
        <f>Table4357[[#This Row],[CFNM]]/Table4357[[#This Row],[CAREA]]</f>
        <v>5.7195448798988631E-5</v>
      </c>
      <c r="U179">
        <v>2</v>
      </c>
      <c r="V179">
        <f>-(Table5358[[#This Row],[time]]-2)*2</f>
        <v>0</v>
      </c>
      <c r="W179">
        <v>83.228300000000004</v>
      </c>
      <c r="X179">
        <v>3.5028600000000001</v>
      </c>
      <c r="Y179">
        <f>Table5358[[#This Row],[CFNM]]/Table5358[[#This Row],[CAREA]]</f>
        <v>4.2087366917262517E-2</v>
      </c>
      <c r="Z179">
        <v>2</v>
      </c>
      <c r="AA179">
        <f>-(Table6359[[#This Row],[time]]-2)*2</f>
        <v>0</v>
      </c>
      <c r="AB179">
        <v>84.265100000000004</v>
      </c>
      <c r="AC179">
        <v>6.2692600000000001</v>
      </c>
      <c r="AD179">
        <f>Table6359[[#This Row],[CFNM]]/Table6359[[#This Row],[CAREA]]</f>
        <v>7.4399247137901692E-2</v>
      </c>
      <c r="AE179">
        <v>2</v>
      </c>
      <c r="AF179">
        <f>-(Table7360[[#This Row],[time]]-2)*2</f>
        <v>0</v>
      </c>
      <c r="AG179">
        <v>78.459599999999995</v>
      </c>
      <c r="AH179">
        <v>14.705299999999999</v>
      </c>
      <c r="AI179">
        <f>Table7360[[#This Row],[CFNM]]/Table7360[[#This Row],[CAREA]]</f>
        <v>0.18742512069906042</v>
      </c>
      <c r="AJ179">
        <v>2</v>
      </c>
      <c r="AK179">
        <f>-(Table8361[[#This Row],[time]]-2)*2</f>
        <v>0</v>
      </c>
      <c r="AL179">
        <v>83.005899999999997</v>
      </c>
      <c r="AM179">
        <v>14.6465</v>
      </c>
      <c r="AN179">
        <f>Table8361[[#This Row],[CFNM]]/Table8361[[#This Row],[CAREA]]</f>
        <v>0.17645131249706347</v>
      </c>
    </row>
    <row r="180" spans="1:40">
      <c r="A180">
        <v>2.0621999999999998</v>
      </c>
      <c r="B180">
        <f>-(Table1354[[#This Row],[time]]-2)*2</f>
        <v>-0.12439999999999962</v>
      </c>
      <c r="C180">
        <v>89.313000000000002</v>
      </c>
      <c r="D180">
        <v>11.327500000000001</v>
      </c>
      <c r="E180">
        <f>Table1354[[#This Row],[CFNM]]/Table1354[[#This Row],[CAREA]]</f>
        <v>0.12682924098395532</v>
      </c>
      <c r="F180">
        <v>2.0621999999999998</v>
      </c>
      <c r="G180">
        <f>-(Table2355[[#This Row],[time]]-2)*2</f>
        <v>-0.12439999999999962</v>
      </c>
      <c r="H180">
        <v>95.743300000000005</v>
      </c>
      <c r="I180">
        <v>4.0744400000000001</v>
      </c>
      <c r="J180">
        <f>Table2355[[#This Row],[CFNM]]/Table2355[[#This Row],[CAREA]]</f>
        <v>4.2555875972522354E-2</v>
      </c>
      <c r="K180">
        <v>2.0621999999999998</v>
      </c>
      <c r="L180">
        <f>-(Table3356[[#This Row],[time]]-2)*2</f>
        <v>-0.12439999999999962</v>
      </c>
      <c r="M180">
        <v>88.473299999999995</v>
      </c>
      <c r="N180">
        <v>5.2081400000000002</v>
      </c>
      <c r="O180">
        <f>Table3356[[#This Row],[CFNM]]/Table3356[[#This Row],[CAREA]]</f>
        <v>5.8866799362067429E-2</v>
      </c>
      <c r="P180">
        <v>2.0621999999999998</v>
      </c>
      <c r="Q180">
        <f>-(Table4357[[#This Row],[time]]-2)*2</f>
        <v>-0.12439999999999962</v>
      </c>
      <c r="R180">
        <v>86.9114</v>
      </c>
      <c r="S180">
        <v>8.9635700000000007</v>
      </c>
      <c r="T180">
        <f>Table4357[[#This Row],[CFNM]]/Table4357[[#This Row],[CAREA]]</f>
        <v>0.1031345715291665</v>
      </c>
      <c r="U180">
        <v>2.0621999999999998</v>
      </c>
      <c r="V180">
        <f>-(Table5358[[#This Row],[time]]-2)*2</f>
        <v>-0.12439999999999962</v>
      </c>
      <c r="W180">
        <v>82.276600000000002</v>
      </c>
      <c r="X180">
        <v>13.6044</v>
      </c>
      <c r="Y180">
        <f>Table5358[[#This Row],[CFNM]]/Table5358[[#This Row],[CAREA]]</f>
        <v>0.165349564760819</v>
      </c>
      <c r="Z180">
        <v>2.0621999999999998</v>
      </c>
      <c r="AA180">
        <f>-(Table6359[[#This Row],[time]]-2)*2</f>
        <v>-0.12439999999999962</v>
      </c>
      <c r="AB180">
        <v>88.961200000000005</v>
      </c>
      <c r="AC180">
        <v>21.831800000000001</v>
      </c>
      <c r="AD180">
        <f>Table6359[[#This Row],[CFNM]]/Table6359[[#This Row],[CAREA]]</f>
        <v>0.24540811050210654</v>
      </c>
      <c r="AE180">
        <v>2.0621999999999998</v>
      </c>
      <c r="AF180">
        <f>-(Table7360[[#This Row],[time]]-2)*2</f>
        <v>-0.12439999999999962</v>
      </c>
      <c r="AG180">
        <v>79.227699999999999</v>
      </c>
      <c r="AH180">
        <v>21.052</v>
      </c>
      <c r="AI180">
        <f>Table7360[[#This Row],[CFNM]]/Table7360[[#This Row],[CAREA]]</f>
        <v>0.26571514760620341</v>
      </c>
      <c r="AJ180">
        <v>2.0621999999999998</v>
      </c>
      <c r="AK180">
        <f>-(Table8361[[#This Row],[time]]-2)*2</f>
        <v>-0.12439999999999962</v>
      </c>
      <c r="AL180">
        <v>82.928200000000004</v>
      </c>
      <c r="AM180">
        <v>21.233000000000001</v>
      </c>
      <c r="AN180">
        <f>Table8361[[#This Row],[CFNM]]/Table8361[[#This Row],[CAREA]]</f>
        <v>0.25604076779672053</v>
      </c>
    </row>
    <row r="181" spans="1:40">
      <c r="A181">
        <v>2.1152299999999999</v>
      </c>
      <c r="B181">
        <f>-(Table1354[[#This Row],[time]]-2)*2</f>
        <v>-0.23045999999999989</v>
      </c>
      <c r="C181">
        <v>89.344899999999996</v>
      </c>
      <c r="D181">
        <v>12.492900000000001</v>
      </c>
      <c r="E181">
        <f>Table1354[[#This Row],[CFNM]]/Table1354[[#This Row],[CAREA]]</f>
        <v>0.13982779095393247</v>
      </c>
      <c r="F181">
        <v>2.1152299999999999</v>
      </c>
      <c r="G181">
        <f>-(Table2355[[#This Row],[time]]-2)*2</f>
        <v>-0.23045999999999989</v>
      </c>
      <c r="H181">
        <v>95.852800000000002</v>
      </c>
      <c r="I181">
        <v>5.2271900000000002</v>
      </c>
      <c r="J181">
        <f>Table2355[[#This Row],[CFNM]]/Table2355[[#This Row],[CAREA]]</f>
        <v>5.4533513887961543E-2</v>
      </c>
      <c r="K181">
        <v>2.1152299999999999</v>
      </c>
      <c r="L181">
        <f>-(Table3356[[#This Row],[time]]-2)*2</f>
        <v>-0.23045999999999989</v>
      </c>
      <c r="M181">
        <v>88.235799999999998</v>
      </c>
      <c r="N181">
        <v>7.2969999999999997</v>
      </c>
      <c r="O181">
        <f>Table3356[[#This Row],[CFNM]]/Table3356[[#This Row],[CAREA]]</f>
        <v>8.2698859193207297E-2</v>
      </c>
      <c r="P181">
        <v>2.1152299999999999</v>
      </c>
      <c r="Q181">
        <f>-(Table4357[[#This Row],[time]]-2)*2</f>
        <v>-0.23045999999999989</v>
      </c>
      <c r="R181">
        <v>87.683999999999997</v>
      </c>
      <c r="S181">
        <v>11.5648</v>
      </c>
      <c r="T181">
        <f>Table4357[[#This Row],[CFNM]]/Table4357[[#This Row],[CAREA]]</f>
        <v>0.13189179325760686</v>
      </c>
      <c r="U181">
        <v>2.1152299999999999</v>
      </c>
      <c r="V181">
        <f>-(Table5358[[#This Row],[time]]-2)*2</f>
        <v>-0.23045999999999989</v>
      </c>
      <c r="W181">
        <v>81.682199999999995</v>
      </c>
      <c r="X181">
        <v>18.043900000000001</v>
      </c>
      <c r="Y181">
        <f>Table5358[[#This Row],[CFNM]]/Table5358[[#This Row],[CAREA]]</f>
        <v>0.22090369750080191</v>
      </c>
      <c r="Z181">
        <v>2.1152299999999999</v>
      </c>
      <c r="AA181">
        <f>-(Table6359[[#This Row],[time]]-2)*2</f>
        <v>-0.23045999999999989</v>
      </c>
      <c r="AB181">
        <v>89.255399999999995</v>
      </c>
      <c r="AC181">
        <v>27.592700000000001</v>
      </c>
      <c r="AD181">
        <f>Table6359[[#This Row],[CFNM]]/Table6359[[#This Row],[CAREA]]</f>
        <v>0.30914320029936565</v>
      </c>
      <c r="AE181">
        <v>2.1152299999999999</v>
      </c>
      <c r="AF181">
        <f>-(Table7360[[#This Row],[time]]-2)*2</f>
        <v>-0.23045999999999989</v>
      </c>
      <c r="AG181">
        <v>79.581900000000005</v>
      </c>
      <c r="AH181">
        <v>22.738800000000001</v>
      </c>
      <c r="AI181">
        <f>Table7360[[#This Row],[CFNM]]/Table7360[[#This Row],[CAREA]]</f>
        <v>0.28572828746235013</v>
      </c>
      <c r="AJ181">
        <v>2.1152299999999999</v>
      </c>
      <c r="AK181">
        <f>-(Table8361[[#This Row],[time]]-2)*2</f>
        <v>-0.23045999999999989</v>
      </c>
      <c r="AL181">
        <v>82.610299999999995</v>
      </c>
      <c r="AM181">
        <v>23.796500000000002</v>
      </c>
      <c r="AN181">
        <f>Table8361[[#This Row],[CFNM]]/Table8361[[#This Row],[CAREA]]</f>
        <v>0.28805730036085092</v>
      </c>
    </row>
    <row r="182" spans="1:40">
      <c r="A182">
        <v>2.1585200000000002</v>
      </c>
      <c r="B182">
        <f>-(Table1354[[#This Row],[time]]-2)*2</f>
        <v>-0.31704000000000043</v>
      </c>
      <c r="C182">
        <v>89.843199999999996</v>
      </c>
      <c r="D182">
        <v>13.439500000000001</v>
      </c>
      <c r="E182">
        <f>Table1354[[#This Row],[CFNM]]/Table1354[[#This Row],[CAREA]]</f>
        <v>0.14958839400199461</v>
      </c>
      <c r="F182">
        <v>2.1585200000000002</v>
      </c>
      <c r="G182">
        <f>-(Table2355[[#This Row],[time]]-2)*2</f>
        <v>-0.31704000000000043</v>
      </c>
      <c r="H182">
        <v>96.408299999999997</v>
      </c>
      <c r="I182">
        <v>6.7173100000000003</v>
      </c>
      <c r="J182">
        <f>Table2355[[#This Row],[CFNM]]/Table2355[[#This Row],[CAREA]]</f>
        <v>6.9675639960459848E-2</v>
      </c>
      <c r="K182">
        <v>2.1585200000000002</v>
      </c>
      <c r="L182">
        <f>-(Table3356[[#This Row],[time]]-2)*2</f>
        <v>-0.31704000000000043</v>
      </c>
      <c r="M182">
        <v>88.820599999999999</v>
      </c>
      <c r="N182">
        <v>9.2400900000000004</v>
      </c>
      <c r="O182">
        <f>Table3356[[#This Row],[CFNM]]/Table3356[[#This Row],[CAREA]]</f>
        <v>0.10403093426524929</v>
      </c>
      <c r="P182">
        <v>2.1585200000000002</v>
      </c>
      <c r="Q182">
        <f>-(Table4357[[#This Row],[time]]-2)*2</f>
        <v>-0.31704000000000043</v>
      </c>
      <c r="R182">
        <v>88.083399999999997</v>
      </c>
      <c r="S182">
        <v>13.626300000000001</v>
      </c>
      <c r="T182">
        <f>Table4357[[#This Row],[CFNM]]/Table4357[[#This Row],[CAREA]]</f>
        <v>0.15469770694591717</v>
      </c>
      <c r="U182">
        <v>2.1585200000000002</v>
      </c>
      <c r="V182">
        <f>-(Table5358[[#This Row],[time]]-2)*2</f>
        <v>-0.31704000000000043</v>
      </c>
      <c r="W182">
        <v>80.984399999999994</v>
      </c>
      <c r="X182">
        <v>22.392099999999999</v>
      </c>
      <c r="Y182">
        <f>Table5358[[#This Row],[CFNM]]/Table5358[[#This Row],[CAREA]]</f>
        <v>0.27649893065825026</v>
      </c>
      <c r="Z182">
        <v>2.1585200000000002</v>
      </c>
      <c r="AA182">
        <f>-(Table6359[[#This Row],[time]]-2)*2</f>
        <v>-0.31704000000000043</v>
      </c>
      <c r="AB182">
        <v>89.083100000000002</v>
      </c>
      <c r="AC182">
        <v>33.115699999999997</v>
      </c>
      <c r="AD182">
        <f>Table6359[[#This Row],[CFNM]]/Table6359[[#This Row],[CAREA]]</f>
        <v>0.37173942083290767</v>
      </c>
      <c r="AE182">
        <v>2.1585200000000002</v>
      </c>
      <c r="AF182">
        <f>-(Table7360[[#This Row],[time]]-2)*2</f>
        <v>-0.31704000000000043</v>
      </c>
      <c r="AG182">
        <v>79.833399999999997</v>
      </c>
      <c r="AH182">
        <v>25.179600000000001</v>
      </c>
      <c r="AI182">
        <f>Table7360[[#This Row],[CFNM]]/Table7360[[#This Row],[CAREA]]</f>
        <v>0.31540182429910291</v>
      </c>
      <c r="AJ182">
        <v>2.1585200000000002</v>
      </c>
      <c r="AK182">
        <f>-(Table8361[[#This Row],[time]]-2)*2</f>
        <v>-0.31704000000000043</v>
      </c>
      <c r="AL182">
        <v>82.332400000000007</v>
      </c>
      <c r="AM182">
        <v>27.040500000000002</v>
      </c>
      <c r="AN182">
        <f>Table8361[[#This Row],[CFNM]]/Table8361[[#This Row],[CAREA]]</f>
        <v>0.32843084860881011</v>
      </c>
    </row>
    <row r="183" spans="1:40">
      <c r="A183">
        <v>2.20492</v>
      </c>
      <c r="B183">
        <f>-(Table1354[[#This Row],[time]]-2)*2</f>
        <v>-0.40983999999999998</v>
      </c>
      <c r="C183">
        <v>90.638099999999994</v>
      </c>
      <c r="D183">
        <v>14.6838</v>
      </c>
      <c r="E183">
        <f>Table1354[[#This Row],[CFNM]]/Table1354[[#This Row],[CAREA]]</f>
        <v>0.16200471986945889</v>
      </c>
      <c r="F183">
        <v>2.20492</v>
      </c>
      <c r="G183">
        <f>-(Table2355[[#This Row],[time]]-2)*2</f>
        <v>-0.40983999999999998</v>
      </c>
      <c r="H183">
        <v>97.496700000000004</v>
      </c>
      <c r="I183">
        <v>8.8152399999999993</v>
      </c>
      <c r="J183">
        <f>Table2355[[#This Row],[CFNM]]/Table2355[[#This Row],[CAREA]]</f>
        <v>9.0415778175056166E-2</v>
      </c>
      <c r="K183">
        <v>2.20492</v>
      </c>
      <c r="L183">
        <f>-(Table3356[[#This Row],[time]]-2)*2</f>
        <v>-0.40983999999999998</v>
      </c>
      <c r="M183">
        <v>89.404499999999999</v>
      </c>
      <c r="N183">
        <v>11.4739</v>
      </c>
      <c r="O183">
        <f>Table3356[[#This Row],[CFNM]]/Table3356[[#This Row],[CAREA]]</f>
        <v>0.12833694053431316</v>
      </c>
      <c r="P183">
        <v>2.20492</v>
      </c>
      <c r="Q183">
        <f>-(Table4357[[#This Row],[time]]-2)*2</f>
        <v>-0.40983999999999998</v>
      </c>
      <c r="R183">
        <v>88.4392</v>
      </c>
      <c r="S183">
        <v>16.021100000000001</v>
      </c>
      <c r="T183">
        <f>Table4357[[#This Row],[CFNM]]/Table4357[[#This Row],[CAREA]]</f>
        <v>0.18115383223728845</v>
      </c>
      <c r="U183">
        <v>2.20492</v>
      </c>
      <c r="V183">
        <f>-(Table5358[[#This Row],[time]]-2)*2</f>
        <v>-0.40983999999999998</v>
      </c>
      <c r="W183">
        <v>80.097499999999997</v>
      </c>
      <c r="X183">
        <v>26.188800000000001</v>
      </c>
      <c r="Y183">
        <f>Table5358[[#This Row],[CFNM]]/Table5358[[#This Row],[CAREA]]</f>
        <v>0.32696151565279818</v>
      </c>
      <c r="Z183">
        <v>2.20492</v>
      </c>
      <c r="AA183">
        <f>-(Table6359[[#This Row],[time]]-2)*2</f>
        <v>-0.40983999999999998</v>
      </c>
      <c r="AB183">
        <v>88.2744</v>
      </c>
      <c r="AC183">
        <v>37.9861</v>
      </c>
      <c r="AD183">
        <f>Table6359[[#This Row],[CFNM]]/Table6359[[#This Row],[CAREA]]</f>
        <v>0.43031841621126848</v>
      </c>
      <c r="AE183">
        <v>2.20492</v>
      </c>
      <c r="AF183">
        <f>-(Table7360[[#This Row],[time]]-2)*2</f>
        <v>-0.40983999999999998</v>
      </c>
      <c r="AG183">
        <v>80.0779</v>
      </c>
      <c r="AH183">
        <v>28.374099999999999</v>
      </c>
      <c r="AI183">
        <f>Table7360[[#This Row],[CFNM]]/Table7360[[#This Row],[CAREA]]</f>
        <v>0.35433121997454975</v>
      </c>
      <c r="AJ183">
        <v>2.20492</v>
      </c>
      <c r="AK183">
        <f>-(Table8361[[#This Row],[time]]-2)*2</f>
        <v>-0.40983999999999998</v>
      </c>
      <c r="AL183">
        <v>82.096900000000005</v>
      </c>
      <c r="AM183">
        <v>30.604600000000001</v>
      </c>
      <c r="AN183">
        <f>Table8361[[#This Row],[CFNM]]/Table8361[[#This Row],[CAREA]]</f>
        <v>0.37278630496401205</v>
      </c>
    </row>
    <row r="184" spans="1:40">
      <c r="A184">
        <v>2.2500100000000001</v>
      </c>
      <c r="B184">
        <f>-(Table1354[[#This Row],[time]]-2)*2</f>
        <v>-0.50002000000000013</v>
      </c>
      <c r="C184">
        <v>91.392099999999999</v>
      </c>
      <c r="D184">
        <v>16.0228</v>
      </c>
      <c r="E184">
        <f>Table1354[[#This Row],[CFNM]]/Table1354[[#This Row],[CAREA]]</f>
        <v>0.1753193109688912</v>
      </c>
      <c r="F184">
        <v>2.2500100000000001</v>
      </c>
      <c r="G184">
        <f>-(Table2355[[#This Row],[time]]-2)*2</f>
        <v>-0.50002000000000013</v>
      </c>
      <c r="H184">
        <v>98.337800000000001</v>
      </c>
      <c r="I184">
        <v>10.833</v>
      </c>
      <c r="J184">
        <f>Table2355[[#This Row],[CFNM]]/Table2355[[#This Row],[CAREA]]</f>
        <v>0.11016109776708448</v>
      </c>
      <c r="K184">
        <v>2.2500100000000001</v>
      </c>
      <c r="L184">
        <f>-(Table3356[[#This Row],[time]]-2)*2</f>
        <v>-0.50002000000000013</v>
      </c>
      <c r="M184">
        <v>89.741600000000005</v>
      </c>
      <c r="N184">
        <v>14.0199</v>
      </c>
      <c r="O184">
        <f>Table3356[[#This Row],[CFNM]]/Table3356[[#This Row],[CAREA]]</f>
        <v>0.15622520659315189</v>
      </c>
      <c r="P184">
        <v>2.2500100000000001</v>
      </c>
      <c r="Q184">
        <f>-(Table4357[[#This Row],[time]]-2)*2</f>
        <v>-0.50002000000000013</v>
      </c>
      <c r="R184">
        <v>88.540499999999994</v>
      </c>
      <c r="S184">
        <v>18.570699999999999</v>
      </c>
      <c r="T184">
        <f>Table4357[[#This Row],[CFNM]]/Table4357[[#This Row],[CAREA]]</f>
        <v>0.20974243425325134</v>
      </c>
      <c r="U184">
        <v>2.2500100000000001</v>
      </c>
      <c r="V184">
        <f>-(Table5358[[#This Row],[time]]-2)*2</f>
        <v>-0.50002000000000013</v>
      </c>
      <c r="W184">
        <v>79.166899999999998</v>
      </c>
      <c r="X184">
        <v>28.9374</v>
      </c>
      <c r="Y184">
        <f>Table5358[[#This Row],[CFNM]]/Table5358[[#This Row],[CAREA]]</f>
        <v>0.36552397529775704</v>
      </c>
      <c r="Z184">
        <v>2.2500100000000001</v>
      </c>
      <c r="AA184">
        <f>-(Table6359[[#This Row],[time]]-2)*2</f>
        <v>-0.50002000000000013</v>
      </c>
      <c r="AB184">
        <v>87.274500000000003</v>
      </c>
      <c r="AC184">
        <v>41.828800000000001</v>
      </c>
      <c r="AD184">
        <f>Table6359[[#This Row],[CFNM]]/Table6359[[#This Row],[CAREA]]</f>
        <v>0.47927859798681172</v>
      </c>
      <c r="AE184">
        <v>2.2500100000000001</v>
      </c>
      <c r="AF184">
        <f>-(Table7360[[#This Row],[time]]-2)*2</f>
        <v>-0.50002000000000013</v>
      </c>
      <c r="AG184">
        <v>80.1678</v>
      </c>
      <c r="AH184">
        <v>31.7927</v>
      </c>
      <c r="AI184">
        <f>Table7360[[#This Row],[CFNM]]/Table7360[[#This Row],[CAREA]]</f>
        <v>0.39657692988955667</v>
      </c>
      <c r="AJ184">
        <v>2.2500100000000001</v>
      </c>
      <c r="AK184">
        <f>-(Table8361[[#This Row],[time]]-2)*2</f>
        <v>-0.50002000000000013</v>
      </c>
      <c r="AL184">
        <v>81.875600000000006</v>
      </c>
      <c r="AM184">
        <v>33.880000000000003</v>
      </c>
      <c r="AN184">
        <f>Table8361[[#This Row],[CFNM]]/Table8361[[#This Row],[CAREA]]</f>
        <v>0.41379849430111049</v>
      </c>
    </row>
    <row r="185" spans="1:40">
      <c r="A185">
        <v>2.3036400000000001</v>
      </c>
      <c r="B185">
        <f>-(Table1354[[#This Row],[time]]-2)*2</f>
        <v>-0.60728000000000026</v>
      </c>
      <c r="C185">
        <v>91.987799999999993</v>
      </c>
      <c r="D185">
        <v>17.748200000000001</v>
      </c>
      <c r="E185">
        <f>Table1354[[#This Row],[CFNM]]/Table1354[[#This Row],[CAREA]]</f>
        <v>0.19294080301953087</v>
      </c>
      <c r="F185">
        <v>2.3036400000000001</v>
      </c>
      <c r="G185">
        <f>-(Table2355[[#This Row],[time]]-2)*2</f>
        <v>-0.60728000000000026</v>
      </c>
      <c r="H185">
        <v>99.148099999999999</v>
      </c>
      <c r="I185">
        <v>13.229100000000001</v>
      </c>
      <c r="J185">
        <f>Table2355[[#This Row],[CFNM]]/Table2355[[#This Row],[CAREA]]</f>
        <v>0.13342767032348579</v>
      </c>
      <c r="K185">
        <v>2.3036400000000001</v>
      </c>
      <c r="L185">
        <f>-(Table3356[[#This Row],[time]]-2)*2</f>
        <v>-0.60728000000000026</v>
      </c>
      <c r="M185">
        <v>90.144499999999994</v>
      </c>
      <c r="N185">
        <v>17.1355</v>
      </c>
      <c r="O185">
        <f>Table3356[[#This Row],[CFNM]]/Table3356[[#This Row],[CAREA]]</f>
        <v>0.19008924560011983</v>
      </c>
      <c r="P185">
        <v>2.3036400000000001</v>
      </c>
      <c r="Q185">
        <f>-(Table4357[[#This Row],[time]]-2)*2</f>
        <v>-0.60728000000000026</v>
      </c>
      <c r="R185">
        <v>88.281899999999993</v>
      </c>
      <c r="S185">
        <v>22.1876</v>
      </c>
      <c r="T185">
        <f>Table4357[[#This Row],[CFNM]]/Table4357[[#This Row],[CAREA]]</f>
        <v>0.25132671589533079</v>
      </c>
      <c r="U185">
        <v>2.3036400000000001</v>
      </c>
      <c r="V185">
        <f>-(Table5358[[#This Row],[time]]-2)*2</f>
        <v>-0.60728000000000026</v>
      </c>
      <c r="W185">
        <v>77.860600000000005</v>
      </c>
      <c r="X185">
        <v>31.972000000000001</v>
      </c>
      <c r="Y185">
        <f>Table5358[[#This Row],[CFNM]]/Table5358[[#This Row],[CAREA]]</f>
        <v>0.41063130774743578</v>
      </c>
      <c r="Z185">
        <v>2.3036400000000001</v>
      </c>
      <c r="AA185">
        <f>-(Table6359[[#This Row],[time]]-2)*2</f>
        <v>-0.60728000000000026</v>
      </c>
      <c r="AB185">
        <v>85.906999999999996</v>
      </c>
      <c r="AC185">
        <v>45.967199999999998</v>
      </c>
      <c r="AD185">
        <f>Table6359[[#This Row],[CFNM]]/Table6359[[#This Row],[CAREA]]</f>
        <v>0.53508095964240399</v>
      </c>
      <c r="AE185">
        <v>2.3036400000000001</v>
      </c>
      <c r="AF185">
        <f>-(Table7360[[#This Row],[time]]-2)*2</f>
        <v>-0.60728000000000026</v>
      </c>
      <c r="AG185">
        <v>80.044300000000007</v>
      </c>
      <c r="AH185">
        <v>35.864100000000001</v>
      </c>
      <c r="AI185">
        <f>Table7360[[#This Row],[CFNM]]/Table7360[[#This Row],[CAREA]]</f>
        <v>0.44805314057340745</v>
      </c>
      <c r="AJ185">
        <v>2.3036400000000001</v>
      </c>
      <c r="AK185">
        <f>-(Table8361[[#This Row],[time]]-2)*2</f>
        <v>-0.60728000000000026</v>
      </c>
      <c r="AL185">
        <v>81.338899999999995</v>
      </c>
      <c r="AM185">
        <v>37.833799999999997</v>
      </c>
      <c r="AN185">
        <f>Table8361[[#This Row],[CFNM]]/Table8361[[#This Row],[CAREA]]</f>
        <v>0.46513783687755794</v>
      </c>
    </row>
    <row r="186" spans="1:40">
      <c r="A186">
        <v>2.3541699999999999</v>
      </c>
      <c r="B186">
        <f>-(Table1354[[#This Row],[time]]-2)*2</f>
        <v>-0.70833999999999975</v>
      </c>
      <c r="C186">
        <v>91.764300000000006</v>
      </c>
      <c r="D186">
        <v>19.456800000000001</v>
      </c>
      <c r="E186">
        <f>Table1354[[#This Row],[CFNM]]/Table1354[[#This Row],[CAREA]]</f>
        <v>0.21203016859497648</v>
      </c>
      <c r="F186">
        <v>2.3541699999999999</v>
      </c>
      <c r="G186">
        <f>-(Table2355[[#This Row],[time]]-2)*2</f>
        <v>-0.70833999999999975</v>
      </c>
      <c r="H186">
        <v>100.282</v>
      </c>
      <c r="I186">
        <v>15.553599999999999</v>
      </c>
      <c r="J186">
        <f>Table2355[[#This Row],[CFNM]]/Table2355[[#This Row],[CAREA]]</f>
        <v>0.15509862188628068</v>
      </c>
      <c r="K186">
        <v>2.3541699999999999</v>
      </c>
      <c r="L186">
        <f>-(Table3356[[#This Row],[time]]-2)*2</f>
        <v>-0.70833999999999975</v>
      </c>
      <c r="M186">
        <v>89.9114</v>
      </c>
      <c r="N186">
        <v>20.177800000000001</v>
      </c>
      <c r="O186">
        <f>Table3356[[#This Row],[CFNM]]/Table3356[[#This Row],[CAREA]]</f>
        <v>0.22441870552566195</v>
      </c>
      <c r="P186">
        <v>2.3541699999999999</v>
      </c>
      <c r="Q186">
        <f>-(Table4357[[#This Row],[time]]-2)*2</f>
        <v>-0.70833999999999975</v>
      </c>
      <c r="R186">
        <v>87.698899999999995</v>
      </c>
      <c r="S186">
        <v>26.027899999999999</v>
      </c>
      <c r="T186">
        <f>Table4357[[#This Row],[CFNM]]/Table4357[[#This Row],[CAREA]]</f>
        <v>0.29678707486638944</v>
      </c>
      <c r="U186">
        <v>2.3541699999999999</v>
      </c>
      <c r="V186">
        <f>-(Table5358[[#This Row],[time]]-2)*2</f>
        <v>-0.70833999999999975</v>
      </c>
      <c r="W186">
        <v>76.402500000000003</v>
      </c>
      <c r="X186">
        <v>34.6661</v>
      </c>
      <c r="Y186">
        <f>Table5358[[#This Row],[CFNM]]/Table5358[[#This Row],[CAREA]]</f>
        <v>0.45372991721475081</v>
      </c>
      <c r="Z186">
        <v>2.3541699999999999</v>
      </c>
      <c r="AA186">
        <f>-(Table6359[[#This Row],[time]]-2)*2</f>
        <v>-0.70833999999999975</v>
      </c>
      <c r="AB186">
        <v>83.9863</v>
      </c>
      <c r="AC186">
        <v>49.600099999999998</v>
      </c>
      <c r="AD186">
        <f>Table6359[[#This Row],[CFNM]]/Table6359[[#This Row],[CAREA]]</f>
        <v>0.59057370071071114</v>
      </c>
      <c r="AE186">
        <v>2.3541699999999999</v>
      </c>
      <c r="AF186">
        <f>-(Table7360[[#This Row],[time]]-2)*2</f>
        <v>-0.70833999999999975</v>
      </c>
      <c r="AG186">
        <v>79.773200000000003</v>
      </c>
      <c r="AH186">
        <v>39.6599</v>
      </c>
      <c r="AI186">
        <f>Table7360[[#This Row],[CFNM]]/Table7360[[#This Row],[CAREA]]</f>
        <v>0.49715819347851159</v>
      </c>
      <c r="AJ186">
        <v>2.3541699999999999</v>
      </c>
      <c r="AK186">
        <f>-(Table8361[[#This Row],[time]]-2)*2</f>
        <v>-0.70833999999999975</v>
      </c>
      <c r="AL186">
        <v>81.015799999999999</v>
      </c>
      <c r="AM186">
        <v>41.455100000000002</v>
      </c>
      <c r="AN186">
        <f>Table8361[[#This Row],[CFNM]]/Table8361[[#This Row],[CAREA]]</f>
        <v>0.51169154658720895</v>
      </c>
    </row>
    <row r="187" spans="1:40">
      <c r="A187">
        <v>2.4023099999999999</v>
      </c>
      <c r="B187">
        <f>-(Table1354[[#This Row],[time]]-2)*2</f>
        <v>-0.80461999999999989</v>
      </c>
      <c r="C187">
        <v>89.967600000000004</v>
      </c>
      <c r="D187">
        <v>21.180399999999999</v>
      </c>
      <c r="E187">
        <f>Table1354[[#This Row],[CFNM]]/Table1354[[#This Row],[CAREA]]</f>
        <v>0.23542252988853762</v>
      </c>
      <c r="F187">
        <v>2.4023099999999999</v>
      </c>
      <c r="G187">
        <f>-(Table2355[[#This Row],[time]]-2)*2</f>
        <v>-0.80461999999999989</v>
      </c>
      <c r="H187">
        <v>100.996</v>
      </c>
      <c r="I187">
        <v>17.9468</v>
      </c>
      <c r="J187">
        <f>Table2355[[#This Row],[CFNM]]/Table2355[[#This Row],[CAREA]]</f>
        <v>0.17769812665848153</v>
      </c>
      <c r="K187">
        <v>2.4023099999999999</v>
      </c>
      <c r="L187">
        <f>-(Table3356[[#This Row],[time]]-2)*2</f>
        <v>-0.80461999999999989</v>
      </c>
      <c r="M187">
        <v>89.256200000000007</v>
      </c>
      <c r="N187">
        <v>23.262</v>
      </c>
      <c r="O187">
        <f>Table3356[[#This Row],[CFNM]]/Table3356[[#This Row],[CAREA]]</f>
        <v>0.26062055072924906</v>
      </c>
      <c r="P187">
        <v>2.4023099999999999</v>
      </c>
      <c r="Q187">
        <f>-(Table4357[[#This Row],[time]]-2)*2</f>
        <v>-0.80461999999999989</v>
      </c>
      <c r="R187">
        <v>87.297200000000004</v>
      </c>
      <c r="S187">
        <v>30.102599999999999</v>
      </c>
      <c r="T187">
        <f>Table4357[[#This Row],[CFNM]]/Table4357[[#This Row],[CAREA]]</f>
        <v>0.34482892922109754</v>
      </c>
      <c r="U187">
        <v>2.4023099999999999</v>
      </c>
      <c r="V187">
        <f>-(Table5358[[#This Row],[time]]-2)*2</f>
        <v>-0.80461999999999989</v>
      </c>
      <c r="W187">
        <v>74.986199999999997</v>
      </c>
      <c r="X187">
        <v>37.060099999999998</v>
      </c>
      <c r="Y187">
        <f>Table5358[[#This Row],[CFNM]]/Table5358[[#This Row],[CAREA]]</f>
        <v>0.4942256041778354</v>
      </c>
      <c r="Z187">
        <v>2.4023099999999999</v>
      </c>
      <c r="AA187">
        <f>-(Table6359[[#This Row],[time]]-2)*2</f>
        <v>-0.80461999999999989</v>
      </c>
      <c r="AB187">
        <v>82.746799999999993</v>
      </c>
      <c r="AC187">
        <v>52.9114</v>
      </c>
      <c r="AD187">
        <f>Table6359[[#This Row],[CFNM]]/Table6359[[#This Row],[CAREA]]</f>
        <v>0.63943741631096318</v>
      </c>
      <c r="AE187">
        <v>2.4023099999999999</v>
      </c>
      <c r="AF187">
        <f>-(Table7360[[#This Row],[time]]-2)*2</f>
        <v>-0.80461999999999989</v>
      </c>
      <c r="AG187">
        <v>79.262799999999999</v>
      </c>
      <c r="AH187">
        <v>43.183500000000002</v>
      </c>
      <c r="AI187">
        <f>Table7360[[#This Row],[CFNM]]/Table7360[[#This Row],[CAREA]]</f>
        <v>0.54481421297254207</v>
      </c>
      <c r="AJ187">
        <v>2.4023099999999999</v>
      </c>
      <c r="AK187">
        <f>-(Table8361[[#This Row],[time]]-2)*2</f>
        <v>-0.80461999999999989</v>
      </c>
      <c r="AL187">
        <v>79.882599999999996</v>
      </c>
      <c r="AM187">
        <v>44.841999999999999</v>
      </c>
      <c r="AN187">
        <f>Table8361[[#This Row],[CFNM]]/Table8361[[#This Row],[CAREA]]</f>
        <v>0.56134877933367222</v>
      </c>
    </row>
    <row r="188" spans="1:40">
      <c r="A188">
        <v>2.4522499999999998</v>
      </c>
      <c r="B188">
        <f>-(Table1354[[#This Row],[time]]-2)*2</f>
        <v>-0.90449999999999964</v>
      </c>
      <c r="C188">
        <v>89.753900000000002</v>
      </c>
      <c r="D188">
        <v>22.9693</v>
      </c>
      <c r="E188">
        <f>Table1354[[#This Row],[CFNM]]/Table1354[[#This Row],[CAREA]]</f>
        <v>0.25591422768258537</v>
      </c>
      <c r="F188">
        <v>2.4522499999999998</v>
      </c>
      <c r="G188">
        <f>-(Table2355[[#This Row],[time]]-2)*2</f>
        <v>-0.90449999999999964</v>
      </c>
      <c r="H188">
        <v>102.242</v>
      </c>
      <c r="I188">
        <v>20.200600000000001</v>
      </c>
      <c r="J188">
        <f>Table2355[[#This Row],[CFNM]]/Table2355[[#This Row],[CAREA]]</f>
        <v>0.19757633849103109</v>
      </c>
      <c r="K188">
        <v>2.4522499999999998</v>
      </c>
      <c r="L188">
        <f>-(Table3356[[#This Row],[time]]-2)*2</f>
        <v>-0.90449999999999964</v>
      </c>
      <c r="M188">
        <v>88.469399999999993</v>
      </c>
      <c r="N188">
        <v>26.425000000000001</v>
      </c>
      <c r="O188">
        <f>Table3356[[#This Row],[CFNM]]/Table3356[[#This Row],[CAREA]]</f>
        <v>0.2986908467786602</v>
      </c>
      <c r="P188">
        <v>2.4522499999999998</v>
      </c>
      <c r="Q188">
        <f>-(Table4357[[#This Row],[time]]-2)*2</f>
        <v>-0.90449999999999964</v>
      </c>
      <c r="R188">
        <v>87.141499999999994</v>
      </c>
      <c r="S188">
        <v>34.383400000000002</v>
      </c>
      <c r="T188">
        <f>Table4357[[#This Row],[CFNM]]/Table4357[[#This Row],[CAREA]]</f>
        <v>0.39456975149612988</v>
      </c>
      <c r="U188">
        <v>2.4522499999999998</v>
      </c>
      <c r="V188">
        <f>-(Table5358[[#This Row],[time]]-2)*2</f>
        <v>-0.90449999999999964</v>
      </c>
      <c r="W188">
        <v>71.764200000000002</v>
      </c>
      <c r="X188">
        <v>41.078299999999999</v>
      </c>
      <c r="Y188">
        <f>Table5358[[#This Row],[CFNM]]/Table5358[[#This Row],[CAREA]]</f>
        <v>0.57240657598078148</v>
      </c>
      <c r="Z188">
        <v>2.4522499999999998</v>
      </c>
      <c r="AA188">
        <f>-(Table6359[[#This Row],[time]]-2)*2</f>
        <v>-0.90449999999999964</v>
      </c>
      <c r="AB188">
        <v>80.149299999999997</v>
      </c>
      <c r="AC188">
        <v>57.100499999999997</v>
      </c>
      <c r="AD188">
        <f>Table6359[[#This Row],[CFNM]]/Table6359[[#This Row],[CAREA]]</f>
        <v>0.71242668370154194</v>
      </c>
      <c r="AE188">
        <v>2.4522499999999998</v>
      </c>
      <c r="AF188">
        <f>-(Table7360[[#This Row],[time]]-2)*2</f>
        <v>-0.90449999999999964</v>
      </c>
      <c r="AG188">
        <v>78.352599999999995</v>
      </c>
      <c r="AH188">
        <v>47.089799999999997</v>
      </c>
      <c r="AI188">
        <f>Table7360[[#This Row],[CFNM]]/Table7360[[#This Row],[CAREA]]</f>
        <v>0.60099856290665532</v>
      </c>
      <c r="AJ188">
        <v>2.4522499999999998</v>
      </c>
      <c r="AK188">
        <f>-(Table8361[[#This Row],[time]]-2)*2</f>
        <v>-0.90449999999999964</v>
      </c>
      <c r="AL188">
        <v>79.581699999999998</v>
      </c>
      <c r="AM188">
        <v>48.340600000000002</v>
      </c>
      <c r="AN188">
        <f>Table8361[[#This Row],[CFNM]]/Table8361[[#This Row],[CAREA]]</f>
        <v>0.60743361853290401</v>
      </c>
    </row>
    <row r="189" spans="1:40">
      <c r="A189">
        <v>2.5054699999999999</v>
      </c>
      <c r="B189">
        <f>-(Table1354[[#This Row],[time]]-2)*2</f>
        <v>-1.0109399999999997</v>
      </c>
      <c r="C189">
        <v>89.467200000000005</v>
      </c>
      <c r="D189">
        <v>25.402799999999999</v>
      </c>
      <c r="E189">
        <f>Table1354[[#This Row],[CFNM]]/Table1354[[#This Row],[CAREA]]</f>
        <v>0.28393422393905249</v>
      </c>
      <c r="F189">
        <v>2.5054699999999999</v>
      </c>
      <c r="G189">
        <f>-(Table2355[[#This Row],[time]]-2)*2</f>
        <v>-1.0109399999999997</v>
      </c>
      <c r="H189">
        <v>102.673</v>
      </c>
      <c r="I189">
        <v>22.139800000000001</v>
      </c>
      <c r="J189">
        <f>Table2355[[#This Row],[CFNM]]/Table2355[[#This Row],[CAREA]]</f>
        <v>0.21563410049380072</v>
      </c>
      <c r="K189">
        <v>2.5054699999999999</v>
      </c>
      <c r="L189">
        <f>-(Table3356[[#This Row],[time]]-2)*2</f>
        <v>-1.0109399999999997</v>
      </c>
      <c r="M189">
        <v>88.218500000000006</v>
      </c>
      <c r="N189">
        <v>29.8673</v>
      </c>
      <c r="O189">
        <f>Table3356[[#This Row],[CFNM]]/Table3356[[#This Row],[CAREA]]</f>
        <v>0.33856050601631177</v>
      </c>
      <c r="P189">
        <v>2.5054699999999999</v>
      </c>
      <c r="Q189">
        <f>-(Table4357[[#This Row],[time]]-2)*2</f>
        <v>-1.0109399999999997</v>
      </c>
      <c r="R189">
        <v>86.893199999999993</v>
      </c>
      <c r="S189">
        <v>38.985500000000002</v>
      </c>
      <c r="T189">
        <f>Table4357[[#This Row],[CFNM]]/Table4357[[#This Row],[CAREA]]</f>
        <v>0.44865996418592025</v>
      </c>
      <c r="U189">
        <v>2.5054699999999999</v>
      </c>
      <c r="V189">
        <f>-(Table5358[[#This Row],[time]]-2)*2</f>
        <v>-1.0109399999999997</v>
      </c>
      <c r="W189">
        <v>66.438299999999998</v>
      </c>
      <c r="X189">
        <v>45.737900000000003</v>
      </c>
      <c r="Y189">
        <f>Table5358[[#This Row],[CFNM]]/Table5358[[#This Row],[CAREA]]</f>
        <v>0.68842670568030795</v>
      </c>
      <c r="Z189">
        <v>2.5054699999999999</v>
      </c>
      <c r="AA189">
        <f>-(Table6359[[#This Row],[time]]-2)*2</f>
        <v>-1.0109399999999997</v>
      </c>
      <c r="AB189">
        <v>75.746399999999994</v>
      </c>
      <c r="AC189">
        <v>61.9878</v>
      </c>
      <c r="AD189">
        <f>Table6359[[#This Row],[CFNM]]/Table6359[[#This Row],[CAREA]]</f>
        <v>0.81835968442064577</v>
      </c>
      <c r="AE189">
        <v>2.5054699999999999</v>
      </c>
      <c r="AF189">
        <f>-(Table7360[[#This Row],[time]]-2)*2</f>
        <v>-1.0109399999999997</v>
      </c>
      <c r="AG189">
        <v>77.406999999999996</v>
      </c>
      <c r="AH189">
        <v>51.414499999999997</v>
      </c>
      <c r="AI189">
        <f>Table7360[[#This Row],[CFNM]]/Table7360[[#This Row],[CAREA]]</f>
        <v>0.66420995517201287</v>
      </c>
      <c r="AJ189">
        <v>2.5054699999999999</v>
      </c>
      <c r="AK189">
        <f>-(Table8361[[#This Row],[time]]-2)*2</f>
        <v>-1.0109399999999997</v>
      </c>
      <c r="AL189">
        <v>79.201800000000006</v>
      </c>
      <c r="AM189">
        <v>52.256700000000002</v>
      </c>
      <c r="AN189">
        <f>Table8361[[#This Row],[CFNM]]/Table8361[[#This Row],[CAREA]]</f>
        <v>0.65979182291311556</v>
      </c>
    </row>
    <row r="190" spans="1:40">
      <c r="A190">
        <v>2.5501100000000001</v>
      </c>
      <c r="B190">
        <f>-(Table1354[[#This Row],[time]]-2)*2</f>
        <v>-1.1002200000000002</v>
      </c>
      <c r="C190">
        <v>88.982500000000002</v>
      </c>
      <c r="D190">
        <v>27.42</v>
      </c>
      <c r="E190">
        <f>Table1354[[#This Row],[CFNM]]/Table1354[[#This Row],[CAREA]]</f>
        <v>0.30815047902677495</v>
      </c>
      <c r="F190">
        <v>2.5501100000000001</v>
      </c>
      <c r="G190">
        <f>-(Table2355[[#This Row],[time]]-2)*2</f>
        <v>-1.1002200000000002</v>
      </c>
      <c r="H190">
        <v>102.759</v>
      </c>
      <c r="I190">
        <v>23.5915</v>
      </c>
      <c r="J190">
        <f>Table2355[[#This Row],[CFNM]]/Table2355[[#This Row],[CAREA]]</f>
        <v>0.22958086396325383</v>
      </c>
      <c r="K190">
        <v>2.5501100000000001</v>
      </c>
      <c r="L190">
        <f>-(Table3356[[#This Row],[time]]-2)*2</f>
        <v>-1.1002200000000002</v>
      </c>
      <c r="M190">
        <v>87.541899999999998</v>
      </c>
      <c r="N190">
        <v>32.714700000000001</v>
      </c>
      <c r="O190">
        <f>Table3356[[#This Row],[CFNM]]/Table3356[[#This Row],[CAREA]]</f>
        <v>0.37370333520291427</v>
      </c>
      <c r="P190">
        <v>2.5501100000000001</v>
      </c>
      <c r="Q190">
        <f>-(Table4357[[#This Row],[time]]-2)*2</f>
        <v>-1.1002200000000002</v>
      </c>
      <c r="R190">
        <v>86.552499999999995</v>
      </c>
      <c r="S190">
        <v>42.657800000000002</v>
      </c>
      <c r="T190">
        <f>Table4357[[#This Row],[CFNM]]/Table4357[[#This Row],[CAREA]]</f>
        <v>0.49285462580514722</v>
      </c>
      <c r="U190">
        <v>2.5501100000000001</v>
      </c>
      <c r="V190">
        <f>-(Table5358[[#This Row],[time]]-2)*2</f>
        <v>-1.1002200000000002</v>
      </c>
      <c r="W190">
        <v>60.722499999999997</v>
      </c>
      <c r="X190">
        <v>49.698599999999999</v>
      </c>
      <c r="Y190">
        <f>Table5358[[#This Row],[CFNM]]/Table5358[[#This Row],[CAREA]]</f>
        <v>0.81845444439869908</v>
      </c>
      <c r="Z190">
        <v>2.5501100000000001</v>
      </c>
      <c r="AA190">
        <f>-(Table6359[[#This Row],[time]]-2)*2</f>
        <v>-1.1002200000000002</v>
      </c>
      <c r="AB190">
        <v>71.656800000000004</v>
      </c>
      <c r="AC190">
        <v>66.39</v>
      </c>
      <c r="AD190">
        <f>Table6359[[#This Row],[CFNM]]/Table6359[[#This Row],[CAREA]]</f>
        <v>0.92649964832367615</v>
      </c>
      <c r="AE190">
        <v>2.5501100000000001</v>
      </c>
      <c r="AF190">
        <f>-(Table7360[[#This Row],[time]]-2)*2</f>
        <v>-1.1002200000000002</v>
      </c>
      <c r="AG190">
        <v>76.627700000000004</v>
      </c>
      <c r="AH190">
        <v>54.987099999999998</v>
      </c>
      <c r="AI190">
        <f>Table7360[[#This Row],[CFNM]]/Table7360[[#This Row],[CAREA]]</f>
        <v>0.71758776525982115</v>
      </c>
      <c r="AJ190">
        <v>2.5501100000000001</v>
      </c>
      <c r="AK190">
        <f>-(Table8361[[#This Row],[time]]-2)*2</f>
        <v>-1.1002200000000002</v>
      </c>
      <c r="AL190">
        <v>78.886399999999995</v>
      </c>
      <c r="AM190">
        <v>55.581699999999998</v>
      </c>
      <c r="AN190">
        <f>Table8361[[#This Row],[CFNM]]/Table8361[[#This Row],[CAREA]]</f>
        <v>0.70457898953431775</v>
      </c>
    </row>
    <row r="191" spans="1:40">
      <c r="A191">
        <v>2.6047400000000001</v>
      </c>
      <c r="B191">
        <f>-(Table1354[[#This Row],[time]]-2)*2</f>
        <v>-1.2094800000000001</v>
      </c>
      <c r="C191">
        <v>87.793099999999995</v>
      </c>
      <c r="D191">
        <v>29.7621</v>
      </c>
      <c r="E191">
        <f>Table1354[[#This Row],[CFNM]]/Table1354[[#This Row],[CAREA]]</f>
        <v>0.33900272344865373</v>
      </c>
      <c r="F191">
        <v>2.6047400000000001</v>
      </c>
      <c r="G191">
        <f>-(Table2355[[#This Row],[time]]-2)*2</f>
        <v>-1.2094800000000001</v>
      </c>
      <c r="H191">
        <v>101.745</v>
      </c>
      <c r="I191">
        <v>25.293700000000001</v>
      </c>
      <c r="J191">
        <f>Table2355[[#This Row],[CFNM]]/Table2355[[#This Row],[CAREA]]</f>
        <v>0.24859894835127033</v>
      </c>
      <c r="K191">
        <v>2.6047400000000001</v>
      </c>
      <c r="L191">
        <f>-(Table3356[[#This Row],[time]]-2)*2</f>
        <v>-1.2094800000000001</v>
      </c>
      <c r="M191">
        <v>86.493300000000005</v>
      </c>
      <c r="N191">
        <v>36.155299999999997</v>
      </c>
      <c r="O191">
        <f>Table3356[[#This Row],[CFNM]]/Table3356[[#This Row],[CAREA]]</f>
        <v>0.41801272468503337</v>
      </c>
      <c r="P191">
        <v>2.6047400000000001</v>
      </c>
      <c r="Q191">
        <f>-(Table4357[[#This Row],[time]]-2)*2</f>
        <v>-1.2094800000000001</v>
      </c>
      <c r="R191">
        <v>86.236400000000003</v>
      </c>
      <c r="S191">
        <v>47.038699999999999</v>
      </c>
      <c r="T191">
        <f>Table4357[[#This Row],[CFNM]]/Table4357[[#This Row],[CAREA]]</f>
        <v>0.54546224100263918</v>
      </c>
      <c r="U191">
        <v>2.6047400000000001</v>
      </c>
      <c r="V191">
        <f>-(Table5358[[#This Row],[time]]-2)*2</f>
        <v>-1.2094800000000001</v>
      </c>
      <c r="W191">
        <v>54.155099999999997</v>
      </c>
      <c r="X191">
        <v>54.818100000000001</v>
      </c>
      <c r="Y191">
        <f>Table5358[[#This Row],[CFNM]]/Table5358[[#This Row],[CAREA]]</f>
        <v>1.0122426142690162</v>
      </c>
      <c r="Z191">
        <v>2.6047400000000001</v>
      </c>
      <c r="AA191">
        <f>-(Table6359[[#This Row],[time]]-2)*2</f>
        <v>-1.2094800000000001</v>
      </c>
      <c r="AB191">
        <v>65.113399999999999</v>
      </c>
      <c r="AC191">
        <v>72.123199999999997</v>
      </c>
      <c r="AD191">
        <f>Table6359[[#This Row],[CFNM]]/Table6359[[#This Row],[CAREA]]</f>
        <v>1.1076552599004199</v>
      </c>
      <c r="AE191">
        <v>2.6047400000000001</v>
      </c>
      <c r="AF191">
        <f>-(Table7360[[#This Row],[time]]-2)*2</f>
        <v>-1.2094800000000001</v>
      </c>
      <c r="AG191">
        <v>75.6875</v>
      </c>
      <c r="AH191">
        <v>59.314900000000002</v>
      </c>
      <c r="AI191">
        <f>Table7360[[#This Row],[CFNM]]/Table7360[[#This Row],[CAREA]]</f>
        <v>0.78368158546655653</v>
      </c>
      <c r="AJ191">
        <v>2.6047400000000001</v>
      </c>
      <c r="AK191">
        <f>-(Table8361[[#This Row],[time]]-2)*2</f>
        <v>-1.2094800000000001</v>
      </c>
      <c r="AL191">
        <v>77.041700000000006</v>
      </c>
      <c r="AM191">
        <v>59.740299999999998</v>
      </c>
      <c r="AN191">
        <f>Table8361[[#This Row],[CFNM]]/Table8361[[#This Row],[CAREA]]</f>
        <v>0.77542811230800968</v>
      </c>
    </row>
    <row r="192" spans="1:40">
      <c r="A192">
        <v>2.65523</v>
      </c>
      <c r="B192">
        <f>-(Table1354[[#This Row],[time]]-2)*2</f>
        <v>-1.31046</v>
      </c>
      <c r="C192">
        <v>86.421199999999999</v>
      </c>
      <c r="D192">
        <v>31.998899999999999</v>
      </c>
      <c r="E192">
        <f>Table1354[[#This Row],[CFNM]]/Table1354[[#This Row],[CAREA]]</f>
        <v>0.37026678639037641</v>
      </c>
      <c r="F192">
        <v>2.65523</v>
      </c>
      <c r="G192">
        <f>-(Table2355[[#This Row],[time]]-2)*2</f>
        <v>-1.31046</v>
      </c>
      <c r="H192">
        <v>101.32899999999999</v>
      </c>
      <c r="I192">
        <v>26.905000000000001</v>
      </c>
      <c r="J192">
        <f>Table2355[[#This Row],[CFNM]]/Table2355[[#This Row],[CAREA]]</f>
        <v>0.26552122294703395</v>
      </c>
      <c r="K192">
        <v>2.65523</v>
      </c>
      <c r="L192">
        <f>-(Table3356[[#This Row],[time]]-2)*2</f>
        <v>-1.31046</v>
      </c>
      <c r="M192">
        <v>85.677000000000007</v>
      </c>
      <c r="N192">
        <v>39.387900000000002</v>
      </c>
      <c r="O192">
        <f>Table3356[[#This Row],[CFNM]]/Table3356[[#This Row],[CAREA]]</f>
        <v>0.45972548058405405</v>
      </c>
      <c r="P192">
        <v>2.65523</v>
      </c>
      <c r="Q192">
        <f>-(Table4357[[#This Row],[time]]-2)*2</f>
        <v>-1.31046</v>
      </c>
      <c r="R192">
        <v>85.991200000000006</v>
      </c>
      <c r="S192">
        <v>51.245399999999997</v>
      </c>
      <c r="T192">
        <f>Table4357[[#This Row],[CFNM]]/Table4357[[#This Row],[CAREA]]</f>
        <v>0.59593772386011579</v>
      </c>
      <c r="U192">
        <v>2.65523</v>
      </c>
      <c r="V192">
        <f>-(Table5358[[#This Row],[time]]-2)*2</f>
        <v>-1.31046</v>
      </c>
      <c r="W192">
        <v>48.872599999999998</v>
      </c>
      <c r="X192">
        <v>59.457700000000003</v>
      </c>
      <c r="Y192">
        <f>Table5358[[#This Row],[CFNM]]/Table5358[[#This Row],[CAREA]]</f>
        <v>1.2165855714654019</v>
      </c>
      <c r="Z192">
        <v>2.65523</v>
      </c>
      <c r="AA192">
        <f>-(Table6359[[#This Row],[time]]-2)*2</f>
        <v>-1.31046</v>
      </c>
      <c r="AB192">
        <v>59.279499999999999</v>
      </c>
      <c r="AC192">
        <v>77.374099999999999</v>
      </c>
      <c r="AD192">
        <f>Table6359[[#This Row],[CFNM]]/Table6359[[#This Row],[CAREA]]</f>
        <v>1.3052421157398426</v>
      </c>
      <c r="AE192">
        <v>2.65523</v>
      </c>
      <c r="AF192">
        <f>-(Table7360[[#This Row],[time]]-2)*2</f>
        <v>-1.31046</v>
      </c>
      <c r="AG192">
        <v>74.811599999999999</v>
      </c>
      <c r="AH192">
        <v>63.395600000000002</v>
      </c>
      <c r="AI192">
        <f>Table7360[[#This Row],[CFNM]]/Table7360[[#This Row],[CAREA]]</f>
        <v>0.84740334386645921</v>
      </c>
      <c r="AJ192">
        <v>2.65523</v>
      </c>
      <c r="AK192">
        <f>-(Table8361[[#This Row],[time]]-2)*2</f>
        <v>-1.31046</v>
      </c>
      <c r="AL192">
        <v>76.736699999999999</v>
      </c>
      <c r="AM192">
        <v>63.707799999999999</v>
      </c>
      <c r="AN192">
        <f>Table8361[[#This Row],[CFNM]]/Table8361[[#This Row],[CAREA]]</f>
        <v>0.83021292289087234</v>
      </c>
    </row>
    <row r="193" spans="1:40">
      <c r="A193">
        <v>2.70472</v>
      </c>
      <c r="B193">
        <f>-(Table1354[[#This Row],[time]]-2)*2</f>
        <v>-1.40944</v>
      </c>
      <c r="C193">
        <v>84.593299999999999</v>
      </c>
      <c r="D193">
        <v>34.285699999999999</v>
      </c>
      <c r="E193">
        <f>Table1354[[#This Row],[CFNM]]/Table1354[[#This Row],[CAREA]]</f>
        <v>0.40530041977319714</v>
      </c>
      <c r="F193">
        <v>2.70472</v>
      </c>
      <c r="G193">
        <f>-(Table2355[[#This Row],[time]]-2)*2</f>
        <v>-1.40944</v>
      </c>
      <c r="H193">
        <v>100.77200000000001</v>
      </c>
      <c r="I193">
        <v>28.4955</v>
      </c>
      <c r="J193">
        <f>Table2355[[#This Row],[CFNM]]/Table2355[[#This Row],[CAREA]]</f>
        <v>0.28277200015877424</v>
      </c>
      <c r="K193">
        <v>2.70472</v>
      </c>
      <c r="L193">
        <f>-(Table3356[[#This Row],[time]]-2)*2</f>
        <v>-1.40944</v>
      </c>
      <c r="M193">
        <v>84.742000000000004</v>
      </c>
      <c r="N193">
        <v>42.778500000000001</v>
      </c>
      <c r="O193">
        <f>Table3356[[#This Row],[CFNM]]/Table3356[[#This Row],[CAREA]]</f>
        <v>0.50480871350687972</v>
      </c>
      <c r="P193">
        <v>2.70472</v>
      </c>
      <c r="Q193">
        <f>-(Table4357[[#This Row],[time]]-2)*2</f>
        <v>-1.40944</v>
      </c>
      <c r="R193">
        <v>85.732100000000003</v>
      </c>
      <c r="S193">
        <v>55.077100000000002</v>
      </c>
      <c r="T193">
        <f>Table4357[[#This Row],[CFNM]]/Table4357[[#This Row],[CAREA]]</f>
        <v>0.64243264774804298</v>
      </c>
      <c r="U193">
        <v>2.70472</v>
      </c>
      <c r="V193">
        <f>-(Table5358[[#This Row],[time]]-2)*2</f>
        <v>-1.40944</v>
      </c>
      <c r="W193">
        <v>44.784799999999997</v>
      </c>
      <c r="X193">
        <v>63.818800000000003</v>
      </c>
      <c r="Y193">
        <f>Table5358[[#This Row],[CFNM]]/Table5358[[#This Row],[CAREA]]</f>
        <v>1.4250102713420627</v>
      </c>
      <c r="Z193">
        <v>2.70472</v>
      </c>
      <c r="AA193">
        <f>-(Table6359[[#This Row],[time]]-2)*2</f>
        <v>-1.40944</v>
      </c>
      <c r="AB193">
        <v>57.210900000000002</v>
      </c>
      <c r="AC193">
        <v>82.299899999999994</v>
      </c>
      <c r="AD193">
        <f>Table6359[[#This Row],[CFNM]]/Table6359[[#This Row],[CAREA]]</f>
        <v>1.4385353140747652</v>
      </c>
      <c r="AE193">
        <v>2.70472</v>
      </c>
      <c r="AF193">
        <f>-(Table7360[[#This Row],[time]]-2)*2</f>
        <v>-1.40944</v>
      </c>
      <c r="AG193">
        <v>74.100200000000001</v>
      </c>
      <c r="AH193">
        <v>67.2928</v>
      </c>
      <c r="AI193">
        <f>Table7360[[#This Row],[CFNM]]/Table7360[[#This Row],[CAREA]]</f>
        <v>0.90813250166666215</v>
      </c>
      <c r="AJ193">
        <v>2.70472</v>
      </c>
      <c r="AK193">
        <f>-(Table8361[[#This Row],[time]]-2)*2</f>
        <v>-1.40944</v>
      </c>
      <c r="AL193">
        <v>76.451300000000003</v>
      </c>
      <c r="AM193">
        <v>67.544600000000003</v>
      </c>
      <c r="AN193">
        <f>Table8361[[#This Row],[CFNM]]/Table8361[[#This Row],[CAREA]]</f>
        <v>0.88349838393853342</v>
      </c>
    </row>
    <row r="194" spans="1:40">
      <c r="A194">
        <v>2.7507000000000001</v>
      </c>
      <c r="B194">
        <f>-(Table1354[[#This Row],[time]]-2)*2</f>
        <v>-1.5014000000000003</v>
      </c>
      <c r="C194">
        <v>83.747299999999996</v>
      </c>
      <c r="D194">
        <v>36.536900000000003</v>
      </c>
      <c r="E194">
        <f>Table1354[[#This Row],[CFNM]]/Table1354[[#This Row],[CAREA]]</f>
        <v>0.43627555754036257</v>
      </c>
      <c r="F194">
        <v>2.7507000000000001</v>
      </c>
      <c r="G194">
        <f>-(Table2355[[#This Row],[time]]-2)*2</f>
        <v>-1.5014000000000003</v>
      </c>
      <c r="H194">
        <v>101.33</v>
      </c>
      <c r="I194">
        <v>30.198499999999999</v>
      </c>
      <c r="J194">
        <f>Table2355[[#This Row],[CFNM]]/Table2355[[#This Row],[CAREA]]</f>
        <v>0.29802131649067404</v>
      </c>
      <c r="K194">
        <v>2.7507000000000001</v>
      </c>
      <c r="L194">
        <f>-(Table3356[[#This Row],[time]]-2)*2</f>
        <v>-1.5014000000000003</v>
      </c>
      <c r="M194">
        <v>83.809200000000004</v>
      </c>
      <c r="N194">
        <v>45.9465</v>
      </c>
      <c r="O194">
        <f>Table3356[[#This Row],[CFNM]]/Table3356[[#This Row],[CAREA]]</f>
        <v>0.54822740224223587</v>
      </c>
      <c r="P194">
        <v>2.7507000000000001</v>
      </c>
      <c r="Q194">
        <f>-(Table4357[[#This Row],[time]]-2)*2</f>
        <v>-1.5014000000000003</v>
      </c>
      <c r="R194">
        <v>85.490200000000002</v>
      </c>
      <c r="S194">
        <v>58.796300000000002</v>
      </c>
      <c r="T194">
        <f>Table4357[[#This Row],[CFNM]]/Table4357[[#This Row],[CAREA]]</f>
        <v>0.68775485377271317</v>
      </c>
      <c r="U194">
        <v>2.7507000000000001</v>
      </c>
      <c r="V194">
        <f>-(Table5358[[#This Row],[time]]-2)*2</f>
        <v>-1.5014000000000003</v>
      </c>
      <c r="W194">
        <v>41.2316</v>
      </c>
      <c r="X194">
        <v>67.822299999999998</v>
      </c>
      <c r="Y194">
        <f>Table5358[[#This Row],[CFNM]]/Table5358[[#This Row],[CAREA]]</f>
        <v>1.6449106995605312</v>
      </c>
      <c r="Z194">
        <v>2.7507000000000001</v>
      </c>
      <c r="AA194">
        <f>-(Table6359[[#This Row],[time]]-2)*2</f>
        <v>-1.5014000000000003</v>
      </c>
      <c r="AB194">
        <v>54.091500000000003</v>
      </c>
      <c r="AC194">
        <v>86.968800000000002</v>
      </c>
      <c r="AD194">
        <f>Table6359[[#This Row],[CFNM]]/Table6359[[#This Row],[CAREA]]</f>
        <v>1.6078089903219543</v>
      </c>
      <c r="AE194">
        <v>2.7507000000000001</v>
      </c>
      <c r="AF194">
        <f>-(Table7360[[#This Row],[time]]-2)*2</f>
        <v>-1.5014000000000003</v>
      </c>
      <c r="AG194">
        <v>73.438199999999995</v>
      </c>
      <c r="AH194">
        <v>70.763499999999993</v>
      </c>
      <c r="AI194">
        <f>Table7360[[#This Row],[CFNM]]/Table7360[[#This Row],[CAREA]]</f>
        <v>0.96357890035431149</v>
      </c>
      <c r="AJ194">
        <v>2.7507000000000001</v>
      </c>
      <c r="AK194">
        <f>-(Table8361[[#This Row],[time]]-2)*2</f>
        <v>-1.5014000000000003</v>
      </c>
      <c r="AL194">
        <v>76.105199999999996</v>
      </c>
      <c r="AM194">
        <v>71.119799999999998</v>
      </c>
      <c r="AN194">
        <f>Table8361[[#This Row],[CFNM]]/Table8361[[#This Row],[CAREA]]</f>
        <v>0.93449330663344954</v>
      </c>
    </row>
    <row r="195" spans="1:40">
      <c r="A195">
        <v>2.8000699999999998</v>
      </c>
      <c r="B195">
        <f>-(Table1354[[#This Row],[time]]-2)*2</f>
        <v>-1.6001399999999997</v>
      </c>
      <c r="C195">
        <v>83.103499999999997</v>
      </c>
      <c r="D195">
        <v>39.071100000000001</v>
      </c>
      <c r="E195">
        <f>Table1354[[#This Row],[CFNM]]/Table1354[[#This Row],[CAREA]]</f>
        <v>0.47014987335070124</v>
      </c>
      <c r="F195">
        <v>2.8000699999999998</v>
      </c>
      <c r="G195">
        <f>-(Table2355[[#This Row],[time]]-2)*2</f>
        <v>-1.6001399999999997</v>
      </c>
      <c r="H195">
        <v>100.233</v>
      </c>
      <c r="I195">
        <v>32.235999999999997</v>
      </c>
      <c r="J195">
        <f>Table2355[[#This Row],[CFNM]]/Table2355[[#This Row],[CAREA]]</f>
        <v>0.32161064719204252</v>
      </c>
      <c r="K195">
        <v>2.8000699999999998</v>
      </c>
      <c r="L195">
        <f>-(Table3356[[#This Row],[time]]-2)*2</f>
        <v>-1.6001399999999997</v>
      </c>
      <c r="M195">
        <v>82.842699999999994</v>
      </c>
      <c r="N195">
        <v>49.519199999999998</v>
      </c>
      <c r="O195">
        <f>Table3356[[#This Row],[CFNM]]/Table3356[[#This Row],[CAREA]]</f>
        <v>0.59774971119965914</v>
      </c>
      <c r="P195">
        <v>2.8000699999999998</v>
      </c>
      <c r="Q195">
        <f>-(Table4357[[#This Row],[time]]-2)*2</f>
        <v>-1.6001399999999997</v>
      </c>
      <c r="R195">
        <v>85.136899999999997</v>
      </c>
      <c r="S195">
        <v>62.892299999999999</v>
      </c>
      <c r="T195">
        <f>Table4357[[#This Row],[CFNM]]/Table4357[[#This Row],[CAREA]]</f>
        <v>0.73871963860558698</v>
      </c>
      <c r="U195">
        <v>2.8000699999999998</v>
      </c>
      <c r="V195">
        <f>-(Table5358[[#This Row],[time]]-2)*2</f>
        <v>-1.6001399999999997</v>
      </c>
      <c r="W195">
        <v>39.485900000000001</v>
      </c>
      <c r="X195">
        <v>71.967100000000002</v>
      </c>
      <c r="Y195">
        <f>Table5358[[#This Row],[CFNM]]/Table5358[[#This Row],[CAREA]]</f>
        <v>1.822602498613429</v>
      </c>
      <c r="Z195">
        <v>2.8000699999999998</v>
      </c>
      <c r="AA195">
        <f>-(Table6359[[#This Row],[time]]-2)*2</f>
        <v>-1.6001399999999997</v>
      </c>
      <c r="AB195">
        <v>52.275599999999997</v>
      </c>
      <c r="AC195">
        <v>91.826800000000006</v>
      </c>
      <c r="AD195">
        <f>Table6359[[#This Row],[CFNM]]/Table6359[[#This Row],[CAREA]]</f>
        <v>1.75659007261514</v>
      </c>
      <c r="AE195">
        <v>2.8000699999999998</v>
      </c>
      <c r="AF195">
        <f>-(Table7360[[#This Row],[time]]-2)*2</f>
        <v>-1.6001399999999997</v>
      </c>
      <c r="AG195">
        <v>72.773300000000006</v>
      </c>
      <c r="AH195">
        <v>74.4803</v>
      </c>
      <c r="AI195">
        <f>Table7360[[#This Row],[CFNM]]/Table7360[[#This Row],[CAREA]]</f>
        <v>1.023456405027668</v>
      </c>
      <c r="AJ195">
        <v>2.8000699999999998</v>
      </c>
      <c r="AK195">
        <f>-(Table8361[[#This Row],[time]]-2)*2</f>
        <v>-1.6001399999999997</v>
      </c>
      <c r="AL195">
        <v>75.735100000000003</v>
      </c>
      <c r="AM195">
        <v>75.019900000000007</v>
      </c>
      <c r="AN195">
        <f>Table8361[[#This Row],[CFNM]]/Table8361[[#This Row],[CAREA]]</f>
        <v>0.99055655831972234</v>
      </c>
    </row>
    <row r="196" spans="1:40">
      <c r="A196">
        <v>2.85772</v>
      </c>
      <c r="B196">
        <f>-(Table1354[[#This Row],[time]]-2)*2</f>
        <v>-1.7154400000000001</v>
      </c>
      <c r="C196">
        <v>80.929299999999998</v>
      </c>
      <c r="D196">
        <v>42.143700000000003</v>
      </c>
      <c r="E196">
        <f>Table1354[[#This Row],[CFNM]]/Table1354[[#This Row],[CAREA]]</f>
        <v>0.5207471212527478</v>
      </c>
      <c r="F196">
        <v>2.85772</v>
      </c>
      <c r="G196">
        <f>-(Table2355[[#This Row],[time]]-2)*2</f>
        <v>-1.7154400000000001</v>
      </c>
      <c r="H196">
        <v>98.883099999999999</v>
      </c>
      <c r="I196">
        <v>34.726399999999998</v>
      </c>
      <c r="J196">
        <f>Table2355[[#This Row],[CFNM]]/Table2355[[#This Row],[CAREA]]</f>
        <v>0.35118640091178371</v>
      </c>
      <c r="K196">
        <v>2.85772</v>
      </c>
      <c r="L196">
        <f>-(Table3356[[#This Row],[time]]-2)*2</f>
        <v>-1.7154400000000001</v>
      </c>
      <c r="M196">
        <v>82.057500000000005</v>
      </c>
      <c r="N196">
        <v>54.134700000000002</v>
      </c>
      <c r="O196">
        <f>Table3356[[#This Row],[CFNM]]/Table3356[[#This Row],[CAREA]]</f>
        <v>0.65971666209670043</v>
      </c>
      <c r="P196">
        <v>2.85772</v>
      </c>
      <c r="Q196">
        <f>-(Table4357[[#This Row],[time]]-2)*2</f>
        <v>-1.7154400000000001</v>
      </c>
      <c r="R196">
        <v>84.772300000000001</v>
      </c>
      <c r="S196">
        <v>67.489400000000003</v>
      </c>
      <c r="T196">
        <f>Table4357[[#This Row],[CFNM]]/Table4357[[#This Row],[CAREA]]</f>
        <v>0.79612562122297026</v>
      </c>
      <c r="U196">
        <v>2.85772</v>
      </c>
      <c r="V196">
        <f>-(Table5358[[#This Row],[time]]-2)*2</f>
        <v>-1.7154400000000001</v>
      </c>
      <c r="W196">
        <v>37.712499999999999</v>
      </c>
      <c r="X196">
        <v>76.718299999999999</v>
      </c>
      <c r="Y196">
        <f>Table5358[[#This Row],[CFNM]]/Table5358[[#This Row],[CAREA]]</f>
        <v>2.0342936692078224</v>
      </c>
      <c r="Z196">
        <v>2.85772</v>
      </c>
      <c r="AA196">
        <f>-(Table6359[[#This Row],[time]]-2)*2</f>
        <v>-1.7154400000000001</v>
      </c>
      <c r="AB196">
        <v>49.433999999999997</v>
      </c>
      <c r="AC196">
        <v>97.090299999999999</v>
      </c>
      <c r="AD196">
        <f>Table6359[[#This Row],[CFNM]]/Table6359[[#This Row],[CAREA]]</f>
        <v>1.9640389205809767</v>
      </c>
      <c r="AE196">
        <v>2.85772</v>
      </c>
      <c r="AF196">
        <f>-(Table7360[[#This Row],[time]]-2)*2</f>
        <v>-1.7154400000000001</v>
      </c>
      <c r="AG196">
        <v>72.017899999999997</v>
      </c>
      <c r="AH196">
        <v>78.767399999999995</v>
      </c>
      <c r="AI196">
        <f>Table7360[[#This Row],[CFNM]]/Table7360[[#This Row],[CAREA]]</f>
        <v>1.0937197557829372</v>
      </c>
      <c r="AJ196">
        <v>2.85772</v>
      </c>
      <c r="AK196">
        <f>-(Table8361[[#This Row],[time]]-2)*2</f>
        <v>-1.7154400000000001</v>
      </c>
      <c r="AL196">
        <v>75.41</v>
      </c>
      <c r="AM196">
        <v>79.565600000000003</v>
      </c>
      <c r="AN196">
        <f>Table8361[[#This Row],[CFNM]]/Table8361[[#This Row],[CAREA]]</f>
        <v>1.0551067497679354</v>
      </c>
    </row>
    <row r="197" spans="1:40">
      <c r="A197">
        <v>2.9007399999999999</v>
      </c>
      <c r="B197">
        <f>-(Table1354[[#This Row],[time]]-2)*2</f>
        <v>-1.8014799999999997</v>
      </c>
      <c r="C197">
        <v>80.365899999999996</v>
      </c>
      <c r="D197">
        <v>44.341799999999999</v>
      </c>
      <c r="E197">
        <f>Table1354[[#This Row],[CFNM]]/Table1354[[#This Row],[CAREA]]</f>
        <v>0.55174893829348026</v>
      </c>
      <c r="F197">
        <v>2.9007399999999999</v>
      </c>
      <c r="G197">
        <f>-(Table2355[[#This Row],[time]]-2)*2</f>
        <v>-1.8014799999999997</v>
      </c>
      <c r="H197">
        <v>98.3018</v>
      </c>
      <c r="I197">
        <v>36.4131</v>
      </c>
      <c r="J197">
        <f>Table2355[[#This Row],[CFNM]]/Table2355[[#This Row],[CAREA]]</f>
        <v>0.37042149787694628</v>
      </c>
      <c r="K197">
        <v>2.9007399999999999</v>
      </c>
      <c r="L197">
        <f>-(Table3356[[#This Row],[time]]-2)*2</f>
        <v>-1.8014799999999997</v>
      </c>
      <c r="M197">
        <v>81.4786</v>
      </c>
      <c r="N197">
        <v>57.4771</v>
      </c>
      <c r="O197">
        <f>Table3356[[#This Row],[CFNM]]/Table3356[[#This Row],[CAREA]]</f>
        <v>0.70542571914588614</v>
      </c>
      <c r="P197">
        <v>2.9007399999999999</v>
      </c>
      <c r="Q197">
        <f>-(Table4357[[#This Row],[time]]-2)*2</f>
        <v>-1.8014799999999997</v>
      </c>
      <c r="R197">
        <v>84.494799999999998</v>
      </c>
      <c r="S197">
        <v>70.719300000000004</v>
      </c>
      <c r="T197">
        <f>Table4357[[#This Row],[CFNM]]/Table4357[[#This Row],[CAREA]]</f>
        <v>0.83696629851777871</v>
      </c>
      <c r="U197">
        <v>2.9007399999999999</v>
      </c>
      <c r="V197">
        <f>-(Table5358[[#This Row],[time]]-2)*2</f>
        <v>-1.8014799999999997</v>
      </c>
      <c r="W197">
        <v>36.715800000000002</v>
      </c>
      <c r="X197">
        <v>80.697299999999998</v>
      </c>
      <c r="Y197">
        <f>Table5358[[#This Row],[CFNM]]/Table5358[[#This Row],[CAREA]]</f>
        <v>2.1978902815681529</v>
      </c>
      <c r="Z197">
        <v>2.9007399999999999</v>
      </c>
      <c r="AA197">
        <f>-(Table6359[[#This Row],[time]]-2)*2</f>
        <v>-1.8014799999999997</v>
      </c>
      <c r="AB197">
        <v>47.036999999999999</v>
      </c>
      <c r="AC197">
        <v>101.31399999999999</v>
      </c>
      <c r="AD197">
        <f>Table6359[[#This Row],[CFNM]]/Table6359[[#This Row],[CAREA]]</f>
        <v>2.1539213810404574</v>
      </c>
      <c r="AE197">
        <v>2.9007399999999999</v>
      </c>
      <c r="AF197">
        <f>-(Table7360[[#This Row],[time]]-2)*2</f>
        <v>-1.8014799999999997</v>
      </c>
      <c r="AG197">
        <v>71.531800000000004</v>
      </c>
      <c r="AH197">
        <v>81.964799999999997</v>
      </c>
      <c r="AI197">
        <f>Table7360[[#This Row],[CFNM]]/Table7360[[#This Row],[CAREA]]</f>
        <v>1.1458512158228926</v>
      </c>
      <c r="AJ197">
        <v>2.9007399999999999</v>
      </c>
      <c r="AK197">
        <f>-(Table8361[[#This Row],[time]]-2)*2</f>
        <v>-1.8014799999999997</v>
      </c>
      <c r="AL197">
        <v>75.072299999999998</v>
      </c>
      <c r="AM197">
        <v>82.913200000000003</v>
      </c>
      <c r="AN197">
        <f>Table8361[[#This Row],[CFNM]]/Table8361[[#This Row],[CAREA]]</f>
        <v>1.1044446486919943</v>
      </c>
    </row>
    <row r="198" spans="1:40">
      <c r="A198">
        <v>2.9544199999999998</v>
      </c>
      <c r="B198">
        <f>-(Table1354[[#This Row],[time]]-2)*2</f>
        <v>-1.9088399999999996</v>
      </c>
      <c r="C198">
        <v>79.352099999999993</v>
      </c>
      <c r="D198">
        <v>47.087400000000002</v>
      </c>
      <c r="E198">
        <f>Table1354[[#This Row],[CFNM]]/Table1354[[#This Row],[CAREA]]</f>
        <v>0.59339828435542352</v>
      </c>
      <c r="F198">
        <v>2.9544199999999998</v>
      </c>
      <c r="G198">
        <f>-(Table2355[[#This Row],[time]]-2)*2</f>
        <v>-1.9088399999999996</v>
      </c>
      <c r="H198">
        <v>97.786500000000004</v>
      </c>
      <c r="I198">
        <v>38.494999999999997</v>
      </c>
      <c r="J198">
        <f>Table2355[[#This Row],[CFNM]]/Table2355[[#This Row],[CAREA]]</f>
        <v>0.39366374704074691</v>
      </c>
      <c r="K198">
        <v>2.9544199999999998</v>
      </c>
      <c r="L198">
        <f>-(Table3356[[#This Row],[time]]-2)*2</f>
        <v>-1.9088399999999996</v>
      </c>
      <c r="M198">
        <v>80.407200000000003</v>
      </c>
      <c r="N198">
        <v>61.5625</v>
      </c>
      <c r="O198">
        <f>Table3356[[#This Row],[CFNM]]/Table3356[[#This Row],[CAREA]]</f>
        <v>0.76563417206419326</v>
      </c>
      <c r="P198">
        <v>2.9544199999999998</v>
      </c>
      <c r="Q198">
        <f>-(Table4357[[#This Row],[time]]-2)*2</f>
        <v>-1.9088399999999996</v>
      </c>
      <c r="R198">
        <v>84.023300000000006</v>
      </c>
      <c r="S198">
        <v>74.796899999999994</v>
      </c>
      <c r="T198">
        <f>Table4357[[#This Row],[CFNM]]/Table4357[[#This Row],[CAREA]]</f>
        <v>0.89019236330874874</v>
      </c>
      <c r="U198">
        <v>2.9544199999999998</v>
      </c>
      <c r="V198">
        <f>-(Table5358[[#This Row],[time]]-2)*2</f>
        <v>-1.9088399999999996</v>
      </c>
      <c r="W198">
        <v>35.331400000000002</v>
      </c>
      <c r="X198">
        <v>84.746700000000004</v>
      </c>
      <c r="Y198">
        <f>Table5358[[#This Row],[CFNM]]/Table5358[[#This Row],[CAREA]]</f>
        <v>2.3986227548299812</v>
      </c>
      <c r="Z198">
        <v>2.9544199999999998</v>
      </c>
      <c r="AA198">
        <f>-(Table6359[[#This Row],[time]]-2)*2</f>
        <v>-1.9088399999999996</v>
      </c>
      <c r="AB198">
        <v>44.577100000000002</v>
      </c>
      <c r="AC198">
        <v>106.669</v>
      </c>
      <c r="AD198">
        <f>Table6359[[#This Row],[CFNM]]/Table6359[[#This Row],[CAREA]]</f>
        <v>2.3929102610981872</v>
      </c>
      <c r="AE198">
        <v>2.9544199999999998</v>
      </c>
      <c r="AF198">
        <f>-(Table7360[[#This Row],[time]]-2)*2</f>
        <v>-1.9088399999999996</v>
      </c>
      <c r="AG198">
        <v>70.850899999999996</v>
      </c>
      <c r="AH198">
        <v>85.968599999999995</v>
      </c>
      <c r="AI198">
        <f>Table7360[[#This Row],[CFNM]]/Table7360[[#This Row],[CAREA]]</f>
        <v>1.213373436328967</v>
      </c>
      <c r="AJ198">
        <v>2.9544199999999998</v>
      </c>
      <c r="AK198">
        <f>-(Table8361[[#This Row],[time]]-2)*2</f>
        <v>-1.9088399999999996</v>
      </c>
      <c r="AL198">
        <v>74.660200000000003</v>
      </c>
      <c r="AM198">
        <v>87.080500000000001</v>
      </c>
      <c r="AN198">
        <f>Table8361[[#This Row],[CFNM]]/Table8361[[#This Row],[CAREA]]</f>
        <v>1.1663577113374997</v>
      </c>
    </row>
    <row r="199" spans="1:40">
      <c r="A199">
        <v>3</v>
      </c>
      <c r="B199">
        <f>-(Table1354[[#This Row],[time]]-2)*2</f>
        <v>-2</v>
      </c>
      <c r="C199">
        <v>79.195999999999998</v>
      </c>
      <c r="D199">
        <v>48.903799999999997</v>
      </c>
      <c r="E199">
        <f>Table1354[[#This Row],[CFNM]]/Table1354[[#This Row],[CAREA]]</f>
        <v>0.61750340926309411</v>
      </c>
      <c r="F199">
        <v>3</v>
      </c>
      <c r="G199">
        <f>-(Table2355[[#This Row],[time]]-2)*2</f>
        <v>-2</v>
      </c>
      <c r="H199">
        <v>97.389099999999999</v>
      </c>
      <c r="I199">
        <v>39.957999999999998</v>
      </c>
      <c r="J199">
        <f>Table2355[[#This Row],[CFNM]]/Table2355[[#This Row],[CAREA]]</f>
        <v>0.41029232224140072</v>
      </c>
      <c r="K199">
        <v>3</v>
      </c>
      <c r="L199">
        <f>-(Table3356[[#This Row],[time]]-2)*2</f>
        <v>-2</v>
      </c>
      <c r="M199">
        <v>79.900000000000006</v>
      </c>
      <c r="N199">
        <v>64.456599999999995</v>
      </c>
      <c r="O199">
        <f>Table3356[[#This Row],[CFNM]]/Table3356[[#This Row],[CAREA]]</f>
        <v>0.80671589486858564</v>
      </c>
      <c r="P199">
        <v>3</v>
      </c>
      <c r="Q199">
        <f>-(Table4357[[#This Row],[time]]-2)*2</f>
        <v>-2</v>
      </c>
      <c r="R199">
        <v>83.774900000000002</v>
      </c>
      <c r="S199">
        <v>77.972700000000003</v>
      </c>
      <c r="T199">
        <f>Table4357[[#This Row],[CFNM]]/Table4357[[#This Row],[CAREA]]</f>
        <v>0.9307405917524223</v>
      </c>
      <c r="U199">
        <v>3</v>
      </c>
      <c r="V199">
        <f>-(Table5358[[#This Row],[time]]-2)*2</f>
        <v>-2</v>
      </c>
      <c r="W199">
        <v>32.274299999999997</v>
      </c>
      <c r="X199">
        <v>88.327799999999996</v>
      </c>
      <c r="Y199">
        <f>Table5358[[#This Row],[CFNM]]/Table5358[[#This Row],[CAREA]]</f>
        <v>2.7367843764233464</v>
      </c>
      <c r="Z199">
        <v>3</v>
      </c>
      <c r="AA199">
        <f>-(Table6359[[#This Row],[time]]-2)*2</f>
        <v>-2</v>
      </c>
      <c r="AB199">
        <v>41.591000000000001</v>
      </c>
      <c r="AC199">
        <v>111.68</v>
      </c>
      <c r="AD199">
        <f>Table6359[[#This Row],[CFNM]]/Table6359[[#This Row],[CAREA]]</f>
        <v>2.6851963165107837</v>
      </c>
      <c r="AE199">
        <v>3</v>
      </c>
      <c r="AF199">
        <f>-(Table7360[[#This Row],[time]]-2)*2</f>
        <v>-2</v>
      </c>
      <c r="AG199">
        <v>70.354399999999998</v>
      </c>
      <c r="AH199">
        <v>89.323499999999996</v>
      </c>
      <c r="AI199">
        <f>Table7360[[#This Row],[CFNM]]/Table7360[[#This Row],[CAREA]]</f>
        <v>1.2696220847594464</v>
      </c>
      <c r="AJ199">
        <v>3</v>
      </c>
      <c r="AK199">
        <f>-(Table8361[[#This Row],[time]]-2)*2</f>
        <v>-2</v>
      </c>
      <c r="AL199">
        <v>74.337400000000002</v>
      </c>
      <c r="AM199">
        <v>90.607299999999995</v>
      </c>
      <c r="AN199">
        <f>Table8361[[#This Row],[CFNM]]/Table8361[[#This Row],[CAREA]]</f>
        <v>1.218865604661987</v>
      </c>
    </row>
    <row r="201" spans="1:40">
      <c r="A201" t="s">
        <v>35</v>
      </c>
      <c r="E201" t="s">
        <v>2</v>
      </c>
    </row>
    <row r="202" spans="1:40">
      <c r="A202" t="s">
        <v>36</v>
      </c>
      <c r="E202" t="s">
        <v>4</v>
      </c>
      <c r="F202" t="s">
        <v>5</v>
      </c>
    </row>
    <row r="204" spans="1:40">
      <c r="A204" t="s">
        <v>7</v>
      </c>
      <c r="F204" t="s">
        <v>8</v>
      </c>
      <c r="K204" t="s">
        <v>9</v>
      </c>
      <c r="P204" t="s">
        <v>26</v>
      </c>
      <c r="U204" t="s">
        <v>11</v>
      </c>
      <c r="Z204" t="s">
        <v>12</v>
      </c>
      <c r="AE204" t="s">
        <v>13</v>
      </c>
      <c r="AJ204" t="s">
        <v>14</v>
      </c>
    </row>
    <row r="205" spans="1:40">
      <c r="A205" t="s">
        <v>15</v>
      </c>
      <c r="B205" t="s">
        <v>16</v>
      </c>
      <c r="C205" t="s">
        <v>20</v>
      </c>
      <c r="D205" t="s">
        <v>18</v>
      </c>
      <c r="E205" t="s">
        <v>19</v>
      </c>
      <c r="F205" t="s">
        <v>15</v>
      </c>
      <c r="G205" t="s">
        <v>16</v>
      </c>
      <c r="H205" t="s">
        <v>20</v>
      </c>
      <c r="I205" t="s">
        <v>18</v>
      </c>
      <c r="J205" t="s">
        <v>19</v>
      </c>
      <c r="K205" t="s">
        <v>15</v>
      </c>
      <c r="L205" t="s">
        <v>16</v>
      </c>
      <c r="M205" t="s">
        <v>20</v>
      </c>
      <c r="N205" t="s">
        <v>18</v>
      </c>
      <c r="O205" t="s">
        <v>19</v>
      </c>
      <c r="P205" t="s">
        <v>15</v>
      </c>
      <c r="Q205" t="s">
        <v>16</v>
      </c>
      <c r="R205" t="s">
        <v>20</v>
      </c>
      <c r="S205" t="s">
        <v>18</v>
      </c>
      <c r="T205" t="s">
        <v>19</v>
      </c>
      <c r="U205" t="s">
        <v>15</v>
      </c>
      <c r="V205" t="s">
        <v>16</v>
      </c>
      <c r="W205" t="s">
        <v>20</v>
      </c>
      <c r="X205" t="s">
        <v>18</v>
      </c>
      <c r="Y205" t="s">
        <v>19</v>
      </c>
      <c r="Z205" t="s">
        <v>15</v>
      </c>
      <c r="AA205" t="s">
        <v>16</v>
      </c>
      <c r="AB205" t="s">
        <v>20</v>
      </c>
      <c r="AC205" t="s">
        <v>18</v>
      </c>
      <c r="AD205" t="s">
        <v>19</v>
      </c>
      <c r="AE205" t="s">
        <v>15</v>
      </c>
      <c r="AF205" t="s">
        <v>16</v>
      </c>
      <c r="AG205" t="s">
        <v>20</v>
      </c>
      <c r="AH205" t="s">
        <v>18</v>
      </c>
      <c r="AI205" t="s">
        <v>19</v>
      </c>
      <c r="AJ205" t="s">
        <v>15</v>
      </c>
      <c r="AK205" t="s">
        <v>16</v>
      </c>
      <c r="AL205" t="s">
        <v>20</v>
      </c>
      <c r="AM205" t="s">
        <v>18</v>
      </c>
      <c r="AN205" t="s">
        <v>19</v>
      </c>
    </row>
    <row r="206" spans="1:40">
      <c r="A206">
        <v>2</v>
      </c>
      <c r="B206">
        <f>(Table110362[[#This Row],[time]]-2)*2</f>
        <v>0</v>
      </c>
      <c r="C206">
        <v>80.560199999999995</v>
      </c>
      <c r="D206">
        <v>3.9786999999999999</v>
      </c>
      <c r="E206" s="2">
        <f>Table110362[[#This Row],[CFNM]]/Table110362[[#This Row],[CAREA]]</f>
        <v>4.9387911152157023E-2</v>
      </c>
      <c r="F206">
        <v>2</v>
      </c>
      <c r="G206">
        <f>(Table211363[[#This Row],[time]]-2)*2</f>
        <v>0</v>
      </c>
      <c r="H206">
        <v>87.831100000000006</v>
      </c>
      <c r="I206">
        <v>3.8477199999999998E-3</v>
      </c>
      <c r="J206" s="2">
        <f>Table211363[[#This Row],[CFNM]]/Table211363[[#This Row],[CAREA]]</f>
        <v>4.3808172731526752E-5</v>
      </c>
      <c r="K206">
        <v>2</v>
      </c>
      <c r="L206">
        <f>(Table312364[[#This Row],[time]]-2)*2</f>
        <v>0</v>
      </c>
      <c r="M206">
        <v>85.165199999999999</v>
      </c>
      <c r="N206">
        <v>3.6992800000000001E-3</v>
      </c>
      <c r="O206">
        <f>Table312364[[#This Row],[CFNM]]/Table312364[[#This Row],[CAREA]]</f>
        <v>4.3436521020322855E-5</v>
      </c>
      <c r="P206">
        <v>2</v>
      </c>
      <c r="Q206">
        <f>(Table413365[[#This Row],[time]]-2)*2</f>
        <v>0</v>
      </c>
      <c r="R206">
        <v>79.099999999999994</v>
      </c>
      <c r="S206">
        <v>4.5241600000000002E-3</v>
      </c>
      <c r="T206">
        <f>Table413365[[#This Row],[CFNM]]/Table413365[[#This Row],[CAREA]]</f>
        <v>5.7195448798988631E-5</v>
      </c>
      <c r="U206">
        <v>2</v>
      </c>
      <c r="V206">
        <f>(Table514366[[#This Row],[time]]-2)*2</f>
        <v>0</v>
      </c>
      <c r="W206">
        <v>83.228300000000004</v>
      </c>
      <c r="X206">
        <v>3.5028600000000001</v>
      </c>
      <c r="Y206">
        <f>Table514366[[#This Row],[CFNM]]/Table514366[[#This Row],[CAREA]]</f>
        <v>4.2087366917262517E-2</v>
      </c>
      <c r="Z206">
        <v>2</v>
      </c>
      <c r="AA206">
        <f>(Table615367[[#This Row],[time]]-2)*2</f>
        <v>0</v>
      </c>
      <c r="AB206">
        <v>84.265100000000004</v>
      </c>
      <c r="AC206">
        <v>6.2692600000000001</v>
      </c>
      <c r="AD206">
        <f>Table615367[[#This Row],[CFNM]]/Table615367[[#This Row],[CAREA]]</f>
        <v>7.4399247137901692E-2</v>
      </c>
      <c r="AE206">
        <v>2</v>
      </c>
      <c r="AF206">
        <f>(Table716368[[#This Row],[time]]-2)*2</f>
        <v>0</v>
      </c>
      <c r="AG206">
        <v>78.459599999999995</v>
      </c>
      <c r="AH206">
        <v>14.705299999999999</v>
      </c>
      <c r="AI206">
        <f>Table716368[[#This Row],[CFNM]]/Table716368[[#This Row],[CAREA]]</f>
        <v>0.18742512069906042</v>
      </c>
      <c r="AJ206">
        <v>2</v>
      </c>
      <c r="AK206">
        <f>(Table817369[[#This Row],[time]]-2)*2</f>
        <v>0</v>
      </c>
      <c r="AL206">
        <v>83.005899999999997</v>
      </c>
      <c r="AM206">
        <v>14.6465</v>
      </c>
      <c r="AN206">
        <f>Table817369[[#This Row],[CFNM]]/Table817369[[#This Row],[CAREA]]</f>
        <v>0.17645131249706347</v>
      </c>
    </row>
    <row r="207" spans="1:40">
      <c r="A207">
        <v>2.05816</v>
      </c>
      <c r="B207">
        <f>(Table110362[[#This Row],[time]]-2)*2</f>
        <v>0.11631999999999998</v>
      </c>
      <c r="C207">
        <v>89.600899999999996</v>
      </c>
      <c r="D207">
        <v>8.68642</v>
      </c>
      <c r="E207">
        <f>Table110362[[#This Row],[CFNM]]/Table110362[[#This Row],[CAREA]]</f>
        <v>9.6945678001002233E-2</v>
      </c>
      <c r="F207">
        <v>2.05816</v>
      </c>
      <c r="G207">
        <f>(Table211363[[#This Row],[time]]-2)*2</f>
        <v>0.11631999999999998</v>
      </c>
      <c r="H207">
        <v>95.679599999999994</v>
      </c>
      <c r="I207">
        <v>2.4107699999999999</v>
      </c>
      <c r="J207">
        <f>Table211363[[#This Row],[CFNM]]/Table211363[[#This Row],[CAREA]]</f>
        <v>2.5196280084782963E-2</v>
      </c>
      <c r="K207">
        <v>2.05816</v>
      </c>
      <c r="L207">
        <f>(Table312364[[#This Row],[time]]-2)*2</f>
        <v>0.11631999999999998</v>
      </c>
      <c r="M207">
        <v>87.738799999999998</v>
      </c>
      <c r="N207">
        <v>1.35656</v>
      </c>
      <c r="O207">
        <f>Table312364[[#This Row],[CFNM]]/Table312364[[#This Row],[CAREA]]</f>
        <v>1.5461346633416459E-2</v>
      </c>
      <c r="P207">
        <v>2.05816</v>
      </c>
      <c r="Q207">
        <f>(Table413365[[#This Row],[time]]-2)*2</f>
        <v>0.11631999999999998</v>
      </c>
      <c r="R207">
        <v>85.319000000000003</v>
      </c>
      <c r="S207">
        <v>3.5768300000000002</v>
      </c>
      <c r="T207">
        <f>Table413365[[#This Row],[CFNM]]/Table413365[[#This Row],[CAREA]]</f>
        <v>4.1923018319483349E-2</v>
      </c>
      <c r="U207">
        <v>2.05816</v>
      </c>
      <c r="V207">
        <f>(Table514366[[#This Row],[time]]-2)*2</f>
        <v>0.11631999999999998</v>
      </c>
      <c r="W207">
        <v>82.381</v>
      </c>
      <c r="X207">
        <v>3.2195800000000001</v>
      </c>
      <c r="Y207">
        <f>Table514366[[#This Row],[CFNM]]/Table514366[[#This Row],[CAREA]]</f>
        <v>3.9081584345905002E-2</v>
      </c>
      <c r="Z207">
        <v>2.05816</v>
      </c>
      <c r="AA207">
        <f>(Table615367[[#This Row],[time]]-2)*2</f>
        <v>0.11631999999999998</v>
      </c>
      <c r="AB207">
        <v>88.316299999999998</v>
      </c>
      <c r="AC207">
        <v>8.2646800000000002</v>
      </c>
      <c r="AD207">
        <f>Table615367[[#This Row],[CFNM]]/Table615367[[#This Row],[CAREA]]</f>
        <v>9.3580460232142879E-2</v>
      </c>
      <c r="AE207">
        <v>2.05816</v>
      </c>
      <c r="AF207">
        <f>(Table716368[[#This Row],[time]]-2)*2</f>
        <v>0.11631999999999998</v>
      </c>
      <c r="AG207">
        <v>78.600899999999996</v>
      </c>
      <c r="AH207">
        <v>18.845700000000001</v>
      </c>
      <c r="AI207">
        <f>Table716368[[#This Row],[CFNM]]/Table716368[[#This Row],[CAREA]]</f>
        <v>0.23976443017828042</v>
      </c>
      <c r="AJ207">
        <v>2.05816</v>
      </c>
      <c r="AK207">
        <f>(Table817369[[#This Row],[time]]-2)*2</f>
        <v>0.11631999999999998</v>
      </c>
      <c r="AL207">
        <v>83.372600000000006</v>
      </c>
      <c r="AM207">
        <v>18.128499999999999</v>
      </c>
      <c r="AN207">
        <f>Table817369[[#This Row],[CFNM]]/Table817369[[#This Row],[CAREA]]</f>
        <v>0.21743954248757982</v>
      </c>
    </row>
    <row r="208" spans="1:40">
      <c r="A208">
        <v>2.10161</v>
      </c>
      <c r="B208">
        <f>(Table110362[[#This Row],[time]]-2)*2</f>
        <v>0.20321999999999996</v>
      </c>
      <c r="C208">
        <v>88.610699999999994</v>
      </c>
      <c r="D208">
        <v>8.0824200000000008</v>
      </c>
      <c r="E208">
        <f>Table110362[[#This Row],[CFNM]]/Table110362[[#This Row],[CAREA]]</f>
        <v>9.1212686504000093E-2</v>
      </c>
      <c r="F208">
        <v>2.10161</v>
      </c>
      <c r="G208">
        <f>(Table211363[[#This Row],[time]]-2)*2</f>
        <v>0.20321999999999996</v>
      </c>
      <c r="H208">
        <v>95.369600000000005</v>
      </c>
      <c r="I208">
        <v>1.5049300000000001</v>
      </c>
      <c r="J208">
        <f>Table211363[[#This Row],[CFNM]]/Table211363[[#This Row],[CAREA]]</f>
        <v>1.5779976009126596E-2</v>
      </c>
      <c r="K208">
        <v>2.10161</v>
      </c>
      <c r="L208">
        <f>(Table312364[[#This Row],[time]]-2)*2</f>
        <v>0.20321999999999996</v>
      </c>
      <c r="M208">
        <v>86.009600000000006</v>
      </c>
      <c r="N208">
        <v>0.1794</v>
      </c>
      <c r="O208">
        <f>Table312364[[#This Row],[CFNM]]/Table312364[[#This Row],[CAREA]]</f>
        <v>2.0858136766128432E-3</v>
      </c>
      <c r="P208">
        <v>2.10161</v>
      </c>
      <c r="Q208">
        <f>(Table413365[[#This Row],[time]]-2)*2</f>
        <v>0.20321999999999996</v>
      </c>
      <c r="R208">
        <v>83.736599999999996</v>
      </c>
      <c r="S208">
        <v>2.0831200000000001</v>
      </c>
      <c r="T208">
        <f>Table413365[[#This Row],[CFNM]]/Table413365[[#This Row],[CAREA]]</f>
        <v>2.4877054955658579E-2</v>
      </c>
      <c r="U208">
        <v>2.10161</v>
      </c>
      <c r="V208">
        <f>(Table514366[[#This Row],[time]]-2)*2</f>
        <v>0.20321999999999996</v>
      </c>
      <c r="W208">
        <v>80.811099999999996</v>
      </c>
      <c r="X208">
        <v>1.91032</v>
      </c>
      <c r="Y208">
        <f>Table514366[[#This Row],[CFNM]]/Table514366[[#This Row],[CAREA]]</f>
        <v>2.3639326775653346E-2</v>
      </c>
      <c r="Z208">
        <v>2.10161</v>
      </c>
      <c r="AA208">
        <f>(Table615367[[#This Row],[time]]-2)*2</f>
        <v>0.20321999999999996</v>
      </c>
      <c r="AB208">
        <v>87.7119</v>
      </c>
      <c r="AC208">
        <v>5.6663300000000003</v>
      </c>
      <c r="AD208">
        <f>Table615367[[#This Row],[CFNM]]/Table615367[[#This Row],[CAREA]]</f>
        <v>6.4601610499829556E-2</v>
      </c>
      <c r="AE208">
        <v>2.10161</v>
      </c>
      <c r="AF208">
        <f>(Table716368[[#This Row],[time]]-2)*2</f>
        <v>0.20321999999999996</v>
      </c>
      <c r="AG208">
        <v>78.368099999999998</v>
      </c>
      <c r="AH208">
        <v>18.479500000000002</v>
      </c>
      <c r="AI208">
        <f>Table716368[[#This Row],[CFNM]]/Table716368[[#This Row],[CAREA]]</f>
        <v>0.23580385386400846</v>
      </c>
      <c r="AJ208">
        <v>2.10161</v>
      </c>
      <c r="AK208">
        <f>(Table817369[[#This Row],[time]]-2)*2</f>
        <v>0.20321999999999996</v>
      </c>
      <c r="AL208">
        <v>83.591399999999993</v>
      </c>
      <c r="AM208">
        <v>17.501100000000001</v>
      </c>
      <c r="AN208">
        <f>Table817369[[#This Row],[CFNM]]/Table817369[[#This Row],[CAREA]]</f>
        <v>0.20936483896668798</v>
      </c>
    </row>
    <row r="209" spans="1:40">
      <c r="A209">
        <v>2.16188</v>
      </c>
      <c r="B209">
        <f>(Table110362[[#This Row],[time]]-2)*2</f>
        <v>0.32376000000000005</v>
      </c>
      <c r="C209">
        <v>88.005300000000005</v>
      </c>
      <c r="D209">
        <v>7.8226899999999997</v>
      </c>
      <c r="E209">
        <f>Table110362[[#This Row],[CFNM]]/Table110362[[#This Row],[CAREA]]</f>
        <v>8.8888851012382197E-2</v>
      </c>
      <c r="F209">
        <v>2.16188</v>
      </c>
      <c r="G209">
        <f>(Table211363[[#This Row],[time]]-2)*2</f>
        <v>0.32376000000000005</v>
      </c>
      <c r="H209">
        <v>94.323599999999999</v>
      </c>
      <c r="I209">
        <v>1.0768899999999999</v>
      </c>
      <c r="J209">
        <f>Table211363[[#This Row],[CFNM]]/Table211363[[#This Row],[CAREA]]</f>
        <v>1.141697305870429E-2</v>
      </c>
      <c r="K209">
        <v>2.16188</v>
      </c>
      <c r="L209">
        <f>(Table312364[[#This Row],[time]]-2)*2</f>
        <v>0.32376000000000005</v>
      </c>
      <c r="M209">
        <v>85.269099999999995</v>
      </c>
      <c r="N209">
        <v>5.1510899999999997E-3</v>
      </c>
      <c r="O209">
        <f>Table312364[[#This Row],[CFNM]]/Table312364[[#This Row],[CAREA]]</f>
        <v>6.040980847692775E-5</v>
      </c>
      <c r="P209">
        <v>2.16188</v>
      </c>
      <c r="Q209">
        <f>(Table413365[[#This Row],[time]]-2)*2</f>
        <v>0.32376000000000005</v>
      </c>
      <c r="R209">
        <v>82.795100000000005</v>
      </c>
      <c r="S209">
        <v>1.45085</v>
      </c>
      <c r="T209">
        <f>Table413365[[#This Row],[CFNM]]/Table413365[[#This Row],[CAREA]]</f>
        <v>1.7523380006787839E-2</v>
      </c>
      <c r="U209">
        <v>2.16188</v>
      </c>
      <c r="V209">
        <f>(Table514366[[#This Row],[time]]-2)*2</f>
        <v>0.32376000000000005</v>
      </c>
      <c r="W209">
        <v>80.274900000000002</v>
      </c>
      <c r="X209">
        <v>1.40926</v>
      </c>
      <c r="Y209">
        <f>Table514366[[#This Row],[CFNM]]/Table514366[[#This Row],[CAREA]]</f>
        <v>1.7555425170258699E-2</v>
      </c>
      <c r="Z209">
        <v>2.16188</v>
      </c>
      <c r="AA209">
        <f>(Table615367[[#This Row],[time]]-2)*2</f>
        <v>0.32376000000000005</v>
      </c>
      <c r="AB209">
        <v>86.061599999999999</v>
      </c>
      <c r="AC209">
        <v>3.77244</v>
      </c>
      <c r="AD209">
        <f>Table615367[[#This Row],[CFNM]]/Table615367[[#This Row],[CAREA]]</f>
        <v>4.3834183886890324E-2</v>
      </c>
      <c r="AE209">
        <v>2.16188</v>
      </c>
      <c r="AF209">
        <f>(Table716368[[#This Row],[time]]-2)*2</f>
        <v>0.32376000000000005</v>
      </c>
      <c r="AG209">
        <v>78.121600000000001</v>
      </c>
      <c r="AH209">
        <v>18.132999999999999</v>
      </c>
      <c r="AI209">
        <f>Table716368[[#This Row],[CFNM]]/Table716368[[#This Row],[CAREA]]</f>
        <v>0.23211250153606683</v>
      </c>
      <c r="AJ209">
        <v>2.16188</v>
      </c>
      <c r="AK209">
        <f>(Table817369[[#This Row],[time]]-2)*2</f>
        <v>0.32376000000000005</v>
      </c>
      <c r="AL209">
        <v>83.805000000000007</v>
      </c>
      <c r="AM209">
        <v>16.7468</v>
      </c>
      <c r="AN209">
        <f>Table817369[[#This Row],[CFNM]]/Table817369[[#This Row],[CAREA]]</f>
        <v>0.19983055903585703</v>
      </c>
    </row>
    <row r="210" spans="1:40">
      <c r="A210">
        <v>2.20417</v>
      </c>
      <c r="B210">
        <f>(Table110362[[#This Row],[time]]-2)*2</f>
        <v>0.40833999999999993</v>
      </c>
      <c r="C210">
        <v>87.693899999999999</v>
      </c>
      <c r="D210">
        <v>7.7491399999999997</v>
      </c>
      <c r="E210">
        <f>Table110362[[#This Row],[CFNM]]/Table110362[[#This Row],[CAREA]]</f>
        <v>8.8365781428354759E-2</v>
      </c>
      <c r="F210">
        <v>2.20417</v>
      </c>
      <c r="G210">
        <f>(Table211363[[#This Row],[time]]-2)*2</f>
        <v>0.40833999999999993</v>
      </c>
      <c r="H210">
        <v>93.987899999999996</v>
      </c>
      <c r="I210">
        <v>0.96202200000000004</v>
      </c>
      <c r="J210">
        <f>Table211363[[#This Row],[CFNM]]/Table211363[[#This Row],[CAREA]]</f>
        <v>1.0235594156269052E-2</v>
      </c>
      <c r="K210">
        <v>2.20417</v>
      </c>
      <c r="L210">
        <f>(Table312364[[#This Row],[time]]-2)*2</f>
        <v>0.40833999999999993</v>
      </c>
      <c r="M210">
        <v>84.899500000000003</v>
      </c>
      <c r="N210">
        <v>4.8727199999999997E-3</v>
      </c>
      <c r="O210">
        <f>Table312364[[#This Row],[CFNM]]/Table312364[[#This Row],[CAREA]]</f>
        <v>5.7393977585262568E-5</v>
      </c>
      <c r="P210">
        <v>2.20417</v>
      </c>
      <c r="Q210">
        <f>(Table413365[[#This Row],[time]]-2)*2</f>
        <v>0.40833999999999993</v>
      </c>
      <c r="R210">
        <v>82.335599999999999</v>
      </c>
      <c r="S210">
        <v>1.21309</v>
      </c>
      <c r="T210">
        <f>Table413365[[#This Row],[CFNM]]/Table413365[[#This Row],[CAREA]]</f>
        <v>1.4733481021575115E-2</v>
      </c>
      <c r="U210">
        <v>2.20417</v>
      </c>
      <c r="V210">
        <f>(Table514366[[#This Row],[time]]-2)*2</f>
        <v>0.40833999999999993</v>
      </c>
      <c r="W210">
        <v>79.767899999999997</v>
      </c>
      <c r="X210">
        <v>1.1643600000000001</v>
      </c>
      <c r="Y210">
        <f>Table514366[[#This Row],[CFNM]]/Table514366[[#This Row],[CAREA]]</f>
        <v>1.4596849108475966E-2</v>
      </c>
      <c r="Z210">
        <v>2.20417</v>
      </c>
      <c r="AA210">
        <f>(Table615367[[#This Row],[time]]-2)*2</f>
        <v>0.40833999999999993</v>
      </c>
      <c r="AB210">
        <v>84.994100000000003</v>
      </c>
      <c r="AC210">
        <v>2.7101799999999998</v>
      </c>
      <c r="AD210">
        <f>Table615367[[#This Row],[CFNM]]/Table615367[[#This Row],[CAREA]]</f>
        <v>3.1886683899235352E-2</v>
      </c>
      <c r="AE210">
        <v>2.20417</v>
      </c>
      <c r="AF210">
        <f>(Table716368[[#This Row],[time]]-2)*2</f>
        <v>0.40833999999999993</v>
      </c>
      <c r="AG210">
        <v>78.007199999999997</v>
      </c>
      <c r="AH210">
        <v>17.852900000000002</v>
      </c>
      <c r="AI210">
        <f>Table716368[[#This Row],[CFNM]]/Table716368[[#This Row],[CAREA]]</f>
        <v>0.22886220759109419</v>
      </c>
      <c r="AJ210">
        <v>2.20417</v>
      </c>
      <c r="AK210">
        <f>(Table817369[[#This Row],[time]]-2)*2</f>
        <v>0.40833999999999993</v>
      </c>
      <c r="AL210">
        <v>83.958799999999997</v>
      </c>
      <c r="AM210">
        <v>16.2407</v>
      </c>
      <c r="AN210">
        <f>Table817369[[#This Row],[CFNM]]/Table817369[[#This Row],[CAREA]]</f>
        <v>0.19343654268522181</v>
      </c>
    </row>
    <row r="211" spans="1:40">
      <c r="A211">
        <v>2.2649699999999999</v>
      </c>
      <c r="B211">
        <f>(Table110362[[#This Row],[time]]-2)*2</f>
        <v>0.52993999999999986</v>
      </c>
      <c r="C211">
        <v>86.892899999999997</v>
      </c>
      <c r="D211">
        <v>7.5497399999999999</v>
      </c>
      <c r="E211">
        <f>Table110362[[#This Row],[CFNM]]/Table110362[[#This Row],[CAREA]]</f>
        <v>8.6885579834485901E-2</v>
      </c>
      <c r="F211">
        <v>2.2649699999999999</v>
      </c>
      <c r="G211">
        <f>(Table211363[[#This Row],[time]]-2)*2</f>
        <v>0.52993999999999986</v>
      </c>
      <c r="H211">
        <v>93.382199999999997</v>
      </c>
      <c r="I211">
        <v>0.76430500000000001</v>
      </c>
      <c r="J211">
        <f>Table211363[[#This Row],[CFNM]]/Table211363[[#This Row],[CAREA]]</f>
        <v>8.1846968694247943E-3</v>
      </c>
      <c r="K211">
        <v>2.2649699999999999</v>
      </c>
      <c r="L211">
        <f>(Table312364[[#This Row],[time]]-2)*2</f>
        <v>0.52993999999999986</v>
      </c>
      <c r="M211">
        <v>84.389300000000006</v>
      </c>
      <c r="N211">
        <v>4.7553099999999996E-3</v>
      </c>
      <c r="O211">
        <f>Table312364[[#This Row],[CFNM]]/Table312364[[#This Row],[CAREA]]</f>
        <v>5.6349679402483483E-5</v>
      </c>
      <c r="P211">
        <v>2.2649699999999999</v>
      </c>
      <c r="Q211">
        <f>(Table413365[[#This Row],[time]]-2)*2</f>
        <v>0.52993999999999986</v>
      </c>
      <c r="R211">
        <v>81.738600000000005</v>
      </c>
      <c r="S211">
        <v>0.99075500000000005</v>
      </c>
      <c r="T211">
        <f>Table413365[[#This Row],[CFNM]]/Table413365[[#This Row],[CAREA]]</f>
        <v>1.2121017487453908E-2</v>
      </c>
      <c r="U211">
        <v>2.2649699999999999</v>
      </c>
      <c r="V211">
        <f>(Table514366[[#This Row],[time]]-2)*2</f>
        <v>0.52993999999999986</v>
      </c>
      <c r="W211">
        <v>79.082099999999997</v>
      </c>
      <c r="X211">
        <v>0.91463499999999998</v>
      </c>
      <c r="Y211">
        <f>Table514366[[#This Row],[CFNM]]/Table514366[[#This Row],[CAREA]]</f>
        <v>1.1565638747580046E-2</v>
      </c>
      <c r="Z211">
        <v>2.2649699999999999</v>
      </c>
      <c r="AA211">
        <f>(Table615367[[#This Row],[time]]-2)*2</f>
        <v>0.52993999999999986</v>
      </c>
      <c r="AB211">
        <v>84.419700000000006</v>
      </c>
      <c r="AC211">
        <v>1.77498</v>
      </c>
      <c r="AD211">
        <f>Table615367[[#This Row],[CFNM]]/Table615367[[#This Row],[CAREA]]</f>
        <v>2.1025661072000965E-2</v>
      </c>
      <c r="AE211">
        <v>2.2649699999999999</v>
      </c>
      <c r="AF211">
        <f>(Table716368[[#This Row],[time]]-2)*2</f>
        <v>0.52993999999999986</v>
      </c>
      <c r="AG211">
        <v>77.729500000000002</v>
      </c>
      <c r="AH211">
        <v>17.4405</v>
      </c>
      <c r="AI211">
        <f>Table716368[[#This Row],[CFNM]]/Table716368[[#This Row],[CAREA]]</f>
        <v>0.22437427231617341</v>
      </c>
      <c r="AJ211">
        <v>2.2649699999999999</v>
      </c>
      <c r="AK211">
        <f>(Table817369[[#This Row],[time]]-2)*2</f>
        <v>0.52993999999999986</v>
      </c>
      <c r="AL211">
        <v>84.210400000000007</v>
      </c>
      <c r="AM211">
        <v>15.554600000000001</v>
      </c>
      <c r="AN211">
        <f>Table817369[[#This Row],[CFNM]]/Table817369[[#This Row],[CAREA]]</f>
        <v>0.18471115206672808</v>
      </c>
    </row>
    <row r="212" spans="1:40">
      <c r="A212">
        <v>2.3108</v>
      </c>
      <c r="B212">
        <f>(Table110362[[#This Row],[time]]-2)*2</f>
        <v>0.62159999999999993</v>
      </c>
      <c r="C212">
        <v>86.276300000000006</v>
      </c>
      <c r="D212">
        <v>7.4036099999999996</v>
      </c>
      <c r="E212">
        <f>Table110362[[#This Row],[CFNM]]/Table110362[[#This Row],[CAREA]]</f>
        <v>8.5812789839156287E-2</v>
      </c>
      <c r="F212">
        <v>2.3108</v>
      </c>
      <c r="G212">
        <f>(Table211363[[#This Row],[time]]-2)*2</f>
        <v>0.62159999999999993</v>
      </c>
      <c r="H212">
        <v>92.995000000000005</v>
      </c>
      <c r="I212">
        <v>0.62164299999999995</v>
      </c>
      <c r="J212">
        <f>Table211363[[#This Row],[CFNM]]/Table211363[[#This Row],[CAREA]]</f>
        <v>6.684692725415344E-3</v>
      </c>
      <c r="K212">
        <v>2.3108</v>
      </c>
      <c r="L212">
        <f>(Table312364[[#This Row],[time]]-2)*2</f>
        <v>0.62159999999999993</v>
      </c>
      <c r="M212">
        <v>83.95</v>
      </c>
      <c r="N212">
        <v>4.6511699999999996E-3</v>
      </c>
      <c r="O212">
        <f>Table312364[[#This Row],[CFNM]]/Table312364[[#This Row],[CAREA]]</f>
        <v>5.5404050029779622E-5</v>
      </c>
      <c r="P212">
        <v>2.3108</v>
      </c>
      <c r="Q212">
        <f>(Table413365[[#This Row],[time]]-2)*2</f>
        <v>0.62159999999999993</v>
      </c>
      <c r="R212">
        <v>81.415499999999994</v>
      </c>
      <c r="S212">
        <v>0.82315000000000005</v>
      </c>
      <c r="T212">
        <f>Table413365[[#This Row],[CFNM]]/Table413365[[#This Row],[CAREA]]</f>
        <v>1.011048264765309E-2</v>
      </c>
      <c r="U212">
        <v>2.3108</v>
      </c>
      <c r="V212">
        <f>(Table514366[[#This Row],[time]]-2)*2</f>
        <v>0.62159999999999993</v>
      </c>
      <c r="W212">
        <v>78.645799999999994</v>
      </c>
      <c r="X212">
        <v>0.78490899999999997</v>
      </c>
      <c r="Y212">
        <f>Table514366[[#This Row],[CFNM]]/Table514366[[#This Row],[CAREA]]</f>
        <v>9.9803040976123338E-3</v>
      </c>
      <c r="Z212">
        <v>2.3108</v>
      </c>
      <c r="AA212">
        <f>(Table615367[[#This Row],[time]]-2)*2</f>
        <v>0.62159999999999993</v>
      </c>
      <c r="AB212">
        <v>83.491699999999994</v>
      </c>
      <c r="AC212">
        <v>1.25885</v>
      </c>
      <c r="AD212">
        <f>Table615367[[#This Row],[CFNM]]/Table615367[[#This Row],[CAREA]]</f>
        <v>1.5077546630383621E-2</v>
      </c>
      <c r="AE212">
        <v>2.3108</v>
      </c>
      <c r="AF212">
        <f>(Table716368[[#This Row],[time]]-2)*2</f>
        <v>0.62159999999999993</v>
      </c>
      <c r="AG212">
        <v>77.676900000000003</v>
      </c>
      <c r="AH212">
        <v>17.102699999999999</v>
      </c>
      <c r="AI212">
        <f>Table716368[[#This Row],[CFNM]]/Table716368[[#This Row],[CAREA]]</f>
        <v>0.22017742726602116</v>
      </c>
      <c r="AJ212">
        <v>2.3108</v>
      </c>
      <c r="AK212">
        <f>(Table817369[[#This Row],[time]]-2)*2</f>
        <v>0.62159999999999993</v>
      </c>
      <c r="AL212">
        <v>84.168099999999995</v>
      </c>
      <c r="AM212">
        <v>15.029299999999999</v>
      </c>
      <c r="AN212">
        <f>Table817369[[#This Row],[CFNM]]/Table817369[[#This Row],[CAREA]]</f>
        <v>0.17856289972091566</v>
      </c>
    </row>
    <row r="213" spans="1:40">
      <c r="A213">
        <v>2.3576700000000002</v>
      </c>
      <c r="B213">
        <f>(Table110362[[#This Row],[time]]-2)*2</f>
        <v>0.71534000000000031</v>
      </c>
      <c r="C213">
        <v>85.719200000000001</v>
      </c>
      <c r="D213">
        <v>7.2876700000000003</v>
      </c>
      <c r="E213">
        <f>Table110362[[#This Row],[CFNM]]/Table110362[[#This Row],[CAREA]]</f>
        <v>8.50179423046412E-2</v>
      </c>
      <c r="F213">
        <v>2.3576700000000002</v>
      </c>
      <c r="G213">
        <f>(Table211363[[#This Row],[time]]-2)*2</f>
        <v>0.71534000000000031</v>
      </c>
      <c r="H213">
        <v>92.621099999999998</v>
      </c>
      <c r="I213">
        <v>0.54305899999999996</v>
      </c>
      <c r="J213">
        <f>Table211363[[#This Row],[CFNM]]/Table211363[[#This Row],[CAREA]]</f>
        <v>5.8632320281231812E-3</v>
      </c>
      <c r="K213">
        <v>2.3576700000000002</v>
      </c>
      <c r="L213">
        <f>(Table312364[[#This Row],[time]]-2)*2</f>
        <v>0.71534000000000031</v>
      </c>
      <c r="M213">
        <v>83.485799999999998</v>
      </c>
      <c r="N213">
        <v>4.53996E-3</v>
      </c>
      <c r="O213">
        <f>Table312364[[#This Row],[CFNM]]/Table312364[[#This Row],[CAREA]]</f>
        <v>5.4380026303874434E-5</v>
      </c>
      <c r="P213">
        <v>2.3576700000000002</v>
      </c>
      <c r="Q213">
        <f>(Table413365[[#This Row],[time]]-2)*2</f>
        <v>0.71534000000000031</v>
      </c>
      <c r="R213">
        <v>81.047899999999998</v>
      </c>
      <c r="S213">
        <v>0.629193</v>
      </c>
      <c r="T213">
        <f>Table413365[[#This Row],[CFNM]]/Table413365[[#This Row],[CAREA]]</f>
        <v>7.763223970022666E-3</v>
      </c>
      <c r="U213">
        <v>2.3576700000000002</v>
      </c>
      <c r="V213">
        <f>(Table514366[[#This Row],[time]]-2)*2</f>
        <v>0.71534000000000031</v>
      </c>
      <c r="W213">
        <v>78.170900000000003</v>
      </c>
      <c r="X213">
        <v>0.666292</v>
      </c>
      <c r="Y213">
        <f>Table514366[[#This Row],[CFNM]]/Table514366[[#This Row],[CAREA]]</f>
        <v>8.5235298557391551E-3</v>
      </c>
      <c r="Z213">
        <v>2.3576700000000002</v>
      </c>
      <c r="AA213">
        <f>(Table615367[[#This Row],[time]]-2)*2</f>
        <v>0.71534000000000031</v>
      </c>
      <c r="AB213">
        <v>82.350300000000004</v>
      </c>
      <c r="AC213">
        <v>0.82834600000000003</v>
      </c>
      <c r="AD213">
        <f>Table615367[[#This Row],[CFNM]]/Table615367[[#This Row],[CAREA]]</f>
        <v>1.0058809743255338E-2</v>
      </c>
      <c r="AE213">
        <v>2.3576700000000002</v>
      </c>
      <c r="AF213">
        <f>(Table716368[[#This Row],[time]]-2)*2</f>
        <v>0.71534000000000031</v>
      </c>
      <c r="AG213">
        <v>77.750900000000001</v>
      </c>
      <c r="AH213">
        <v>16.748699999999999</v>
      </c>
      <c r="AI213">
        <f>Table716368[[#This Row],[CFNM]]/Table716368[[#This Row],[CAREA]]</f>
        <v>0.21541486979571939</v>
      </c>
      <c r="AJ213">
        <v>2.3576700000000002</v>
      </c>
      <c r="AK213">
        <f>(Table817369[[#This Row],[time]]-2)*2</f>
        <v>0.71534000000000031</v>
      </c>
      <c r="AL213">
        <v>84.190200000000004</v>
      </c>
      <c r="AM213">
        <v>14.4681</v>
      </c>
      <c r="AN213">
        <f>Table817369[[#This Row],[CFNM]]/Table817369[[#This Row],[CAREA]]</f>
        <v>0.17185016783426099</v>
      </c>
    </row>
    <row r="214" spans="1:40">
      <c r="A214">
        <v>2.41039</v>
      </c>
      <c r="B214">
        <f>(Table110362[[#This Row],[time]]-2)*2</f>
        <v>0.82078000000000007</v>
      </c>
      <c r="C214">
        <v>85.382499999999993</v>
      </c>
      <c r="D214">
        <v>7.1648899999999998</v>
      </c>
      <c r="E214">
        <f>Table110362[[#This Row],[CFNM]]/Table110362[[#This Row],[CAREA]]</f>
        <v>8.3915205106432827E-2</v>
      </c>
      <c r="F214">
        <v>2.41039</v>
      </c>
      <c r="G214">
        <f>(Table211363[[#This Row],[time]]-2)*2</f>
        <v>0.82078000000000007</v>
      </c>
      <c r="H214">
        <v>92.227599999999995</v>
      </c>
      <c r="I214">
        <v>0.55546499999999999</v>
      </c>
      <c r="J214">
        <f>Table211363[[#This Row],[CFNM]]/Table211363[[#This Row],[CAREA]]</f>
        <v>6.0227632509140434E-3</v>
      </c>
      <c r="K214">
        <v>2.41039</v>
      </c>
      <c r="L214">
        <f>(Table312364[[#This Row],[time]]-2)*2</f>
        <v>0.82078000000000007</v>
      </c>
      <c r="M214">
        <v>83.033199999999994</v>
      </c>
      <c r="N214">
        <v>4.4130799999999998E-3</v>
      </c>
      <c r="O214">
        <f>Table312364[[#This Row],[CFNM]]/Table312364[[#This Row],[CAREA]]</f>
        <v>5.3148379202535854E-5</v>
      </c>
      <c r="P214">
        <v>2.41039</v>
      </c>
      <c r="Q214">
        <f>(Table413365[[#This Row],[time]]-2)*2</f>
        <v>0.82078000000000007</v>
      </c>
      <c r="R214">
        <v>80.587800000000001</v>
      </c>
      <c r="S214">
        <v>0.38971499999999998</v>
      </c>
      <c r="T214">
        <f>Table413365[[#This Row],[CFNM]]/Table413365[[#This Row],[CAREA]]</f>
        <v>4.8359056829942E-3</v>
      </c>
      <c r="U214">
        <v>2.41039</v>
      </c>
      <c r="V214">
        <f>(Table514366[[#This Row],[time]]-2)*2</f>
        <v>0.82078000000000007</v>
      </c>
      <c r="W214">
        <v>77.435500000000005</v>
      </c>
      <c r="X214">
        <v>0.54716799999999999</v>
      </c>
      <c r="Y214">
        <f>Table514366[[#This Row],[CFNM]]/Table514366[[#This Row],[CAREA]]</f>
        <v>7.0661130876665092E-3</v>
      </c>
      <c r="Z214">
        <v>2.41039</v>
      </c>
      <c r="AA214">
        <f>(Table615367[[#This Row],[time]]-2)*2</f>
        <v>0.82078000000000007</v>
      </c>
      <c r="AB214">
        <v>80.800700000000006</v>
      </c>
      <c r="AC214">
        <v>0.45208599999999999</v>
      </c>
      <c r="AD214">
        <f>Table615367[[#This Row],[CFNM]]/Table615367[[#This Row],[CAREA]]</f>
        <v>5.5950752901893167E-3</v>
      </c>
      <c r="AE214">
        <v>2.41039</v>
      </c>
      <c r="AF214">
        <f>(Table716368[[#This Row],[time]]-2)*2</f>
        <v>0.82078000000000007</v>
      </c>
      <c r="AG214">
        <v>77.793599999999998</v>
      </c>
      <c r="AH214">
        <v>16.334</v>
      </c>
      <c r="AI214">
        <f>Table716368[[#This Row],[CFNM]]/Table716368[[#This Row],[CAREA]]</f>
        <v>0.20996585837395365</v>
      </c>
      <c r="AJ214">
        <v>2.41039</v>
      </c>
      <c r="AK214">
        <f>(Table817369[[#This Row],[time]]-2)*2</f>
        <v>0.82078000000000007</v>
      </c>
      <c r="AL214">
        <v>84.170500000000004</v>
      </c>
      <c r="AM214">
        <v>13.875500000000001</v>
      </c>
      <c r="AN214">
        <f>Table817369[[#This Row],[CFNM]]/Table817369[[#This Row],[CAREA]]</f>
        <v>0.16484991772651938</v>
      </c>
    </row>
    <row r="215" spans="1:40">
      <c r="A215">
        <v>2.46048</v>
      </c>
      <c r="B215">
        <f>(Table110362[[#This Row],[time]]-2)*2</f>
        <v>0.92096</v>
      </c>
      <c r="C215">
        <v>84.671999999999997</v>
      </c>
      <c r="D215">
        <v>7.0181399999999998</v>
      </c>
      <c r="E215">
        <f>Table110362[[#This Row],[CFNM]]/Table110362[[#This Row],[CAREA]]</f>
        <v>8.2886196145124713E-2</v>
      </c>
      <c r="F215">
        <v>2.46048</v>
      </c>
      <c r="G215">
        <f>(Table211363[[#This Row],[time]]-2)*2</f>
        <v>0.92096</v>
      </c>
      <c r="H215">
        <v>91.694699999999997</v>
      </c>
      <c r="I215">
        <v>0.57152899999999995</v>
      </c>
      <c r="J215">
        <f>Table211363[[#This Row],[CFNM]]/Table211363[[#This Row],[CAREA]]</f>
        <v>6.2329556670123786E-3</v>
      </c>
      <c r="K215">
        <v>2.46048</v>
      </c>
      <c r="L215">
        <f>(Table312364[[#This Row],[time]]-2)*2</f>
        <v>0.92096</v>
      </c>
      <c r="M215">
        <v>82.572699999999998</v>
      </c>
      <c r="N215">
        <v>4.2873299999999998E-3</v>
      </c>
      <c r="O215">
        <f>Table312364[[#This Row],[CFNM]]/Table312364[[#This Row],[CAREA]]</f>
        <v>5.1921882171710505E-5</v>
      </c>
      <c r="P215">
        <v>2.46048</v>
      </c>
      <c r="Q215">
        <f>(Table413365[[#This Row],[time]]-2)*2</f>
        <v>0.92096</v>
      </c>
      <c r="R215">
        <v>80.203500000000005</v>
      </c>
      <c r="S215">
        <v>0.16389699999999999</v>
      </c>
      <c r="T215">
        <f>Table413365[[#This Row],[CFNM]]/Table413365[[#This Row],[CAREA]]</f>
        <v>2.0435143104727345E-3</v>
      </c>
      <c r="U215">
        <v>2.46048</v>
      </c>
      <c r="V215">
        <f>(Table514366[[#This Row],[time]]-2)*2</f>
        <v>0.92096</v>
      </c>
      <c r="W215">
        <v>76.646799999999999</v>
      </c>
      <c r="X215">
        <v>0.42391200000000001</v>
      </c>
      <c r="Y215">
        <f>Table514366[[#This Row],[CFNM]]/Table514366[[#This Row],[CAREA]]</f>
        <v>5.5307201344348368E-3</v>
      </c>
      <c r="Z215">
        <v>2.46048</v>
      </c>
      <c r="AA215">
        <f>(Table615367[[#This Row],[time]]-2)*2</f>
        <v>0.92096</v>
      </c>
      <c r="AB215">
        <v>80.2029</v>
      </c>
      <c r="AC215">
        <v>0.220028</v>
      </c>
      <c r="AD215">
        <f>Table615367[[#This Row],[CFNM]]/Table615367[[#This Row],[CAREA]]</f>
        <v>2.743392071857751E-3</v>
      </c>
      <c r="AE215">
        <v>2.46048</v>
      </c>
      <c r="AF215">
        <f>(Table716368[[#This Row],[time]]-2)*2</f>
        <v>0.92096</v>
      </c>
      <c r="AG215">
        <v>77.960999999999999</v>
      </c>
      <c r="AH215">
        <v>15.928599999999999</v>
      </c>
      <c r="AI215">
        <f>Table716368[[#This Row],[CFNM]]/Table716368[[#This Row],[CAREA]]</f>
        <v>0.20431497800182141</v>
      </c>
      <c r="AJ215">
        <v>2.46048</v>
      </c>
      <c r="AK215">
        <f>(Table817369[[#This Row],[time]]-2)*2</f>
        <v>0.92096</v>
      </c>
      <c r="AL215">
        <v>84.081400000000002</v>
      </c>
      <c r="AM215">
        <v>13.2989</v>
      </c>
      <c r="AN215">
        <f>Table817369[[#This Row],[CFNM]]/Table817369[[#This Row],[CAREA]]</f>
        <v>0.15816696677267505</v>
      </c>
    </row>
    <row r="216" spans="1:40">
      <c r="A216">
        <v>2.5085700000000002</v>
      </c>
      <c r="B216">
        <f>(Table110362[[#This Row],[time]]-2)*2</f>
        <v>1.0171400000000004</v>
      </c>
      <c r="C216">
        <v>83.922499999999999</v>
      </c>
      <c r="D216">
        <v>6.9106800000000002</v>
      </c>
      <c r="E216">
        <f>Table110362[[#This Row],[CFNM]]/Table110362[[#This Row],[CAREA]]</f>
        <v>8.2345973964074004E-2</v>
      </c>
      <c r="F216">
        <v>2.5085700000000002</v>
      </c>
      <c r="G216">
        <f>(Table211363[[#This Row],[time]]-2)*2</f>
        <v>1.0171400000000004</v>
      </c>
      <c r="H216">
        <v>91.166300000000007</v>
      </c>
      <c r="I216">
        <v>0.59688600000000003</v>
      </c>
      <c r="J216">
        <f>Table211363[[#This Row],[CFNM]]/Table211363[[#This Row],[CAREA]]</f>
        <v>6.5472219449511492E-3</v>
      </c>
      <c r="K216">
        <v>2.5085700000000002</v>
      </c>
      <c r="L216">
        <f>(Table312364[[#This Row],[time]]-2)*2</f>
        <v>1.0171400000000004</v>
      </c>
      <c r="M216">
        <v>82.1815</v>
      </c>
      <c r="N216">
        <v>4.1792699999999997E-3</v>
      </c>
      <c r="O216">
        <f>Table312364[[#This Row],[CFNM]]/Table312364[[#This Row],[CAREA]]</f>
        <v>5.0854146006096256E-5</v>
      </c>
      <c r="P216">
        <v>2.5085700000000002</v>
      </c>
      <c r="Q216">
        <f>(Table413365[[#This Row],[time]]-2)*2</f>
        <v>1.0171400000000004</v>
      </c>
      <c r="R216">
        <v>79.886300000000006</v>
      </c>
      <c r="S216">
        <v>7.1049199999999998E-3</v>
      </c>
      <c r="T216">
        <f>Table413365[[#This Row],[CFNM]]/Table413365[[#This Row],[CAREA]]</f>
        <v>8.8937902994631115E-5</v>
      </c>
      <c r="U216">
        <v>2.5085700000000002</v>
      </c>
      <c r="V216">
        <f>(Table514366[[#This Row],[time]]-2)*2</f>
        <v>1.0171400000000004</v>
      </c>
      <c r="W216">
        <v>76.110500000000002</v>
      </c>
      <c r="X216">
        <v>0.29447699999999999</v>
      </c>
      <c r="Y216">
        <f>Table514366[[#This Row],[CFNM]]/Table514366[[#This Row],[CAREA]]</f>
        <v>3.8690719414535444E-3</v>
      </c>
      <c r="Z216">
        <v>2.5085700000000002</v>
      </c>
      <c r="AA216">
        <f>(Table615367[[#This Row],[time]]-2)*2</f>
        <v>1.0171400000000004</v>
      </c>
      <c r="AB216">
        <v>78.243099999999998</v>
      </c>
      <c r="AC216">
        <v>4.2766200000000001E-3</v>
      </c>
      <c r="AD216">
        <f>Table615367[[#This Row],[CFNM]]/Table615367[[#This Row],[CAREA]]</f>
        <v>5.4658110427628763E-5</v>
      </c>
      <c r="AE216">
        <v>2.5085700000000002</v>
      </c>
      <c r="AF216">
        <f>(Table716368[[#This Row],[time]]-2)*2</f>
        <v>1.0171400000000004</v>
      </c>
      <c r="AG216">
        <v>78.116500000000002</v>
      </c>
      <c r="AH216">
        <v>15.492599999999999</v>
      </c>
      <c r="AI216">
        <f>Table716368[[#This Row],[CFNM]]/Table716368[[#This Row],[CAREA]]</f>
        <v>0.19832685796214627</v>
      </c>
      <c r="AJ216">
        <v>2.5085700000000002</v>
      </c>
      <c r="AK216">
        <f>(Table817369[[#This Row],[time]]-2)*2</f>
        <v>1.0171400000000004</v>
      </c>
      <c r="AL216">
        <v>83.665499999999994</v>
      </c>
      <c r="AM216">
        <v>12.703900000000001</v>
      </c>
      <c r="AN216">
        <f>Table817369[[#This Row],[CFNM]]/Table817369[[#This Row],[CAREA]]</f>
        <v>0.15184155954365899</v>
      </c>
    </row>
    <row r="217" spans="1:40">
      <c r="A217">
        <v>2.5703900000000002</v>
      </c>
      <c r="B217">
        <f>(Table110362[[#This Row],[time]]-2)*2</f>
        <v>1.1407800000000003</v>
      </c>
      <c r="C217">
        <v>83.407399999999996</v>
      </c>
      <c r="D217">
        <v>6.7816999999999998</v>
      </c>
      <c r="E217">
        <f>Table110362[[#This Row],[CFNM]]/Table110362[[#This Row],[CAREA]]</f>
        <v>8.1308133331095322E-2</v>
      </c>
      <c r="F217">
        <v>2.5703900000000002</v>
      </c>
      <c r="G217">
        <f>(Table211363[[#This Row],[time]]-2)*2</f>
        <v>1.1407800000000003</v>
      </c>
      <c r="H217">
        <v>90.593400000000003</v>
      </c>
      <c r="I217">
        <v>0.63921399999999995</v>
      </c>
      <c r="J217">
        <f>Table211363[[#This Row],[CFNM]]/Table211363[[#This Row],[CAREA]]</f>
        <v>7.0558561661224761E-3</v>
      </c>
      <c r="K217">
        <v>2.5703900000000002</v>
      </c>
      <c r="L217">
        <f>(Table312364[[#This Row],[time]]-2)*2</f>
        <v>1.1407800000000003</v>
      </c>
      <c r="M217">
        <v>81.682400000000001</v>
      </c>
      <c r="N217">
        <v>4.0394000000000003E-3</v>
      </c>
      <c r="O217">
        <f>Table312364[[#This Row],[CFNM]]/Table312364[[#This Row],[CAREA]]</f>
        <v>4.9452513638188894E-5</v>
      </c>
      <c r="P217">
        <v>2.5703900000000002</v>
      </c>
      <c r="Q217">
        <f>(Table413365[[#This Row],[time]]-2)*2</f>
        <v>1.1407800000000003</v>
      </c>
      <c r="R217">
        <v>79.326899999999995</v>
      </c>
      <c r="S217">
        <v>5.6301099999999998E-3</v>
      </c>
      <c r="T217">
        <f>Table413365[[#This Row],[CFNM]]/Table413365[[#This Row],[CAREA]]</f>
        <v>7.0973528525632547E-5</v>
      </c>
      <c r="U217">
        <v>2.5703900000000002</v>
      </c>
      <c r="V217">
        <f>(Table514366[[#This Row],[time]]-2)*2</f>
        <v>1.1407800000000003</v>
      </c>
      <c r="W217">
        <v>74.138000000000005</v>
      </c>
      <c r="X217">
        <v>0.15951199999999999</v>
      </c>
      <c r="Y217">
        <f>Table514366[[#This Row],[CFNM]]/Table514366[[#This Row],[CAREA]]</f>
        <v>2.1515552078556202E-3</v>
      </c>
      <c r="Z217">
        <v>2.5703900000000002</v>
      </c>
      <c r="AA217">
        <f>(Table615367[[#This Row],[time]]-2)*2</f>
        <v>1.1407800000000003</v>
      </c>
      <c r="AB217">
        <v>76.330500000000001</v>
      </c>
      <c r="AC217">
        <v>3.86338E-3</v>
      </c>
      <c r="AD217">
        <f>Table615367[[#This Row],[CFNM]]/Table615367[[#This Row],[CAREA]]</f>
        <v>5.0613843745291853E-5</v>
      </c>
      <c r="AE217">
        <v>2.5703900000000002</v>
      </c>
      <c r="AF217">
        <f>(Table716368[[#This Row],[time]]-2)*2</f>
        <v>1.1407800000000003</v>
      </c>
      <c r="AG217">
        <v>78.166200000000003</v>
      </c>
      <c r="AH217">
        <v>14.887</v>
      </c>
      <c r="AI217">
        <f>Table716368[[#This Row],[CFNM]]/Table716368[[#This Row],[CAREA]]</f>
        <v>0.19045316262016063</v>
      </c>
      <c r="AJ217">
        <v>2.5703900000000002</v>
      </c>
      <c r="AK217">
        <f>(Table817369[[#This Row],[time]]-2)*2</f>
        <v>1.1407800000000003</v>
      </c>
      <c r="AL217">
        <v>83.571899999999999</v>
      </c>
      <c r="AM217">
        <v>11.8772</v>
      </c>
      <c r="AN217">
        <f>Table817369[[#This Row],[CFNM]]/Table817369[[#This Row],[CAREA]]</f>
        <v>0.14211954018037162</v>
      </c>
    </row>
    <row r="218" spans="1:40">
      <c r="A218">
        <v>2.61266</v>
      </c>
      <c r="B218">
        <f>(Table110362[[#This Row],[time]]-2)*2</f>
        <v>1.22532</v>
      </c>
      <c r="C218">
        <v>82.886899999999997</v>
      </c>
      <c r="D218">
        <v>6.6631</v>
      </c>
      <c r="E218">
        <f>Table110362[[#This Row],[CFNM]]/Table110362[[#This Row],[CAREA]]</f>
        <v>8.0387853810433257E-2</v>
      </c>
      <c r="F218">
        <v>2.61266</v>
      </c>
      <c r="G218">
        <f>(Table211363[[#This Row],[time]]-2)*2</f>
        <v>1.22532</v>
      </c>
      <c r="H218">
        <v>90.160700000000006</v>
      </c>
      <c r="I218">
        <v>0.66264199999999995</v>
      </c>
      <c r="J218">
        <f>Table211363[[#This Row],[CFNM]]/Table211363[[#This Row],[CAREA]]</f>
        <v>7.3495658307888021E-3</v>
      </c>
      <c r="K218">
        <v>2.61266</v>
      </c>
      <c r="L218">
        <f>(Table312364[[#This Row],[time]]-2)*2</f>
        <v>1.22532</v>
      </c>
      <c r="M218">
        <v>81.332800000000006</v>
      </c>
      <c r="N218">
        <v>3.9418500000000002E-3</v>
      </c>
      <c r="O218">
        <f>Table312364[[#This Row],[CFNM]]/Table312364[[#This Row],[CAREA]]</f>
        <v>4.8465686660240391E-5</v>
      </c>
      <c r="P218">
        <v>2.61266</v>
      </c>
      <c r="Q218">
        <f>(Table413365[[#This Row],[time]]-2)*2</f>
        <v>1.22532</v>
      </c>
      <c r="R218">
        <v>78.590100000000007</v>
      </c>
      <c r="S218">
        <v>5.5051600000000003E-3</v>
      </c>
      <c r="T218">
        <f>Table413365[[#This Row],[CFNM]]/Table413365[[#This Row],[CAREA]]</f>
        <v>7.0049026531331554E-5</v>
      </c>
      <c r="U218">
        <v>2.61266</v>
      </c>
      <c r="V218">
        <f>(Table514366[[#This Row],[time]]-2)*2</f>
        <v>1.22532</v>
      </c>
      <c r="W218">
        <v>73.972999999999999</v>
      </c>
      <c r="X218">
        <v>6.3358800000000007E-2</v>
      </c>
      <c r="Y218">
        <f>Table514366[[#This Row],[CFNM]]/Table514366[[#This Row],[CAREA]]</f>
        <v>8.5651251132169855E-4</v>
      </c>
      <c r="Z218">
        <v>2.61266</v>
      </c>
      <c r="AA218">
        <f>(Table615367[[#This Row],[time]]-2)*2</f>
        <v>1.22532</v>
      </c>
      <c r="AB218">
        <v>76.012</v>
      </c>
      <c r="AC218">
        <v>3.7036899999999999E-3</v>
      </c>
      <c r="AD218">
        <f>Table615367[[#This Row],[CFNM]]/Table615367[[#This Row],[CAREA]]</f>
        <v>4.8725069725832765E-5</v>
      </c>
      <c r="AE218">
        <v>2.61266</v>
      </c>
      <c r="AF218">
        <f>(Table716368[[#This Row],[time]]-2)*2</f>
        <v>1.22532</v>
      </c>
      <c r="AG218">
        <v>78.263599999999997</v>
      </c>
      <c r="AH218">
        <v>14.396599999999999</v>
      </c>
      <c r="AI218">
        <f>Table716368[[#This Row],[CFNM]]/Table716368[[#This Row],[CAREA]]</f>
        <v>0.18395013773963886</v>
      </c>
      <c r="AJ218">
        <v>2.61266</v>
      </c>
      <c r="AK218">
        <f>(Table817369[[#This Row],[time]]-2)*2</f>
        <v>1.22532</v>
      </c>
      <c r="AL218">
        <v>83.506500000000003</v>
      </c>
      <c r="AM218">
        <v>11.2651</v>
      </c>
      <c r="AN218">
        <f>Table817369[[#This Row],[CFNM]]/Table817369[[#This Row],[CAREA]]</f>
        <v>0.13490087597971415</v>
      </c>
    </row>
    <row r="219" spans="1:40">
      <c r="A219">
        <v>2.65395</v>
      </c>
      <c r="B219">
        <f>(Table110362[[#This Row],[time]]-2)*2</f>
        <v>1.3079000000000001</v>
      </c>
      <c r="C219">
        <v>82.531599999999997</v>
      </c>
      <c r="D219">
        <v>6.5330399999999997</v>
      </c>
      <c r="E219">
        <f>Table110362[[#This Row],[CFNM]]/Table110362[[#This Row],[CAREA]]</f>
        <v>7.9158043706895304E-2</v>
      </c>
      <c r="F219">
        <v>2.65395</v>
      </c>
      <c r="G219">
        <f>(Table211363[[#This Row],[time]]-2)*2</f>
        <v>1.3079000000000001</v>
      </c>
      <c r="H219">
        <v>89.714600000000004</v>
      </c>
      <c r="I219">
        <v>0.69362800000000002</v>
      </c>
      <c r="J219">
        <f>Table211363[[#This Row],[CFNM]]/Table211363[[#This Row],[CAREA]]</f>
        <v>7.7314952081378062E-3</v>
      </c>
      <c r="K219">
        <v>2.65395</v>
      </c>
      <c r="L219">
        <f>(Table312364[[#This Row],[time]]-2)*2</f>
        <v>1.3079000000000001</v>
      </c>
      <c r="M219">
        <v>81.030299999999997</v>
      </c>
      <c r="N219">
        <v>3.84695E-3</v>
      </c>
      <c r="O219">
        <f>Table312364[[#This Row],[CFNM]]/Table312364[[#This Row],[CAREA]]</f>
        <v>4.7475450541340708E-5</v>
      </c>
      <c r="P219">
        <v>2.65395</v>
      </c>
      <c r="Q219">
        <f>(Table413365[[#This Row],[time]]-2)*2</f>
        <v>1.3079000000000001</v>
      </c>
      <c r="R219">
        <v>78.270799999999994</v>
      </c>
      <c r="S219">
        <v>5.4012299999999999E-3</v>
      </c>
      <c r="T219">
        <f>Table413365[[#This Row],[CFNM]]/Table413365[[#This Row],[CAREA]]</f>
        <v>6.9006960450129553E-5</v>
      </c>
      <c r="U219">
        <v>2.65395</v>
      </c>
      <c r="V219">
        <f>(Table514366[[#This Row],[time]]-2)*2</f>
        <v>1.3079000000000001</v>
      </c>
      <c r="W219">
        <v>72.873400000000004</v>
      </c>
      <c r="X219">
        <v>5.2627999999999998E-3</v>
      </c>
      <c r="Y219">
        <f>Table514366[[#This Row],[CFNM]]/Table514366[[#This Row],[CAREA]]</f>
        <v>7.2218395189465562E-5</v>
      </c>
      <c r="Z219">
        <v>2.65395</v>
      </c>
      <c r="AA219">
        <f>(Table615367[[#This Row],[time]]-2)*2</f>
        <v>1.3079000000000001</v>
      </c>
      <c r="AB219">
        <v>75.59</v>
      </c>
      <c r="AC219">
        <v>3.55544E-3</v>
      </c>
      <c r="AD219">
        <f>Table615367[[#This Row],[CFNM]]/Table615367[[#This Row],[CAREA]]</f>
        <v>4.7035851303082416E-5</v>
      </c>
      <c r="AE219">
        <v>2.65395</v>
      </c>
      <c r="AF219">
        <f>(Table716368[[#This Row],[time]]-2)*2</f>
        <v>1.3079000000000001</v>
      </c>
      <c r="AG219">
        <v>78.347700000000003</v>
      </c>
      <c r="AH219">
        <v>13.864100000000001</v>
      </c>
      <c r="AI219">
        <f>Table716368[[#This Row],[CFNM]]/Table716368[[#This Row],[CAREA]]</f>
        <v>0.17695605614459645</v>
      </c>
      <c r="AJ219">
        <v>2.65395</v>
      </c>
      <c r="AK219">
        <f>(Table817369[[#This Row],[time]]-2)*2</f>
        <v>1.3079000000000001</v>
      </c>
      <c r="AL219">
        <v>83.441699999999997</v>
      </c>
      <c r="AM219">
        <v>10.689299999999999</v>
      </c>
      <c r="AN219">
        <f>Table817369[[#This Row],[CFNM]]/Table817369[[#This Row],[CAREA]]</f>
        <v>0.1281050122420804</v>
      </c>
    </row>
    <row r="220" spans="1:40">
      <c r="A220">
        <v>2.70851</v>
      </c>
      <c r="B220">
        <f>(Table110362[[#This Row],[time]]-2)*2</f>
        <v>1.4170199999999999</v>
      </c>
      <c r="C220">
        <v>81.972899999999996</v>
      </c>
      <c r="D220">
        <v>6.3838600000000003</v>
      </c>
      <c r="E220">
        <f>Table110362[[#This Row],[CFNM]]/Table110362[[#This Row],[CAREA]]</f>
        <v>7.7877688845947882E-2</v>
      </c>
      <c r="F220">
        <v>2.70851</v>
      </c>
      <c r="G220">
        <f>(Table211363[[#This Row],[time]]-2)*2</f>
        <v>1.4170199999999999</v>
      </c>
      <c r="H220">
        <v>89.180300000000003</v>
      </c>
      <c r="I220">
        <v>0.74576799999999999</v>
      </c>
      <c r="J220">
        <f>Table211363[[#This Row],[CFNM]]/Table211363[[#This Row],[CAREA]]</f>
        <v>8.3624746720968642E-3</v>
      </c>
      <c r="K220">
        <v>2.70851</v>
      </c>
      <c r="L220">
        <f>(Table312364[[#This Row],[time]]-2)*2</f>
        <v>1.4170199999999999</v>
      </c>
      <c r="M220">
        <v>80.622100000000003</v>
      </c>
      <c r="N220">
        <v>3.7153500000000001E-3</v>
      </c>
      <c r="O220">
        <f>Table312364[[#This Row],[CFNM]]/Table312364[[#This Row],[CAREA]]</f>
        <v>4.6083518042819524E-5</v>
      </c>
      <c r="P220">
        <v>2.70851</v>
      </c>
      <c r="Q220">
        <f>(Table413365[[#This Row],[time]]-2)*2</f>
        <v>1.4170199999999999</v>
      </c>
      <c r="R220">
        <v>77.901300000000006</v>
      </c>
      <c r="S220">
        <v>5.2690599999999999E-3</v>
      </c>
      <c r="T220">
        <f>Table413365[[#This Row],[CFNM]]/Table413365[[#This Row],[CAREA]]</f>
        <v>6.763763890974861E-5</v>
      </c>
      <c r="U220">
        <v>2.70851</v>
      </c>
      <c r="V220">
        <f>(Table514366[[#This Row],[time]]-2)*2</f>
        <v>1.4170199999999999</v>
      </c>
      <c r="W220">
        <v>72.222300000000004</v>
      </c>
      <c r="X220">
        <v>4.4656699999999997E-3</v>
      </c>
      <c r="Y220">
        <f>Table514366[[#This Row],[CFNM]]/Table514366[[#This Row],[CAREA]]</f>
        <v>6.1832287257536795E-5</v>
      </c>
      <c r="Z220">
        <v>2.70851</v>
      </c>
      <c r="AA220">
        <f>(Table615367[[#This Row],[time]]-2)*2</f>
        <v>1.4170199999999999</v>
      </c>
      <c r="AB220">
        <v>74.994299999999996</v>
      </c>
      <c r="AC220">
        <v>3.38055E-3</v>
      </c>
      <c r="AD220">
        <f>Table615367[[#This Row],[CFNM]]/Table615367[[#This Row],[CAREA]]</f>
        <v>4.5077425884367217E-5</v>
      </c>
      <c r="AE220">
        <v>2.70851</v>
      </c>
      <c r="AF220">
        <f>(Table716368[[#This Row],[time]]-2)*2</f>
        <v>1.4170199999999999</v>
      </c>
      <c r="AG220">
        <v>78.352500000000006</v>
      </c>
      <c r="AH220">
        <v>13.094799999999999</v>
      </c>
      <c r="AI220">
        <f>Table716368[[#This Row],[CFNM]]/Table716368[[#This Row],[CAREA]]</f>
        <v>0.16712676685491845</v>
      </c>
      <c r="AJ220">
        <v>2.70851</v>
      </c>
      <c r="AK220">
        <f>(Table817369[[#This Row],[time]]-2)*2</f>
        <v>1.4170199999999999</v>
      </c>
      <c r="AL220">
        <v>83.349100000000007</v>
      </c>
      <c r="AM220">
        <v>10.0387</v>
      </c>
      <c r="AN220">
        <f>Table817369[[#This Row],[CFNM]]/Table817369[[#This Row],[CAREA]]</f>
        <v>0.12044161244692504</v>
      </c>
    </row>
    <row r="221" spans="1:40">
      <c r="A221">
        <v>2.75122</v>
      </c>
      <c r="B221">
        <f>(Table110362[[#This Row],[time]]-2)*2</f>
        <v>1.50244</v>
      </c>
      <c r="C221">
        <v>81.601500000000001</v>
      </c>
      <c r="D221">
        <v>6.2430700000000003</v>
      </c>
      <c r="E221">
        <f>Table110362[[#This Row],[CFNM]]/Table110362[[#This Row],[CAREA]]</f>
        <v>7.6506804409232673E-2</v>
      </c>
      <c r="F221">
        <v>2.75122</v>
      </c>
      <c r="G221">
        <f>(Table211363[[#This Row],[time]]-2)*2</f>
        <v>1.50244</v>
      </c>
      <c r="H221">
        <v>88.767399999999995</v>
      </c>
      <c r="I221">
        <v>0.78488800000000003</v>
      </c>
      <c r="J221">
        <f>Table211363[[#This Row],[CFNM]]/Table211363[[#This Row],[CAREA]]</f>
        <v>8.8420749058776092E-3</v>
      </c>
      <c r="K221">
        <v>2.75122</v>
      </c>
      <c r="L221">
        <f>(Table312364[[#This Row],[time]]-2)*2</f>
        <v>1.50244</v>
      </c>
      <c r="M221">
        <v>80.141099999999994</v>
      </c>
      <c r="N221">
        <v>3.6104399999999999E-3</v>
      </c>
      <c r="O221">
        <f>Table312364[[#This Row],[CFNM]]/Table312364[[#This Row],[CAREA]]</f>
        <v>4.5051041226037577E-5</v>
      </c>
      <c r="P221">
        <v>2.75122</v>
      </c>
      <c r="Q221">
        <f>(Table413365[[#This Row],[time]]-2)*2</f>
        <v>1.50244</v>
      </c>
      <c r="R221">
        <v>77.605599999999995</v>
      </c>
      <c r="S221">
        <v>5.1611900000000004E-3</v>
      </c>
      <c r="T221">
        <f>Table413365[[#This Row],[CFNM]]/Table413365[[#This Row],[CAREA]]</f>
        <v>6.6505381054975416E-5</v>
      </c>
      <c r="U221">
        <v>2.75122</v>
      </c>
      <c r="V221">
        <f>(Table514366[[#This Row],[time]]-2)*2</f>
        <v>1.50244</v>
      </c>
      <c r="W221">
        <v>71.5578</v>
      </c>
      <c r="X221">
        <v>4.1730300000000003E-3</v>
      </c>
      <c r="Y221">
        <f>Table514366[[#This Row],[CFNM]]/Table514366[[#This Row],[CAREA]]</f>
        <v>5.8316913040926361E-5</v>
      </c>
      <c r="Z221">
        <v>2.75122</v>
      </c>
      <c r="AA221">
        <f>(Table615367[[#This Row],[time]]-2)*2</f>
        <v>1.50244</v>
      </c>
      <c r="AB221">
        <v>73.883099999999999</v>
      </c>
      <c r="AC221">
        <v>3.2472500000000001E-3</v>
      </c>
      <c r="AD221">
        <f>Table615367[[#This Row],[CFNM]]/Table615367[[#This Row],[CAREA]]</f>
        <v>4.395118775470981E-5</v>
      </c>
      <c r="AE221">
        <v>2.75122</v>
      </c>
      <c r="AF221">
        <f>(Table716368[[#This Row],[time]]-2)*2</f>
        <v>1.50244</v>
      </c>
      <c r="AG221">
        <v>78.390600000000006</v>
      </c>
      <c r="AH221">
        <v>12.446199999999999</v>
      </c>
      <c r="AI221">
        <f>Table716368[[#This Row],[CFNM]]/Table716368[[#This Row],[CAREA]]</f>
        <v>0.15877158740971492</v>
      </c>
      <c r="AJ221">
        <v>2.75122</v>
      </c>
      <c r="AK221">
        <f>(Table817369[[#This Row],[time]]-2)*2</f>
        <v>1.50244</v>
      </c>
      <c r="AL221">
        <v>83.271199999999993</v>
      </c>
      <c r="AM221">
        <v>9.5274699999999992</v>
      </c>
      <c r="AN221">
        <f>Table817369[[#This Row],[CFNM]]/Table817369[[#This Row],[CAREA]]</f>
        <v>0.11441494778506854</v>
      </c>
    </row>
    <row r="222" spans="1:40">
      <c r="A222">
        <v>2.8056000000000001</v>
      </c>
      <c r="B222">
        <f>(Table110362[[#This Row],[time]]-2)*2</f>
        <v>1.6112000000000002</v>
      </c>
      <c r="C222">
        <v>80.902299999999997</v>
      </c>
      <c r="D222">
        <v>6.04176</v>
      </c>
      <c r="E222">
        <f>Table110362[[#This Row],[CFNM]]/Table110362[[#This Row],[CAREA]]</f>
        <v>7.467970626298634E-2</v>
      </c>
      <c r="F222">
        <v>2.8056000000000001</v>
      </c>
      <c r="G222">
        <f>(Table211363[[#This Row],[time]]-2)*2</f>
        <v>1.6112000000000002</v>
      </c>
      <c r="H222">
        <v>88.192899999999995</v>
      </c>
      <c r="I222">
        <v>0.82059099999999996</v>
      </c>
      <c r="J222">
        <f>Table211363[[#This Row],[CFNM]]/Table211363[[#This Row],[CAREA]]</f>
        <v>9.3045018363156224E-3</v>
      </c>
      <c r="K222">
        <v>2.8056000000000001</v>
      </c>
      <c r="L222">
        <f>(Table312364[[#This Row],[time]]-2)*2</f>
        <v>1.6112000000000002</v>
      </c>
      <c r="M222">
        <v>79.686599999999999</v>
      </c>
      <c r="N222">
        <v>3.4732399999999998E-3</v>
      </c>
      <c r="O222">
        <f>Table312364[[#This Row],[CFNM]]/Table312364[[#This Row],[CAREA]]</f>
        <v>4.3586249130970579E-5</v>
      </c>
      <c r="P222">
        <v>2.8056000000000001</v>
      </c>
      <c r="Q222">
        <f>(Table413365[[#This Row],[time]]-2)*2</f>
        <v>1.6112000000000002</v>
      </c>
      <c r="R222">
        <v>76.788200000000003</v>
      </c>
      <c r="S222">
        <v>5.0263800000000004E-3</v>
      </c>
      <c r="T222">
        <f>Table413365[[#This Row],[CFNM]]/Table413365[[#This Row],[CAREA]]</f>
        <v>6.5457713554947246E-5</v>
      </c>
      <c r="U222">
        <v>2.8056000000000001</v>
      </c>
      <c r="V222">
        <f>(Table514366[[#This Row],[time]]-2)*2</f>
        <v>1.6112000000000002</v>
      </c>
      <c r="W222">
        <v>70.992099999999994</v>
      </c>
      <c r="X222">
        <v>4.0572999999999998E-3</v>
      </c>
      <c r="Y222">
        <f>Table514366[[#This Row],[CFNM]]/Table514366[[#This Row],[CAREA]]</f>
        <v>5.7151429525257039E-5</v>
      </c>
      <c r="Z222">
        <v>2.8056000000000001</v>
      </c>
      <c r="AA222">
        <f>(Table615367[[#This Row],[time]]-2)*2</f>
        <v>1.6112000000000002</v>
      </c>
      <c r="AB222">
        <v>72.981800000000007</v>
      </c>
      <c r="AC222">
        <v>3.07859E-3</v>
      </c>
      <c r="AD222">
        <f>Table615367[[#This Row],[CFNM]]/Table615367[[#This Row],[CAREA]]</f>
        <v>4.2182982606622469E-5</v>
      </c>
      <c r="AE222">
        <v>2.8056000000000001</v>
      </c>
      <c r="AF222">
        <f>(Table716368[[#This Row],[time]]-2)*2</f>
        <v>1.6112000000000002</v>
      </c>
      <c r="AG222">
        <v>78.434399999999997</v>
      </c>
      <c r="AH222">
        <v>11.591699999999999</v>
      </c>
      <c r="AI222">
        <f>Table716368[[#This Row],[CFNM]]/Table716368[[#This Row],[CAREA]]</f>
        <v>0.14778847036504392</v>
      </c>
      <c r="AJ222">
        <v>2.8056000000000001</v>
      </c>
      <c r="AK222">
        <f>(Table817369[[#This Row],[time]]-2)*2</f>
        <v>1.6112000000000002</v>
      </c>
      <c r="AL222">
        <v>83.146600000000007</v>
      </c>
      <c r="AM222">
        <v>8.8684100000000008</v>
      </c>
      <c r="AN222">
        <f>Table817369[[#This Row],[CFNM]]/Table817369[[#This Row],[CAREA]]</f>
        <v>0.10665992355670587</v>
      </c>
    </row>
    <row r="223" spans="1:40">
      <c r="A223">
        <v>2.8591700000000002</v>
      </c>
      <c r="B223">
        <f>(Table110362[[#This Row],[time]]-2)*2</f>
        <v>1.7183400000000004</v>
      </c>
      <c r="C223">
        <v>79.851600000000005</v>
      </c>
      <c r="D223">
        <v>5.8169700000000004</v>
      </c>
      <c r="E223">
        <f>Table110362[[#This Row],[CFNM]]/Table110362[[#This Row],[CAREA]]</f>
        <v>7.2847256661106349E-2</v>
      </c>
      <c r="F223">
        <v>2.8591700000000002</v>
      </c>
      <c r="G223">
        <f>(Table211363[[#This Row],[time]]-2)*2</f>
        <v>1.7183400000000004</v>
      </c>
      <c r="H223">
        <v>87.684899999999999</v>
      </c>
      <c r="I223">
        <v>0.85143100000000005</v>
      </c>
      <c r="J223">
        <f>Table211363[[#This Row],[CFNM]]/Table211363[[#This Row],[CAREA]]</f>
        <v>9.710121126898702E-3</v>
      </c>
      <c r="K223">
        <v>2.8591700000000002</v>
      </c>
      <c r="L223">
        <f>(Table312364[[#This Row],[time]]-2)*2</f>
        <v>1.7183400000000004</v>
      </c>
      <c r="M223">
        <v>79.052099999999996</v>
      </c>
      <c r="N223">
        <v>3.3387E-3</v>
      </c>
      <c r="O223">
        <f>Table312364[[#This Row],[CFNM]]/Table312364[[#This Row],[CAREA]]</f>
        <v>4.2234172147229484E-5</v>
      </c>
      <c r="P223">
        <v>2.8591700000000002</v>
      </c>
      <c r="Q223">
        <f>(Table413365[[#This Row],[time]]-2)*2</f>
        <v>1.7183400000000004</v>
      </c>
      <c r="R223">
        <v>76.412800000000004</v>
      </c>
      <c r="S223">
        <v>4.8914099999999997E-3</v>
      </c>
      <c r="T223">
        <f>Table413365[[#This Row],[CFNM]]/Table413365[[#This Row],[CAREA]]</f>
        <v>6.4012966414003927E-5</v>
      </c>
      <c r="U223">
        <v>2.8591700000000002</v>
      </c>
      <c r="V223">
        <f>(Table514366[[#This Row],[time]]-2)*2</f>
        <v>1.7183400000000004</v>
      </c>
      <c r="W223">
        <v>70.080600000000004</v>
      </c>
      <c r="X223">
        <v>3.9398200000000001E-3</v>
      </c>
      <c r="Y223">
        <f>Table514366[[#This Row],[CFNM]]/Table514366[[#This Row],[CAREA]]</f>
        <v>5.6218411372048753E-5</v>
      </c>
      <c r="Z223">
        <v>2.8591700000000002</v>
      </c>
      <c r="AA223">
        <f>(Table615367[[#This Row],[time]]-2)*2</f>
        <v>1.7183400000000004</v>
      </c>
      <c r="AB223">
        <v>71.888900000000007</v>
      </c>
      <c r="AC223">
        <v>2.91676E-3</v>
      </c>
      <c r="AD223">
        <f>Table615367[[#This Row],[CFNM]]/Table615367[[#This Row],[CAREA]]</f>
        <v>4.0573162198893008E-5</v>
      </c>
      <c r="AE223">
        <v>2.8591700000000002</v>
      </c>
      <c r="AF223">
        <f>(Table716368[[#This Row],[time]]-2)*2</f>
        <v>1.7183400000000004</v>
      </c>
      <c r="AG223">
        <v>78.436400000000006</v>
      </c>
      <c r="AH223">
        <v>10.793799999999999</v>
      </c>
      <c r="AI223">
        <f>Table716368[[#This Row],[CFNM]]/Table716368[[#This Row],[CAREA]]</f>
        <v>0.13761212906252707</v>
      </c>
      <c r="AJ223">
        <v>2.8591700000000002</v>
      </c>
      <c r="AK223">
        <f>(Table817369[[#This Row],[time]]-2)*2</f>
        <v>1.7183400000000004</v>
      </c>
      <c r="AL223">
        <v>83.036699999999996</v>
      </c>
      <c r="AM223">
        <v>8.2166300000000003</v>
      </c>
      <c r="AN223">
        <f>Table817369[[#This Row],[CFNM]]/Table817369[[#This Row],[CAREA]]</f>
        <v>9.8951788787367517E-2</v>
      </c>
    </row>
    <row r="224" spans="1:40">
      <c r="A224">
        <v>2.9112399999999998</v>
      </c>
      <c r="B224">
        <f>(Table110362[[#This Row],[time]]-2)*2</f>
        <v>1.8224799999999997</v>
      </c>
      <c r="C224">
        <v>79.493899999999996</v>
      </c>
      <c r="D224">
        <v>5.5786699999999998</v>
      </c>
      <c r="E224">
        <f>Table110362[[#This Row],[CFNM]]/Table110362[[#This Row],[CAREA]]</f>
        <v>7.0177334361504473E-2</v>
      </c>
      <c r="F224">
        <v>2.9112399999999998</v>
      </c>
      <c r="G224">
        <f>(Table211363[[#This Row],[time]]-2)*2</f>
        <v>1.8224799999999997</v>
      </c>
      <c r="H224">
        <v>87.195599999999999</v>
      </c>
      <c r="I224">
        <v>0.90366599999999997</v>
      </c>
      <c r="J224">
        <f>Table211363[[#This Row],[CFNM]]/Table211363[[#This Row],[CAREA]]</f>
        <v>1.036366513906665E-2</v>
      </c>
      <c r="K224">
        <v>2.9112399999999998</v>
      </c>
      <c r="L224">
        <f>(Table312364[[#This Row],[time]]-2)*2</f>
        <v>1.8224799999999997</v>
      </c>
      <c r="M224">
        <v>78.635900000000007</v>
      </c>
      <c r="N224">
        <v>3.2075799999999998E-3</v>
      </c>
      <c r="O224">
        <f>Table312364[[#This Row],[CFNM]]/Table312364[[#This Row],[CAREA]]</f>
        <v>4.0790275179657124E-5</v>
      </c>
      <c r="P224">
        <v>2.9112399999999998</v>
      </c>
      <c r="Q224">
        <f>(Table413365[[#This Row],[time]]-2)*2</f>
        <v>1.8224799999999997</v>
      </c>
      <c r="R224">
        <v>76.070099999999996</v>
      </c>
      <c r="S224">
        <v>4.75787E-3</v>
      </c>
      <c r="T224">
        <f>Table413365[[#This Row],[CFNM]]/Table413365[[#This Row],[CAREA]]</f>
        <v>6.2545862303322854E-5</v>
      </c>
      <c r="U224">
        <v>2.9112399999999998</v>
      </c>
      <c r="V224">
        <f>(Table514366[[#This Row],[time]]-2)*2</f>
        <v>1.8224799999999997</v>
      </c>
      <c r="W224">
        <v>69.609399999999994</v>
      </c>
      <c r="X224">
        <v>3.8241E-3</v>
      </c>
      <c r="Y224">
        <f>Table514366[[#This Row],[CFNM]]/Table514366[[#This Row],[CAREA]]</f>
        <v>5.4936545926268585E-5</v>
      </c>
      <c r="Z224">
        <v>2.9112399999999998</v>
      </c>
      <c r="AA224">
        <f>(Table615367[[#This Row],[time]]-2)*2</f>
        <v>1.8224799999999997</v>
      </c>
      <c r="AB224">
        <v>70.545199999999994</v>
      </c>
      <c r="AC224">
        <v>2.7656299999999998E-3</v>
      </c>
      <c r="AD224">
        <f>Table615367[[#This Row],[CFNM]]/Table615367[[#This Row],[CAREA]]</f>
        <v>3.920365949774046E-5</v>
      </c>
      <c r="AE224">
        <v>2.9112399999999998</v>
      </c>
      <c r="AF224">
        <f>(Table716368[[#This Row],[time]]-2)*2</f>
        <v>1.8224799999999997</v>
      </c>
      <c r="AG224">
        <v>78.300299999999993</v>
      </c>
      <c r="AH224">
        <v>9.9648900000000005</v>
      </c>
      <c r="AI224">
        <f>Table716368[[#This Row],[CFNM]]/Table716368[[#This Row],[CAREA]]</f>
        <v>0.12726502963590181</v>
      </c>
      <c r="AJ224">
        <v>2.9112399999999998</v>
      </c>
      <c r="AK224">
        <f>(Table817369[[#This Row],[time]]-2)*2</f>
        <v>1.8224799999999997</v>
      </c>
      <c r="AL224">
        <v>82.957099999999997</v>
      </c>
      <c r="AM224">
        <v>7.5189399999999997</v>
      </c>
      <c r="AN224">
        <f>Table817369[[#This Row],[CFNM]]/Table817369[[#This Row],[CAREA]]</f>
        <v>9.0636485605210398E-2</v>
      </c>
    </row>
    <row r="225" spans="1:40">
      <c r="A225">
        <v>2.9507099999999999</v>
      </c>
      <c r="B225">
        <f>(Table110362[[#This Row],[time]]-2)*2</f>
        <v>1.9014199999999999</v>
      </c>
      <c r="C225">
        <v>78.681200000000004</v>
      </c>
      <c r="D225">
        <v>5.3848900000000004</v>
      </c>
      <c r="E225">
        <f>Table110362[[#This Row],[CFNM]]/Table110362[[#This Row],[CAREA]]</f>
        <v>6.843934764594338E-2</v>
      </c>
      <c r="F225">
        <v>2.9507099999999999</v>
      </c>
      <c r="G225">
        <f>(Table211363[[#This Row],[time]]-2)*2</f>
        <v>1.9014199999999999</v>
      </c>
      <c r="H225">
        <v>86.803899999999999</v>
      </c>
      <c r="I225">
        <v>0.93347400000000003</v>
      </c>
      <c r="J225">
        <f>Table211363[[#This Row],[CFNM]]/Table211363[[#This Row],[CAREA]]</f>
        <v>1.0753825576961404E-2</v>
      </c>
      <c r="K225">
        <v>2.9507099999999999</v>
      </c>
      <c r="L225">
        <f>(Table312364[[#This Row],[time]]-2)*2</f>
        <v>1.9014199999999999</v>
      </c>
      <c r="M225">
        <v>78.308000000000007</v>
      </c>
      <c r="N225">
        <v>3.1076099999999998E-3</v>
      </c>
      <c r="O225">
        <f>Table312364[[#This Row],[CFNM]]/Table312364[[#This Row],[CAREA]]</f>
        <v>3.9684451141645805E-5</v>
      </c>
      <c r="P225">
        <v>2.9507099999999999</v>
      </c>
      <c r="Q225">
        <f>(Table413365[[#This Row],[time]]-2)*2</f>
        <v>1.9014199999999999</v>
      </c>
      <c r="R225">
        <v>75.833100000000002</v>
      </c>
      <c r="S225">
        <v>4.6554200000000004E-3</v>
      </c>
      <c r="T225">
        <f>Table413365[[#This Row],[CFNM]]/Table413365[[#This Row],[CAREA]]</f>
        <v>6.1390342739516123E-5</v>
      </c>
      <c r="U225">
        <v>2.9507099999999999</v>
      </c>
      <c r="V225">
        <f>(Table514366[[#This Row],[time]]-2)*2</f>
        <v>1.9014199999999999</v>
      </c>
      <c r="W225">
        <v>69.192800000000005</v>
      </c>
      <c r="X225">
        <v>3.7364199999999998E-3</v>
      </c>
      <c r="Y225">
        <f>Table514366[[#This Row],[CFNM]]/Table514366[[#This Row],[CAREA]]</f>
        <v>5.4000127180862743E-5</v>
      </c>
      <c r="Z225">
        <v>2.9507099999999999</v>
      </c>
      <c r="AA225">
        <f>(Table615367[[#This Row],[time]]-2)*2</f>
        <v>1.9014199999999999</v>
      </c>
      <c r="AB225">
        <v>69.665899999999993</v>
      </c>
      <c r="AC225">
        <v>2.6521700000000001E-3</v>
      </c>
      <c r="AD225">
        <f>Table615367[[#This Row],[CFNM]]/Table615367[[#This Row],[CAREA]]</f>
        <v>3.8069844787765611E-5</v>
      </c>
      <c r="AE225">
        <v>2.9507099999999999</v>
      </c>
      <c r="AF225">
        <f>(Table716368[[#This Row],[time]]-2)*2</f>
        <v>1.9014199999999999</v>
      </c>
      <c r="AG225">
        <v>78.205200000000005</v>
      </c>
      <c r="AH225">
        <v>9.2919900000000002</v>
      </c>
      <c r="AI225">
        <f>Table716368[[#This Row],[CFNM]]/Table716368[[#This Row],[CAREA]]</f>
        <v>0.11881550075954028</v>
      </c>
      <c r="AJ225">
        <v>2.9507099999999999</v>
      </c>
      <c r="AK225">
        <f>(Table817369[[#This Row],[time]]-2)*2</f>
        <v>1.9014199999999999</v>
      </c>
      <c r="AL225">
        <v>82.880399999999995</v>
      </c>
      <c r="AM225">
        <v>6.98421</v>
      </c>
      <c r="AN225">
        <f>Table817369[[#This Row],[CFNM]]/Table817369[[#This Row],[CAREA]]</f>
        <v>8.4268536348762801E-2</v>
      </c>
    </row>
    <row r="226" spans="1:40">
      <c r="A226">
        <v>3</v>
      </c>
      <c r="B226">
        <f>(Table110362[[#This Row],[time]]-2)*2</f>
        <v>2</v>
      </c>
      <c r="C226">
        <v>77.804199999999994</v>
      </c>
      <c r="D226">
        <v>5.1274800000000003</v>
      </c>
      <c r="E226">
        <f>Table110362[[#This Row],[CFNM]]/Table110362[[#This Row],[CAREA]]</f>
        <v>6.5902354885725975E-2</v>
      </c>
      <c r="F226">
        <v>3</v>
      </c>
      <c r="G226">
        <f>(Table211363[[#This Row],[time]]-2)*2</f>
        <v>2</v>
      </c>
      <c r="H226">
        <v>86.341399999999993</v>
      </c>
      <c r="I226">
        <v>0.956368</v>
      </c>
      <c r="J226">
        <f>Table211363[[#This Row],[CFNM]]/Table211363[[#This Row],[CAREA]]</f>
        <v>1.1076586666419586E-2</v>
      </c>
      <c r="K226">
        <v>3</v>
      </c>
      <c r="L226">
        <f>(Table312364[[#This Row],[time]]-2)*2</f>
        <v>2</v>
      </c>
      <c r="M226">
        <v>77.883499999999998</v>
      </c>
      <c r="N226">
        <v>2.9830899999999999E-3</v>
      </c>
      <c r="O226">
        <f>Table312364[[#This Row],[CFNM]]/Table312364[[#This Row],[CAREA]]</f>
        <v>3.8301950990903076E-5</v>
      </c>
      <c r="P226">
        <v>3</v>
      </c>
      <c r="Q226">
        <f>(Table413365[[#This Row],[time]]-2)*2</f>
        <v>2</v>
      </c>
      <c r="R226">
        <v>75.537800000000004</v>
      </c>
      <c r="S226">
        <v>4.5251900000000001E-3</v>
      </c>
      <c r="T226">
        <f>Table413365[[#This Row],[CFNM]]/Table413365[[#This Row],[CAREA]]</f>
        <v>5.9906298568398865E-5</v>
      </c>
      <c r="U226">
        <v>3</v>
      </c>
      <c r="V226">
        <f>(Table514366[[#This Row],[time]]-2)*2</f>
        <v>2</v>
      </c>
      <c r="W226">
        <v>68.486699999999999</v>
      </c>
      <c r="X226">
        <v>3.6226499999999998E-3</v>
      </c>
      <c r="Y226">
        <f>Table514366[[#This Row],[CFNM]]/Table514366[[#This Row],[CAREA]]</f>
        <v>5.2895671714362058E-5</v>
      </c>
      <c r="Z226">
        <v>3</v>
      </c>
      <c r="AA226">
        <f>(Table615367[[#This Row],[time]]-2)*2</f>
        <v>2</v>
      </c>
      <c r="AB226">
        <v>68.177599999999998</v>
      </c>
      <c r="AC226">
        <v>2.5071899999999999E-3</v>
      </c>
      <c r="AD226">
        <f>Table615367[[#This Row],[CFNM]]/Table615367[[#This Row],[CAREA]]</f>
        <v>3.6774395109244093E-5</v>
      </c>
      <c r="AE226">
        <v>3</v>
      </c>
      <c r="AF226">
        <f>(Table716368[[#This Row],[time]]-2)*2</f>
        <v>2</v>
      </c>
      <c r="AG226">
        <v>78.015699999999995</v>
      </c>
      <c r="AH226">
        <v>8.4471799999999995</v>
      </c>
      <c r="AI226">
        <f>Table716368[[#This Row],[CFNM]]/Table716368[[#This Row],[CAREA]]</f>
        <v>0.10827538559546347</v>
      </c>
      <c r="AJ226">
        <v>3</v>
      </c>
      <c r="AK226">
        <f>(Table817369[[#This Row],[time]]-2)*2</f>
        <v>2</v>
      </c>
      <c r="AL226">
        <v>82.770799999999994</v>
      </c>
      <c r="AM226">
        <v>6.2983599999999997</v>
      </c>
      <c r="AN226">
        <f>Table817369[[#This Row],[CFNM]]/Table817369[[#This Row],[CAREA]]</f>
        <v>7.6093984835231748E-2</v>
      </c>
    </row>
    <row r="229" spans="1:40">
      <c r="A229" s="1" t="s">
        <v>37</v>
      </c>
    </row>
    <row r="230" spans="1:40">
      <c r="A230" t="s">
        <v>38</v>
      </c>
      <c r="F230" t="s">
        <v>2</v>
      </c>
    </row>
    <row r="231" spans="1:40">
      <c r="F231" t="s">
        <v>4</v>
      </c>
      <c r="G231" t="s">
        <v>5</v>
      </c>
    </row>
    <row r="234" spans="1:40">
      <c r="A234" t="s">
        <v>7</v>
      </c>
      <c r="F234" t="s">
        <v>8</v>
      </c>
      <c r="K234" t="s">
        <v>9</v>
      </c>
      <c r="P234" t="s">
        <v>26</v>
      </c>
      <c r="U234" t="s">
        <v>11</v>
      </c>
      <c r="Z234" t="s">
        <v>12</v>
      </c>
      <c r="AE234" t="s">
        <v>13</v>
      </c>
      <c r="AJ234" t="s">
        <v>14</v>
      </c>
    </row>
    <row r="235" spans="1:40">
      <c r="A235" t="s">
        <v>15</v>
      </c>
      <c r="B235" t="s">
        <v>16</v>
      </c>
      <c r="C235" t="s">
        <v>20</v>
      </c>
      <c r="D235" t="s">
        <v>18</v>
      </c>
      <c r="E235" t="s">
        <v>19</v>
      </c>
      <c r="F235" t="s">
        <v>15</v>
      </c>
      <c r="G235" t="s">
        <v>16</v>
      </c>
      <c r="H235" t="s">
        <v>20</v>
      </c>
      <c r="I235" t="s">
        <v>18</v>
      </c>
      <c r="J235" t="s">
        <v>19</v>
      </c>
      <c r="K235" t="s">
        <v>15</v>
      </c>
      <c r="L235" t="s">
        <v>16</v>
      </c>
      <c r="M235" t="s">
        <v>20</v>
      </c>
      <c r="N235" t="s">
        <v>18</v>
      </c>
      <c r="O235" t="s">
        <v>19</v>
      </c>
      <c r="P235" t="s">
        <v>15</v>
      </c>
      <c r="Q235" t="s">
        <v>16</v>
      </c>
      <c r="R235" t="s">
        <v>20</v>
      </c>
      <c r="S235" t="s">
        <v>18</v>
      </c>
      <c r="T235" t="s">
        <v>19</v>
      </c>
      <c r="U235" t="s">
        <v>15</v>
      </c>
      <c r="V235" t="s">
        <v>16</v>
      </c>
      <c r="W235" t="s">
        <v>20</v>
      </c>
      <c r="X235" t="s">
        <v>18</v>
      </c>
      <c r="Y235" t="s">
        <v>19</v>
      </c>
      <c r="Z235" t="s">
        <v>15</v>
      </c>
      <c r="AA235" t="s">
        <v>16</v>
      </c>
      <c r="AB235" t="s">
        <v>20</v>
      </c>
      <c r="AC235" t="s">
        <v>18</v>
      </c>
      <c r="AD235" t="s">
        <v>19</v>
      </c>
      <c r="AE235" t="s">
        <v>15</v>
      </c>
      <c r="AF235" t="s">
        <v>16</v>
      </c>
      <c r="AG235" t="s">
        <v>20</v>
      </c>
      <c r="AH235" t="s">
        <v>18</v>
      </c>
      <c r="AI235" t="s">
        <v>19</v>
      </c>
      <c r="AJ235" t="s">
        <v>15</v>
      </c>
      <c r="AK235" t="s">
        <v>16</v>
      </c>
      <c r="AL235" t="s">
        <v>20</v>
      </c>
      <c r="AM235" t="s">
        <v>18</v>
      </c>
      <c r="AN235" t="s">
        <v>19</v>
      </c>
    </row>
    <row r="236" spans="1:40">
      <c r="A236">
        <v>2</v>
      </c>
      <c r="B236">
        <f>-(Table1370[[#This Row],[time]]-2)*2</f>
        <v>0</v>
      </c>
      <c r="C236">
        <v>91.084699999999998</v>
      </c>
      <c r="D236">
        <v>10.2044</v>
      </c>
      <c r="E236" s="2">
        <f>Table1370[[#This Row],[CFNM]]/Table1370[[#This Row],[CAREA]]</f>
        <v>0.11203198780914907</v>
      </c>
      <c r="F236">
        <v>2</v>
      </c>
      <c r="G236">
        <f>-(Table2371[[#This Row],[time]]-2)*2</f>
        <v>0</v>
      </c>
      <c r="H236">
        <v>95.836600000000004</v>
      </c>
      <c r="I236">
        <v>3.5649700000000002</v>
      </c>
      <c r="J236" s="2">
        <f>Table2371[[#This Row],[CFNM]]/Table2371[[#This Row],[CAREA]]</f>
        <v>3.7198418975631441E-2</v>
      </c>
      <c r="K236">
        <v>2</v>
      </c>
      <c r="L236">
        <f>-(Table3372[[#This Row],[time]]-2)*2</f>
        <v>0</v>
      </c>
      <c r="M236">
        <v>89.259799999999998</v>
      </c>
      <c r="N236">
        <v>3.64472</v>
      </c>
      <c r="O236">
        <f>Table3372[[#This Row],[CFNM]]/Table3372[[#This Row],[CAREA]]</f>
        <v>4.0832715287284979E-2</v>
      </c>
      <c r="P236">
        <v>2</v>
      </c>
      <c r="Q236">
        <f>-(Table4373[[#This Row],[time]]-2)*2</f>
        <v>0</v>
      </c>
      <c r="R236">
        <v>86.405299999999997</v>
      </c>
      <c r="S236">
        <v>6.4305199999999996</v>
      </c>
      <c r="T236">
        <f>Table4373[[#This Row],[CFNM]]/Table4373[[#This Row],[CAREA]]</f>
        <v>7.4422749530410753E-2</v>
      </c>
      <c r="U236">
        <v>2</v>
      </c>
      <c r="V236">
        <f>-(Table5374[[#This Row],[time]]-2)*2</f>
        <v>0</v>
      </c>
      <c r="W236">
        <v>82.680099999999996</v>
      </c>
      <c r="X236">
        <v>8.5651600000000006</v>
      </c>
      <c r="Y236">
        <f>Table5374[[#This Row],[CFNM]]/Table5374[[#This Row],[CAREA]]</f>
        <v>0.10359397243109286</v>
      </c>
      <c r="Z236">
        <v>2</v>
      </c>
      <c r="AA236">
        <f>-(Table6375[[#This Row],[time]]-2)*2</f>
        <v>0</v>
      </c>
      <c r="AB236">
        <v>88.826700000000002</v>
      </c>
      <c r="AC236">
        <v>15.1248</v>
      </c>
      <c r="AD236">
        <f>Table6375[[#This Row],[CFNM]]/Table6375[[#This Row],[CAREA]]</f>
        <v>0.17027312733671296</v>
      </c>
      <c r="AE236">
        <v>2</v>
      </c>
      <c r="AF236">
        <f>-(Table7376[[#This Row],[time]]-2)*2</f>
        <v>0</v>
      </c>
      <c r="AG236">
        <v>78.953400000000002</v>
      </c>
      <c r="AH236">
        <v>19.615500000000001</v>
      </c>
      <c r="AI236">
        <f>Table7376[[#This Row],[CFNM]]/Table7376[[#This Row],[CAREA]]</f>
        <v>0.2484440188769578</v>
      </c>
      <c r="AJ236">
        <v>2</v>
      </c>
      <c r="AK236">
        <f>-(Table8377[[#This Row],[time]]-2)*2</f>
        <v>0</v>
      </c>
      <c r="AL236">
        <v>83.136899999999997</v>
      </c>
      <c r="AM236">
        <v>19.233499999999999</v>
      </c>
      <c r="AN236">
        <f>Table8377[[#This Row],[CFNM]]/Table8377[[#This Row],[CAREA]]</f>
        <v>0.23134733193082735</v>
      </c>
    </row>
    <row r="237" spans="1:40">
      <c r="A237">
        <v>2.0512600000000001</v>
      </c>
      <c r="B237">
        <f>-(Table1370[[#This Row],[time]]-2)*2</f>
        <v>-0.10252000000000017</v>
      </c>
      <c r="C237">
        <v>90.950999999999993</v>
      </c>
      <c r="D237">
        <v>10.4895</v>
      </c>
      <c r="E237">
        <f>Table1370[[#This Row],[CFNM]]/Table1370[[#This Row],[CAREA]]</f>
        <v>0.11533133225583006</v>
      </c>
      <c r="F237">
        <v>2.0512600000000001</v>
      </c>
      <c r="G237">
        <f>-(Table2371[[#This Row],[time]]-2)*2</f>
        <v>-0.10252000000000017</v>
      </c>
      <c r="H237">
        <v>95.932599999999994</v>
      </c>
      <c r="I237">
        <v>3.69082</v>
      </c>
      <c r="J237">
        <f>Table2371[[#This Row],[CFNM]]/Table2371[[#This Row],[CAREA]]</f>
        <v>3.8473052955929475E-2</v>
      </c>
      <c r="K237">
        <v>2.0512600000000001</v>
      </c>
      <c r="L237">
        <f>-(Table3372[[#This Row],[time]]-2)*2</f>
        <v>-0.10252000000000017</v>
      </c>
      <c r="M237">
        <v>89.105000000000004</v>
      </c>
      <c r="N237">
        <v>4.1811699999999998</v>
      </c>
      <c r="O237">
        <f>Table3372[[#This Row],[CFNM]]/Table3372[[#This Row],[CAREA]]</f>
        <v>4.6924078334549126E-2</v>
      </c>
      <c r="P237">
        <v>2.0512600000000001</v>
      </c>
      <c r="Q237">
        <f>-(Table4373[[#This Row],[time]]-2)*2</f>
        <v>-0.10252000000000017</v>
      </c>
      <c r="R237">
        <v>86.471500000000006</v>
      </c>
      <c r="S237">
        <v>7.0776199999999996</v>
      </c>
      <c r="T237">
        <f>Table4373[[#This Row],[CFNM]]/Table4373[[#This Row],[CAREA]]</f>
        <v>8.1849164175479772E-2</v>
      </c>
      <c r="U237">
        <v>2.0512600000000001</v>
      </c>
      <c r="V237">
        <f>-(Table5374[[#This Row],[time]]-2)*2</f>
        <v>-0.10252000000000017</v>
      </c>
      <c r="W237">
        <v>82.619399999999999</v>
      </c>
      <c r="X237">
        <v>9.9802</v>
      </c>
      <c r="Y237">
        <f>Table5374[[#This Row],[CFNM]]/Table5374[[#This Row],[CAREA]]</f>
        <v>0.12079729458214415</v>
      </c>
      <c r="Z237">
        <v>2.0512600000000001</v>
      </c>
      <c r="AA237">
        <f>-(Table6375[[#This Row],[time]]-2)*2</f>
        <v>-0.10252000000000017</v>
      </c>
      <c r="AB237">
        <v>88.879400000000004</v>
      </c>
      <c r="AC237">
        <v>16.900300000000001</v>
      </c>
      <c r="AD237">
        <f>Table6375[[#This Row],[CFNM]]/Table6375[[#This Row],[CAREA]]</f>
        <v>0.19014867337088234</v>
      </c>
      <c r="AE237">
        <v>2.0512600000000001</v>
      </c>
      <c r="AF237">
        <f>-(Table7376[[#This Row],[time]]-2)*2</f>
        <v>-0.10252000000000017</v>
      </c>
      <c r="AG237">
        <v>79.093999999999994</v>
      </c>
      <c r="AH237">
        <v>20.878699999999998</v>
      </c>
      <c r="AI237">
        <f>Table7376[[#This Row],[CFNM]]/Table7376[[#This Row],[CAREA]]</f>
        <v>0.26397324702253017</v>
      </c>
      <c r="AJ237">
        <v>2.0512600000000001</v>
      </c>
      <c r="AK237">
        <f>-(Table8377[[#This Row],[time]]-2)*2</f>
        <v>-0.10252000000000017</v>
      </c>
      <c r="AL237">
        <v>83.056200000000004</v>
      </c>
      <c r="AM237">
        <v>20.736899999999999</v>
      </c>
      <c r="AN237">
        <f>Table8377[[#This Row],[CFNM]]/Table8377[[#This Row],[CAREA]]</f>
        <v>0.24967311290427444</v>
      </c>
    </row>
    <row r="238" spans="1:40">
      <c r="A238">
        <v>2.1153300000000002</v>
      </c>
      <c r="B238">
        <f>-(Table1370[[#This Row],[time]]-2)*2</f>
        <v>-0.23066000000000031</v>
      </c>
      <c r="C238">
        <v>90.494699999999995</v>
      </c>
      <c r="D238">
        <v>11.175700000000001</v>
      </c>
      <c r="E238">
        <f>Table1370[[#This Row],[CFNM]]/Table1370[[#This Row],[CAREA]]</f>
        <v>0.12349563013082536</v>
      </c>
      <c r="F238">
        <v>2.1153300000000002</v>
      </c>
      <c r="G238">
        <f>-(Table2371[[#This Row],[time]]-2)*2</f>
        <v>-0.23066000000000031</v>
      </c>
      <c r="H238">
        <v>95.608999999999995</v>
      </c>
      <c r="I238">
        <v>3.86883</v>
      </c>
      <c r="J238">
        <f>Table2371[[#This Row],[CFNM]]/Table2371[[#This Row],[CAREA]]</f>
        <v>4.0465123576232366E-2</v>
      </c>
      <c r="K238">
        <v>2.1153300000000002</v>
      </c>
      <c r="L238">
        <f>-(Table3372[[#This Row],[time]]-2)*2</f>
        <v>-0.23066000000000031</v>
      </c>
      <c r="M238">
        <v>89.034800000000004</v>
      </c>
      <c r="N238">
        <v>5.4468300000000003</v>
      </c>
      <c r="O238">
        <f>Table3372[[#This Row],[CFNM]]/Table3372[[#This Row],[CAREA]]</f>
        <v>6.1176416412458946E-2</v>
      </c>
      <c r="P238">
        <v>2.1153300000000002</v>
      </c>
      <c r="Q238">
        <f>-(Table4373[[#This Row],[time]]-2)*2</f>
        <v>-0.23066000000000031</v>
      </c>
      <c r="R238">
        <v>86.632999999999996</v>
      </c>
      <c r="S238">
        <v>8.4896399999999996</v>
      </c>
      <c r="T238">
        <f>Table4373[[#This Row],[CFNM]]/Table4373[[#This Row],[CAREA]]</f>
        <v>9.7995452079461642E-2</v>
      </c>
      <c r="U238">
        <v>2.1153300000000002</v>
      </c>
      <c r="V238">
        <f>-(Table5374[[#This Row],[time]]-2)*2</f>
        <v>-0.23066000000000031</v>
      </c>
      <c r="W238">
        <v>82.251800000000003</v>
      </c>
      <c r="X238">
        <v>13.7689</v>
      </c>
      <c r="Y238">
        <f>Table5374[[#This Row],[CFNM]]/Table5374[[#This Row],[CAREA]]</f>
        <v>0.16739937606228678</v>
      </c>
      <c r="Z238">
        <v>2.1153300000000002</v>
      </c>
      <c r="AA238">
        <f>-(Table6375[[#This Row],[time]]-2)*2</f>
        <v>-0.23066000000000031</v>
      </c>
      <c r="AB238">
        <v>88.912599999999998</v>
      </c>
      <c r="AC238">
        <v>21.351600000000001</v>
      </c>
      <c r="AD238">
        <f>Table6375[[#This Row],[CFNM]]/Table6375[[#This Row],[CAREA]]</f>
        <v>0.24014144227027442</v>
      </c>
      <c r="AE238">
        <v>2.1153300000000002</v>
      </c>
      <c r="AF238">
        <f>-(Table7376[[#This Row],[time]]-2)*2</f>
        <v>-0.23066000000000031</v>
      </c>
      <c r="AG238">
        <v>79.313500000000005</v>
      </c>
      <c r="AH238">
        <v>22.5456</v>
      </c>
      <c r="AI238">
        <f>Table7376[[#This Row],[CFNM]]/Table7376[[#This Row],[CAREA]]</f>
        <v>0.28425930011914741</v>
      </c>
      <c r="AJ238">
        <v>2.1153300000000002</v>
      </c>
      <c r="AK238">
        <f>-(Table8377[[#This Row],[time]]-2)*2</f>
        <v>-0.23066000000000031</v>
      </c>
      <c r="AL238">
        <v>82.882000000000005</v>
      </c>
      <c r="AM238">
        <v>22.901800000000001</v>
      </c>
      <c r="AN238">
        <f>Table8377[[#This Row],[CFNM]]/Table8377[[#This Row],[CAREA]]</f>
        <v>0.2763181390410463</v>
      </c>
    </row>
    <row r="239" spans="1:40">
      <c r="A239">
        <v>2.16533</v>
      </c>
      <c r="B239">
        <f>-(Table1370[[#This Row],[time]]-2)*2</f>
        <v>-0.33065999999999995</v>
      </c>
      <c r="C239">
        <v>89.931100000000001</v>
      </c>
      <c r="D239">
        <v>11.9833</v>
      </c>
      <c r="E239">
        <f>Table1370[[#This Row],[CFNM]]/Table1370[[#This Row],[CAREA]]</f>
        <v>0.13324978789317599</v>
      </c>
      <c r="F239">
        <v>2.16533</v>
      </c>
      <c r="G239">
        <f>-(Table2371[[#This Row],[time]]-2)*2</f>
        <v>-0.33065999999999995</v>
      </c>
      <c r="H239">
        <v>95.049800000000005</v>
      </c>
      <c r="I239">
        <v>4.2538200000000002</v>
      </c>
      <c r="J239">
        <f>Table2371[[#This Row],[CFNM]]/Table2371[[#This Row],[CAREA]]</f>
        <v>4.4753592327390485E-2</v>
      </c>
      <c r="K239">
        <v>2.16533</v>
      </c>
      <c r="L239">
        <f>-(Table3372[[#This Row],[time]]-2)*2</f>
        <v>-0.33065999999999995</v>
      </c>
      <c r="M239">
        <v>89.106200000000001</v>
      </c>
      <c r="N239">
        <v>6.8888699999999998</v>
      </c>
      <c r="O239">
        <f>Table3372[[#This Row],[CFNM]]/Table3372[[#This Row],[CAREA]]</f>
        <v>7.7310781965789138E-2</v>
      </c>
      <c r="P239">
        <v>2.16533</v>
      </c>
      <c r="Q239">
        <f>-(Table4373[[#This Row],[time]]-2)*2</f>
        <v>-0.33065999999999995</v>
      </c>
      <c r="R239">
        <v>86.8185</v>
      </c>
      <c r="S239">
        <v>10.160299999999999</v>
      </c>
      <c r="T239">
        <f>Table4373[[#This Row],[CFNM]]/Table4373[[#This Row],[CAREA]]</f>
        <v>0.11702920460500929</v>
      </c>
      <c r="U239">
        <v>2.16533</v>
      </c>
      <c r="V239">
        <f>-(Table5374[[#This Row],[time]]-2)*2</f>
        <v>-0.33065999999999995</v>
      </c>
      <c r="W239">
        <v>81.922799999999995</v>
      </c>
      <c r="X239">
        <v>18.2319</v>
      </c>
      <c r="Y239">
        <f>Table5374[[#This Row],[CFNM]]/Table5374[[#This Row],[CAREA]]</f>
        <v>0.22254976636540744</v>
      </c>
      <c r="Z239">
        <v>2.16533</v>
      </c>
      <c r="AA239">
        <f>-(Table6375[[#This Row],[time]]-2)*2</f>
        <v>-0.33065999999999995</v>
      </c>
      <c r="AB239">
        <v>88.835400000000007</v>
      </c>
      <c r="AC239">
        <v>26.406199999999998</v>
      </c>
      <c r="AD239">
        <f>Table6375[[#This Row],[CFNM]]/Table6375[[#This Row],[CAREA]]</f>
        <v>0.29724861935669783</v>
      </c>
      <c r="AE239">
        <v>2.16533</v>
      </c>
      <c r="AF239">
        <f>-(Table7376[[#This Row],[time]]-2)*2</f>
        <v>-0.33065999999999995</v>
      </c>
      <c r="AG239">
        <v>79.672899999999998</v>
      </c>
      <c r="AH239">
        <v>25.0669</v>
      </c>
      <c r="AI239">
        <f>Table7376[[#This Row],[CFNM]]/Table7376[[#This Row],[CAREA]]</f>
        <v>0.31462266341503825</v>
      </c>
      <c r="AJ239">
        <v>2.16533</v>
      </c>
      <c r="AK239">
        <f>-(Table8377[[#This Row],[time]]-2)*2</f>
        <v>-0.33065999999999995</v>
      </c>
      <c r="AL239">
        <v>82.602099999999993</v>
      </c>
      <c r="AM239">
        <v>26.335100000000001</v>
      </c>
      <c r="AN239">
        <f>Table8377[[#This Row],[CFNM]]/Table8377[[#This Row],[CAREA]]</f>
        <v>0.31881877095134387</v>
      </c>
    </row>
    <row r="240" spans="1:40">
      <c r="A240">
        <v>2.2246999999999999</v>
      </c>
      <c r="B240">
        <f>-(Table1370[[#This Row],[time]]-2)*2</f>
        <v>-0.4493999999999998</v>
      </c>
      <c r="C240">
        <v>89.638099999999994</v>
      </c>
      <c r="D240">
        <v>12.418100000000001</v>
      </c>
      <c r="E240">
        <f>Table1370[[#This Row],[CFNM]]/Table1370[[#This Row],[CAREA]]</f>
        <v>0.13853595736634314</v>
      </c>
      <c r="F240">
        <v>2.2246999999999999</v>
      </c>
      <c r="G240">
        <f>-(Table2371[[#This Row],[time]]-2)*2</f>
        <v>-0.4493999999999998</v>
      </c>
      <c r="H240">
        <v>94.826800000000006</v>
      </c>
      <c r="I240">
        <v>4.4843400000000004</v>
      </c>
      <c r="J240">
        <f>Table2371[[#This Row],[CFNM]]/Table2371[[#This Row],[CAREA]]</f>
        <v>4.7289795711760813E-2</v>
      </c>
      <c r="K240">
        <v>2.2246999999999999</v>
      </c>
      <c r="L240">
        <f>-(Table3372[[#This Row],[time]]-2)*2</f>
        <v>-0.4493999999999998</v>
      </c>
      <c r="M240">
        <v>88.888999999999996</v>
      </c>
      <c r="N240">
        <v>7.6554799999999998</v>
      </c>
      <c r="O240">
        <f>Table3372[[#This Row],[CFNM]]/Table3372[[#This Row],[CAREA]]</f>
        <v>8.6124042344947069E-2</v>
      </c>
      <c r="P240">
        <v>2.2246999999999999</v>
      </c>
      <c r="Q240">
        <f>-(Table4373[[#This Row],[time]]-2)*2</f>
        <v>-0.4493999999999998</v>
      </c>
      <c r="R240">
        <v>86.916200000000003</v>
      </c>
      <c r="S240">
        <v>11.054600000000001</v>
      </c>
      <c r="T240">
        <f>Table4373[[#This Row],[CFNM]]/Table4373[[#This Row],[CAREA]]</f>
        <v>0.12718687655465841</v>
      </c>
      <c r="U240">
        <v>2.2246999999999999</v>
      </c>
      <c r="V240">
        <f>-(Table5374[[#This Row],[time]]-2)*2</f>
        <v>-0.4493999999999998</v>
      </c>
      <c r="W240">
        <v>81.659400000000005</v>
      </c>
      <c r="X240">
        <v>20.482399999999998</v>
      </c>
      <c r="Y240">
        <f>Table5374[[#This Row],[CFNM]]/Table5374[[#This Row],[CAREA]]</f>
        <v>0.25082721646252604</v>
      </c>
      <c r="Z240">
        <v>2.2246999999999999</v>
      </c>
      <c r="AA240">
        <f>-(Table6375[[#This Row],[time]]-2)*2</f>
        <v>-0.4493999999999998</v>
      </c>
      <c r="AB240">
        <v>88.719300000000004</v>
      </c>
      <c r="AC240">
        <v>29.132300000000001</v>
      </c>
      <c r="AD240">
        <f>Table6375[[#This Row],[CFNM]]/Table6375[[#This Row],[CAREA]]</f>
        <v>0.32836485409600841</v>
      </c>
      <c r="AE240">
        <v>2.2246999999999999</v>
      </c>
      <c r="AF240">
        <f>-(Table7376[[#This Row],[time]]-2)*2</f>
        <v>-0.4493999999999998</v>
      </c>
      <c r="AG240">
        <v>79.787999999999997</v>
      </c>
      <c r="AH240">
        <v>26.755199999999999</v>
      </c>
      <c r="AI240">
        <f>Table7376[[#This Row],[CFNM]]/Table7376[[#This Row],[CAREA]]</f>
        <v>0.3353286208452399</v>
      </c>
      <c r="AJ240">
        <v>2.2246999999999999</v>
      </c>
      <c r="AK240">
        <f>-(Table8377[[#This Row],[time]]-2)*2</f>
        <v>-0.4493999999999998</v>
      </c>
      <c r="AL240">
        <v>82.438800000000001</v>
      </c>
      <c r="AM240">
        <v>28.505400000000002</v>
      </c>
      <c r="AN240">
        <f>Table8377[[#This Row],[CFNM]]/Table8377[[#This Row],[CAREA]]</f>
        <v>0.34577650329699122</v>
      </c>
    </row>
    <row r="241" spans="1:40">
      <c r="A241">
        <v>2.2668900000000001</v>
      </c>
      <c r="B241">
        <f>-(Table1370[[#This Row],[time]]-2)*2</f>
        <v>-0.53378000000000014</v>
      </c>
      <c r="C241">
        <v>89.118799999999993</v>
      </c>
      <c r="D241">
        <v>13.467599999999999</v>
      </c>
      <c r="E241">
        <f>Table1370[[#This Row],[CFNM]]/Table1370[[#This Row],[CAREA]]</f>
        <v>0.15111962907938617</v>
      </c>
      <c r="F241">
        <v>2.2668900000000001</v>
      </c>
      <c r="G241">
        <f>-(Table2371[[#This Row],[time]]-2)*2</f>
        <v>-0.53378000000000014</v>
      </c>
      <c r="H241">
        <v>94.452500000000001</v>
      </c>
      <c r="I241">
        <v>5.1206699999999996</v>
      </c>
      <c r="J241">
        <f>Table2371[[#This Row],[CFNM]]/Table2371[[#This Row],[CAREA]]</f>
        <v>5.4214234668219473E-2</v>
      </c>
      <c r="K241">
        <v>2.2668900000000001</v>
      </c>
      <c r="L241">
        <f>-(Table3372[[#This Row],[time]]-2)*2</f>
        <v>-0.53378000000000014</v>
      </c>
      <c r="M241">
        <v>89.021600000000007</v>
      </c>
      <c r="N241">
        <v>9.0942299999999996</v>
      </c>
      <c r="O241">
        <f>Table3372[[#This Row],[CFNM]]/Table3372[[#This Row],[CAREA]]</f>
        <v>0.10215756625358338</v>
      </c>
      <c r="P241">
        <v>2.2668900000000001</v>
      </c>
      <c r="Q241">
        <f>-(Table4373[[#This Row],[time]]-2)*2</f>
        <v>-0.53378000000000014</v>
      </c>
      <c r="R241">
        <v>87.051699999999997</v>
      </c>
      <c r="S241">
        <v>12.9008</v>
      </c>
      <c r="T241">
        <f>Table4373[[#This Row],[CFNM]]/Table4373[[#This Row],[CAREA]]</f>
        <v>0.14819699098351899</v>
      </c>
      <c r="U241">
        <v>2.2668900000000001</v>
      </c>
      <c r="V241">
        <f>-(Table5374[[#This Row],[time]]-2)*2</f>
        <v>-0.53378000000000014</v>
      </c>
      <c r="W241">
        <v>81.935599999999994</v>
      </c>
      <c r="X241">
        <v>24.391200000000001</v>
      </c>
      <c r="Y241">
        <f>Table5374[[#This Row],[CFNM]]/Table5374[[#This Row],[CAREA]]</f>
        <v>0.29768745209652464</v>
      </c>
      <c r="Z241">
        <v>2.2668900000000001</v>
      </c>
      <c r="AA241">
        <f>-(Table6375[[#This Row],[time]]-2)*2</f>
        <v>-0.53378000000000014</v>
      </c>
      <c r="AB241">
        <v>89.050399999999996</v>
      </c>
      <c r="AC241">
        <v>33.978299999999997</v>
      </c>
      <c r="AD241">
        <f>Table6375[[#This Row],[CFNM]]/Table6375[[#This Row],[CAREA]]</f>
        <v>0.38156257579977182</v>
      </c>
      <c r="AE241">
        <v>2.2668900000000001</v>
      </c>
      <c r="AF241">
        <f>-(Table7376[[#This Row],[time]]-2)*2</f>
        <v>-0.53378000000000014</v>
      </c>
      <c r="AG241">
        <v>80.081800000000001</v>
      </c>
      <c r="AH241">
        <v>30.211400000000001</v>
      </c>
      <c r="AI241">
        <f>Table7376[[#This Row],[CFNM]]/Table7376[[#This Row],[CAREA]]</f>
        <v>0.37725675496804517</v>
      </c>
      <c r="AJ241">
        <v>2.2668900000000001</v>
      </c>
      <c r="AK241">
        <f>-(Table8377[[#This Row],[time]]-2)*2</f>
        <v>-0.53378000000000014</v>
      </c>
      <c r="AL241">
        <v>82.145099999999999</v>
      </c>
      <c r="AM241">
        <v>32.537999999999997</v>
      </c>
      <c r="AN241">
        <f>Table8377[[#This Row],[CFNM]]/Table8377[[#This Row],[CAREA]]</f>
        <v>0.39610396724819857</v>
      </c>
    </row>
    <row r="242" spans="1:40">
      <c r="A242">
        <v>2.3262700000000001</v>
      </c>
      <c r="B242">
        <f>-(Table1370[[#This Row],[time]]-2)*2</f>
        <v>-0.65254000000000012</v>
      </c>
      <c r="C242">
        <v>88.81</v>
      </c>
      <c r="D242">
        <v>14.6404</v>
      </c>
      <c r="E242">
        <f>Table1370[[#This Row],[CFNM]]/Table1370[[#This Row],[CAREA]]</f>
        <v>0.16485080508951694</v>
      </c>
      <c r="F242">
        <v>2.3262700000000001</v>
      </c>
      <c r="G242">
        <f>-(Table2371[[#This Row],[time]]-2)*2</f>
        <v>-0.65254000000000012</v>
      </c>
      <c r="H242">
        <v>94.157200000000003</v>
      </c>
      <c r="I242">
        <v>5.9720300000000002</v>
      </c>
      <c r="J242">
        <f>Table2371[[#This Row],[CFNM]]/Table2371[[#This Row],[CAREA]]</f>
        <v>6.3426163904619082E-2</v>
      </c>
      <c r="K242">
        <v>2.3262700000000001</v>
      </c>
      <c r="L242">
        <f>-(Table3372[[#This Row],[time]]-2)*2</f>
        <v>-0.65254000000000012</v>
      </c>
      <c r="M242">
        <v>89.152199999999993</v>
      </c>
      <c r="N242">
        <v>10.420400000000001</v>
      </c>
      <c r="O242">
        <f>Table3372[[#This Row],[CFNM]]/Table3372[[#This Row],[CAREA]]</f>
        <v>0.116883262555495</v>
      </c>
      <c r="P242">
        <v>2.3262700000000001</v>
      </c>
      <c r="Q242">
        <f>-(Table4373[[#This Row],[time]]-2)*2</f>
        <v>-0.65254000000000012</v>
      </c>
      <c r="R242">
        <v>87.137699999999995</v>
      </c>
      <c r="S242">
        <v>14.6251</v>
      </c>
      <c r="T242">
        <f>Table4373[[#This Row],[CFNM]]/Table4373[[#This Row],[CAREA]]</f>
        <v>0.16783894915748293</v>
      </c>
      <c r="U242">
        <v>2.3262700000000001</v>
      </c>
      <c r="V242">
        <f>-(Table5374[[#This Row],[time]]-2)*2</f>
        <v>-0.65254000000000012</v>
      </c>
      <c r="W242">
        <v>80.976100000000002</v>
      </c>
      <c r="X242">
        <v>27.25</v>
      </c>
      <c r="Y242">
        <f>Table5374[[#This Row],[CFNM]]/Table5374[[#This Row],[CAREA]]</f>
        <v>0.33651904697805896</v>
      </c>
      <c r="Z242">
        <v>2.3262700000000001</v>
      </c>
      <c r="AA242">
        <f>-(Table6375[[#This Row],[time]]-2)*2</f>
        <v>-0.65254000000000012</v>
      </c>
      <c r="AB242">
        <v>89.012900000000002</v>
      </c>
      <c r="AC242">
        <v>37.798400000000001</v>
      </c>
      <c r="AD242">
        <f>Table6375[[#This Row],[CFNM]]/Table6375[[#This Row],[CAREA]]</f>
        <v>0.42463957471332808</v>
      </c>
      <c r="AE242">
        <v>2.3262700000000001</v>
      </c>
      <c r="AF242">
        <f>-(Table7376[[#This Row],[time]]-2)*2</f>
        <v>-0.65254000000000012</v>
      </c>
      <c r="AG242">
        <v>80.184600000000003</v>
      </c>
      <c r="AH242">
        <v>33.633699999999997</v>
      </c>
      <c r="AI242">
        <f>Table7376[[#This Row],[CFNM]]/Table7376[[#This Row],[CAREA]]</f>
        <v>0.41945336136864181</v>
      </c>
      <c r="AJ242">
        <v>2.3262700000000001</v>
      </c>
      <c r="AK242">
        <f>-(Table8377[[#This Row],[time]]-2)*2</f>
        <v>-0.65254000000000012</v>
      </c>
      <c r="AL242">
        <v>81.758899999999997</v>
      </c>
      <c r="AM242">
        <v>35.9908</v>
      </c>
      <c r="AN242">
        <f>Table8377[[#This Row],[CFNM]]/Table8377[[#This Row],[CAREA]]</f>
        <v>0.44020650962769803</v>
      </c>
    </row>
    <row r="243" spans="1:40">
      <c r="A243">
        <v>2.3684599999999998</v>
      </c>
      <c r="B243">
        <f>-(Table1370[[#This Row],[time]]-2)*2</f>
        <v>-0.73691999999999958</v>
      </c>
      <c r="C243">
        <v>88.623699999999999</v>
      </c>
      <c r="D243">
        <v>15.733499999999999</v>
      </c>
      <c r="E243">
        <f>Table1370[[#This Row],[CFNM]]/Table1370[[#This Row],[CAREA]]</f>
        <v>0.17753151809279008</v>
      </c>
      <c r="F243">
        <v>2.3684599999999998</v>
      </c>
      <c r="G243">
        <f>-(Table2371[[#This Row],[time]]-2)*2</f>
        <v>-0.73691999999999958</v>
      </c>
      <c r="H243">
        <v>93.853399999999993</v>
      </c>
      <c r="I243">
        <v>6.8153300000000003</v>
      </c>
      <c r="J243">
        <f>Table2371[[#This Row],[CFNM]]/Table2371[[#This Row],[CAREA]]</f>
        <v>7.2616761886090439E-2</v>
      </c>
      <c r="K243">
        <v>2.3684599999999998</v>
      </c>
      <c r="L243">
        <f>-(Table3372[[#This Row],[time]]-2)*2</f>
        <v>-0.73691999999999958</v>
      </c>
      <c r="M243">
        <v>89.017399999999995</v>
      </c>
      <c r="N243">
        <v>11.675800000000001</v>
      </c>
      <c r="O243">
        <f>Table3372[[#This Row],[CFNM]]/Table3372[[#This Row],[CAREA]]</f>
        <v>0.13116312091793292</v>
      </c>
      <c r="P243">
        <v>2.3684599999999998</v>
      </c>
      <c r="Q243">
        <f>-(Table4373[[#This Row],[time]]-2)*2</f>
        <v>-0.73691999999999958</v>
      </c>
      <c r="R243">
        <v>87.204800000000006</v>
      </c>
      <c r="S243">
        <v>16.257000000000001</v>
      </c>
      <c r="T243">
        <f>Table4373[[#This Row],[CFNM]]/Table4373[[#This Row],[CAREA]]</f>
        <v>0.18642322440966552</v>
      </c>
      <c r="U243">
        <v>2.3684599999999998</v>
      </c>
      <c r="V243">
        <f>-(Table5374[[#This Row],[time]]-2)*2</f>
        <v>-0.73691999999999958</v>
      </c>
      <c r="W243">
        <v>79.920699999999997</v>
      </c>
      <c r="X243">
        <v>29.706199999999999</v>
      </c>
      <c r="Y243">
        <f>Table5374[[#This Row],[CFNM]]/Table5374[[#This Row],[CAREA]]</f>
        <v>0.37169594360409758</v>
      </c>
      <c r="Z243">
        <v>2.3684599999999998</v>
      </c>
      <c r="AA243">
        <f>-(Table6375[[#This Row],[time]]-2)*2</f>
        <v>-0.73691999999999958</v>
      </c>
      <c r="AB243">
        <v>88.462699999999998</v>
      </c>
      <c r="AC243">
        <v>41.206000000000003</v>
      </c>
      <c r="AD243">
        <f>Table6375[[#This Row],[CFNM]]/Table6375[[#This Row],[CAREA]]</f>
        <v>0.46580084035418323</v>
      </c>
      <c r="AE243">
        <v>2.3684599999999998</v>
      </c>
      <c r="AF243">
        <f>-(Table7376[[#This Row],[time]]-2)*2</f>
        <v>-0.73691999999999958</v>
      </c>
      <c r="AG243">
        <v>80.107399999999998</v>
      </c>
      <c r="AH243">
        <v>36.857999999999997</v>
      </c>
      <c r="AI243">
        <f>Table7376[[#This Row],[CFNM]]/Table7376[[#This Row],[CAREA]]</f>
        <v>0.46010730594177313</v>
      </c>
      <c r="AJ243">
        <v>2.3684599999999998</v>
      </c>
      <c r="AK243">
        <f>-(Table8377[[#This Row],[time]]-2)*2</f>
        <v>-0.73691999999999958</v>
      </c>
      <c r="AL243">
        <v>81.567300000000003</v>
      </c>
      <c r="AM243">
        <v>39.1706</v>
      </c>
      <c r="AN243">
        <f>Table8377[[#This Row],[CFNM]]/Table8377[[#This Row],[CAREA]]</f>
        <v>0.48022430557343443</v>
      </c>
    </row>
    <row r="244" spans="1:40">
      <c r="A244">
        <v>2.4278300000000002</v>
      </c>
      <c r="B244">
        <f>-(Table1370[[#This Row],[time]]-2)*2</f>
        <v>-0.85566000000000031</v>
      </c>
      <c r="C244">
        <v>88.408199999999994</v>
      </c>
      <c r="D244">
        <v>16.8352</v>
      </c>
      <c r="E244">
        <f>Table1370[[#This Row],[CFNM]]/Table1370[[#This Row],[CAREA]]</f>
        <v>0.19042577498467339</v>
      </c>
      <c r="F244">
        <v>2.4278300000000002</v>
      </c>
      <c r="G244">
        <f>-(Table2371[[#This Row],[time]]-2)*2</f>
        <v>-0.85566000000000031</v>
      </c>
      <c r="H244">
        <v>93.448899999999995</v>
      </c>
      <c r="I244">
        <v>7.7617799999999999</v>
      </c>
      <c r="J244">
        <f>Table2371[[#This Row],[CFNM]]/Table2371[[#This Row],[CAREA]]</f>
        <v>8.3059083627522637E-2</v>
      </c>
      <c r="K244">
        <v>2.4278300000000002</v>
      </c>
      <c r="L244">
        <f>-(Table3372[[#This Row],[time]]-2)*2</f>
        <v>-0.85566000000000031</v>
      </c>
      <c r="M244">
        <v>88.629900000000006</v>
      </c>
      <c r="N244">
        <v>13.014900000000001</v>
      </c>
      <c r="O244">
        <f>Table3372[[#This Row],[CFNM]]/Table3372[[#This Row],[CAREA]]</f>
        <v>0.14684547765483205</v>
      </c>
      <c r="P244">
        <v>2.4278300000000002</v>
      </c>
      <c r="Q244">
        <f>-(Table4373[[#This Row],[time]]-2)*2</f>
        <v>-0.85566000000000031</v>
      </c>
      <c r="R244">
        <v>87.308000000000007</v>
      </c>
      <c r="S244">
        <v>18.044799999999999</v>
      </c>
      <c r="T244">
        <f>Table4373[[#This Row],[CFNM]]/Table4373[[#This Row],[CAREA]]</f>
        <v>0.20667980024739999</v>
      </c>
      <c r="U244">
        <v>2.4278300000000002</v>
      </c>
      <c r="V244">
        <f>-(Table5374[[#This Row],[time]]-2)*2</f>
        <v>-0.85566000000000031</v>
      </c>
      <c r="W244">
        <v>79.333100000000002</v>
      </c>
      <c r="X244">
        <v>32.069000000000003</v>
      </c>
      <c r="Y244">
        <f>Table5374[[#This Row],[CFNM]]/Table5374[[#This Row],[CAREA]]</f>
        <v>0.40423228135544936</v>
      </c>
      <c r="Z244">
        <v>2.4278300000000002</v>
      </c>
      <c r="AA244">
        <f>-(Table6375[[#This Row],[time]]-2)*2</f>
        <v>-0.85566000000000031</v>
      </c>
      <c r="AB244">
        <v>87.755200000000002</v>
      </c>
      <c r="AC244">
        <v>44.712000000000003</v>
      </c>
      <c r="AD244">
        <f>Table6375[[#This Row],[CFNM]]/Table6375[[#This Row],[CAREA]]</f>
        <v>0.50950826845588637</v>
      </c>
      <c r="AE244">
        <v>2.4278300000000002</v>
      </c>
      <c r="AF244">
        <f>-(Table7376[[#This Row],[time]]-2)*2</f>
        <v>-0.85566000000000031</v>
      </c>
      <c r="AG244">
        <v>80.008899999999997</v>
      </c>
      <c r="AH244">
        <v>40.311999999999998</v>
      </c>
      <c r="AI244">
        <f>Table7376[[#This Row],[CFNM]]/Table7376[[#This Row],[CAREA]]</f>
        <v>0.50384394736085614</v>
      </c>
      <c r="AJ244">
        <v>2.4278300000000002</v>
      </c>
      <c r="AK244">
        <f>-(Table8377[[#This Row],[time]]-2)*2</f>
        <v>-0.85566000000000031</v>
      </c>
      <c r="AL244">
        <v>81.390299999999996</v>
      </c>
      <c r="AM244">
        <v>42.592199999999998</v>
      </c>
      <c r="AN244">
        <f>Table8377[[#This Row],[CFNM]]/Table8377[[#This Row],[CAREA]]</f>
        <v>0.52330806005138208</v>
      </c>
    </row>
    <row r="245" spans="1:40">
      <c r="A245">
        <v>2.4542000000000002</v>
      </c>
      <c r="B245">
        <f>-(Table1370[[#This Row],[time]]-2)*2</f>
        <v>-0.90840000000000032</v>
      </c>
      <c r="C245">
        <v>88.214600000000004</v>
      </c>
      <c r="D245">
        <v>17.936199999999999</v>
      </c>
      <c r="E245">
        <f>Table1370[[#This Row],[CFNM]]/Table1370[[#This Row],[CAREA]]</f>
        <v>0.20332461973414831</v>
      </c>
      <c r="F245">
        <v>2.4542000000000002</v>
      </c>
      <c r="G245">
        <f>-(Table2371[[#This Row],[time]]-2)*2</f>
        <v>-0.90840000000000032</v>
      </c>
      <c r="H245">
        <v>93.194299999999998</v>
      </c>
      <c r="I245">
        <v>8.7090399999999999</v>
      </c>
      <c r="J245">
        <f>Table2371[[#This Row],[CFNM]]/Table2371[[#This Row],[CAREA]]</f>
        <v>9.3450350504269045E-2</v>
      </c>
      <c r="K245">
        <v>2.4542000000000002</v>
      </c>
      <c r="L245">
        <f>-(Table3372[[#This Row],[time]]-2)*2</f>
        <v>-0.90840000000000032</v>
      </c>
      <c r="M245">
        <v>88.762699999999995</v>
      </c>
      <c r="N245">
        <v>14.426399999999999</v>
      </c>
      <c r="O245">
        <f>Table3372[[#This Row],[CFNM]]/Table3372[[#This Row],[CAREA]]</f>
        <v>0.16252772842646743</v>
      </c>
      <c r="P245">
        <v>2.4542000000000002</v>
      </c>
      <c r="Q245">
        <f>-(Table4373[[#This Row],[time]]-2)*2</f>
        <v>-0.90840000000000032</v>
      </c>
      <c r="R245">
        <v>87.411799999999999</v>
      </c>
      <c r="S245">
        <v>19.915199999999999</v>
      </c>
      <c r="T245">
        <f>Table4373[[#This Row],[CFNM]]/Table4373[[#This Row],[CAREA]]</f>
        <v>0.2278319403101183</v>
      </c>
      <c r="U245">
        <v>2.4542000000000002</v>
      </c>
      <c r="V245">
        <f>-(Table5374[[#This Row],[time]]-2)*2</f>
        <v>-0.90840000000000032</v>
      </c>
      <c r="W245">
        <v>78.512699999999995</v>
      </c>
      <c r="X245">
        <v>34.451099999999997</v>
      </c>
      <c r="Y245">
        <f>Table5374[[#This Row],[CFNM]]/Table5374[[#This Row],[CAREA]]</f>
        <v>0.43879652591236828</v>
      </c>
      <c r="Z245">
        <v>2.4542000000000002</v>
      </c>
      <c r="AA245">
        <f>-(Table6375[[#This Row],[time]]-2)*2</f>
        <v>-0.90840000000000032</v>
      </c>
      <c r="AB245">
        <v>87.082099999999997</v>
      </c>
      <c r="AC245">
        <v>48.181899999999999</v>
      </c>
      <c r="AD245">
        <f>Table6375[[#This Row],[CFNM]]/Table6375[[#This Row],[CAREA]]</f>
        <v>0.55329281218528259</v>
      </c>
      <c r="AE245">
        <v>2.4542000000000002</v>
      </c>
      <c r="AF245">
        <f>-(Table7376[[#This Row],[time]]-2)*2</f>
        <v>-0.90840000000000032</v>
      </c>
      <c r="AG245">
        <v>79.712800000000001</v>
      </c>
      <c r="AH245">
        <v>43.849899999999998</v>
      </c>
      <c r="AI245">
        <f>Table7376[[#This Row],[CFNM]]/Table7376[[#This Row],[CAREA]]</f>
        <v>0.550098603988318</v>
      </c>
      <c r="AJ245">
        <v>2.4542000000000002</v>
      </c>
      <c r="AK245">
        <f>-(Table8377[[#This Row],[time]]-2)*2</f>
        <v>-0.90840000000000032</v>
      </c>
      <c r="AL245">
        <v>80.416899999999998</v>
      </c>
      <c r="AM245">
        <v>46.075400000000002</v>
      </c>
      <c r="AN245">
        <f>Table8377[[#This Row],[CFNM]]/Table8377[[#This Row],[CAREA]]</f>
        <v>0.57295667950393514</v>
      </c>
    </row>
    <row r="246" spans="1:40">
      <c r="A246">
        <v>2.5061499999999999</v>
      </c>
      <c r="B246">
        <f>-(Table1370[[#This Row],[time]]-2)*2</f>
        <v>-1.0122999999999998</v>
      </c>
      <c r="C246">
        <v>88.054100000000005</v>
      </c>
      <c r="D246">
        <v>18.9787</v>
      </c>
      <c r="E246">
        <f>Table1370[[#This Row],[CFNM]]/Table1370[[#This Row],[CAREA]]</f>
        <v>0.21553454069713959</v>
      </c>
      <c r="F246">
        <v>2.5061499999999999</v>
      </c>
      <c r="G246">
        <f>-(Table2371[[#This Row],[time]]-2)*2</f>
        <v>-1.0122999999999998</v>
      </c>
      <c r="H246">
        <v>93.084299999999999</v>
      </c>
      <c r="I246">
        <v>9.6480800000000002</v>
      </c>
      <c r="J246">
        <f>Table2371[[#This Row],[CFNM]]/Table2371[[#This Row],[CAREA]]</f>
        <v>0.1036488430379774</v>
      </c>
      <c r="K246">
        <v>2.5061499999999999</v>
      </c>
      <c r="L246">
        <f>-(Table3372[[#This Row],[time]]-2)*2</f>
        <v>-1.0122999999999998</v>
      </c>
      <c r="M246">
        <v>88.944299999999998</v>
      </c>
      <c r="N246">
        <v>15.8775</v>
      </c>
      <c r="O246">
        <f>Table3372[[#This Row],[CFNM]]/Table3372[[#This Row],[CAREA]]</f>
        <v>0.17851059595724514</v>
      </c>
      <c r="P246">
        <v>2.5061499999999999</v>
      </c>
      <c r="Q246">
        <f>-(Table4373[[#This Row],[time]]-2)*2</f>
        <v>-1.0122999999999998</v>
      </c>
      <c r="R246">
        <v>87.5869</v>
      </c>
      <c r="S246">
        <v>21.827999999999999</v>
      </c>
      <c r="T246">
        <f>Table4373[[#This Row],[CFNM]]/Table4373[[#This Row],[CAREA]]</f>
        <v>0.24921535069742165</v>
      </c>
      <c r="U246">
        <v>2.5061499999999999</v>
      </c>
      <c r="V246">
        <f>-(Table5374[[#This Row],[time]]-2)*2</f>
        <v>-1.0122999999999998</v>
      </c>
      <c r="W246">
        <v>77.760999999999996</v>
      </c>
      <c r="X246">
        <v>36.841000000000001</v>
      </c>
      <c r="Y246">
        <f>Table5374[[#This Row],[CFNM]]/Table5374[[#This Row],[CAREA]]</f>
        <v>0.47377219943159171</v>
      </c>
      <c r="Z246">
        <v>2.5061499999999999</v>
      </c>
      <c r="AA246">
        <f>-(Table6375[[#This Row],[time]]-2)*2</f>
        <v>-1.0122999999999998</v>
      </c>
      <c r="AB246">
        <v>86.3399</v>
      </c>
      <c r="AC246">
        <v>51.523699999999998</v>
      </c>
      <c r="AD246">
        <f>Table6375[[#This Row],[CFNM]]/Table6375[[#This Row],[CAREA]]</f>
        <v>0.59675422371348585</v>
      </c>
      <c r="AE246">
        <v>2.5061499999999999</v>
      </c>
      <c r="AF246">
        <f>-(Table7376[[#This Row],[time]]-2)*2</f>
        <v>-1.0122999999999998</v>
      </c>
      <c r="AG246">
        <v>79.252300000000005</v>
      </c>
      <c r="AH246">
        <v>47.3887</v>
      </c>
      <c r="AI246">
        <f>Table7376[[#This Row],[CFNM]]/Table7376[[#This Row],[CAREA]]</f>
        <v>0.59794731509369436</v>
      </c>
      <c r="AJ246">
        <v>2.5061499999999999</v>
      </c>
      <c r="AK246">
        <f>-(Table8377[[#This Row],[time]]-2)*2</f>
        <v>-1.0122999999999998</v>
      </c>
      <c r="AL246">
        <v>80.1173</v>
      </c>
      <c r="AM246">
        <v>49.558599999999998</v>
      </c>
      <c r="AN246">
        <f>Table8377[[#This Row],[CFNM]]/Table8377[[#This Row],[CAREA]]</f>
        <v>0.61857551365310615</v>
      </c>
    </row>
    <row r="247" spans="1:40">
      <c r="A247">
        <v>2.5507599999999999</v>
      </c>
      <c r="B247">
        <f>-(Table1370[[#This Row],[time]]-2)*2</f>
        <v>-1.1015199999999998</v>
      </c>
      <c r="C247">
        <v>87.815299999999993</v>
      </c>
      <c r="D247">
        <v>19.9482</v>
      </c>
      <c r="E247">
        <f>Table1370[[#This Row],[CFNM]]/Table1370[[#This Row],[CAREA]]</f>
        <v>0.22716087059999795</v>
      </c>
      <c r="F247">
        <v>2.5507599999999999</v>
      </c>
      <c r="G247">
        <f>-(Table2371[[#This Row],[time]]-2)*2</f>
        <v>-1.1015199999999998</v>
      </c>
      <c r="H247">
        <v>92.9876</v>
      </c>
      <c r="I247">
        <v>10.5845</v>
      </c>
      <c r="J247">
        <f>Table2371[[#This Row],[CFNM]]/Table2371[[#This Row],[CAREA]]</f>
        <v>0.11382700489097471</v>
      </c>
      <c r="K247">
        <v>2.5507599999999999</v>
      </c>
      <c r="L247">
        <f>-(Table3372[[#This Row],[time]]-2)*2</f>
        <v>-1.1015199999999998</v>
      </c>
      <c r="M247">
        <v>89.115300000000005</v>
      </c>
      <c r="N247">
        <v>17.404499999999999</v>
      </c>
      <c r="O247">
        <f>Table3372[[#This Row],[CFNM]]/Table3372[[#This Row],[CAREA]]</f>
        <v>0.19530316342984871</v>
      </c>
      <c r="P247">
        <v>2.5507599999999999</v>
      </c>
      <c r="Q247">
        <f>-(Table4373[[#This Row],[time]]-2)*2</f>
        <v>-1.1015199999999998</v>
      </c>
      <c r="R247">
        <v>88.047700000000006</v>
      </c>
      <c r="S247">
        <v>23.754200000000001</v>
      </c>
      <c r="T247">
        <f>Table4373[[#This Row],[CFNM]]/Table4373[[#This Row],[CAREA]]</f>
        <v>0.26978785362933955</v>
      </c>
      <c r="U247">
        <v>2.5507599999999999</v>
      </c>
      <c r="V247">
        <f>-(Table5374[[#This Row],[time]]-2)*2</f>
        <v>-1.1015199999999998</v>
      </c>
      <c r="W247">
        <v>76.9011</v>
      </c>
      <c r="X247">
        <v>39.198999999999998</v>
      </c>
      <c r="Y247">
        <f>Table5374[[#This Row],[CFNM]]/Table5374[[#This Row],[CAREA]]</f>
        <v>0.50973263061256602</v>
      </c>
      <c r="Z247">
        <v>2.5507599999999999</v>
      </c>
      <c r="AA247">
        <f>-(Table6375[[#This Row],[time]]-2)*2</f>
        <v>-1.1015199999999998</v>
      </c>
      <c r="AB247">
        <v>84.845699999999994</v>
      </c>
      <c r="AC247">
        <v>54.853000000000002</v>
      </c>
      <c r="AD247">
        <f>Table6375[[#This Row],[CFNM]]/Table6375[[#This Row],[CAREA]]</f>
        <v>0.64650300486648127</v>
      </c>
      <c r="AE247">
        <v>2.5507599999999999</v>
      </c>
      <c r="AF247">
        <f>-(Table7376[[#This Row],[time]]-2)*2</f>
        <v>-1.1015199999999998</v>
      </c>
      <c r="AG247">
        <v>78.436599999999999</v>
      </c>
      <c r="AH247">
        <v>51.140700000000002</v>
      </c>
      <c r="AI247">
        <f>Table7376[[#This Row],[CFNM]]/Table7376[[#This Row],[CAREA]]</f>
        <v>0.65200046916873</v>
      </c>
      <c r="AJ247">
        <v>2.5507599999999999</v>
      </c>
      <c r="AK247">
        <f>-(Table8377[[#This Row],[time]]-2)*2</f>
        <v>-1.1015199999999998</v>
      </c>
      <c r="AL247">
        <v>79.829400000000007</v>
      </c>
      <c r="AM247">
        <v>52.983800000000002</v>
      </c>
      <c r="AN247">
        <f>Table8377[[#This Row],[CFNM]]/Table8377[[#This Row],[CAREA]]</f>
        <v>0.66371286769034965</v>
      </c>
    </row>
    <row r="248" spans="1:40">
      <c r="A248">
        <v>2.60453</v>
      </c>
      <c r="B248">
        <f>-(Table1370[[#This Row],[time]]-2)*2</f>
        <v>-1.20906</v>
      </c>
      <c r="C248">
        <v>87.672799999999995</v>
      </c>
      <c r="D248">
        <v>20.9741</v>
      </c>
      <c r="E248">
        <f>Table1370[[#This Row],[CFNM]]/Table1370[[#This Row],[CAREA]]</f>
        <v>0.2392315518610105</v>
      </c>
      <c r="F248">
        <v>2.60453</v>
      </c>
      <c r="G248">
        <f>-(Table2371[[#This Row],[time]]-2)*2</f>
        <v>-1.20906</v>
      </c>
      <c r="H248">
        <v>92.877200000000002</v>
      </c>
      <c r="I248">
        <v>11.601000000000001</v>
      </c>
      <c r="J248">
        <f>Table2371[[#This Row],[CFNM]]/Table2371[[#This Row],[CAREA]]</f>
        <v>0.12490686627073168</v>
      </c>
      <c r="K248">
        <v>2.60453</v>
      </c>
      <c r="L248">
        <f>-(Table3372[[#This Row],[time]]-2)*2</f>
        <v>-1.20906</v>
      </c>
      <c r="M248">
        <v>89.552999999999997</v>
      </c>
      <c r="N248">
        <v>19.2224</v>
      </c>
      <c r="O248">
        <f>Table3372[[#This Row],[CFNM]]/Table3372[[#This Row],[CAREA]]</f>
        <v>0.21464830882270836</v>
      </c>
      <c r="P248">
        <v>2.60453</v>
      </c>
      <c r="Q248">
        <f>-(Table4373[[#This Row],[time]]-2)*2</f>
        <v>-1.20906</v>
      </c>
      <c r="R248">
        <v>88.209800000000001</v>
      </c>
      <c r="S248">
        <v>25.924700000000001</v>
      </c>
      <c r="T248">
        <f>Table4373[[#This Row],[CFNM]]/Table4373[[#This Row],[CAREA]]</f>
        <v>0.29389818364852888</v>
      </c>
      <c r="U248">
        <v>2.60453</v>
      </c>
      <c r="V248">
        <f>-(Table5374[[#This Row],[time]]-2)*2</f>
        <v>-1.20906</v>
      </c>
      <c r="W248">
        <v>75.828900000000004</v>
      </c>
      <c r="X248">
        <v>41.793500000000002</v>
      </c>
      <c r="Y248">
        <f>Table5374[[#This Row],[CFNM]]/Table5374[[#This Row],[CAREA]]</f>
        <v>0.5511552983097473</v>
      </c>
      <c r="Z248">
        <v>2.60453</v>
      </c>
      <c r="AA248">
        <f>-(Table6375[[#This Row],[time]]-2)*2</f>
        <v>-1.20906</v>
      </c>
      <c r="AB248">
        <v>84.020200000000003</v>
      </c>
      <c r="AC248">
        <v>58.459099999999999</v>
      </c>
      <c r="AD248">
        <f>Table6375[[#This Row],[CFNM]]/Table6375[[#This Row],[CAREA]]</f>
        <v>0.69577434950166739</v>
      </c>
      <c r="AE248">
        <v>2.60453</v>
      </c>
      <c r="AF248">
        <f>-(Table7376[[#This Row],[time]]-2)*2</f>
        <v>-1.20906</v>
      </c>
      <c r="AG248">
        <v>77.595399999999998</v>
      </c>
      <c r="AH248">
        <v>55.338299999999997</v>
      </c>
      <c r="AI248">
        <f>Table7376[[#This Row],[CFNM]]/Table7376[[#This Row],[CAREA]]</f>
        <v>0.71316469790735015</v>
      </c>
      <c r="AJ248">
        <v>2.60453</v>
      </c>
      <c r="AK248">
        <f>-(Table8377[[#This Row],[time]]-2)*2</f>
        <v>-1.20906</v>
      </c>
      <c r="AL248">
        <v>78.2363</v>
      </c>
      <c r="AM248">
        <v>56.9313</v>
      </c>
      <c r="AN248">
        <f>Table8377[[#This Row],[CFNM]]/Table8377[[#This Row],[CAREA]]</f>
        <v>0.72768395233414673</v>
      </c>
    </row>
    <row r="249" spans="1:40">
      <c r="A249">
        <v>2.65273</v>
      </c>
      <c r="B249">
        <f>-(Table1370[[#This Row],[time]]-2)*2</f>
        <v>-1.3054600000000001</v>
      </c>
      <c r="C249">
        <v>87.310900000000004</v>
      </c>
      <c r="D249">
        <v>21.730399999999999</v>
      </c>
      <c r="E249">
        <f>Table1370[[#This Row],[CFNM]]/Table1370[[#This Row],[CAREA]]</f>
        <v>0.24888530527116315</v>
      </c>
      <c r="F249">
        <v>2.65273</v>
      </c>
      <c r="G249">
        <f>-(Table2371[[#This Row],[time]]-2)*2</f>
        <v>-1.3054600000000001</v>
      </c>
      <c r="H249">
        <v>92.804699999999997</v>
      </c>
      <c r="I249">
        <v>12.436400000000001</v>
      </c>
      <c r="J249">
        <f>Table2371[[#This Row],[CFNM]]/Table2371[[#This Row],[CAREA]]</f>
        <v>0.13400614408537501</v>
      </c>
      <c r="K249">
        <v>2.65273</v>
      </c>
      <c r="L249">
        <f>-(Table3372[[#This Row],[time]]-2)*2</f>
        <v>-1.3054600000000001</v>
      </c>
      <c r="M249">
        <v>89.667100000000005</v>
      </c>
      <c r="N249">
        <v>20.665199999999999</v>
      </c>
      <c r="O249">
        <f>Table3372[[#This Row],[CFNM]]/Table3372[[#This Row],[CAREA]]</f>
        <v>0.2304658007228961</v>
      </c>
      <c r="P249">
        <v>2.65273</v>
      </c>
      <c r="Q249">
        <f>-(Table4373[[#This Row],[time]]-2)*2</f>
        <v>-1.3054600000000001</v>
      </c>
      <c r="R249">
        <v>88.342100000000002</v>
      </c>
      <c r="S249">
        <v>27.711200000000002</v>
      </c>
      <c r="T249">
        <f>Table4373[[#This Row],[CFNM]]/Table4373[[#This Row],[CAREA]]</f>
        <v>0.3136805667965783</v>
      </c>
      <c r="U249">
        <v>2.65273</v>
      </c>
      <c r="V249">
        <f>-(Table5374[[#This Row],[time]]-2)*2</f>
        <v>-1.3054600000000001</v>
      </c>
      <c r="W249">
        <v>75.065299999999993</v>
      </c>
      <c r="X249">
        <v>44.182499999999997</v>
      </c>
      <c r="Y249">
        <f>Table5374[[#This Row],[CFNM]]/Table5374[[#This Row],[CAREA]]</f>
        <v>0.58858753645159612</v>
      </c>
      <c r="Z249">
        <v>2.65273</v>
      </c>
      <c r="AA249">
        <f>-(Table6375[[#This Row],[time]]-2)*2</f>
        <v>-1.3054600000000001</v>
      </c>
      <c r="AB249">
        <v>83.437799999999996</v>
      </c>
      <c r="AC249">
        <v>61.633400000000002</v>
      </c>
      <c r="AD249">
        <f>Table6375[[#This Row],[CFNM]]/Table6375[[#This Row],[CAREA]]</f>
        <v>0.73867479727413721</v>
      </c>
      <c r="AE249">
        <v>2.65273</v>
      </c>
      <c r="AF249">
        <f>-(Table7376[[#This Row],[time]]-2)*2</f>
        <v>-1.3054600000000001</v>
      </c>
      <c r="AG249">
        <v>76.969200000000001</v>
      </c>
      <c r="AH249">
        <v>58.614899999999999</v>
      </c>
      <c r="AI249">
        <f>Table7376[[#This Row],[CFNM]]/Table7376[[#This Row],[CAREA]]</f>
        <v>0.76153708236541362</v>
      </c>
      <c r="AJ249">
        <v>2.65273</v>
      </c>
      <c r="AK249">
        <f>-(Table8377[[#This Row],[time]]-2)*2</f>
        <v>-1.3054600000000001</v>
      </c>
      <c r="AL249">
        <v>78.089200000000005</v>
      </c>
      <c r="AM249">
        <v>60.106900000000003</v>
      </c>
      <c r="AN249">
        <f>Table8377[[#This Row],[CFNM]]/Table8377[[#This Row],[CAREA]]</f>
        <v>0.76972103696798022</v>
      </c>
    </row>
    <row r="250" spans="1:40">
      <c r="A250">
        <v>2.7006199999999998</v>
      </c>
      <c r="B250">
        <f>-(Table1370[[#This Row],[time]]-2)*2</f>
        <v>-1.4012399999999996</v>
      </c>
      <c r="C250">
        <v>87.212699999999998</v>
      </c>
      <c r="D250">
        <v>22.5961</v>
      </c>
      <c r="E250">
        <f>Table1370[[#This Row],[CFNM]]/Table1370[[#This Row],[CAREA]]</f>
        <v>0.25909185244809529</v>
      </c>
      <c r="F250">
        <v>2.7006199999999998</v>
      </c>
      <c r="G250">
        <f>-(Table2371[[#This Row],[time]]-2)*2</f>
        <v>-1.4012399999999996</v>
      </c>
      <c r="H250">
        <v>92.743700000000004</v>
      </c>
      <c r="I250">
        <v>13.452199999999999</v>
      </c>
      <c r="J250">
        <f>Table2371[[#This Row],[CFNM]]/Table2371[[#This Row],[CAREA]]</f>
        <v>0.14504704901788476</v>
      </c>
      <c r="K250">
        <v>2.7006199999999998</v>
      </c>
      <c r="L250">
        <f>-(Table3372[[#This Row],[time]]-2)*2</f>
        <v>-1.4012399999999996</v>
      </c>
      <c r="M250">
        <v>89.579800000000006</v>
      </c>
      <c r="N250">
        <v>22.4085</v>
      </c>
      <c r="O250">
        <f>Table3372[[#This Row],[CFNM]]/Table3372[[#This Row],[CAREA]]</f>
        <v>0.25015126177999947</v>
      </c>
      <c r="P250">
        <v>2.7006199999999998</v>
      </c>
      <c r="Q250">
        <f>-(Table4373[[#This Row],[time]]-2)*2</f>
        <v>-1.4012399999999996</v>
      </c>
      <c r="R250">
        <v>88.449799999999996</v>
      </c>
      <c r="S250">
        <v>29.994</v>
      </c>
      <c r="T250">
        <f>Table4373[[#This Row],[CFNM]]/Table4373[[#This Row],[CAREA]]</f>
        <v>0.33910760680069374</v>
      </c>
      <c r="U250">
        <v>2.7006199999999998</v>
      </c>
      <c r="V250">
        <f>-(Table5374[[#This Row],[time]]-2)*2</f>
        <v>-1.4012399999999996</v>
      </c>
      <c r="W250">
        <v>74.081100000000006</v>
      </c>
      <c r="X250">
        <v>47.1599</v>
      </c>
      <c r="Y250">
        <f>Table5374[[#This Row],[CFNM]]/Table5374[[#This Row],[CAREA]]</f>
        <v>0.63659826865421809</v>
      </c>
      <c r="Z250">
        <v>2.7006199999999998</v>
      </c>
      <c r="AA250">
        <f>-(Table6375[[#This Row],[time]]-2)*2</f>
        <v>-1.4012399999999996</v>
      </c>
      <c r="AB250">
        <v>82.701400000000007</v>
      </c>
      <c r="AC250">
        <v>65.686199999999999</v>
      </c>
      <c r="AD250">
        <f>Table6375[[#This Row],[CFNM]]/Table6375[[#This Row],[CAREA]]</f>
        <v>0.79425741281284223</v>
      </c>
      <c r="AE250">
        <v>2.7006199999999998</v>
      </c>
      <c r="AF250">
        <f>-(Table7376[[#This Row],[time]]-2)*2</f>
        <v>-1.4012399999999996</v>
      </c>
      <c r="AG250">
        <v>76.180000000000007</v>
      </c>
      <c r="AH250">
        <v>62.489800000000002</v>
      </c>
      <c r="AI250">
        <f>Table7376[[#This Row],[CFNM]]/Table7376[[#This Row],[CAREA]]</f>
        <v>0.82029141506957204</v>
      </c>
      <c r="AJ250">
        <v>2.7006199999999998</v>
      </c>
      <c r="AK250">
        <f>-(Table8377[[#This Row],[time]]-2)*2</f>
        <v>-1.4012399999999996</v>
      </c>
      <c r="AL250">
        <v>77.866399999999999</v>
      </c>
      <c r="AM250">
        <v>64.049499999999995</v>
      </c>
      <c r="AN250">
        <f>Table8377[[#This Row],[CFNM]]/Table8377[[#This Row],[CAREA]]</f>
        <v>0.82255632724769601</v>
      </c>
    </row>
    <row r="251" spans="1:40">
      <c r="A251">
        <v>2.75176</v>
      </c>
      <c r="B251">
        <f>-(Table1370[[#This Row],[time]]-2)*2</f>
        <v>-1.50352</v>
      </c>
      <c r="C251">
        <v>86.943299999999994</v>
      </c>
      <c r="D251">
        <v>23.4269</v>
      </c>
      <c r="E251">
        <f>Table1370[[#This Row],[CFNM]]/Table1370[[#This Row],[CAREA]]</f>
        <v>0.26945031992114404</v>
      </c>
      <c r="F251">
        <v>2.75176</v>
      </c>
      <c r="G251">
        <f>-(Table2371[[#This Row],[time]]-2)*2</f>
        <v>-1.50352</v>
      </c>
      <c r="H251">
        <v>92.704800000000006</v>
      </c>
      <c r="I251">
        <v>14.4354</v>
      </c>
      <c r="J251">
        <f>Table2371[[#This Row],[CFNM]]/Table2371[[#This Row],[CAREA]]</f>
        <v>0.15571362000673103</v>
      </c>
      <c r="K251">
        <v>2.75176</v>
      </c>
      <c r="L251">
        <f>-(Table3372[[#This Row],[time]]-2)*2</f>
        <v>-1.50352</v>
      </c>
      <c r="M251">
        <v>89.458299999999994</v>
      </c>
      <c r="N251">
        <v>24.1982</v>
      </c>
      <c r="O251">
        <f>Table3372[[#This Row],[CFNM]]/Table3372[[#This Row],[CAREA]]</f>
        <v>0.27049698015723528</v>
      </c>
      <c r="P251">
        <v>2.75176</v>
      </c>
      <c r="Q251">
        <f>-(Table4373[[#This Row],[time]]-2)*2</f>
        <v>-1.50352</v>
      </c>
      <c r="R251">
        <v>88.5428</v>
      </c>
      <c r="S251">
        <v>32.393000000000001</v>
      </c>
      <c r="T251">
        <f>Table4373[[#This Row],[CFNM]]/Table4373[[#This Row],[CAREA]]</f>
        <v>0.36584567011659896</v>
      </c>
      <c r="U251">
        <v>2.75176</v>
      </c>
      <c r="V251">
        <f>-(Table5374[[#This Row],[time]]-2)*2</f>
        <v>-1.50352</v>
      </c>
      <c r="W251">
        <v>73.178299999999993</v>
      </c>
      <c r="X251">
        <v>50.154899999999998</v>
      </c>
      <c r="Y251">
        <f>Table5374[[#This Row],[CFNM]]/Table5374[[#This Row],[CAREA]]</f>
        <v>0.68537940892313709</v>
      </c>
      <c r="Z251">
        <v>2.75176</v>
      </c>
      <c r="AA251">
        <f>-(Table6375[[#This Row],[time]]-2)*2</f>
        <v>-1.50352</v>
      </c>
      <c r="AB251">
        <v>81.8917</v>
      </c>
      <c r="AC251">
        <v>69.787999999999997</v>
      </c>
      <c r="AD251">
        <f>Table6375[[#This Row],[CFNM]]/Table6375[[#This Row],[CAREA]]</f>
        <v>0.85219869657120317</v>
      </c>
      <c r="AE251">
        <v>2.75176</v>
      </c>
      <c r="AF251">
        <f>-(Table7376[[#This Row],[time]]-2)*2</f>
        <v>-1.50352</v>
      </c>
      <c r="AG251">
        <v>75.445400000000006</v>
      </c>
      <c r="AH251">
        <v>66.405199999999994</v>
      </c>
      <c r="AI251">
        <f>Table7376[[#This Row],[CFNM]]/Table7376[[#This Row],[CAREA]]</f>
        <v>0.88017559718683958</v>
      </c>
      <c r="AJ251">
        <v>2.75176</v>
      </c>
      <c r="AK251">
        <f>-(Table8377[[#This Row],[time]]-2)*2</f>
        <v>-1.50352</v>
      </c>
      <c r="AL251">
        <v>77.581699999999998</v>
      </c>
      <c r="AM251">
        <v>67.926900000000003</v>
      </c>
      <c r="AN251">
        <f>Table8377[[#This Row],[CFNM]]/Table8377[[#This Row],[CAREA]]</f>
        <v>0.87555312657495266</v>
      </c>
    </row>
    <row r="252" spans="1:40">
      <c r="A252">
        <v>2.80444</v>
      </c>
      <c r="B252">
        <f>-(Table1370[[#This Row],[time]]-2)*2</f>
        <v>-1.6088800000000001</v>
      </c>
      <c r="C252">
        <v>86.682500000000005</v>
      </c>
      <c r="D252">
        <v>24.098600000000001</v>
      </c>
      <c r="E252">
        <f>Table1370[[#This Row],[CFNM]]/Table1370[[#This Row],[CAREA]]</f>
        <v>0.27800997894615409</v>
      </c>
      <c r="F252">
        <v>2.80444</v>
      </c>
      <c r="G252">
        <f>-(Table2371[[#This Row],[time]]-2)*2</f>
        <v>-1.6088800000000001</v>
      </c>
      <c r="H252">
        <v>92.694299999999998</v>
      </c>
      <c r="I252">
        <v>15.2628</v>
      </c>
      <c r="J252">
        <f>Table2371[[#This Row],[CFNM]]/Table2371[[#This Row],[CAREA]]</f>
        <v>0.16465737375437325</v>
      </c>
      <c r="K252">
        <v>2.80444</v>
      </c>
      <c r="L252">
        <f>-(Table3372[[#This Row],[time]]-2)*2</f>
        <v>-1.6088800000000001</v>
      </c>
      <c r="M252">
        <v>89.959900000000005</v>
      </c>
      <c r="N252">
        <v>25.771899999999999</v>
      </c>
      <c r="O252">
        <f>Table3372[[#This Row],[CFNM]]/Table3372[[#This Row],[CAREA]]</f>
        <v>0.28648208813037807</v>
      </c>
      <c r="P252">
        <v>2.80444</v>
      </c>
      <c r="Q252">
        <f>-(Table4373[[#This Row],[time]]-2)*2</f>
        <v>-1.6088800000000001</v>
      </c>
      <c r="R252">
        <v>88.297600000000003</v>
      </c>
      <c r="S252">
        <v>34.548200000000001</v>
      </c>
      <c r="T252">
        <f>Table4373[[#This Row],[CFNM]]/Table4373[[#This Row],[CAREA]]</f>
        <v>0.39126997789294388</v>
      </c>
      <c r="U252">
        <v>2.80444</v>
      </c>
      <c r="V252">
        <f>-(Table5374[[#This Row],[time]]-2)*2</f>
        <v>-1.6088800000000001</v>
      </c>
      <c r="W252">
        <v>72.318700000000007</v>
      </c>
      <c r="X252">
        <v>52.763599999999997</v>
      </c>
      <c r="Y252">
        <f>Table5374[[#This Row],[CFNM]]/Table5374[[#This Row],[CAREA]]</f>
        <v>0.72959829200469573</v>
      </c>
      <c r="Z252">
        <v>2.80444</v>
      </c>
      <c r="AA252">
        <f>-(Table6375[[#This Row],[time]]-2)*2</f>
        <v>-1.6088800000000001</v>
      </c>
      <c r="AB252">
        <v>81.162199999999999</v>
      </c>
      <c r="AC252">
        <v>73.380300000000005</v>
      </c>
      <c r="AD252">
        <f>Table6375[[#This Row],[CFNM]]/Table6375[[#This Row],[CAREA]]</f>
        <v>0.90411915891880712</v>
      </c>
      <c r="AE252">
        <v>2.80444</v>
      </c>
      <c r="AF252">
        <f>-(Table7376[[#This Row],[time]]-2)*2</f>
        <v>-1.6088800000000001</v>
      </c>
      <c r="AG252">
        <v>74.772900000000007</v>
      </c>
      <c r="AH252">
        <v>69.791799999999995</v>
      </c>
      <c r="AI252">
        <f>Table7376[[#This Row],[CFNM]]/Table7376[[#This Row],[CAREA]]</f>
        <v>0.9333836189314576</v>
      </c>
      <c r="AJ252">
        <v>2.80444</v>
      </c>
      <c r="AK252">
        <f>-(Table8377[[#This Row],[time]]-2)*2</f>
        <v>-1.6088800000000001</v>
      </c>
      <c r="AL252">
        <v>77.369</v>
      </c>
      <c r="AM252">
        <v>71.3018</v>
      </c>
      <c r="AN252">
        <f>Table8377[[#This Row],[CFNM]]/Table8377[[#This Row],[CAREA]]</f>
        <v>0.92158099497214652</v>
      </c>
    </row>
    <row r="253" spans="1:40">
      <c r="A253">
        <v>2.8583699999999999</v>
      </c>
      <c r="B253">
        <f>-(Table1370[[#This Row],[time]]-2)*2</f>
        <v>-1.7167399999999997</v>
      </c>
      <c r="C253">
        <v>86.655699999999996</v>
      </c>
      <c r="D253">
        <v>24.837800000000001</v>
      </c>
      <c r="E253">
        <f>Table1370[[#This Row],[CFNM]]/Table1370[[#This Row],[CAREA]]</f>
        <v>0.28662626924714707</v>
      </c>
      <c r="F253">
        <v>2.8583699999999999</v>
      </c>
      <c r="G253">
        <f>-(Table2371[[#This Row],[time]]-2)*2</f>
        <v>-1.7167399999999997</v>
      </c>
      <c r="H253">
        <v>92.707999999999998</v>
      </c>
      <c r="I253">
        <v>16.211300000000001</v>
      </c>
      <c r="J253">
        <f>Table2371[[#This Row],[CFNM]]/Table2371[[#This Row],[CAREA]]</f>
        <v>0.17486408939897313</v>
      </c>
      <c r="K253">
        <v>2.8583699999999999</v>
      </c>
      <c r="L253">
        <f>-(Table3372[[#This Row],[time]]-2)*2</f>
        <v>-1.7167399999999997</v>
      </c>
      <c r="M253">
        <v>90.3904</v>
      </c>
      <c r="N253">
        <v>27.664899999999999</v>
      </c>
      <c r="O253">
        <f>Table3372[[#This Row],[CFNM]]/Table3372[[#This Row],[CAREA]]</f>
        <v>0.30606015683081389</v>
      </c>
      <c r="P253">
        <v>2.8583699999999999</v>
      </c>
      <c r="Q253">
        <f>-(Table4373[[#This Row],[time]]-2)*2</f>
        <v>-1.7167399999999997</v>
      </c>
      <c r="R253">
        <v>88.186899999999994</v>
      </c>
      <c r="S253">
        <v>37.1937</v>
      </c>
      <c r="T253">
        <f>Table4373[[#This Row],[CFNM]]/Table4373[[#This Row],[CAREA]]</f>
        <v>0.4217599212581461</v>
      </c>
      <c r="U253">
        <v>2.8583699999999999</v>
      </c>
      <c r="V253">
        <f>-(Table5374[[#This Row],[time]]-2)*2</f>
        <v>-1.7167399999999997</v>
      </c>
      <c r="W253">
        <v>70.626599999999996</v>
      </c>
      <c r="X253">
        <v>55.870100000000001</v>
      </c>
      <c r="Y253">
        <f>Table5374[[#This Row],[CFNM]]/Table5374[[#This Row],[CAREA]]</f>
        <v>0.79106314051646265</v>
      </c>
      <c r="Z253">
        <v>2.8583699999999999</v>
      </c>
      <c r="AA253">
        <f>-(Table6375[[#This Row],[time]]-2)*2</f>
        <v>-1.7167399999999997</v>
      </c>
      <c r="AB253">
        <v>80.313500000000005</v>
      </c>
      <c r="AC253">
        <v>77.600200000000001</v>
      </c>
      <c r="AD253">
        <f>Table6375[[#This Row],[CFNM]]/Table6375[[#This Row],[CAREA]]</f>
        <v>0.96621614049941784</v>
      </c>
      <c r="AE253">
        <v>2.8583699999999999</v>
      </c>
      <c r="AF253">
        <f>-(Table7376[[#This Row],[time]]-2)*2</f>
        <v>-1.7167399999999997</v>
      </c>
      <c r="AG253">
        <v>74.149100000000004</v>
      </c>
      <c r="AH253">
        <v>73.692400000000006</v>
      </c>
      <c r="AI253">
        <f>Table7376[[#This Row],[CFNM]]/Table7376[[#This Row],[CAREA]]</f>
        <v>0.99384078835751211</v>
      </c>
      <c r="AJ253">
        <v>2.8583699999999999</v>
      </c>
      <c r="AK253">
        <f>-(Table8377[[#This Row],[time]]-2)*2</f>
        <v>-1.7167399999999997</v>
      </c>
      <c r="AL253">
        <v>77.125699999999995</v>
      </c>
      <c r="AM253">
        <v>75.131</v>
      </c>
      <c r="AN253">
        <f>Table8377[[#This Row],[CFNM]]/Table8377[[#This Row],[CAREA]]</f>
        <v>0.97413702566070715</v>
      </c>
    </row>
    <row r="254" spans="1:40">
      <c r="A254">
        <v>2.9134199999999999</v>
      </c>
      <c r="B254">
        <f>-(Table1370[[#This Row],[time]]-2)*2</f>
        <v>-1.8268399999999998</v>
      </c>
      <c r="C254">
        <v>86.590400000000002</v>
      </c>
      <c r="D254">
        <v>25.599799999999998</v>
      </c>
      <c r="E254">
        <f>Table1370[[#This Row],[CFNM]]/Table1370[[#This Row],[CAREA]]</f>
        <v>0.29564247306860802</v>
      </c>
      <c r="F254">
        <v>2.9134199999999999</v>
      </c>
      <c r="G254">
        <f>-(Table2371[[#This Row],[time]]-2)*2</f>
        <v>-1.8268399999999998</v>
      </c>
      <c r="H254">
        <v>92.692099999999996</v>
      </c>
      <c r="I254">
        <v>17.151</v>
      </c>
      <c r="J254">
        <f>Table2371[[#This Row],[CFNM]]/Table2371[[#This Row],[CAREA]]</f>
        <v>0.18503194986412003</v>
      </c>
      <c r="K254">
        <v>2.9134199999999999</v>
      </c>
      <c r="L254">
        <f>-(Table3372[[#This Row],[time]]-2)*2</f>
        <v>-1.8268399999999998</v>
      </c>
      <c r="M254">
        <v>90.146799999999999</v>
      </c>
      <c r="N254">
        <v>29.816199999999998</v>
      </c>
      <c r="O254">
        <f>Table3372[[#This Row],[CFNM]]/Table3372[[#This Row],[CAREA]]</f>
        <v>0.33075161847120471</v>
      </c>
      <c r="P254">
        <v>2.9134199999999999</v>
      </c>
      <c r="Q254">
        <f>-(Table4373[[#This Row],[time]]-2)*2</f>
        <v>-1.8268399999999998</v>
      </c>
      <c r="R254">
        <v>88.100300000000004</v>
      </c>
      <c r="S254">
        <v>40.103299999999997</v>
      </c>
      <c r="T254">
        <f>Table4373[[#This Row],[CFNM]]/Table4373[[#This Row],[CAREA]]</f>
        <v>0.45520049307437088</v>
      </c>
      <c r="U254">
        <v>2.9134199999999999</v>
      </c>
      <c r="V254">
        <f>-(Table5374[[#This Row],[time]]-2)*2</f>
        <v>-1.8268399999999998</v>
      </c>
      <c r="W254">
        <v>69.503500000000003</v>
      </c>
      <c r="X254">
        <v>59.058</v>
      </c>
      <c r="Y254">
        <f>Table5374[[#This Row],[CFNM]]/Table5374[[#This Row],[CAREA]]</f>
        <v>0.84971260440121721</v>
      </c>
      <c r="Z254">
        <v>2.9134199999999999</v>
      </c>
      <c r="AA254">
        <f>-(Table6375[[#This Row],[time]]-2)*2</f>
        <v>-1.8268399999999998</v>
      </c>
      <c r="AB254">
        <v>78.694800000000001</v>
      </c>
      <c r="AC254">
        <v>81.989000000000004</v>
      </c>
      <c r="AD254">
        <f>Table6375[[#This Row],[CFNM]]/Table6375[[#This Row],[CAREA]]</f>
        <v>1.0418604532955165</v>
      </c>
      <c r="AE254">
        <v>2.9134199999999999</v>
      </c>
      <c r="AF254">
        <f>-(Table7376[[#This Row],[time]]-2)*2</f>
        <v>-1.8268399999999998</v>
      </c>
      <c r="AG254">
        <v>73.490899999999996</v>
      </c>
      <c r="AH254">
        <v>77.542000000000002</v>
      </c>
      <c r="AI254">
        <f>Table7376[[#This Row],[CFNM]]/Table7376[[#This Row],[CAREA]]</f>
        <v>1.0551238316580693</v>
      </c>
      <c r="AJ254">
        <v>2.9134199999999999</v>
      </c>
      <c r="AK254">
        <f>-(Table8377[[#This Row],[time]]-2)*2</f>
        <v>-1.8268399999999998</v>
      </c>
      <c r="AL254">
        <v>76.825199999999995</v>
      </c>
      <c r="AM254">
        <v>79.159700000000001</v>
      </c>
      <c r="AN254">
        <f>Table8377[[#This Row],[CFNM]]/Table8377[[#This Row],[CAREA]]</f>
        <v>1.0303871646282732</v>
      </c>
    </row>
    <row r="255" spans="1:40">
      <c r="A255">
        <v>2.9619599999999999</v>
      </c>
      <c r="B255">
        <f>-(Table1370[[#This Row],[time]]-2)*2</f>
        <v>-1.9239199999999999</v>
      </c>
      <c r="C255">
        <v>86.631699999999995</v>
      </c>
      <c r="D255">
        <v>26.184699999999999</v>
      </c>
      <c r="E255">
        <f>Table1370[[#This Row],[CFNM]]/Table1370[[#This Row],[CAREA]]</f>
        <v>0.30225310134742828</v>
      </c>
      <c r="F255">
        <v>2.9619599999999999</v>
      </c>
      <c r="G255">
        <f>-(Table2371[[#This Row],[time]]-2)*2</f>
        <v>-1.9239199999999999</v>
      </c>
      <c r="H255">
        <v>92.770200000000003</v>
      </c>
      <c r="I255">
        <v>18.084800000000001</v>
      </c>
      <c r="J255">
        <f>Table2371[[#This Row],[CFNM]]/Table2371[[#This Row],[CAREA]]</f>
        <v>0.19494191022548191</v>
      </c>
      <c r="K255">
        <v>2.9619599999999999</v>
      </c>
      <c r="L255">
        <f>-(Table3372[[#This Row],[time]]-2)*2</f>
        <v>-1.9239199999999999</v>
      </c>
      <c r="M255">
        <v>89.931399999999996</v>
      </c>
      <c r="N255">
        <v>31.773299999999999</v>
      </c>
      <c r="O255">
        <f>Table3372[[#This Row],[CFNM]]/Table3372[[#This Row],[CAREA]]</f>
        <v>0.35330596432391803</v>
      </c>
      <c r="P255">
        <v>2.9619599999999999</v>
      </c>
      <c r="Q255">
        <f>-(Table4373[[#This Row],[time]]-2)*2</f>
        <v>-1.9239199999999999</v>
      </c>
      <c r="R255">
        <v>87.878500000000003</v>
      </c>
      <c r="S255">
        <v>43.109000000000002</v>
      </c>
      <c r="T255">
        <f>Table4373[[#This Row],[CFNM]]/Table4373[[#This Row],[CAREA]]</f>
        <v>0.49055229663683381</v>
      </c>
      <c r="U255">
        <v>2.9619599999999999</v>
      </c>
      <c r="V255">
        <f>-(Table5374[[#This Row],[time]]-2)*2</f>
        <v>-1.9239199999999999</v>
      </c>
      <c r="W255">
        <v>68.460800000000006</v>
      </c>
      <c r="X255">
        <v>62.004300000000001</v>
      </c>
      <c r="Y255">
        <f>Table5374[[#This Row],[CFNM]]/Table5374[[#This Row],[CAREA]]</f>
        <v>0.90569055576329804</v>
      </c>
      <c r="Z255">
        <v>2.9619599999999999</v>
      </c>
      <c r="AA255">
        <f>-(Table6375[[#This Row],[time]]-2)*2</f>
        <v>-1.9239199999999999</v>
      </c>
      <c r="AB255">
        <v>77.0047</v>
      </c>
      <c r="AC255">
        <v>86.160700000000006</v>
      </c>
      <c r="AD255">
        <f>Table6375[[#This Row],[CFNM]]/Table6375[[#This Row],[CAREA]]</f>
        <v>1.1189018332647229</v>
      </c>
      <c r="AE255">
        <v>2.9619599999999999</v>
      </c>
      <c r="AF255">
        <f>-(Table7376[[#This Row],[time]]-2)*2</f>
        <v>-1.9239199999999999</v>
      </c>
      <c r="AG255">
        <v>72.938400000000001</v>
      </c>
      <c r="AH255">
        <v>80.992599999999996</v>
      </c>
      <c r="AI255">
        <f>Table7376[[#This Row],[CFNM]]/Table7376[[#This Row],[CAREA]]</f>
        <v>1.1104246871332522</v>
      </c>
      <c r="AJ255">
        <v>2.9619599999999999</v>
      </c>
      <c r="AK255">
        <f>-(Table8377[[#This Row],[time]]-2)*2</f>
        <v>-1.9239199999999999</v>
      </c>
      <c r="AL255">
        <v>76.587199999999996</v>
      </c>
      <c r="AM255">
        <v>82.959500000000006</v>
      </c>
      <c r="AN255">
        <f>Table8377[[#This Row],[CFNM]]/Table8377[[#This Row],[CAREA]]</f>
        <v>1.0832031984456933</v>
      </c>
    </row>
    <row r="256" spans="1:40">
      <c r="A256">
        <v>3</v>
      </c>
      <c r="B256">
        <f>-(Table1370[[#This Row],[time]]-2)*2</f>
        <v>-2</v>
      </c>
      <c r="C256">
        <v>86.7774</v>
      </c>
      <c r="D256">
        <v>26.675999999999998</v>
      </c>
      <c r="E256">
        <f>Table1370[[#This Row],[CFNM]]/Table1370[[#This Row],[CAREA]]</f>
        <v>0.30740722814926463</v>
      </c>
      <c r="F256">
        <v>3</v>
      </c>
      <c r="G256">
        <f>-(Table2371[[#This Row],[time]]-2)*2</f>
        <v>-2</v>
      </c>
      <c r="H256">
        <v>92.883600000000001</v>
      </c>
      <c r="I256">
        <v>19.005299999999998</v>
      </c>
      <c r="J256">
        <f>Table2371[[#This Row],[CFNM]]/Table2371[[#This Row],[CAREA]]</f>
        <v>0.20461416224177356</v>
      </c>
      <c r="K256">
        <v>3</v>
      </c>
      <c r="L256">
        <f>-(Table3372[[#This Row],[time]]-2)*2</f>
        <v>-2</v>
      </c>
      <c r="M256">
        <v>89.578500000000005</v>
      </c>
      <c r="N256">
        <v>33.673099999999998</v>
      </c>
      <c r="O256">
        <f>Table3372[[#This Row],[CFNM]]/Table3372[[#This Row],[CAREA]]</f>
        <v>0.37590604888449791</v>
      </c>
      <c r="P256">
        <v>3</v>
      </c>
      <c r="Q256">
        <f>-(Table4373[[#This Row],[time]]-2)*2</f>
        <v>-2</v>
      </c>
      <c r="R256">
        <v>87.6982</v>
      </c>
      <c r="S256">
        <v>46.144300000000001</v>
      </c>
      <c r="T256">
        <f>Table4373[[#This Row],[CFNM]]/Table4373[[#This Row],[CAREA]]</f>
        <v>0.52617157478716781</v>
      </c>
      <c r="U256">
        <v>3</v>
      </c>
      <c r="V256">
        <f>-(Table5374[[#This Row],[time]]-2)*2</f>
        <v>-2</v>
      </c>
      <c r="W256">
        <v>67.496200000000002</v>
      </c>
      <c r="X256">
        <v>64.818299999999994</v>
      </c>
      <c r="Y256">
        <f>Table5374[[#This Row],[CFNM]]/Table5374[[#This Row],[CAREA]]</f>
        <v>0.96032517386163951</v>
      </c>
      <c r="Z256">
        <v>3</v>
      </c>
      <c r="AA256">
        <f>-(Table6375[[#This Row],[time]]-2)*2</f>
        <v>-2</v>
      </c>
      <c r="AB256">
        <v>74.928200000000004</v>
      </c>
      <c r="AC256">
        <v>90.231899999999996</v>
      </c>
      <c r="AD256">
        <f>Table6375[[#This Row],[CFNM]]/Table6375[[#This Row],[CAREA]]</f>
        <v>1.2042448637495629</v>
      </c>
      <c r="AE256">
        <v>3</v>
      </c>
      <c r="AF256">
        <f>-(Table7376[[#This Row],[time]]-2)*2</f>
        <v>-2</v>
      </c>
      <c r="AG256">
        <v>72.367800000000003</v>
      </c>
      <c r="AH256">
        <v>84.299899999999994</v>
      </c>
      <c r="AI256">
        <f>Table7376[[#This Row],[CFNM]]/Table7376[[#This Row],[CAREA]]</f>
        <v>1.164881342254428</v>
      </c>
      <c r="AJ256">
        <v>3</v>
      </c>
      <c r="AK256">
        <f>-(Table8377[[#This Row],[time]]-2)*2</f>
        <v>-2</v>
      </c>
      <c r="AL256">
        <v>76.384500000000003</v>
      </c>
      <c r="AM256">
        <v>86.546099999999996</v>
      </c>
      <c r="AN256">
        <f>Table8377[[#This Row],[CFNM]]/Table8377[[#This Row],[CAREA]]</f>
        <v>1.1330322251242071</v>
      </c>
    </row>
    <row r="258" spans="1:40">
      <c r="A258" t="s">
        <v>39</v>
      </c>
      <c r="E258" t="s">
        <v>2</v>
      </c>
    </row>
    <row r="259" spans="1:40">
      <c r="A259" t="s">
        <v>40</v>
      </c>
      <c r="E259" t="s">
        <v>4</v>
      </c>
      <c r="F259" t="s">
        <v>5</v>
      </c>
    </row>
    <row r="261" spans="1:40">
      <c r="A261" t="s">
        <v>7</v>
      </c>
      <c r="F261" t="s">
        <v>8</v>
      </c>
      <c r="K261" t="s">
        <v>9</v>
      </c>
      <c r="P261" t="s">
        <v>26</v>
      </c>
      <c r="U261" t="s">
        <v>11</v>
      </c>
      <c r="Z261" t="s">
        <v>12</v>
      </c>
      <c r="AE261" t="s">
        <v>13</v>
      </c>
      <c r="AJ261" t="s">
        <v>14</v>
      </c>
    </row>
    <row r="262" spans="1:40">
      <c r="A262" t="s">
        <v>15</v>
      </c>
      <c r="B262" t="s">
        <v>16</v>
      </c>
      <c r="C262" t="s">
        <v>20</v>
      </c>
      <c r="D262" t="s">
        <v>18</v>
      </c>
      <c r="E262" t="s">
        <v>19</v>
      </c>
      <c r="F262" t="s">
        <v>15</v>
      </c>
      <c r="G262" t="s">
        <v>16</v>
      </c>
      <c r="H262" t="s">
        <v>20</v>
      </c>
      <c r="I262" t="s">
        <v>18</v>
      </c>
      <c r="J262" t="s">
        <v>19</v>
      </c>
      <c r="K262" t="s">
        <v>15</v>
      </c>
      <c r="L262" t="s">
        <v>16</v>
      </c>
      <c r="M262" t="s">
        <v>20</v>
      </c>
      <c r="N262" t="s">
        <v>18</v>
      </c>
      <c r="O262" t="s">
        <v>19</v>
      </c>
      <c r="P262" t="s">
        <v>15</v>
      </c>
      <c r="Q262" t="s">
        <v>16</v>
      </c>
      <c r="R262" t="s">
        <v>20</v>
      </c>
      <c r="S262" t="s">
        <v>18</v>
      </c>
      <c r="T262" t="s">
        <v>19</v>
      </c>
      <c r="U262" t="s">
        <v>15</v>
      </c>
      <c r="V262" t="s">
        <v>16</v>
      </c>
      <c r="W262" t="s">
        <v>20</v>
      </c>
      <c r="X262" t="s">
        <v>18</v>
      </c>
      <c r="Y262" t="s">
        <v>19</v>
      </c>
      <c r="Z262" t="s">
        <v>15</v>
      </c>
      <c r="AA262" t="s">
        <v>16</v>
      </c>
      <c r="AB262" t="s">
        <v>20</v>
      </c>
      <c r="AC262" t="s">
        <v>18</v>
      </c>
      <c r="AD262" t="s">
        <v>19</v>
      </c>
      <c r="AE262" t="s">
        <v>15</v>
      </c>
      <c r="AF262" t="s">
        <v>16</v>
      </c>
      <c r="AG262" t="s">
        <v>20</v>
      </c>
      <c r="AH262" t="s">
        <v>18</v>
      </c>
      <c r="AI262" t="s">
        <v>19</v>
      </c>
      <c r="AJ262" t="s">
        <v>15</v>
      </c>
      <c r="AK262" t="s">
        <v>16</v>
      </c>
      <c r="AL262" t="s">
        <v>20</v>
      </c>
      <c r="AM262" t="s">
        <v>18</v>
      </c>
      <c r="AN262" t="s">
        <v>19</v>
      </c>
    </row>
    <row r="263" spans="1:40">
      <c r="A263">
        <v>2</v>
      </c>
      <c r="B263">
        <f>(Table110378[[#This Row],[time]]-2)*2</f>
        <v>0</v>
      </c>
      <c r="C263">
        <v>91.084699999999998</v>
      </c>
      <c r="D263">
        <v>10.2044</v>
      </c>
      <c r="E263" s="2">
        <f>Table110378[[#This Row],[CFNM]]/Table110378[[#This Row],[CAREA]]</f>
        <v>0.11203198780914907</v>
      </c>
      <c r="F263">
        <v>2</v>
      </c>
      <c r="G263">
        <f>(Table211379[[#This Row],[time]]-2)*2</f>
        <v>0</v>
      </c>
      <c r="H263">
        <v>95.836600000000004</v>
      </c>
      <c r="I263">
        <v>3.5649700000000002</v>
      </c>
      <c r="J263" s="2">
        <f>Table211379[[#This Row],[CFNM]]/Table211379[[#This Row],[CAREA]]</f>
        <v>3.7198418975631441E-2</v>
      </c>
      <c r="K263">
        <v>2</v>
      </c>
      <c r="L263">
        <f>(Table312380[[#This Row],[time]]-2)*2</f>
        <v>0</v>
      </c>
      <c r="M263">
        <v>89.259799999999998</v>
      </c>
      <c r="N263">
        <v>3.64472</v>
      </c>
      <c r="O263">
        <f>Table312380[[#This Row],[CFNM]]/Table312380[[#This Row],[CAREA]]</f>
        <v>4.0832715287284979E-2</v>
      </c>
      <c r="P263">
        <v>2</v>
      </c>
      <c r="Q263">
        <f>(Table413381[[#This Row],[time]]-2)*2</f>
        <v>0</v>
      </c>
      <c r="R263">
        <v>86.405299999999997</v>
      </c>
      <c r="S263">
        <v>6.4305199999999996</v>
      </c>
      <c r="T263">
        <f>Table413381[[#This Row],[CFNM]]/Table413381[[#This Row],[CAREA]]</f>
        <v>7.4422749530410753E-2</v>
      </c>
      <c r="U263">
        <v>2</v>
      </c>
      <c r="V263">
        <f>(Table514382[[#This Row],[time]]-2)*2</f>
        <v>0</v>
      </c>
      <c r="W263">
        <v>82.680099999999996</v>
      </c>
      <c r="X263">
        <v>8.5651600000000006</v>
      </c>
      <c r="Y263">
        <f>Table514382[[#This Row],[CFNM]]/Table514382[[#This Row],[CAREA]]</f>
        <v>0.10359397243109286</v>
      </c>
      <c r="Z263">
        <v>2</v>
      </c>
      <c r="AA263">
        <f>(Table615383[[#This Row],[time]]-2)*2</f>
        <v>0</v>
      </c>
      <c r="AB263">
        <v>88.826700000000002</v>
      </c>
      <c r="AC263">
        <v>15.1248</v>
      </c>
      <c r="AD263">
        <f>Table615383[[#This Row],[CFNM]]/Table615383[[#This Row],[CAREA]]</f>
        <v>0.17027312733671296</v>
      </c>
      <c r="AE263">
        <v>2</v>
      </c>
      <c r="AF263">
        <f>(Table716384[[#This Row],[time]]-2)*2</f>
        <v>0</v>
      </c>
      <c r="AG263">
        <v>78.953400000000002</v>
      </c>
      <c r="AH263">
        <v>19.615500000000001</v>
      </c>
      <c r="AI263">
        <f>Table716384[[#This Row],[CFNM]]/Table716384[[#This Row],[CAREA]]</f>
        <v>0.2484440188769578</v>
      </c>
      <c r="AJ263">
        <v>2</v>
      </c>
      <c r="AK263">
        <f>(Table817385[[#This Row],[time]]-2)*2</f>
        <v>0</v>
      </c>
      <c r="AL263">
        <v>83.136899999999997</v>
      </c>
      <c r="AM263">
        <v>19.233499999999999</v>
      </c>
      <c r="AN263">
        <f>Table817385[[#This Row],[CFNM]]/Table817385[[#This Row],[CAREA]]</f>
        <v>0.23134733193082735</v>
      </c>
    </row>
    <row r="264" spans="1:40">
      <c r="A264">
        <v>2.0512600000000001</v>
      </c>
      <c r="B264">
        <f>(Table110378[[#This Row],[time]]-2)*2</f>
        <v>0.10252000000000017</v>
      </c>
      <c r="C264">
        <v>91.118200000000002</v>
      </c>
      <c r="D264">
        <v>10.1096</v>
      </c>
      <c r="E264">
        <f>Table110378[[#This Row],[CFNM]]/Table110378[[#This Row],[CAREA]]</f>
        <v>0.110950391908532</v>
      </c>
      <c r="F264">
        <v>2.0512600000000001</v>
      </c>
      <c r="G264">
        <f>(Table211379[[#This Row],[time]]-2)*2</f>
        <v>0.10252000000000017</v>
      </c>
      <c r="H264">
        <v>96.085999999999999</v>
      </c>
      <c r="I264">
        <v>3.59402</v>
      </c>
      <c r="J264">
        <f>Table211379[[#This Row],[CFNM]]/Table211379[[#This Row],[CAREA]]</f>
        <v>3.7404200403804926E-2</v>
      </c>
      <c r="K264">
        <v>2.0512600000000001</v>
      </c>
      <c r="L264">
        <f>(Table312380[[#This Row],[time]]-2)*2</f>
        <v>0.10252000000000017</v>
      </c>
      <c r="M264">
        <v>89.314700000000002</v>
      </c>
      <c r="N264">
        <v>3.2634099999999999</v>
      </c>
      <c r="O264">
        <f>Table312380[[#This Row],[CFNM]]/Table312380[[#This Row],[CAREA]]</f>
        <v>3.653833019648501E-2</v>
      </c>
      <c r="P264">
        <v>2.0512600000000001</v>
      </c>
      <c r="Q264">
        <f>(Table413381[[#This Row],[time]]-2)*2</f>
        <v>0.10252000000000017</v>
      </c>
      <c r="R264">
        <v>86.484499999999997</v>
      </c>
      <c r="S264">
        <v>6.1099199999999998</v>
      </c>
      <c r="T264">
        <f>Table413381[[#This Row],[CFNM]]/Table413381[[#This Row],[CAREA]]</f>
        <v>7.0647572686435137E-2</v>
      </c>
      <c r="U264">
        <v>2.0512600000000001</v>
      </c>
      <c r="V264">
        <f>(Table514382[[#This Row],[time]]-2)*2</f>
        <v>0.10252000000000017</v>
      </c>
      <c r="W264">
        <v>82.720200000000006</v>
      </c>
      <c r="X264">
        <v>7.2087599999999998</v>
      </c>
      <c r="Y264">
        <f>Table514382[[#This Row],[CFNM]]/Table514382[[#This Row],[CAREA]]</f>
        <v>8.7146307673337337E-2</v>
      </c>
      <c r="Z264">
        <v>2.0512600000000001</v>
      </c>
      <c r="AA264">
        <f>(Table615383[[#This Row],[time]]-2)*2</f>
        <v>0.10252000000000017</v>
      </c>
      <c r="AB264">
        <v>88.765699999999995</v>
      </c>
      <c r="AC264">
        <v>13.617599999999999</v>
      </c>
      <c r="AD264">
        <f>Table615383[[#This Row],[CFNM]]/Table615383[[#This Row],[CAREA]]</f>
        <v>0.1534106079262598</v>
      </c>
      <c r="AE264">
        <v>2.0512600000000001</v>
      </c>
      <c r="AF264">
        <f>(Table716384[[#This Row],[time]]-2)*2</f>
        <v>0.10252000000000017</v>
      </c>
      <c r="AG264">
        <v>78.820700000000002</v>
      </c>
      <c r="AH264">
        <v>18.519100000000002</v>
      </c>
      <c r="AI264">
        <f>Table716384[[#This Row],[CFNM]]/Table716384[[#This Row],[CAREA]]</f>
        <v>0.23495223970352966</v>
      </c>
      <c r="AJ264">
        <v>2.0512600000000001</v>
      </c>
      <c r="AK264">
        <f>(Table817385[[#This Row],[time]]-2)*2</f>
        <v>0.10252000000000017</v>
      </c>
      <c r="AL264">
        <v>83.218100000000007</v>
      </c>
      <c r="AM264">
        <v>17.904699999999998</v>
      </c>
      <c r="AN264">
        <f>Table817385[[#This Row],[CFNM]]/Table817385[[#This Row],[CAREA]]</f>
        <v>0.21515391483343163</v>
      </c>
    </row>
    <row r="265" spans="1:40">
      <c r="A265">
        <v>2.1153300000000002</v>
      </c>
      <c r="B265">
        <f>(Table110378[[#This Row],[time]]-2)*2</f>
        <v>0.23066000000000031</v>
      </c>
      <c r="C265">
        <v>91.432599999999994</v>
      </c>
      <c r="D265">
        <v>9.5434900000000003</v>
      </c>
      <c r="E265">
        <f>Table110378[[#This Row],[CFNM]]/Table110378[[#This Row],[CAREA]]</f>
        <v>0.10437732274921638</v>
      </c>
      <c r="F265">
        <v>2.1153300000000002</v>
      </c>
      <c r="G265">
        <f>(Table211379[[#This Row],[time]]-2)*2</f>
        <v>0.23066000000000031</v>
      </c>
      <c r="H265">
        <v>96.24</v>
      </c>
      <c r="I265">
        <v>3.5069400000000002</v>
      </c>
      <c r="J265">
        <f>Table211379[[#This Row],[CFNM]]/Table211379[[#This Row],[CAREA]]</f>
        <v>3.6439526184538655E-2</v>
      </c>
      <c r="K265">
        <v>2.1153300000000002</v>
      </c>
      <c r="L265">
        <f>(Table312380[[#This Row],[time]]-2)*2</f>
        <v>0.23066000000000031</v>
      </c>
      <c r="M265">
        <v>89.299499999999995</v>
      </c>
      <c r="N265">
        <v>2.2124899999999998</v>
      </c>
      <c r="O265">
        <f>Table312380[[#This Row],[CFNM]]/Table312380[[#This Row],[CAREA]]</f>
        <v>2.4776062575938274E-2</v>
      </c>
      <c r="P265">
        <v>2.1153300000000002</v>
      </c>
      <c r="Q265">
        <f>(Table413381[[#This Row],[time]]-2)*2</f>
        <v>0.23066000000000031</v>
      </c>
      <c r="R265">
        <v>86.410200000000003</v>
      </c>
      <c r="S265">
        <v>4.9712399999999999</v>
      </c>
      <c r="T265">
        <f>Table413381[[#This Row],[CFNM]]/Table413381[[#This Row],[CAREA]]</f>
        <v>5.7530708180284267E-2</v>
      </c>
      <c r="U265">
        <v>2.1153300000000002</v>
      </c>
      <c r="V265">
        <f>(Table514382[[#This Row],[time]]-2)*2</f>
        <v>0.23066000000000031</v>
      </c>
      <c r="W265">
        <v>82.826800000000006</v>
      </c>
      <c r="X265">
        <v>3.84375</v>
      </c>
      <c r="Y265">
        <f>Table514382[[#This Row],[CFNM]]/Table514382[[#This Row],[CAREA]]</f>
        <v>4.6407080799934317E-2</v>
      </c>
      <c r="Z265">
        <v>2.1153300000000002</v>
      </c>
      <c r="AA265">
        <f>(Table615383[[#This Row],[time]]-2)*2</f>
        <v>0.23066000000000031</v>
      </c>
      <c r="AB265">
        <v>88.551500000000004</v>
      </c>
      <c r="AC265">
        <v>9.5032200000000007</v>
      </c>
      <c r="AD265">
        <f>Table615383[[#This Row],[CFNM]]/Table615383[[#This Row],[CAREA]]</f>
        <v>0.10731856603219596</v>
      </c>
      <c r="AE265">
        <v>2.1153300000000002</v>
      </c>
      <c r="AF265">
        <f>(Table716384[[#This Row],[time]]-2)*2</f>
        <v>0.23066000000000031</v>
      </c>
      <c r="AG265">
        <v>78.584100000000007</v>
      </c>
      <c r="AH265">
        <v>17.3003</v>
      </c>
      <c r="AI265">
        <f>Table716384[[#This Row],[CFNM]]/Table716384[[#This Row],[CAREA]]</f>
        <v>0.22015013215141482</v>
      </c>
      <c r="AJ265">
        <v>2.1153300000000002</v>
      </c>
      <c r="AK265">
        <f>(Table817385[[#This Row],[time]]-2)*2</f>
        <v>0.23066000000000031</v>
      </c>
      <c r="AL265">
        <v>83.393100000000004</v>
      </c>
      <c r="AM265">
        <v>16.393000000000001</v>
      </c>
      <c r="AN265">
        <f>Table817385[[#This Row],[CFNM]]/Table817385[[#This Row],[CAREA]]</f>
        <v>0.19657501639823918</v>
      </c>
    </row>
    <row r="266" spans="1:40">
      <c r="A266">
        <v>2.16533</v>
      </c>
      <c r="B266">
        <f>(Table110378[[#This Row],[time]]-2)*2</f>
        <v>0.33065999999999995</v>
      </c>
      <c r="C266">
        <v>91.850999999999999</v>
      </c>
      <c r="D266">
        <v>9.0261099999999992</v>
      </c>
      <c r="E266">
        <f>Table110378[[#This Row],[CFNM]]/Table110378[[#This Row],[CAREA]]</f>
        <v>9.8269044430653985E-2</v>
      </c>
      <c r="F266">
        <v>2.16533</v>
      </c>
      <c r="G266">
        <f>(Table211379[[#This Row],[time]]-2)*2</f>
        <v>0.33065999999999995</v>
      </c>
      <c r="H266">
        <v>96.231700000000004</v>
      </c>
      <c r="I266">
        <v>3.3958699999999999</v>
      </c>
      <c r="J266">
        <f>Table211379[[#This Row],[CFNM]]/Table211379[[#This Row],[CAREA]]</f>
        <v>3.5288475627054283E-2</v>
      </c>
      <c r="K266">
        <v>2.16533</v>
      </c>
      <c r="L266">
        <f>(Table312380[[#This Row],[time]]-2)*2</f>
        <v>0.33065999999999995</v>
      </c>
      <c r="M266">
        <v>89.23</v>
      </c>
      <c r="N266">
        <v>1.40046</v>
      </c>
      <c r="O266">
        <f>Table312380[[#This Row],[CFNM]]/Table312380[[#This Row],[CAREA]]</f>
        <v>1.5694945646083154E-2</v>
      </c>
      <c r="P266">
        <v>2.16533</v>
      </c>
      <c r="Q266">
        <f>(Table413381[[#This Row],[time]]-2)*2</f>
        <v>0.33065999999999995</v>
      </c>
      <c r="R266">
        <v>86.269599999999997</v>
      </c>
      <c r="S266">
        <v>3.7895799999999999</v>
      </c>
      <c r="T266">
        <f>Table413381[[#This Row],[CFNM]]/Table413381[[#This Row],[CAREA]]</f>
        <v>4.3927177128443858E-2</v>
      </c>
      <c r="U266">
        <v>2.16533</v>
      </c>
      <c r="V266">
        <f>(Table514382[[#This Row],[time]]-2)*2</f>
        <v>0.33065999999999995</v>
      </c>
      <c r="W266">
        <v>82.367199999999997</v>
      </c>
      <c r="X266">
        <v>1.5938300000000001</v>
      </c>
      <c r="Y266">
        <f>Table514382[[#This Row],[CFNM]]/Table514382[[#This Row],[CAREA]]</f>
        <v>1.935029963383483E-2</v>
      </c>
      <c r="Z266">
        <v>2.16533</v>
      </c>
      <c r="AA266">
        <f>(Table615383[[#This Row],[time]]-2)*2</f>
        <v>0.33065999999999995</v>
      </c>
      <c r="AB266">
        <v>88.200599999999994</v>
      </c>
      <c r="AC266">
        <v>5.7684899999999999</v>
      </c>
      <c r="AD266">
        <f>Table615383[[#This Row],[CFNM]]/Table615383[[#This Row],[CAREA]]</f>
        <v>6.5401936041251427E-2</v>
      </c>
      <c r="AE266">
        <v>2.16533</v>
      </c>
      <c r="AF266">
        <f>(Table716384[[#This Row],[time]]-2)*2</f>
        <v>0.33065999999999995</v>
      </c>
      <c r="AG266">
        <v>78.401499999999999</v>
      </c>
      <c r="AH266">
        <v>16.454699999999999</v>
      </c>
      <c r="AI266">
        <f>Table716384[[#This Row],[CFNM]]/Table716384[[#This Row],[CAREA]]</f>
        <v>0.20987736204026708</v>
      </c>
      <c r="AJ266">
        <v>2.16533</v>
      </c>
      <c r="AK266">
        <f>(Table817385[[#This Row],[time]]-2)*2</f>
        <v>0.33065999999999995</v>
      </c>
      <c r="AL266">
        <v>83.530500000000004</v>
      </c>
      <c r="AM266">
        <v>15.2964</v>
      </c>
      <c r="AN266">
        <f>Table817385[[#This Row],[CFNM]]/Table817385[[#This Row],[CAREA]]</f>
        <v>0.18312352972866197</v>
      </c>
    </row>
    <row r="267" spans="1:40">
      <c r="A267">
        <v>2.2246999999999999</v>
      </c>
      <c r="B267">
        <f>(Table110378[[#This Row],[time]]-2)*2</f>
        <v>0.4493999999999998</v>
      </c>
      <c r="C267">
        <v>91.894099999999995</v>
      </c>
      <c r="D267">
        <v>8.1841799999999996</v>
      </c>
      <c r="E267">
        <f>Table110378[[#This Row],[CFNM]]/Table110378[[#This Row],[CAREA]]</f>
        <v>8.9060995210791555E-2</v>
      </c>
      <c r="F267">
        <v>2.2246999999999999</v>
      </c>
      <c r="G267">
        <f>(Table211379[[#This Row],[time]]-2)*2</f>
        <v>0.4493999999999998</v>
      </c>
      <c r="H267">
        <v>96.299800000000005</v>
      </c>
      <c r="I267">
        <v>3.1463700000000001</v>
      </c>
      <c r="J267">
        <f>Table211379[[#This Row],[CFNM]]/Table211379[[#This Row],[CAREA]]</f>
        <v>3.2672653525760174E-2</v>
      </c>
      <c r="K267">
        <v>2.2246999999999999</v>
      </c>
      <c r="L267">
        <f>(Table312380[[#This Row],[time]]-2)*2</f>
        <v>0.4493999999999998</v>
      </c>
      <c r="M267">
        <v>88.848399999999998</v>
      </c>
      <c r="N267">
        <v>0.42796600000000001</v>
      </c>
      <c r="O267">
        <f>Table312380[[#This Row],[CFNM]]/Table312380[[#This Row],[CAREA]]</f>
        <v>4.8168115576645168E-3</v>
      </c>
      <c r="P267">
        <v>2.2246999999999999</v>
      </c>
      <c r="Q267">
        <f>(Table413381[[#This Row],[time]]-2)*2</f>
        <v>0.4493999999999998</v>
      </c>
      <c r="R267">
        <v>85.893699999999995</v>
      </c>
      <c r="S267">
        <v>2.03057</v>
      </c>
      <c r="T267">
        <f>Table413381[[#This Row],[CFNM]]/Table413381[[#This Row],[CAREA]]</f>
        <v>2.3640499827111885E-2</v>
      </c>
      <c r="U267">
        <v>2.2246999999999999</v>
      </c>
      <c r="V267">
        <f>(Table514382[[#This Row],[time]]-2)*2</f>
        <v>0.4493999999999998</v>
      </c>
      <c r="W267">
        <v>80.932299999999998</v>
      </c>
      <c r="X267">
        <v>0.52605500000000005</v>
      </c>
      <c r="Y267">
        <f>Table514382[[#This Row],[CFNM]]/Table514382[[#This Row],[CAREA]]</f>
        <v>6.4999388377693463E-3</v>
      </c>
      <c r="Z267">
        <v>2.2246999999999999</v>
      </c>
      <c r="AA267">
        <f>(Table615383[[#This Row],[time]]-2)*2</f>
        <v>0.4493999999999998</v>
      </c>
      <c r="AB267">
        <v>87.738399999999999</v>
      </c>
      <c r="AC267">
        <v>3.3958599999999999</v>
      </c>
      <c r="AD267">
        <f>Table615383[[#This Row],[CFNM]]/Table615383[[#This Row],[CAREA]]</f>
        <v>3.8704375735139913E-2</v>
      </c>
      <c r="AE267">
        <v>2.2246999999999999</v>
      </c>
      <c r="AF267">
        <f>(Table716384[[#This Row],[time]]-2)*2</f>
        <v>0.4493999999999998</v>
      </c>
      <c r="AG267">
        <v>78.200400000000002</v>
      </c>
      <c r="AH267">
        <v>15.755000000000001</v>
      </c>
      <c r="AI267">
        <f>Table716384[[#This Row],[CFNM]]/Table716384[[#This Row],[CAREA]]</f>
        <v>0.20146955770047212</v>
      </c>
      <c r="AJ267">
        <v>2.2246999999999999</v>
      </c>
      <c r="AK267">
        <f>(Table817385[[#This Row],[time]]-2)*2</f>
        <v>0.4493999999999998</v>
      </c>
      <c r="AL267">
        <v>83.673100000000005</v>
      </c>
      <c r="AM267">
        <v>14.3476</v>
      </c>
      <c r="AN267">
        <f>Table817385[[#This Row],[CFNM]]/Table817385[[#This Row],[CAREA]]</f>
        <v>0.17147207405964401</v>
      </c>
    </row>
    <row r="268" spans="1:40">
      <c r="A268">
        <v>2.2668900000000001</v>
      </c>
      <c r="B268">
        <f>(Table110378[[#This Row],[time]]-2)*2</f>
        <v>0.53378000000000014</v>
      </c>
      <c r="C268">
        <v>92.293899999999994</v>
      </c>
      <c r="D268">
        <v>7.3873199999999999</v>
      </c>
      <c r="E268">
        <f>Table110378[[#This Row],[CFNM]]/Table110378[[#This Row],[CAREA]]</f>
        <v>8.0041259498190021E-2</v>
      </c>
      <c r="F268">
        <v>2.2668900000000001</v>
      </c>
      <c r="G268">
        <f>(Table211379[[#This Row],[time]]-2)*2</f>
        <v>0.53378000000000014</v>
      </c>
      <c r="H268">
        <v>96.260900000000007</v>
      </c>
      <c r="I268">
        <v>2.7837399999999999</v>
      </c>
      <c r="J268">
        <f>Table211379[[#This Row],[CFNM]]/Table211379[[#This Row],[CAREA]]</f>
        <v>2.8918699077195409E-2</v>
      </c>
      <c r="K268">
        <v>2.2668900000000001</v>
      </c>
      <c r="L268">
        <f>(Table312380[[#This Row],[time]]-2)*2</f>
        <v>0.53378000000000014</v>
      </c>
      <c r="M268">
        <v>88.221199999999996</v>
      </c>
      <c r="N268">
        <v>4.6756699999999998E-3</v>
      </c>
      <c r="O268">
        <f>Table312380[[#This Row],[CFNM]]/Table312380[[#This Row],[CAREA]]</f>
        <v>5.2999392436285154E-5</v>
      </c>
      <c r="P268">
        <v>2.2668900000000001</v>
      </c>
      <c r="Q268">
        <f>(Table413381[[#This Row],[time]]-2)*2</f>
        <v>0.53378000000000014</v>
      </c>
      <c r="R268">
        <v>85.224900000000005</v>
      </c>
      <c r="S268">
        <v>0.720387</v>
      </c>
      <c r="T268">
        <f>Table413381[[#This Row],[CFNM]]/Table413381[[#This Row],[CAREA]]</f>
        <v>8.4527761252873278E-3</v>
      </c>
      <c r="U268">
        <v>2.2668900000000001</v>
      </c>
      <c r="V268">
        <f>(Table514382[[#This Row],[time]]-2)*2</f>
        <v>0.53378000000000014</v>
      </c>
      <c r="W268">
        <v>80.838899999999995</v>
      </c>
      <c r="X268">
        <v>0.30284699999999998</v>
      </c>
      <c r="Y268">
        <f>Table514382[[#This Row],[CFNM]]/Table514382[[#This Row],[CAREA]]</f>
        <v>3.7463028319286878E-3</v>
      </c>
      <c r="Z268">
        <v>2.2668900000000001</v>
      </c>
      <c r="AA268">
        <f>(Table615383[[#This Row],[time]]-2)*2</f>
        <v>0.53378000000000014</v>
      </c>
      <c r="AB268">
        <v>87.261600000000001</v>
      </c>
      <c r="AC268">
        <v>2.4386100000000002</v>
      </c>
      <c r="AD268">
        <f>Table615383[[#This Row],[CFNM]]/Table615383[[#This Row],[CAREA]]</f>
        <v>2.7945969361093542E-2</v>
      </c>
      <c r="AE268">
        <v>2.2668900000000001</v>
      </c>
      <c r="AF268">
        <f>(Table716384[[#This Row],[time]]-2)*2</f>
        <v>0.53378000000000014</v>
      </c>
      <c r="AG268">
        <v>78.038700000000006</v>
      </c>
      <c r="AH268">
        <v>15.2576</v>
      </c>
      <c r="AI268">
        <f>Table716384[[#This Row],[CFNM]]/Table716384[[#This Row],[CAREA]]</f>
        <v>0.19551325175842241</v>
      </c>
      <c r="AJ268">
        <v>2.2668900000000001</v>
      </c>
      <c r="AK268">
        <f>(Table817385[[#This Row],[time]]-2)*2</f>
        <v>0.53378000000000014</v>
      </c>
      <c r="AL268">
        <v>83.960300000000004</v>
      </c>
      <c r="AM268">
        <v>13.6028</v>
      </c>
      <c r="AN268">
        <f>Table817385[[#This Row],[CFNM]]/Table817385[[#This Row],[CAREA]]</f>
        <v>0.16201466645545573</v>
      </c>
    </row>
    <row r="269" spans="1:40">
      <c r="A269">
        <v>2.3262700000000001</v>
      </c>
      <c r="B269">
        <f>(Table110378[[#This Row],[time]]-2)*2</f>
        <v>0.65254000000000012</v>
      </c>
      <c r="C269">
        <v>92.336200000000005</v>
      </c>
      <c r="D269">
        <v>5.8350499999999998</v>
      </c>
      <c r="E269">
        <f>Table110378[[#This Row],[CFNM]]/Table110378[[#This Row],[CAREA]]</f>
        <v>6.3193525399572431E-2</v>
      </c>
      <c r="F269">
        <v>2.3262700000000001</v>
      </c>
      <c r="G269">
        <f>(Table211379[[#This Row],[time]]-2)*2</f>
        <v>0.65254000000000012</v>
      </c>
      <c r="H269">
        <v>96.479500000000002</v>
      </c>
      <c r="I269">
        <v>1.8818299999999999</v>
      </c>
      <c r="J269">
        <f>Table211379[[#This Row],[CFNM]]/Table211379[[#This Row],[CAREA]]</f>
        <v>1.9504972558937388E-2</v>
      </c>
      <c r="K269">
        <v>2.3262700000000001</v>
      </c>
      <c r="L269">
        <f>(Table312380[[#This Row],[time]]-2)*2</f>
        <v>0.65254000000000012</v>
      </c>
      <c r="M269">
        <v>86.829099999999997</v>
      </c>
      <c r="N269">
        <v>3.8228200000000002E-3</v>
      </c>
      <c r="O269">
        <f>Table312380[[#This Row],[CFNM]]/Table312380[[#This Row],[CAREA]]</f>
        <v>4.4026944883685314E-5</v>
      </c>
      <c r="P269">
        <v>2.3262700000000001</v>
      </c>
      <c r="Q269">
        <f>(Table413381[[#This Row],[time]]-2)*2</f>
        <v>0.65254000000000012</v>
      </c>
      <c r="R269">
        <v>83.444999999999993</v>
      </c>
      <c r="S269">
        <v>5.2077900000000003E-3</v>
      </c>
      <c r="T269">
        <f>Table413381[[#This Row],[CFNM]]/Table413381[[#This Row],[CAREA]]</f>
        <v>6.24098507999281E-5</v>
      </c>
      <c r="U269">
        <v>2.3262700000000001</v>
      </c>
      <c r="V269">
        <f>(Table514382[[#This Row],[time]]-2)*2</f>
        <v>0.65254000000000012</v>
      </c>
      <c r="W269">
        <v>80.314400000000006</v>
      </c>
      <c r="X269">
        <v>5.8615500000000001E-2</v>
      </c>
      <c r="Y269">
        <f>Table514382[[#This Row],[CFNM]]/Table514382[[#This Row],[CAREA]]</f>
        <v>7.2982553564491539E-4</v>
      </c>
      <c r="Z269">
        <v>2.3262700000000001</v>
      </c>
      <c r="AA269">
        <f>(Table615383[[#This Row],[time]]-2)*2</f>
        <v>0.65254000000000012</v>
      </c>
      <c r="AB269">
        <v>84.664900000000003</v>
      </c>
      <c r="AC269">
        <v>1.4664999999999999</v>
      </c>
      <c r="AD269">
        <f>Table615383[[#This Row],[CFNM]]/Table615383[[#This Row],[CAREA]]</f>
        <v>1.7321227568921713E-2</v>
      </c>
      <c r="AE269">
        <v>2.3262700000000001</v>
      </c>
      <c r="AF269">
        <f>(Table716384[[#This Row],[time]]-2)*2</f>
        <v>0.65254000000000012</v>
      </c>
      <c r="AG269">
        <v>77.818700000000007</v>
      </c>
      <c r="AH269">
        <v>14.4224</v>
      </c>
      <c r="AI269">
        <f>Table716384[[#This Row],[CFNM]]/Table716384[[#This Row],[CAREA]]</f>
        <v>0.18533334532702292</v>
      </c>
      <c r="AJ269">
        <v>2.3262700000000001</v>
      </c>
      <c r="AK269">
        <f>(Table817385[[#This Row],[time]]-2)*2</f>
        <v>0.65254000000000012</v>
      </c>
      <c r="AL269">
        <v>84.171700000000001</v>
      </c>
      <c r="AM269">
        <v>12.5146</v>
      </c>
      <c r="AN269">
        <f>Table817385[[#This Row],[CFNM]]/Table817385[[#This Row],[CAREA]]</f>
        <v>0.14867942550762311</v>
      </c>
    </row>
    <row r="270" spans="1:40">
      <c r="A270">
        <v>2.3684599999999998</v>
      </c>
      <c r="B270">
        <f>(Table110378[[#This Row],[time]]-2)*2</f>
        <v>0.73691999999999958</v>
      </c>
      <c r="C270">
        <v>91.867599999999996</v>
      </c>
      <c r="D270">
        <v>4.3069300000000004</v>
      </c>
      <c r="E270">
        <f>Table110378[[#This Row],[CFNM]]/Table110378[[#This Row],[CAREA]]</f>
        <v>4.6881925727895367E-2</v>
      </c>
      <c r="F270">
        <v>2.3684599999999998</v>
      </c>
      <c r="G270">
        <f>(Table211379[[#This Row],[time]]-2)*2</f>
        <v>0.73691999999999958</v>
      </c>
      <c r="H270">
        <v>96.29</v>
      </c>
      <c r="I270">
        <v>0.86113200000000001</v>
      </c>
      <c r="J270">
        <f>Table211379[[#This Row],[CFNM]]/Table211379[[#This Row],[CAREA]]</f>
        <v>8.9431093571502741E-3</v>
      </c>
      <c r="K270">
        <v>2.3684599999999998</v>
      </c>
      <c r="L270">
        <f>(Table312380[[#This Row],[time]]-2)*2</f>
        <v>0.73691999999999958</v>
      </c>
      <c r="M270">
        <v>86.625600000000006</v>
      </c>
      <c r="N270">
        <v>3.58852E-3</v>
      </c>
      <c r="O270">
        <f>Table312380[[#This Row],[CFNM]]/Table312380[[#This Row],[CAREA]]</f>
        <v>4.142562937515007E-5</v>
      </c>
      <c r="P270">
        <v>2.3684599999999998</v>
      </c>
      <c r="Q270">
        <f>(Table413381[[#This Row],[time]]-2)*2</f>
        <v>0.73691999999999958</v>
      </c>
      <c r="R270">
        <v>83.140699999999995</v>
      </c>
      <c r="S270">
        <v>4.8388900000000002E-3</v>
      </c>
      <c r="T270">
        <f>Table413381[[#This Row],[CFNM]]/Table413381[[#This Row],[CAREA]]</f>
        <v>5.8201217935379426E-5</v>
      </c>
      <c r="U270">
        <v>2.3684599999999998</v>
      </c>
      <c r="V270">
        <f>(Table514382[[#This Row],[time]]-2)*2</f>
        <v>0.73691999999999958</v>
      </c>
      <c r="W270">
        <v>79.855000000000004</v>
      </c>
      <c r="X270">
        <v>5.3451799999999997E-3</v>
      </c>
      <c r="Y270">
        <f>Table514382[[#This Row],[CFNM]]/Table514382[[#This Row],[CAREA]]</f>
        <v>6.6936071629829059E-5</v>
      </c>
      <c r="Z270">
        <v>2.3684599999999998</v>
      </c>
      <c r="AA270">
        <f>(Table615383[[#This Row],[time]]-2)*2</f>
        <v>0.73691999999999958</v>
      </c>
      <c r="AB270">
        <v>84.1952</v>
      </c>
      <c r="AC270">
        <v>0.96213400000000004</v>
      </c>
      <c r="AD270">
        <f>Table615383[[#This Row],[CFNM]]/Table615383[[#This Row],[CAREA]]</f>
        <v>1.1427421040629396E-2</v>
      </c>
      <c r="AE270">
        <v>2.3684599999999998</v>
      </c>
      <c r="AF270">
        <f>(Table716384[[#This Row],[time]]-2)*2</f>
        <v>0.73691999999999958</v>
      </c>
      <c r="AG270">
        <v>77.570499999999996</v>
      </c>
      <c r="AH270">
        <v>13.916600000000001</v>
      </c>
      <c r="AI270">
        <f>Table716384[[#This Row],[CFNM]]/Table716384[[#This Row],[CAREA]]</f>
        <v>0.17940583082486256</v>
      </c>
      <c r="AJ270">
        <v>2.3684599999999998</v>
      </c>
      <c r="AK270">
        <f>(Table817385[[#This Row],[time]]-2)*2</f>
        <v>0.73691999999999958</v>
      </c>
      <c r="AL270">
        <v>84.062399999999997</v>
      </c>
      <c r="AM270">
        <v>11.8393</v>
      </c>
      <c r="AN270">
        <f>Table817385[[#This Row],[CFNM]]/Table817385[[#This Row],[CAREA]]</f>
        <v>0.1408394240468985</v>
      </c>
    </row>
    <row r="271" spans="1:40">
      <c r="A271">
        <v>2.4278300000000002</v>
      </c>
      <c r="B271">
        <f>(Table110378[[#This Row],[time]]-2)*2</f>
        <v>0.85566000000000031</v>
      </c>
      <c r="C271">
        <v>91.794499999999999</v>
      </c>
      <c r="D271">
        <v>3.4658799999999998</v>
      </c>
      <c r="E271">
        <f>Table110378[[#This Row],[CFNM]]/Table110378[[#This Row],[CAREA]]</f>
        <v>3.7756946222268217E-2</v>
      </c>
      <c r="F271">
        <v>2.4278300000000002</v>
      </c>
      <c r="G271">
        <f>(Table211379[[#This Row],[time]]-2)*2</f>
        <v>0.85566000000000031</v>
      </c>
      <c r="H271">
        <v>96.102500000000006</v>
      </c>
      <c r="I271">
        <v>0.39710000000000001</v>
      </c>
      <c r="J271">
        <f>Table211379[[#This Row],[CFNM]]/Table211379[[#This Row],[CAREA]]</f>
        <v>4.132046512837855E-3</v>
      </c>
      <c r="K271">
        <v>2.4278300000000002</v>
      </c>
      <c r="L271">
        <f>(Table312380[[#This Row],[time]]-2)*2</f>
        <v>0.85566000000000031</v>
      </c>
      <c r="M271">
        <v>86.545400000000001</v>
      </c>
      <c r="N271">
        <v>3.4582599999999999E-3</v>
      </c>
      <c r="O271">
        <f>Table312380[[#This Row],[CFNM]]/Table312380[[#This Row],[CAREA]]</f>
        <v>3.9958911738809917E-5</v>
      </c>
      <c r="P271">
        <v>2.4278300000000002</v>
      </c>
      <c r="Q271">
        <f>(Table413381[[#This Row],[time]]-2)*2</f>
        <v>0.85566000000000031</v>
      </c>
      <c r="R271">
        <v>82.623599999999996</v>
      </c>
      <c r="S271">
        <v>4.6420200000000002E-3</v>
      </c>
      <c r="T271">
        <f>Table413381[[#This Row],[CFNM]]/Table413381[[#This Row],[CAREA]]</f>
        <v>5.6182737135636797E-5</v>
      </c>
      <c r="U271">
        <v>2.4278300000000002</v>
      </c>
      <c r="V271">
        <f>(Table514382[[#This Row],[time]]-2)*2</f>
        <v>0.85566000000000031</v>
      </c>
      <c r="W271">
        <v>79.618899999999996</v>
      </c>
      <c r="X271">
        <v>4.9091400000000002E-3</v>
      </c>
      <c r="Y271">
        <f>Table514382[[#This Row],[CFNM]]/Table514382[[#This Row],[CAREA]]</f>
        <v>6.1657973169687097E-5</v>
      </c>
      <c r="Z271">
        <v>2.4278300000000002</v>
      </c>
      <c r="AA271">
        <f>(Table615383[[#This Row],[time]]-2)*2</f>
        <v>0.85566000000000031</v>
      </c>
      <c r="AB271">
        <v>82.662700000000001</v>
      </c>
      <c r="AC271">
        <v>0.68588800000000005</v>
      </c>
      <c r="AD271">
        <f>Table615383[[#This Row],[CFNM]]/Table615383[[#This Row],[CAREA]]</f>
        <v>8.2974304008942377E-3</v>
      </c>
      <c r="AE271">
        <v>2.4278300000000002</v>
      </c>
      <c r="AF271">
        <f>(Table716384[[#This Row],[time]]-2)*2</f>
        <v>0.85566000000000031</v>
      </c>
      <c r="AG271">
        <v>77.489900000000006</v>
      </c>
      <c r="AH271">
        <v>13.577199999999999</v>
      </c>
      <c r="AI271">
        <f>Table716384[[#This Row],[CFNM]]/Table716384[[#This Row],[CAREA]]</f>
        <v>0.17521251156602341</v>
      </c>
      <c r="AJ271">
        <v>2.4278300000000002</v>
      </c>
      <c r="AK271">
        <f>(Table817385[[#This Row],[time]]-2)*2</f>
        <v>0.85566000000000031</v>
      </c>
      <c r="AL271">
        <v>84.039100000000005</v>
      </c>
      <c r="AM271">
        <v>11.4391</v>
      </c>
      <c r="AN271">
        <f>Table817385[[#This Row],[CFNM]]/Table817385[[#This Row],[CAREA]]</f>
        <v>0.13611640296005073</v>
      </c>
    </row>
    <row r="272" spans="1:40">
      <c r="A272">
        <v>2.4542000000000002</v>
      </c>
      <c r="B272">
        <f>(Table110378[[#This Row],[time]]-2)*2</f>
        <v>0.90840000000000032</v>
      </c>
      <c r="C272">
        <v>91.359499999999997</v>
      </c>
      <c r="D272">
        <v>1.82822</v>
      </c>
      <c r="E272">
        <f>Table110378[[#This Row],[CFNM]]/Table110378[[#This Row],[CAREA]]</f>
        <v>2.0011274142262163E-2</v>
      </c>
      <c r="F272">
        <v>2.4542000000000002</v>
      </c>
      <c r="G272">
        <f>(Table211379[[#This Row],[time]]-2)*2</f>
        <v>0.90840000000000032</v>
      </c>
      <c r="H272">
        <v>95.655799999999999</v>
      </c>
      <c r="I272">
        <v>5.1234699999999998E-3</v>
      </c>
      <c r="J272">
        <f>Table211379[[#This Row],[CFNM]]/Table211379[[#This Row],[CAREA]]</f>
        <v>5.3561519531486853E-5</v>
      </c>
      <c r="K272">
        <v>2.4542000000000002</v>
      </c>
      <c r="L272">
        <f>(Table312380[[#This Row],[time]]-2)*2</f>
        <v>0.90840000000000032</v>
      </c>
      <c r="M272">
        <v>84.601200000000006</v>
      </c>
      <c r="N272">
        <v>3.2011499999999998E-3</v>
      </c>
      <c r="O272">
        <f>Table312380[[#This Row],[CFNM]]/Table312380[[#This Row],[CAREA]]</f>
        <v>3.7838115771407495E-5</v>
      </c>
      <c r="P272">
        <v>2.4542000000000002</v>
      </c>
      <c r="Q272">
        <f>(Table413381[[#This Row],[time]]-2)*2</f>
        <v>0.90840000000000032</v>
      </c>
      <c r="R272">
        <v>82.457899999999995</v>
      </c>
      <c r="S272">
        <v>4.3452600000000001E-3</v>
      </c>
      <c r="T272">
        <f>Table413381[[#This Row],[CFNM]]/Table413381[[#This Row],[CAREA]]</f>
        <v>5.2696709472348924E-5</v>
      </c>
      <c r="U272">
        <v>2.4542000000000002</v>
      </c>
      <c r="V272">
        <f>(Table514382[[#This Row],[time]]-2)*2</f>
        <v>0.90840000000000032</v>
      </c>
      <c r="W272">
        <v>79.188699999999997</v>
      </c>
      <c r="X272">
        <v>4.4938199999999999E-3</v>
      </c>
      <c r="Y272">
        <f>Table514382[[#This Row],[CFNM]]/Table514382[[#This Row],[CAREA]]</f>
        <v>5.6748248171771984E-5</v>
      </c>
      <c r="Z272">
        <v>2.4542000000000002</v>
      </c>
      <c r="AA272">
        <f>(Table615383[[#This Row],[time]]-2)*2</f>
        <v>0.90840000000000032</v>
      </c>
      <c r="AB272">
        <v>82.137200000000007</v>
      </c>
      <c r="AC272">
        <v>0.32094299999999998</v>
      </c>
      <c r="AD272">
        <f>Table615383[[#This Row],[CFNM]]/Table615383[[#This Row],[CAREA]]</f>
        <v>3.9074012749399775E-3</v>
      </c>
      <c r="AE272">
        <v>2.4542000000000002</v>
      </c>
      <c r="AF272">
        <f>(Table716384[[#This Row],[time]]-2)*2</f>
        <v>0.90840000000000032</v>
      </c>
      <c r="AG272">
        <v>77.540999999999997</v>
      </c>
      <c r="AH272">
        <v>12.7774</v>
      </c>
      <c r="AI272">
        <f>Table716384[[#This Row],[CFNM]]/Table716384[[#This Row],[CAREA]]</f>
        <v>0.16478250216014753</v>
      </c>
      <c r="AJ272">
        <v>2.4542000000000002</v>
      </c>
      <c r="AK272">
        <f>(Table817385[[#This Row],[time]]-2)*2</f>
        <v>0.90840000000000032</v>
      </c>
      <c r="AL272">
        <v>83.958699999999993</v>
      </c>
      <c r="AM272">
        <v>10.4994</v>
      </c>
      <c r="AN272">
        <f>Table817385[[#This Row],[CFNM]]/Table817385[[#This Row],[CAREA]]</f>
        <v>0.12505434219443609</v>
      </c>
    </row>
    <row r="273" spans="1:40">
      <c r="A273">
        <v>2.5061499999999999</v>
      </c>
      <c r="B273">
        <f>(Table110378[[#This Row],[time]]-2)*2</f>
        <v>1.0122999999999998</v>
      </c>
      <c r="C273">
        <v>90.856899999999996</v>
      </c>
      <c r="D273">
        <v>1.32135</v>
      </c>
      <c r="E273">
        <f>Table110378[[#This Row],[CFNM]]/Table110378[[#This Row],[CAREA]]</f>
        <v>1.4543199250689823E-2</v>
      </c>
      <c r="F273">
        <v>2.5061499999999999</v>
      </c>
      <c r="G273">
        <f>(Table211379[[#This Row],[time]]-2)*2</f>
        <v>1.0122999999999998</v>
      </c>
      <c r="H273">
        <v>95.095399999999998</v>
      </c>
      <c r="I273">
        <v>4.8667600000000004E-3</v>
      </c>
      <c r="J273">
        <f>Table211379[[#This Row],[CFNM]]/Table211379[[#This Row],[CAREA]]</f>
        <v>5.1177659487209689E-5</v>
      </c>
      <c r="K273">
        <v>2.5061499999999999</v>
      </c>
      <c r="L273">
        <f>(Table312380[[#This Row],[time]]-2)*2</f>
        <v>1.0122999999999998</v>
      </c>
      <c r="M273">
        <v>83.748599999999996</v>
      </c>
      <c r="N273">
        <v>3.0859500000000001E-3</v>
      </c>
      <c r="O273">
        <f>Table312380[[#This Row],[CFNM]]/Table312380[[#This Row],[CAREA]]</f>
        <v>3.6847780141996409E-5</v>
      </c>
      <c r="P273">
        <v>2.5061499999999999</v>
      </c>
      <c r="Q273">
        <f>(Table413381[[#This Row],[time]]-2)*2</f>
        <v>1.0122999999999998</v>
      </c>
      <c r="R273">
        <v>82.400099999999995</v>
      </c>
      <c r="S273">
        <v>4.2457399999999996E-3</v>
      </c>
      <c r="T273">
        <f>Table413381[[#This Row],[CFNM]]/Table413381[[#This Row],[CAREA]]</f>
        <v>5.1525908342344245E-5</v>
      </c>
      <c r="U273">
        <v>2.5061499999999999</v>
      </c>
      <c r="V273">
        <f>(Table514382[[#This Row],[time]]-2)*2</f>
        <v>1.0122999999999998</v>
      </c>
      <c r="W273">
        <v>79.013099999999994</v>
      </c>
      <c r="X273">
        <v>4.4327000000000004E-3</v>
      </c>
      <c r="Y273">
        <f>Table514382[[#This Row],[CFNM]]/Table514382[[#This Row],[CAREA]]</f>
        <v>5.6100823787447913E-5</v>
      </c>
      <c r="Z273">
        <v>2.5061499999999999</v>
      </c>
      <c r="AA273">
        <f>(Table615383[[#This Row],[time]]-2)*2</f>
        <v>1.0122999999999998</v>
      </c>
      <c r="AB273">
        <v>81.321700000000007</v>
      </c>
      <c r="AC273">
        <v>0.213753</v>
      </c>
      <c r="AD273">
        <f>Table615383[[#This Row],[CFNM]]/Table615383[[#This Row],[CAREA]]</f>
        <v>2.6284866155036105E-3</v>
      </c>
      <c r="AE273">
        <v>2.5061499999999999</v>
      </c>
      <c r="AF273">
        <f>(Table716384[[#This Row],[time]]-2)*2</f>
        <v>1.0122999999999998</v>
      </c>
      <c r="AG273">
        <v>77.548299999999998</v>
      </c>
      <c r="AH273">
        <v>12.417999999999999</v>
      </c>
      <c r="AI273">
        <f>Table716384[[#This Row],[CFNM]]/Table716384[[#This Row],[CAREA]]</f>
        <v>0.16013245938337783</v>
      </c>
      <c r="AJ273">
        <v>2.5061499999999999</v>
      </c>
      <c r="AK273">
        <f>(Table817385[[#This Row],[time]]-2)*2</f>
        <v>1.0122999999999998</v>
      </c>
      <c r="AL273">
        <v>83.957800000000006</v>
      </c>
      <c r="AM273">
        <v>10.0703</v>
      </c>
      <c r="AN273">
        <f>Table817385[[#This Row],[CFNM]]/Table817385[[#This Row],[CAREA]]</f>
        <v>0.11994478178322918</v>
      </c>
    </row>
    <row r="274" spans="1:40">
      <c r="A274">
        <v>2.5507599999999999</v>
      </c>
      <c r="B274">
        <f>(Table110378[[#This Row],[time]]-2)*2</f>
        <v>1.1015199999999998</v>
      </c>
      <c r="C274">
        <v>90.094099999999997</v>
      </c>
      <c r="D274">
        <v>0.404723</v>
      </c>
      <c r="E274">
        <f>Table110378[[#This Row],[CFNM]]/Table110378[[#This Row],[CAREA]]</f>
        <v>4.492225351049625E-3</v>
      </c>
      <c r="F274">
        <v>2.5507599999999999</v>
      </c>
      <c r="G274">
        <f>(Table211379[[#This Row],[time]]-2)*2</f>
        <v>1.1015199999999998</v>
      </c>
      <c r="H274">
        <v>93.633099999999999</v>
      </c>
      <c r="I274">
        <v>4.2221799999999999E-3</v>
      </c>
      <c r="J274">
        <f>Table211379[[#This Row],[CFNM]]/Table211379[[#This Row],[CAREA]]</f>
        <v>4.5092814400035881E-5</v>
      </c>
      <c r="K274">
        <v>2.5507599999999999</v>
      </c>
      <c r="L274">
        <f>(Table312380[[#This Row],[time]]-2)*2</f>
        <v>1.1015199999999998</v>
      </c>
      <c r="M274">
        <v>82.283500000000004</v>
      </c>
      <c r="N274">
        <v>2.8274099999999998E-3</v>
      </c>
      <c r="O274">
        <f>Table312380[[#This Row],[CFNM]]/Table312380[[#This Row],[CAREA]]</f>
        <v>3.4361810083431059E-5</v>
      </c>
      <c r="P274">
        <v>2.5507599999999999</v>
      </c>
      <c r="Q274">
        <f>(Table413381[[#This Row],[time]]-2)*2</f>
        <v>1.1015199999999998</v>
      </c>
      <c r="R274">
        <v>82.270300000000006</v>
      </c>
      <c r="S274">
        <v>4.0457399999999999E-3</v>
      </c>
      <c r="T274">
        <f>Table413381[[#This Row],[CFNM]]/Table413381[[#This Row],[CAREA]]</f>
        <v>4.9176191164976906E-5</v>
      </c>
      <c r="U274">
        <v>2.5507599999999999</v>
      </c>
      <c r="V274">
        <f>(Table514382[[#This Row],[time]]-2)*2</f>
        <v>1.1015199999999998</v>
      </c>
      <c r="W274">
        <v>78.198099999999997</v>
      </c>
      <c r="X274">
        <v>4.28292E-3</v>
      </c>
      <c r="Y274">
        <f>Table514382[[#This Row],[CFNM]]/Table514382[[#This Row],[CAREA]]</f>
        <v>5.4770128685991095E-5</v>
      </c>
      <c r="Z274">
        <v>2.5507599999999999</v>
      </c>
      <c r="AA274">
        <f>(Table615383[[#This Row],[time]]-2)*2</f>
        <v>1.1015199999999998</v>
      </c>
      <c r="AB274">
        <v>80.429199999999994</v>
      </c>
      <c r="AC274">
        <v>6.1250899999999997E-3</v>
      </c>
      <c r="AD274">
        <f>Table615383[[#This Row],[CFNM]]/Table615383[[#This Row],[CAREA]]</f>
        <v>7.6155053139904415E-5</v>
      </c>
      <c r="AE274">
        <v>2.5507599999999999</v>
      </c>
      <c r="AF274">
        <f>(Table716384[[#This Row],[time]]-2)*2</f>
        <v>1.1015199999999998</v>
      </c>
      <c r="AG274">
        <v>77.622799999999998</v>
      </c>
      <c r="AH274">
        <v>11.583500000000001</v>
      </c>
      <c r="AI274">
        <f>Table716384[[#This Row],[CFNM]]/Table716384[[#This Row],[CAREA]]</f>
        <v>0.14922806185811388</v>
      </c>
      <c r="AJ274">
        <v>2.5507599999999999</v>
      </c>
      <c r="AK274">
        <f>(Table817385[[#This Row],[time]]-2)*2</f>
        <v>1.1015199999999998</v>
      </c>
      <c r="AL274">
        <v>83.908500000000004</v>
      </c>
      <c r="AM274">
        <v>9.1124399999999994</v>
      </c>
      <c r="AN274">
        <f>Table817385[[#This Row],[CFNM]]/Table817385[[#This Row],[CAREA]]</f>
        <v>0.10859972470011976</v>
      </c>
    </row>
    <row r="275" spans="1:40">
      <c r="A275">
        <v>2.60453</v>
      </c>
      <c r="B275">
        <f>(Table110378[[#This Row],[time]]-2)*2</f>
        <v>1.20906</v>
      </c>
      <c r="C275">
        <v>89.550600000000003</v>
      </c>
      <c r="D275">
        <v>4.0196200000000001E-2</v>
      </c>
      <c r="E275">
        <f>Table110378[[#This Row],[CFNM]]/Table110378[[#This Row],[CAREA]]</f>
        <v>4.4886578091045734E-4</v>
      </c>
      <c r="F275">
        <v>2.60453</v>
      </c>
      <c r="G275">
        <f>(Table211379[[#This Row],[time]]-2)*2</f>
        <v>1.20906</v>
      </c>
      <c r="H275">
        <v>92.715199999999996</v>
      </c>
      <c r="I275">
        <v>3.9239799999999997E-3</v>
      </c>
      <c r="J275">
        <f>Table211379[[#This Row],[CFNM]]/Table211379[[#This Row],[CAREA]]</f>
        <v>4.2322941653579993E-5</v>
      </c>
      <c r="K275">
        <v>2.60453</v>
      </c>
      <c r="L275">
        <f>(Table312380[[#This Row],[time]]-2)*2</f>
        <v>1.20906</v>
      </c>
      <c r="M275">
        <v>82.205500000000001</v>
      </c>
      <c r="N275">
        <v>2.7130700000000002E-3</v>
      </c>
      <c r="O275">
        <f>Table312380[[#This Row],[CFNM]]/Table312380[[#This Row],[CAREA]]</f>
        <v>3.3003509497539701E-5</v>
      </c>
      <c r="P275">
        <v>2.60453</v>
      </c>
      <c r="Q275">
        <f>(Table413381[[#This Row],[time]]-2)*2</f>
        <v>1.20906</v>
      </c>
      <c r="R275">
        <v>82.214100000000002</v>
      </c>
      <c r="S275">
        <v>3.9592100000000003E-3</v>
      </c>
      <c r="T275">
        <f>Table413381[[#This Row],[CFNM]]/Table413381[[#This Row],[CAREA]]</f>
        <v>4.8157311215472772E-5</v>
      </c>
      <c r="U275">
        <v>2.60453</v>
      </c>
      <c r="V275">
        <f>(Table514382[[#This Row],[time]]-2)*2</f>
        <v>1.20906</v>
      </c>
      <c r="W275">
        <v>78.013800000000003</v>
      </c>
      <c r="X275">
        <v>4.2196999999999998E-3</v>
      </c>
      <c r="Y275">
        <f>Table514382[[#This Row],[CFNM]]/Table514382[[#This Row],[CAREA]]</f>
        <v>5.4089148330167224E-5</v>
      </c>
      <c r="Z275">
        <v>2.60453</v>
      </c>
      <c r="AA275">
        <f>(Table615383[[#This Row],[time]]-2)*2</f>
        <v>1.20906</v>
      </c>
      <c r="AB275">
        <v>78.638900000000007</v>
      </c>
      <c r="AC275">
        <v>4.0079099999999999E-3</v>
      </c>
      <c r="AD275">
        <f>Table615383[[#This Row],[CFNM]]/Table615383[[#This Row],[CAREA]]</f>
        <v>5.0965997744118998E-5</v>
      </c>
      <c r="AE275">
        <v>2.60453</v>
      </c>
      <c r="AF275">
        <f>(Table716384[[#This Row],[time]]-2)*2</f>
        <v>1.20906</v>
      </c>
      <c r="AG275">
        <v>77.704700000000003</v>
      </c>
      <c r="AH275">
        <v>11.192500000000001</v>
      </c>
      <c r="AI275">
        <f>Table716384[[#This Row],[CFNM]]/Table716384[[#This Row],[CAREA]]</f>
        <v>0.14403890626950494</v>
      </c>
      <c r="AJ275">
        <v>2.60453</v>
      </c>
      <c r="AK275">
        <f>(Table817385[[#This Row],[time]]-2)*2</f>
        <v>1.20906</v>
      </c>
      <c r="AL275">
        <v>83.844700000000003</v>
      </c>
      <c r="AM275">
        <v>8.6813400000000005</v>
      </c>
      <c r="AN275">
        <f>Table817385[[#This Row],[CFNM]]/Table817385[[#This Row],[CAREA]]</f>
        <v>0.10354071277015721</v>
      </c>
    </row>
    <row r="276" spans="1:40">
      <c r="A276">
        <v>2.65273</v>
      </c>
      <c r="B276">
        <f>(Table110378[[#This Row],[time]]-2)*2</f>
        <v>1.3054600000000001</v>
      </c>
      <c r="C276">
        <v>89.391099999999994</v>
      </c>
      <c r="D276">
        <v>4.0157200000000004E-3</v>
      </c>
      <c r="E276">
        <f>Table110378[[#This Row],[CFNM]]/Table110378[[#This Row],[CAREA]]</f>
        <v>4.4923040436911513E-5</v>
      </c>
      <c r="F276">
        <v>2.65273</v>
      </c>
      <c r="G276">
        <f>(Table211379[[#This Row],[time]]-2)*2</f>
        <v>1.3054600000000001</v>
      </c>
      <c r="H276">
        <v>91.902000000000001</v>
      </c>
      <c r="I276">
        <v>3.5745999999999998E-3</v>
      </c>
      <c r="J276">
        <f>Table211379[[#This Row],[CFNM]]/Table211379[[#This Row],[CAREA]]</f>
        <v>3.8895780287697763E-5</v>
      </c>
      <c r="K276">
        <v>2.65273</v>
      </c>
      <c r="L276">
        <f>(Table312380[[#This Row],[time]]-2)*2</f>
        <v>1.3054600000000001</v>
      </c>
      <c r="M276">
        <v>79.381900000000002</v>
      </c>
      <c r="N276">
        <v>2.59275E-3</v>
      </c>
      <c r="O276">
        <f>Table312380[[#This Row],[CFNM]]/Table312380[[#This Row],[CAREA]]</f>
        <v>3.2661727673436892E-5</v>
      </c>
      <c r="P276">
        <v>2.65273</v>
      </c>
      <c r="Q276">
        <f>(Table413381[[#This Row],[time]]-2)*2</f>
        <v>1.3054600000000001</v>
      </c>
      <c r="R276">
        <v>82.148399999999995</v>
      </c>
      <c r="S276">
        <v>3.85667E-3</v>
      </c>
      <c r="T276">
        <f>Table413381[[#This Row],[CFNM]]/Table413381[[#This Row],[CAREA]]</f>
        <v>4.6947597275175176E-5</v>
      </c>
      <c r="U276">
        <v>2.65273</v>
      </c>
      <c r="V276">
        <f>(Table514382[[#This Row],[time]]-2)*2</f>
        <v>1.3054600000000001</v>
      </c>
      <c r="W276">
        <v>77.805899999999994</v>
      </c>
      <c r="X276">
        <v>4.1497299999999999E-3</v>
      </c>
      <c r="Y276">
        <f>Table514382[[#This Row],[CFNM]]/Table514382[[#This Row],[CAREA]]</f>
        <v>5.3334387237985812E-5</v>
      </c>
      <c r="Z276">
        <v>2.65273</v>
      </c>
      <c r="AA276">
        <f>(Table615383[[#This Row],[time]]-2)*2</f>
        <v>1.3054600000000001</v>
      </c>
      <c r="AB276">
        <v>78.428299999999993</v>
      </c>
      <c r="AC276">
        <v>3.8231799999999998E-3</v>
      </c>
      <c r="AD276">
        <f>Table615383[[#This Row],[CFNM]]/Table615383[[#This Row],[CAREA]]</f>
        <v>4.8747454681537151E-5</v>
      </c>
      <c r="AE276">
        <v>2.65273</v>
      </c>
      <c r="AF276">
        <f>(Table716384[[#This Row],[time]]-2)*2</f>
        <v>1.3054600000000001</v>
      </c>
      <c r="AG276">
        <v>77.746399999999994</v>
      </c>
      <c r="AH276">
        <v>10.731199999999999</v>
      </c>
      <c r="AI276">
        <f>Table716384[[#This Row],[CFNM]]/Table716384[[#This Row],[CAREA]]</f>
        <v>0.13802825597069446</v>
      </c>
      <c r="AJ276">
        <v>2.65273</v>
      </c>
      <c r="AK276">
        <f>(Table817385[[#This Row],[time]]-2)*2</f>
        <v>1.3054600000000001</v>
      </c>
      <c r="AL276">
        <v>83.781499999999994</v>
      </c>
      <c r="AM276">
        <v>8.1831600000000009</v>
      </c>
      <c r="AN276">
        <f>Table817385[[#This Row],[CFNM]]/Table817385[[#This Row],[CAREA]]</f>
        <v>9.7672636560577231E-2</v>
      </c>
    </row>
    <row r="277" spans="1:40">
      <c r="A277">
        <v>2.7006199999999998</v>
      </c>
      <c r="B277">
        <f>(Table110378[[#This Row],[time]]-2)*2</f>
        <v>1.4012399999999996</v>
      </c>
      <c r="C277">
        <v>87.323599999999999</v>
      </c>
      <c r="D277">
        <v>3.7699700000000001E-3</v>
      </c>
      <c r="E277">
        <f>Table110378[[#This Row],[CFNM]]/Table110378[[#This Row],[CAREA]]</f>
        <v>4.3172407001085618E-5</v>
      </c>
      <c r="F277">
        <v>2.7006199999999998</v>
      </c>
      <c r="G277">
        <f>(Table211379[[#This Row],[time]]-2)*2</f>
        <v>1.4012399999999996</v>
      </c>
      <c r="H277">
        <v>91.259900000000002</v>
      </c>
      <c r="I277">
        <v>3.2324699999999999E-3</v>
      </c>
      <c r="J277">
        <f>Table211379[[#This Row],[CFNM]]/Table211379[[#This Row],[CAREA]]</f>
        <v>3.5420485887010615E-5</v>
      </c>
      <c r="K277">
        <v>2.7006199999999998</v>
      </c>
      <c r="L277">
        <f>(Table312380[[#This Row],[time]]-2)*2</f>
        <v>1.4012399999999996</v>
      </c>
      <c r="M277">
        <v>78.048599999999993</v>
      </c>
      <c r="N277">
        <v>2.4505899999999999E-3</v>
      </c>
      <c r="O277">
        <f>Table312380[[#This Row],[CFNM]]/Table312380[[#This Row],[CAREA]]</f>
        <v>3.1398256983469274E-5</v>
      </c>
      <c r="P277">
        <v>2.7006199999999998</v>
      </c>
      <c r="Q277">
        <f>(Table413381[[#This Row],[time]]-2)*2</f>
        <v>1.4012399999999996</v>
      </c>
      <c r="R277">
        <v>82.015100000000004</v>
      </c>
      <c r="S277">
        <v>3.69105E-3</v>
      </c>
      <c r="T277">
        <f>Table413381[[#This Row],[CFNM]]/Table413381[[#This Row],[CAREA]]</f>
        <v>4.5004517460809043E-5</v>
      </c>
      <c r="U277">
        <v>2.7006199999999998</v>
      </c>
      <c r="V277">
        <f>(Table514382[[#This Row],[time]]-2)*2</f>
        <v>1.4012399999999996</v>
      </c>
      <c r="W277">
        <v>75.909400000000005</v>
      </c>
      <c r="X277">
        <v>4.0600599999999999E-3</v>
      </c>
      <c r="Y277">
        <f>Table514382[[#This Row],[CFNM]]/Table514382[[#This Row],[CAREA]]</f>
        <v>5.3485602573594307E-5</v>
      </c>
      <c r="Z277">
        <v>2.7006199999999998</v>
      </c>
      <c r="AA277">
        <f>(Table615383[[#This Row],[time]]-2)*2</f>
        <v>1.4012399999999996</v>
      </c>
      <c r="AB277">
        <v>76.766199999999998</v>
      </c>
      <c r="AC277">
        <v>3.6319899999999999E-3</v>
      </c>
      <c r="AD277">
        <f>Table615383[[#This Row],[CFNM]]/Table615383[[#This Row],[CAREA]]</f>
        <v>4.7312358824586862E-5</v>
      </c>
      <c r="AE277">
        <v>2.7006199999999998</v>
      </c>
      <c r="AF277">
        <f>(Table716384[[#This Row],[time]]-2)*2</f>
        <v>1.4012399999999996</v>
      </c>
      <c r="AG277">
        <v>77.7697</v>
      </c>
      <c r="AH277">
        <v>10.0718</v>
      </c>
      <c r="AI277">
        <f>Table716384[[#This Row],[CFNM]]/Table716384[[#This Row],[CAREA]]</f>
        <v>0.12950802176168869</v>
      </c>
      <c r="AJ277">
        <v>2.7006199999999998</v>
      </c>
      <c r="AK277">
        <f>(Table817385[[#This Row],[time]]-2)*2</f>
        <v>1.4012399999999996</v>
      </c>
      <c r="AL277">
        <v>83.699399999999997</v>
      </c>
      <c r="AM277">
        <v>7.5316999999999998</v>
      </c>
      <c r="AN277">
        <f>Table817385[[#This Row],[CFNM]]/Table817385[[#This Row],[CAREA]]</f>
        <v>8.9985113393883348E-2</v>
      </c>
    </row>
    <row r="278" spans="1:40">
      <c r="A278">
        <v>2.75176</v>
      </c>
      <c r="B278">
        <f>(Table110378[[#This Row],[time]]-2)*2</f>
        <v>1.50352</v>
      </c>
      <c r="C278">
        <v>85.949799999999996</v>
      </c>
      <c r="D278">
        <v>3.5678200000000002E-3</v>
      </c>
      <c r="E278">
        <f>Table110378[[#This Row],[CFNM]]/Table110378[[#This Row],[CAREA]]</f>
        <v>4.1510509623059045E-5</v>
      </c>
      <c r="F278">
        <v>2.75176</v>
      </c>
      <c r="G278">
        <f>(Table211379[[#This Row],[time]]-2)*2</f>
        <v>1.50352</v>
      </c>
      <c r="H278">
        <v>89.6892</v>
      </c>
      <c r="I278">
        <v>3.09253E-3</v>
      </c>
      <c r="J278">
        <f>Table211379[[#This Row],[CFNM]]/Table211379[[#This Row],[CAREA]]</f>
        <v>3.4480517163716476E-5</v>
      </c>
      <c r="K278">
        <v>2.75176</v>
      </c>
      <c r="L278">
        <f>(Table312380[[#This Row],[time]]-2)*2</f>
        <v>1.50352</v>
      </c>
      <c r="M278">
        <v>76.3018</v>
      </c>
      <c r="N278">
        <v>2.33723E-3</v>
      </c>
      <c r="O278">
        <f>Table312380[[#This Row],[CFNM]]/Table312380[[#This Row],[CAREA]]</f>
        <v>3.0631387463991676E-5</v>
      </c>
      <c r="P278">
        <v>2.75176</v>
      </c>
      <c r="Q278">
        <f>(Table413381[[#This Row],[time]]-2)*2</f>
        <v>1.50352</v>
      </c>
      <c r="R278">
        <v>81.366299999999995</v>
      </c>
      <c r="S278">
        <v>3.5332699999999998E-3</v>
      </c>
      <c r="T278">
        <f>Table413381[[#This Row],[CFNM]]/Table413381[[#This Row],[CAREA]]</f>
        <v>4.3424243206339727E-5</v>
      </c>
      <c r="U278">
        <v>2.75176</v>
      </c>
      <c r="V278">
        <f>(Table514382[[#This Row],[time]]-2)*2</f>
        <v>1.50352</v>
      </c>
      <c r="W278">
        <v>75.524600000000007</v>
      </c>
      <c r="X278">
        <v>3.9799199999999996E-3</v>
      </c>
      <c r="Y278">
        <f>Table514382[[#This Row],[CFNM]]/Table514382[[#This Row],[CAREA]]</f>
        <v>5.2697002036422558E-5</v>
      </c>
      <c r="Z278">
        <v>2.75176</v>
      </c>
      <c r="AA278">
        <f>(Table615383[[#This Row],[time]]-2)*2</f>
        <v>1.50352</v>
      </c>
      <c r="AB278">
        <v>76.334900000000005</v>
      </c>
      <c r="AC278">
        <v>3.4318299999999999E-3</v>
      </c>
      <c r="AD278">
        <f>Table615383[[#This Row],[CFNM]]/Table615383[[#This Row],[CAREA]]</f>
        <v>4.4957548906201481E-5</v>
      </c>
      <c r="AE278">
        <v>2.75176</v>
      </c>
      <c r="AF278">
        <f>(Table716384[[#This Row],[time]]-2)*2</f>
        <v>1.50352</v>
      </c>
      <c r="AG278">
        <v>77.802000000000007</v>
      </c>
      <c r="AH278">
        <v>9.3709399999999992</v>
      </c>
      <c r="AI278">
        <f>Table716384[[#This Row],[CFNM]]/Table716384[[#This Row],[CAREA]]</f>
        <v>0.1204460039587671</v>
      </c>
      <c r="AJ278">
        <v>2.75176</v>
      </c>
      <c r="AK278">
        <f>(Table817385[[#This Row],[time]]-2)*2</f>
        <v>1.50352</v>
      </c>
      <c r="AL278">
        <v>83.589299999999994</v>
      </c>
      <c r="AM278">
        <v>6.9127999999999998</v>
      </c>
      <c r="AN278">
        <f>Table817385[[#This Row],[CFNM]]/Table817385[[#This Row],[CAREA]]</f>
        <v>8.2699579970163653E-2</v>
      </c>
    </row>
    <row r="279" spans="1:40">
      <c r="A279">
        <v>2.80444</v>
      </c>
      <c r="B279">
        <f>(Table110378[[#This Row],[time]]-2)*2</f>
        <v>1.6088800000000001</v>
      </c>
      <c r="C279">
        <v>85.533500000000004</v>
      </c>
      <c r="D279">
        <v>3.3876000000000002E-3</v>
      </c>
      <c r="E279">
        <f>Table110378[[#This Row],[CFNM]]/Table110378[[#This Row],[CAREA]]</f>
        <v>3.9605534673548963E-5</v>
      </c>
      <c r="F279">
        <v>2.80444</v>
      </c>
      <c r="G279">
        <f>(Table211379[[#This Row],[time]]-2)*2</f>
        <v>1.6088800000000001</v>
      </c>
      <c r="H279">
        <v>89.241399999999999</v>
      </c>
      <c r="I279">
        <v>3.0463199999999999E-3</v>
      </c>
      <c r="J279">
        <f>Table211379[[#This Row],[CFNM]]/Table211379[[#This Row],[CAREA]]</f>
        <v>3.4135726243649248E-5</v>
      </c>
      <c r="K279">
        <v>2.80444</v>
      </c>
      <c r="L279">
        <f>(Table312380[[#This Row],[time]]-2)*2</f>
        <v>1.6088800000000001</v>
      </c>
      <c r="M279">
        <v>75.967600000000004</v>
      </c>
      <c r="N279">
        <v>2.2380799999999999E-3</v>
      </c>
      <c r="O279">
        <f>Table312380[[#This Row],[CFNM]]/Table312380[[#This Row],[CAREA]]</f>
        <v>2.9460980733891816E-5</v>
      </c>
      <c r="P279">
        <v>2.80444</v>
      </c>
      <c r="Q279">
        <f>(Table413381[[#This Row],[time]]-2)*2</f>
        <v>1.6088800000000001</v>
      </c>
      <c r="R279">
        <v>81.033699999999996</v>
      </c>
      <c r="S279">
        <v>3.39997E-3</v>
      </c>
      <c r="T279">
        <f>Table413381[[#This Row],[CFNM]]/Table413381[[#This Row],[CAREA]]</f>
        <v>4.1957481887165464E-5</v>
      </c>
      <c r="U279">
        <v>2.80444</v>
      </c>
      <c r="V279">
        <f>(Table514382[[#This Row],[time]]-2)*2</f>
        <v>1.6088800000000001</v>
      </c>
      <c r="W279">
        <v>74.208699999999993</v>
      </c>
      <c r="X279">
        <v>3.85959E-3</v>
      </c>
      <c r="Y279">
        <f>Table514382[[#This Row],[CFNM]]/Table514382[[#This Row],[CAREA]]</f>
        <v>5.2009939535391404E-5</v>
      </c>
      <c r="Z279">
        <v>2.80444</v>
      </c>
      <c r="AA279">
        <f>(Table615383[[#This Row],[time]]-2)*2</f>
        <v>1.6088800000000001</v>
      </c>
      <c r="AB279">
        <v>73.057000000000002</v>
      </c>
      <c r="AC279">
        <v>3.19134E-3</v>
      </c>
      <c r="AD279">
        <f>Table615383[[#This Row],[CFNM]]/Table615383[[#This Row],[CAREA]]</f>
        <v>4.3682877752987393E-5</v>
      </c>
      <c r="AE279">
        <v>2.80444</v>
      </c>
      <c r="AF279">
        <f>(Table716384[[#This Row],[time]]-2)*2</f>
        <v>1.6088800000000001</v>
      </c>
      <c r="AG279">
        <v>77.906700000000001</v>
      </c>
      <c r="AH279">
        <v>8.4260599999999997</v>
      </c>
      <c r="AI279">
        <f>Table716384[[#This Row],[CFNM]]/Table716384[[#This Row],[CAREA]]</f>
        <v>0.10815578121008847</v>
      </c>
      <c r="AJ279">
        <v>2.80444</v>
      </c>
      <c r="AK279">
        <f>(Table817385[[#This Row],[time]]-2)*2</f>
        <v>1.6088800000000001</v>
      </c>
      <c r="AL279">
        <v>83.403599999999997</v>
      </c>
      <c r="AM279">
        <v>6.1576500000000003</v>
      </c>
      <c r="AN279">
        <f>Table817385[[#This Row],[CFNM]]/Table817385[[#This Row],[CAREA]]</f>
        <v>7.3829546926031969E-2</v>
      </c>
    </row>
    <row r="280" spans="1:40">
      <c r="A280">
        <v>2.8583699999999999</v>
      </c>
      <c r="B280">
        <f>(Table110378[[#This Row],[time]]-2)*2</f>
        <v>1.7167399999999997</v>
      </c>
      <c r="C280">
        <v>83.742800000000003</v>
      </c>
      <c r="D280">
        <v>3.3127199999999999E-3</v>
      </c>
      <c r="E280">
        <f>Table110378[[#This Row],[CFNM]]/Table110378[[#This Row],[CAREA]]</f>
        <v>3.9558266501717161E-5</v>
      </c>
      <c r="F280">
        <v>2.8583699999999999</v>
      </c>
      <c r="G280">
        <f>(Table211379[[#This Row],[time]]-2)*2</f>
        <v>1.7167399999999997</v>
      </c>
      <c r="H280">
        <v>89.909499999999994</v>
      </c>
      <c r="I280">
        <v>3.0359300000000001E-3</v>
      </c>
      <c r="J280">
        <f>Table211379[[#This Row],[CFNM]]/Table211379[[#This Row],[CAREA]]</f>
        <v>3.3766509656932808E-5</v>
      </c>
      <c r="K280">
        <v>2.8583699999999999</v>
      </c>
      <c r="L280">
        <f>(Table312380[[#This Row],[time]]-2)*2</f>
        <v>1.7167399999999997</v>
      </c>
      <c r="M280">
        <v>75.795400000000001</v>
      </c>
      <c r="N280">
        <v>2.19483E-3</v>
      </c>
      <c r="O280">
        <f>Table312380[[#This Row],[CFNM]]/Table312380[[#This Row],[CAREA]]</f>
        <v>2.8957298200154627E-5</v>
      </c>
      <c r="P280">
        <v>2.8583699999999999</v>
      </c>
      <c r="Q280">
        <f>(Table413381[[#This Row],[time]]-2)*2</f>
        <v>1.7167399999999997</v>
      </c>
      <c r="R280">
        <v>80.871600000000001</v>
      </c>
      <c r="S280">
        <v>3.3502900000000001E-3</v>
      </c>
      <c r="T280">
        <f>Table413381[[#This Row],[CFNM]]/Table413381[[#This Row],[CAREA]]</f>
        <v>4.1427274840611541E-5</v>
      </c>
      <c r="U280">
        <v>2.8583699999999999</v>
      </c>
      <c r="V280">
        <f>(Table514382[[#This Row],[time]]-2)*2</f>
        <v>1.7167399999999997</v>
      </c>
      <c r="W280">
        <v>73.965100000000007</v>
      </c>
      <c r="X280">
        <v>3.8031100000000002E-3</v>
      </c>
      <c r="Y280">
        <f>Table514382[[#This Row],[CFNM]]/Table514382[[#This Row],[CAREA]]</f>
        <v>5.1417628043496189E-5</v>
      </c>
      <c r="Z280">
        <v>2.8583699999999999</v>
      </c>
      <c r="AA280">
        <f>(Table615383[[#This Row],[time]]-2)*2</f>
        <v>1.7167399999999997</v>
      </c>
      <c r="AB280">
        <v>72.865600000000001</v>
      </c>
      <c r="AC280">
        <v>3.0865900000000002E-3</v>
      </c>
      <c r="AD280">
        <f>Table615383[[#This Row],[CFNM]]/Table615383[[#This Row],[CAREA]]</f>
        <v>4.2360043696888523E-5</v>
      </c>
      <c r="AE280">
        <v>2.8583699999999999</v>
      </c>
      <c r="AF280">
        <f>(Table716384[[#This Row],[time]]-2)*2</f>
        <v>1.7167399999999997</v>
      </c>
      <c r="AG280">
        <v>77.910799999999995</v>
      </c>
      <c r="AH280">
        <v>8.0039700000000007</v>
      </c>
      <c r="AI280">
        <f>Table716384[[#This Row],[CFNM]]/Table716384[[#This Row],[CAREA]]</f>
        <v>0.10273248381482415</v>
      </c>
      <c r="AJ280">
        <v>2.8583699999999999</v>
      </c>
      <c r="AK280">
        <f>(Table817385[[#This Row],[time]]-2)*2</f>
        <v>1.7167399999999997</v>
      </c>
      <c r="AL280">
        <v>83.328900000000004</v>
      </c>
      <c r="AM280">
        <v>5.84049</v>
      </c>
      <c r="AN280">
        <f>Table817385[[#This Row],[CFNM]]/Table817385[[#This Row],[CAREA]]</f>
        <v>7.0089608767186409E-2</v>
      </c>
    </row>
    <row r="281" spans="1:40">
      <c r="A281">
        <v>2.9134199999999999</v>
      </c>
      <c r="B281">
        <f>(Table110378[[#This Row],[time]]-2)*2</f>
        <v>1.8268399999999998</v>
      </c>
      <c r="C281">
        <v>83.061800000000005</v>
      </c>
      <c r="D281">
        <v>3.16862E-3</v>
      </c>
      <c r="E281">
        <f>Table110378[[#This Row],[CFNM]]/Table110378[[#This Row],[CAREA]]</f>
        <v>3.8147740597964403E-5</v>
      </c>
      <c r="F281">
        <v>2.9134199999999999</v>
      </c>
      <c r="G281">
        <f>(Table211379[[#This Row],[time]]-2)*2</f>
        <v>1.8268399999999998</v>
      </c>
      <c r="H281">
        <v>89.831100000000006</v>
      </c>
      <c r="I281">
        <v>3.0248300000000001E-3</v>
      </c>
      <c r="J281">
        <f>Table211379[[#This Row],[CFNM]]/Table211379[[#This Row],[CAREA]]</f>
        <v>3.367241411938627E-5</v>
      </c>
      <c r="K281">
        <v>2.9134199999999999</v>
      </c>
      <c r="L281">
        <f>(Table312380[[#This Row],[time]]-2)*2</f>
        <v>1.8268399999999998</v>
      </c>
      <c r="M281">
        <v>73.837299999999999</v>
      </c>
      <c r="N281">
        <v>2.1046900000000002E-3</v>
      </c>
      <c r="O281">
        <f>Table312380[[#This Row],[CFNM]]/Table312380[[#This Row],[CAREA]]</f>
        <v>2.8504427978812881E-5</v>
      </c>
      <c r="P281">
        <v>2.9134199999999999</v>
      </c>
      <c r="Q281">
        <f>(Table413381[[#This Row],[time]]-2)*2</f>
        <v>1.8268399999999998</v>
      </c>
      <c r="R281">
        <v>80.506399999999999</v>
      </c>
      <c r="S281">
        <v>3.2577999999999999E-3</v>
      </c>
      <c r="T281">
        <f>Table413381[[#This Row],[CFNM]]/Table413381[[#This Row],[CAREA]]</f>
        <v>4.0466348017052061E-5</v>
      </c>
      <c r="U281">
        <v>2.9134199999999999</v>
      </c>
      <c r="V281">
        <f>(Table514382[[#This Row],[time]]-2)*2</f>
        <v>1.8268399999999998</v>
      </c>
      <c r="W281">
        <v>73.074200000000005</v>
      </c>
      <c r="X281">
        <v>3.6880599999999999E-3</v>
      </c>
      <c r="Y281">
        <f>Table514382[[#This Row],[CFNM]]/Table514382[[#This Row],[CAREA]]</f>
        <v>5.0470070147877087E-5</v>
      </c>
      <c r="Z281">
        <v>2.9134199999999999</v>
      </c>
      <c r="AA281">
        <f>(Table615383[[#This Row],[time]]-2)*2</f>
        <v>1.8268399999999998</v>
      </c>
      <c r="AB281">
        <v>70.262900000000002</v>
      </c>
      <c r="AC281">
        <v>2.9017600000000002E-3</v>
      </c>
      <c r="AD281">
        <f>Table615383[[#This Row],[CFNM]]/Table615383[[#This Row],[CAREA]]</f>
        <v>4.1298608511746597E-5</v>
      </c>
      <c r="AE281">
        <v>2.9134199999999999</v>
      </c>
      <c r="AF281">
        <f>(Table716384[[#This Row],[time]]-2)*2</f>
        <v>1.8268399999999998</v>
      </c>
      <c r="AG281">
        <v>77.903300000000002</v>
      </c>
      <c r="AH281">
        <v>7.1965300000000001</v>
      </c>
      <c r="AI281">
        <f>Table716384[[#This Row],[CFNM]]/Table716384[[#This Row],[CAREA]]</f>
        <v>9.2377729826592717E-2</v>
      </c>
      <c r="AJ281">
        <v>2.9134199999999999</v>
      </c>
      <c r="AK281">
        <f>(Table817385[[#This Row],[time]]-2)*2</f>
        <v>1.8268399999999998</v>
      </c>
      <c r="AL281">
        <v>83.191500000000005</v>
      </c>
      <c r="AM281">
        <v>5.25101</v>
      </c>
      <c r="AN281">
        <f>Table817385[[#This Row],[CFNM]]/Table817385[[#This Row],[CAREA]]</f>
        <v>6.311954947320339E-2</v>
      </c>
    </row>
    <row r="282" spans="1:40">
      <c r="A282">
        <v>2.9619599999999999</v>
      </c>
      <c r="B282">
        <f>(Table110378[[#This Row],[time]]-2)*2</f>
        <v>1.9239199999999999</v>
      </c>
      <c r="C282">
        <v>82.222700000000003</v>
      </c>
      <c r="D282">
        <v>3.0742399999999998E-3</v>
      </c>
      <c r="E282">
        <f>Table110378[[#This Row],[CFNM]]/Table110378[[#This Row],[CAREA]]</f>
        <v>3.7389188143906729E-5</v>
      </c>
      <c r="F282">
        <v>2.9619599999999999</v>
      </c>
      <c r="G282">
        <f>(Table211379[[#This Row],[time]]-2)*2</f>
        <v>1.9239199999999999</v>
      </c>
      <c r="H282">
        <v>89.759500000000003</v>
      </c>
      <c r="I282">
        <v>3.0266400000000001E-3</v>
      </c>
      <c r="J282">
        <f>Table211379[[#This Row],[CFNM]]/Table211379[[#This Row],[CAREA]]</f>
        <v>3.371943916799893E-5</v>
      </c>
      <c r="K282">
        <v>2.9619599999999999</v>
      </c>
      <c r="L282">
        <f>(Table312380[[#This Row],[time]]-2)*2</f>
        <v>1.9239199999999999</v>
      </c>
      <c r="M282">
        <v>72.604100000000003</v>
      </c>
      <c r="N282">
        <v>2.0464099999999998E-3</v>
      </c>
      <c r="O282">
        <f>Table312380[[#This Row],[CFNM]]/Table312380[[#This Row],[CAREA]]</f>
        <v>2.8185873800515395E-5</v>
      </c>
      <c r="P282">
        <v>2.9619599999999999</v>
      </c>
      <c r="Q282">
        <f>(Table413381[[#This Row],[time]]-2)*2</f>
        <v>1.9239199999999999</v>
      </c>
      <c r="R282">
        <v>80.189400000000006</v>
      </c>
      <c r="S282">
        <v>3.1982E-3</v>
      </c>
      <c r="T282">
        <f>Table413381[[#This Row],[CFNM]]/Table413381[[#This Row],[CAREA]]</f>
        <v>3.9883076815638971E-5</v>
      </c>
      <c r="U282">
        <v>2.9619599999999999</v>
      </c>
      <c r="V282">
        <f>(Table514382[[#This Row],[time]]-2)*2</f>
        <v>1.9239199999999999</v>
      </c>
      <c r="W282">
        <v>72.696100000000001</v>
      </c>
      <c r="X282">
        <v>3.61006E-3</v>
      </c>
      <c r="Y282">
        <f>Table514382[[#This Row],[CFNM]]/Table514382[[#This Row],[CAREA]]</f>
        <v>4.9659610350486474E-5</v>
      </c>
      <c r="Z282">
        <v>2.9619599999999999</v>
      </c>
      <c r="AA282">
        <f>(Table615383[[#This Row],[time]]-2)*2</f>
        <v>1.9239199999999999</v>
      </c>
      <c r="AB282">
        <v>70.029499999999999</v>
      </c>
      <c r="AC282">
        <v>2.7854500000000001E-3</v>
      </c>
      <c r="AD282">
        <f>Table615383[[#This Row],[CFNM]]/Table615383[[#This Row],[CAREA]]</f>
        <v>3.9775380375413219E-5</v>
      </c>
      <c r="AE282">
        <v>2.9619599999999999</v>
      </c>
      <c r="AF282">
        <f>(Table716384[[#This Row],[time]]-2)*2</f>
        <v>1.9239199999999999</v>
      </c>
      <c r="AG282">
        <v>77.912800000000004</v>
      </c>
      <c r="AH282">
        <v>6.6364200000000002</v>
      </c>
      <c r="AI282">
        <f>Table716384[[#This Row],[CFNM]]/Table716384[[#This Row],[CAREA]]</f>
        <v>8.5177531804786891E-2</v>
      </c>
      <c r="AJ282">
        <v>2.9619599999999999</v>
      </c>
      <c r="AK282">
        <f>(Table817385[[#This Row],[time]]-2)*2</f>
        <v>1.9239199999999999</v>
      </c>
      <c r="AL282">
        <v>83.1023</v>
      </c>
      <c r="AM282">
        <v>4.8681099999999997</v>
      </c>
      <c r="AN282">
        <f>Table817385[[#This Row],[CFNM]]/Table817385[[#This Row],[CAREA]]</f>
        <v>5.8579726433564412E-2</v>
      </c>
    </row>
    <row r="283" spans="1:40">
      <c r="A283">
        <v>3</v>
      </c>
      <c r="B283">
        <f>(Table110378[[#This Row],[time]]-2)*2</f>
        <v>2</v>
      </c>
      <c r="C283">
        <v>81.437399999999997</v>
      </c>
      <c r="D283">
        <v>2.9602500000000002E-3</v>
      </c>
      <c r="E283">
        <f>Table110378[[#This Row],[CFNM]]/Table110378[[#This Row],[CAREA]]</f>
        <v>3.6350006262478914E-5</v>
      </c>
      <c r="F283">
        <v>3</v>
      </c>
      <c r="G283">
        <f>(Table211379[[#This Row],[time]]-2)*2</f>
        <v>2</v>
      </c>
      <c r="H283">
        <v>89.687899999999999</v>
      </c>
      <c r="I283">
        <v>3.03901E-3</v>
      </c>
      <c r="J283">
        <f>Table211379[[#This Row],[CFNM]]/Table211379[[#This Row],[CAREA]]</f>
        <v>3.3884280934217434E-5</v>
      </c>
      <c r="K283">
        <v>3</v>
      </c>
      <c r="L283">
        <f>(Table312380[[#This Row],[time]]-2)*2</f>
        <v>2</v>
      </c>
      <c r="M283">
        <v>70.971400000000003</v>
      </c>
      <c r="N283">
        <v>1.97547E-3</v>
      </c>
      <c r="O283">
        <f>Table312380[[#This Row],[CFNM]]/Table312380[[#This Row],[CAREA]]</f>
        <v>2.7834733427831493E-5</v>
      </c>
      <c r="P283">
        <v>3</v>
      </c>
      <c r="Q283">
        <f>(Table413381[[#This Row],[time]]-2)*2</f>
        <v>2</v>
      </c>
      <c r="R283">
        <v>79.879499999999993</v>
      </c>
      <c r="S283">
        <v>3.1293200000000001E-3</v>
      </c>
      <c r="T283">
        <f>Table413381[[#This Row],[CFNM]]/Table413381[[#This Row],[CAREA]]</f>
        <v>3.9175508109089319E-5</v>
      </c>
      <c r="U283">
        <v>3</v>
      </c>
      <c r="V283">
        <f>(Table514382[[#This Row],[time]]-2)*2</f>
        <v>2</v>
      </c>
      <c r="W283">
        <v>71.585999999999999</v>
      </c>
      <c r="X283">
        <v>3.5082199999999998E-3</v>
      </c>
      <c r="Y283">
        <f>Table514382[[#This Row],[CFNM]]/Table514382[[#This Row],[CAREA]]</f>
        <v>4.9007068421199675E-5</v>
      </c>
      <c r="Z283">
        <v>3</v>
      </c>
      <c r="AA283">
        <f>(Table615383[[#This Row],[time]]-2)*2</f>
        <v>2</v>
      </c>
      <c r="AB283">
        <v>67.619100000000003</v>
      </c>
      <c r="AC283">
        <v>2.6431599999999999E-3</v>
      </c>
      <c r="AD283">
        <f>Table615383[[#This Row],[CFNM]]/Table615383[[#This Row],[CAREA]]</f>
        <v>3.9088955635316054E-5</v>
      </c>
      <c r="AE283">
        <v>3</v>
      </c>
      <c r="AF283">
        <f>(Table716384[[#This Row],[time]]-2)*2</f>
        <v>2</v>
      </c>
      <c r="AG283">
        <v>77.905900000000003</v>
      </c>
      <c r="AH283">
        <v>5.9899699999999996</v>
      </c>
      <c r="AI283">
        <f>Table716384[[#This Row],[CFNM]]/Table716384[[#This Row],[CAREA]]</f>
        <v>7.6887244740128785E-2</v>
      </c>
      <c r="AJ283">
        <v>3</v>
      </c>
      <c r="AK283">
        <f>(Table817385[[#This Row],[time]]-2)*2</f>
        <v>2</v>
      </c>
      <c r="AL283">
        <v>82.9816</v>
      </c>
      <c r="AM283">
        <v>4.4285399999999999</v>
      </c>
      <c r="AN283">
        <f>Table817385[[#This Row],[CFNM]]/Table817385[[#This Row],[CAREA]]</f>
        <v>5.3367734533920769E-2</v>
      </c>
    </row>
    <row r="286" spans="1:40">
      <c r="A286" s="1" t="s">
        <v>41</v>
      </c>
    </row>
    <row r="287" spans="1:40">
      <c r="A287" t="s">
        <v>42</v>
      </c>
      <c r="F287" t="s">
        <v>2</v>
      </c>
    </row>
    <row r="288" spans="1:40">
      <c r="F288" t="s">
        <v>4</v>
      </c>
      <c r="G288" t="s">
        <v>5</v>
      </c>
    </row>
    <row r="291" spans="1:40">
      <c r="A291" t="s">
        <v>7</v>
      </c>
      <c r="F291" t="s">
        <v>8</v>
      </c>
      <c r="K291" t="s">
        <v>9</v>
      </c>
      <c r="P291" t="s">
        <v>26</v>
      </c>
      <c r="U291" t="s">
        <v>11</v>
      </c>
      <c r="Z291" t="s">
        <v>12</v>
      </c>
      <c r="AE291" t="s">
        <v>13</v>
      </c>
      <c r="AJ291" t="s">
        <v>14</v>
      </c>
    </row>
    <row r="292" spans="1:40">
      <c r="A292" t="s">
        <v>15</v>
      </c>
      <c r="B292" t="s">
        <v>16</v>
      </c>
      <c r="C292" t="s">
        <v>20</v>
      </c>
      <c r="D292" t="s">
        <v>18</v>
      </c>
      <c r="E292" t="s">
        <v>19</v>
      </c>
      <c r="F292" t="s">
        <v>15</v>
      </c>
      <c r="G292" t="s">
        <v>16</v>
      </c>
      <c r="H292" t="s">
        <v>20</v>
      </c>
      <c r="I292" t="s">
        <v>18</v>
      </c>
      <c r="J292" t="s">
        <v>19</v>
      </c>
      <c r="K292" t="s">
        <v>15</v>
      </c>
      <c r="L292" t="s">
        <v>16</v>
      </c>
      <c r="M292" t="s">
        <v>20</v>
      </c>
      <c r="N292" t="s">
        <v>18</v>
      </c>
      <c r="O292" t="s">
        <v>19</v>
      </c>
      <c r="P292" t="s">
        <v>15</v>
      </c>
      <c r="Q292" t="s">
        <v>16</v>
      </c>
      <c r="R292" t="s">
        <v>20</v>
      </c>
      <c r="S292" t="s">
        <v>18</v>
      </c>
      <c r="T292" t="s">
        <v>19</v>
      </c>
      <c r="U292" t="s">
        <v>15</v>
      </c>
      <c r="V292" t="s">
        <v>16</v>
      </c>
      <c r="W292" t="s">
        <v>20</v>
      </c>
      <c r="X292" t="s">
        <v>18</v>
      </c>
      <c r="Y292" t="s">
        <v>19</v>
      </c>
      <c r="Z292" t="s">
        <v>15</v>
      </c>
      <c r="AA292" t="s">
        <v>16</v>
      </c>
      <c r="AB292" t="s">
        <v>20</v>
      </c>
      <c r="AC292" t="s">
        <v>18</v>
      </c>
      <c r="AD292" t="s">
        <v>19</v>
      </c>
      <c r="AE292" t="s">
        <v>15</v>
      </c>
      <c r="AF292" t="s">
        <v>16</v>
      </c>
      <c r="AG292" t="s">
        <v>20</v>
      </c>
      <c r="AH292" t="s">
        <v>18</v>
      </c>
      <c r="AI292" t="s">
        <v>19</v>
      </c>
      <c r="AJ292" t="s">
        <v>15</v>
      </c>
      <c r="AK292" t="s">
        <v>16</v>
      </c>
      <c r="AL292" t="s">
        <v>20</v>
      </c>
      <c r="AM292" t="s">
        <v>18</v>
      </c>
      <c r="AN292" t="s">
        <v>19</v>
      </c>
    </row>
    <row r="293" spans="1:40">
      <c r="A293">
        <v>2</v>
      </c>
      <c r="B293">
        <f>-(Table1386[[#This Row],[time]]-2)*2</f>
        <v>0</v>
      </c>
      <c r="C293">
        <v>80.561099999999996</v>
      </c>
      <c r="D293">
        <v>3.98237</v>
      </c>
      <c r="E293" s="2">
        <f>Table1386[[#This Row],[CFNM]]/Table1386[[#This Row],[CAREA]]</f>
        <v>4.9432914893168048E-2</v>
      </c>
      <c r="F293">
        <v>2</v>
      </c>
      <c r="G293">
        <f>-(Table2387[[#This Row],[time]]-2)*2</f>
        <v>0</v>
      </c>
      <c r="H293">
        <v>87.831800000000001</v>
      </c>
      <c r="I293">
        <v>3.8491799999999998E-3</v>
      </c>
      <c r="J293" s="2">
        <f>Table2387[[#This Row],[CFNM]]/Table2387[[#This Row],[CAREA]]</f>
        <v>4.38244462711683E-5</v>
      </c>
      <c r="K293">
        <v>2</v>
      </c>
      <c r="L293">
        <f>-(Table3388[[#This Row],[time]]-2)*2</f>
        <v>0</v>
      </c>
      <c r="M293">
        <v>85.166700000000006</v>
      </c>
      <c r="N293">
        <v>3.70054E-3</v>
      </c>
      <c r="O293">
        <f>Table3388[[#This Row],[CFNM]]/Table3388[[#This Row],[CAREA]]</f>
        <v>4.3450550508590793E-5</v>
      </c>
      <c r="P293">
        <v>2</v>
      </c>
      <c r="Q293">
        <f>-(Table4389[[#This Row],[time]]-2)*2</f>
        <v>0</v>
      </c>
      <c r="R293">
        <v>79.101699999999994</v>
      </c>
      <c r="S293">
        <v>4.5258399999999997E-3</v>
      </c>
      <c r="T293">
        <f>Table4389[[#This Row],[CFNM]]/Table4389[[#This Row],[CAREA]]</f>
        <v>5.7215458074858061E-5</v>
      </c>
      <c r="U293">
        <v>2</v>
      </c>
      <c r="V293">
        <f>-(Table5390[[#This Row],[time]]-2)*2</f>
        <v>0</v>
      </c>
      <c r="W293">
        <v>83.227699999999999</v>
      </c>
      <c r="X293">
        <v>3.5063499999999999</v>
      </c>
      <c r="Y293">
        <f>Table5390[[#This Row],[CFNM]]/Table5390[[#This Row],[CAREA]]</f>
        <v>4.2129603485378066E-2</v>
      </c>
      <c r="Z293">
        <v>2</v>
      </c>
      <c r="AA293">
        <f>-(Table6391[[#This Row],[time]]-2)*2</f>
        <v>0</v>
      </c>
      <c r="AB293">
        <v>84.265900000000002</v>
      </c>
      <c r="AC293">
        <v>6.2742399999999998</v>
      </c>
      <c r="AD293">
        <f>Table6391[[#This Row],[CFNM]]/Table6391[[#This Row],[CAREA]]</f>
        <v>7.4457639448460164E-2</v>
      </c>
      <c r="AE293">
        <v>2</v>
      </c>
      <c r="AF293">
        <f>-(Table7392[[#This Row],[time]]-2)*2</f>
        <v>0</v>
      </c>
      <c r="AG293">
        <v>78.459999999999994</v>
      </c>
      <c r="AH293">
        <v>14.707599999999999</v>
      </c>
      <c r="AI293">
        <f>Table7392[[#This Row],[CFNM]]/Table7392[[#This Row],[CAREA]]</f>
        <v>0.1874534794799898</v>
      </c>
      <c r="AJ293">
        <v>2</v>
      </c>
      <c r="AK293">
        <f>-(Table8393[[#This Row],[time]]-2)*2</f>
        <v>0</v>
      </c>
      <c r="AL293">
        <v>83.006</v>
      </c>
      <c r="AM293">
        <v>14.6488</v>
      </c>
      <c r="AN293">
        <f>Table8393[[#This Row],[CFNM]]/Table8393[[#This Row],[CAREA]]</f>
        <v>0.17647880876081246</v>
      </c>
    </row>
    <row r="294" spans="1:40">
      <c r="A294">
        <v>2.0512600000000001</v>
      </c>
      <c r="B294">
        <f>-(Table1386[[#This Row],[time]]-2)*2</f>
        <v>-0.10252000000000017</v>
      </c>
      <c r="C294">
        <v>91.331299999999999</v>
      </c>
      <c r="D294">
        <v>11.1311</v>
      </c>
      <c r="E294">
        <f>Table1386[[#This Row],[CFNM]]/Table1386[[#This Row],[CAREA]]</f>
        <v>0.12187607096362364</v>
      </c>
      <c r="F294">
        <v>2.0512600000000001</v>
      </c>
      <c r="G294">
        <f>-(Table2387[[#This Row],[time]]-2)*2</f>
        <v>-0.10252000000000017</v>
      </c>
      <c r="H294">
        <v>94.526799999999994</v>
      </c>
      <c r="I294">
        <v>3.3595299999999999</v>
      </c>
      <c r="J294">
        <f>Table2387[[#This Row],[CFNM]]/Table2387[[#This Row],[CAREA]]</f>
        <v>3.5540502799206154E-2</v>
      </c>
      <c r="K294">
        <v>2.0512600000000001</v>
      </c>
      <c r="L294">
        <f>-(Table3388[[#This Row],[time]]-2)*2</f>
        <v>-0.10252000000000017</v>
      </c>
      <c r="M294">
        <v>89.669200000000004</v>
      </c>
      <c r="N294">
        <v>4.8978099999999998</v>
      </c>
      <c r="O294">
        <f>Table3388[[#This Row],[CFNM]]/Table3388[[#This Row],[CAREA]]</f>
        <v>5.4620873164921729E-2</v>
      </c>
      <c r="P294">
        <v>2.0512600000000001</v>
      </c>
      <c r="Q294">
        <f>-(Table4389[[#This Row],[time]]-2)*2</f>
        <v>-0.10252000000000017</v>
      </c>
      <c r="R294">
        <v>86.002300000000005</v>
      </c>
      <c r="S294">
        <v>7.0460799999999999</v>
      </c>
      <c r="T294">
        <f>Table4389[[#This Row],[CFNM]]/Table4389[[#This Row],[CAREA]]</f>
        <v>8.1928971667036804E-2</v>
      </c>
      <c r="U294">
        <v>2.0512600000000001</v>
      </c>
      <c r="V294">
        <f>-(Table5390[[#This Row],[time]]-2)*2</f>
        <v>-0.10252000000000017</v>
      </c>
      <c r="W294">
        <v>82.2624</v>
      </c>
      <c r="X294">
        <v>11.9322</v>
      </c>
      <c r="Y294">
        <f>Table5390[[#This Row],[CFNM]]/Table5390[[#This Row],[CAREA]]</f>
        <v>0.14505047263391294</v>
      </c>
      <c r="Z294">
        <v>2.0512600000000001</v>
      </c>
      <c r="AA294">
        <f>-(Table6391[[#This Row],[time]]-2)*2</f>
        <v>-0.10252000000000017</v>
      </c>
      <c r="AB294">
        <v>88.945999999999998</v>
      </c>
      <c r="AC294">
        <v>17.9619</v>
      </c>
      <c r="AD294">
        <f>Table6391[[#This Row],[CFNM]]/Table6391[[#This Row],[CAREA]]</f>
        <v>0.20194162750432848</v>
      </c>
      <c r="AE294">
        <v>2.0512600000000001</v>
      </c>
      <c r="AF294">
        <f>-(Table7392[[#This Row],[time]]-2)*2</f>
        <v>-0.10252000000000017</v>
      </c>
      <c r="AG294">
        <v>79.1845</v>
      </c>
      <c r="AH294">
        <v>20.9346</v>
      </c>
      <c r="AI294">
        <f>Table7392[[#This Row],[CFNM]]/Table7392[[#This Row],[CAREA]]</f>
        <v>0.26437749812147576</v>
      </c>
      <c r="AJ294">
        <v>2.0512600000000001</v>
      </c>
      <c r="AK294">
        <f>-(Table8393[[#This Row],[time]]-2)*2</f>
        <v>-0.10252000000000017</v>
      </c>
      <c r="AL294">
        <v>83.022599999999997</v>
      </c>
      <c r="AM294">
        <v>20.7698</v>
      </c>
      <c r="AN294">
        <f>Table8393[[#This Row],[CFNM]]/Table8393[[#This Row],[CAREA]]</f>
        <v>0.25017043551996687</v>
      </c>
    </row>
    <row r="295" spans="1:40">
      <c r="A295">
        <v>2.1153300000000002</v>
      </c>
      <c r="B295">
        <f>-(Table1386[[#This Row],[time]]-2)*2</f>
        <v>-0.23066000000000031</v>
      </c>
      <c r="C295">
        <v>90.198099999999997</v>
      </c>
      <c r="D295">
        <v>12.1797</v>
      </c>
      <c r="E295">
        <f>Table1386[[#This Row],[CFNM]]/Table1386[[#This Row],[CAREA]]</f>
        <v>0.13503277785230511</v>
      </c>
      <c r="F295">
        <v>2.1153300000000002</v>
      </c>
      <c r="G295">
        <f>-(Table2387[[#This Row],[time]]-2)*2</f>
        <v>-0.23066000000000031</v>
      </c>
      <c r="H295">
        <v>94.379499999999993</v>
      </c>
      <c r="I295">
        <v>4.2464399999999998</v>
      </c>
      <c r="J295">
        <f>Table2387[[#This Row],[CFNM]]/Table2387[[#This Row],[CAREA]]</f>
        <v>4.4993245355188366E-2</v>
      </c>
      <c r="K295">
        <v>2.1153300000000002</v>
      </c>
      <c r="L295">
        <f>-(Table3388[[#This Row],[time]]-2)*2</f>
        <v>-0.23066000000000031</v>
      </c>
      <c r="M295">
        <v>89.671499999999995</v>
      </c>
      <c r="N295">
        <v>6.7267999999999999</v>
      </c>
      <c r="O295">
        <f>Table3388[[#This Row],[CFNM]]/Table3388[[#This Row],[CAREA]]</f>
        <v>7.50160307344028E-2</v>
      </c>
      <c r="P295">
        <v>2.1153300000000002</v>
      </c>
      <c r="Q295">
        <f>-(Table4389[[#This Row],[time]]-2)*2</f>
        <v>-0.23066000000000031</v>
      </c>
      <c r="R295">
        <v>86.720699999999994</v>
      </c>
      <c r="S295">
        <v>9.7880400000000005</v>
      </c>
      <c r="T295">
        <f>Table4389[[#This Row],[CFNM]]/Table4389[[#This Row],[CAREA]]</f>
        <v>0.11286855387468045</v>
      </c>
      <c r="U295">
        <v>2.1153300000000002</v>
      </c>
      <c r="V295">
        <f>-(Table5390[[#This Row],[time]]-2)*2</f>
        <v>-0.23066000000000031</v>
      </c>
      <c r="W295">
        <v>81.870099999999994</v>
      </c>
      <c r="X295">
        <v>17.345600000000001</v>
      </c>
      <c r="Y295">
        <f>Table5390[[#This Row],[CFNM]]/Table5390[[#This Row],[CAREA]]</f>
        <v>0.2118673361825624</v>
      </c>
      <c r="Z295">
        <v>2.1153300000000002</v>
      </c>
      <c r="AA295">
        <f>-(Table6391[[#This Row],[time]]-2)*2</f>
        <v>-0.23066000000000031</v>
      </c>
      <c r="AB295">
        <v>88.89</v>
      </c>
      <c r="AC295">
        <v>24.6462</v>
      </c>
      <c r="AD295">
        <f>Table6391[[#This Row],[CFNM]]/Table6391[[#This Row],[CAREA]]</f>
        <v>0.27726628417144789</v>
      </c>
      <c r="AE295">
        <v>2.1153300000000002</v>
      </c>
      <c r="AF295">
        <f>-(Table7392[[#This Row],[time]]-2)*2</f>
        <v>-0.23066000000000031</v>
      </c>
      <c r="AG295">
        <v>79.502899999999997</v>
      </c>
      <c r="AH295">
        <v>22.455400000000001</v>
      </c>
      <c r="AI295">
        <f>Table7392[[#This Row],[CFNM]]/Table7392[[#This Row],[CAREA]]</f>
        <v>0.28244755851673337</v>
      </c>
      <c r="AJ295">
        <v>2.1153300000000002</v>
      </c>
      <c r="AK295">
        <f>-(Table8393[[#This Row],[time]]-2)*2</f>
        <v>-0.23066000000000031</v>
      </c>
      <c r="AL295">
        <v>82.777699999999996</v>
      </c>
      <c r="AM295">
        <v>23.0671</v>
      </c>
      <c r="AN295">
        <f>Table8393[[#This Row],[CFNM]]/Table8393[[#This Row],[CAREA]]</f>
        <v>0.27866321485134282</v>
      </c>
    </row>
    <row r="296" spans="1:40">
      <c r="A296">
        <v>2.16533</v>
      </c>
      <c r="B296">
        <f>-(Table1386[[#This Row],[time]]-2)*2</f>
        <v>-0.33065999999999995</v>
      </c>
      <c r="C296">
        <v>89.645799999999994</v>
      </c>
      <c r="D296">
        <v>12.950900000000001</v>
      </c>
      <c r="E296">
        <f>Table1386[[#This Row],[CFNM]]/Table1386[[#This Row],[CAREA]]</f>
        <v>0.14446744855866089</v>
      </c>
      <c r="F296">
        <v>2.16533</v>
      </c>
      <c r="G296">
        <f>-(Table2387[[#This Row],[time]]-2)*2</f>
        <v>-0.33065999999999995</v>
      </c>
      <c r="H296">
        <v>94.620900000000006</v>
      </c>
      <c r="I296">
        <v>5.0081300000000004</v>
      </c>
      <c r="J296">
        <f>Table2387[[#This Row],[CFNM]]/Table2387[[#This Row],[CAREA]]</f>
        <v>5.2928369947865643E-2</v>
      </c>
      <c r="K296">
        <v>2.16533</v>
      </c>
      <c r="L296">
        <f>-(Table3388[[#This Row],[time]]-2)*2</f>
        <v>-0.33065999999999995</v>
      </c>
      <c r="M296">
        <v>89.439899999999994</v>
      </c>
      <c r="N296">
        <v>8.1371199999999995</v>
      </c>
      <c r="O296">
        <f>Table3388[[#This Row],[CFNM]]/Table3388[[#This Row],[CAREA]]</f>
        <v>9.0978634815110482E-2</v>
      </c>
      <c r="P296">
        <v>2.16533</v>
      </c>
      <c r="Q296">
        <f>-(Table4389[[#This Row],[time]]-2)*2</f>
        <v>-0.33065999999999995</v>
      </c>
      <c r="R296">
        <v>87.033900000000003</v>
      </c>
      <c r="S296">
        <v>11.785600000000001</v>
      </c>
      <c r="T296">
        <f>Table4389[[#This Row],[CFNM]]/Table4389[[#This Row],[CAREA]]</f>
        <v>0.13541390193935926</v>
      </c>
      <c r="U296">
        <v>2.16533</v>
      </c>
      <c r="V296">
        <f>-(Table5390[[#This Row],[time]]-2)*2</f>
        <v>-0.33065999999999995</v>
      </c>
      <c r="W296">
        <v>81.848399999999998</v>
      </c>
      <c r="X296">
        <v>21.358499999999999</v>
      </c>
      <c r="Y296">
        <f>Table5390[[#This Row],[CFNM]]/Table5390[[#This Row],[CAREA]]</f>
        <v>0.26095195507792457</v>
      </c>
      <c r="Z296">
        <v>2.16533</v>
      </c>
      <c r="AA296">
        <f>-(Table6391[[#This Row],[time]]-2)*2</f>
        <v>-0.33065999999999995</v>
      </c>
      <c r="AB296">
        <v>88.608800000000002</v>
      </c>
      <c r="AC296">
        <v>29.959199999999999</v>
      </c>
      <c r="AD296">
        <f>Table6391[[#This Row],[CFNM]]/Table6391[[#This Row],[CAREA]]</f>
        <v>0.33810637318189612</v>
      </c>
      <c r="AE296">
        <v>2.16533</v>
      </c>
      <c r="AF296">
        <f>-(Table7392[[#This Row],[time]]-2)*2</f>
        <v>-0.33065999999999995</v>
      </c>
      <c r="AG296">
        <v>79.742599999999996</v>
      </c>
      <c r="AH296">
        <v>24.619599999999998</v>
      </c>
      <c r="AI296">
        <f>Table7392[[#This Row],[CFNM]]/Table7392[[#This Row],[CAREA]]</f>
        <v>0.30873836569161278</v>
      </c>
      <c r="AJ296">
        <v>2.16533</v>
      </c>
      <c r="AK296">
        <f>-(Table8393[[#This Row],[time]]-2)*2</f>
        <v>-0.33065999999999995</v>
      </c>
      <c r="AL296">
        <v>82.493399999999994</v>
      </c>
      <c r="AM296">
        <v>26.106000000000002</v>
      </c>
      <c r="AN296">
        <f>Table8393[[#This Row],[CFNM]]/Table8393[[#This Row],[CAREA]]</f>
        <v>0.31646168057080937</v>
      </c>
    </row>
    <row r="297" spans="1:40">
      <c r="A297">
        <v>2.2246999999999999</v>
      </c>
      <c r="B297">
        <f>-(Table1386[[#This Row],[time]]-2)*2</f>
        <v>-0.4493999999999998</v>
      </c>
      <c r="C297">
        <v>89.288300000000007</v>
      </c>
      <c r="D297">
        <v>13.9269</v>
      </c>
      <c r="E297">
        <f>Table1386[[#This Row],[CFNM]]/Table1386[[#This Row],[CAREA]]</f>
        <v>0.15597676291294602</v>
      </c>
      <c r="F297">
        <v>2.2246999999999999</v>
      </c>
      <c r="G297">
        <f>-(Table2387[[#This Row],[time]]-2)*2</f>
        <v>-0.4493999999999998</v>
      </c>
      <c r="H297">
        <v>94.712500000000006</v>
      </c>
      <c r="I297">
        <v>6.0005600000000001</v>
      </c>
      <c r="J297">
        <f>Table2387[[#This Row],[CFNM]]/Table2387[[#This Row],[CAREA]]</f>
        <v>6.3355523294179747E-2</v>
      </c>
      <c r="K297">
        <v>2.2246999999999999</v>
      </c>
      <c r="L297">
        <f>-(Table3388[[#This Row],[time]]-2)*2</f>
        <v>-0.4493999999999998</v>
      </c>
      <c r="M297">
        <v>89.634600000000006</v>
      </c>
      <c r="N297">
        <v>9.8040299999999991</v>
      </c>
      <c r="O297">
        <f>Table3388[[#This Row],[CFNM]]/Table3388[[#This Row],[CAREA]]</f>
        <v>0.10937774029225319</v>
      </c>
      <c r="P297">
        <v>2.2246999999999999</v>
      </c>
      <c r="Q297">
        <f>-(Table4389[[#This Row],[time]]-2)*2</f>
        <v>-0.4493999999999998</v>
      </c>
      <c r="R297">
        <v>87.5929</v>
      </c>
      <c r="S297">
        <v>13.963800000000001</v>
      </c>
      <c r="T297">
        <f>Table4389[[#This Row],[CFNM]]/Table4389[[#This Row],[CAREA]]</f>
        <v>0.15941703037574964</v>
      </c>
      <c r="U297">
        <v>2.2246999999999999</v>
      </c>
      <c r="V297">
        <f>-(Table5390[[#This Row],[time]]-2)*2</f>
        <v>-0.4493999999999998</v>
      </c>
      <c r="W297">
        <v>81.221000000000004</v>
      </c>
      <c r="X297">
        <v>24.9573</v>
      </c>
      <c r="Y297">
        <f>Table5390[[#This Row],[CFNM]]/Table5390[[#This Row],[CAREA]]</f>
        <v>0.30727644328437226</v>
      </c>
      <c r="Z297">
        <v>2.2246999999999999</v>
      </c>
      <c r="AA297">
        <f>-(Table6391[[#This Row],[time]]-2)*2</f>
        <v>-0.4493999999999998</v>
      </c>
      <c r="AB297">
        <v>89.151899999999998</v>
      </c>
      <c r="AC297">
        <v>35.063099999999999</v>
      </c>
      <c r="AD297">
        <f>Table6391[[#This Row],[CFNM]]/Table6391[[#This Row],[CAREA]]</f>
        <v>0.39329616082214736</v>
      </c>
      <c r="AE297">
        <v>2.2246999999999999</v>
      </c>
      <c r="AF297">
        <f>-(Table7392[[#This Row],[time]]-2)*2</f>
        <v>-0.4493999999999998</v>
      </c>
      <c r="AG297">
        <v>80.051100000000005</v>
      </c>
      <c r="AH297">
        <v>27.852</v>
      </c>
      <c r="AI297">
        <f>Table7392[[#This Row],[CFNM]]/Table7392[[#This Row],[CAREA]]</f>
        <v>0.34792776114257018</v>
      </c>
      <c r="AJ297">
        <v>2.2246999999999999</v>
      </c>
      <c r="AK297">
        <f>-(Table8393[[#This Row],[time]]-2)*2</f>
        <v>-0.4493999999999998</v>
      </c>
      <c r="AL297">
        <v>82.197599999999994</v>
      </c>
      <c r="AM297">
        <v>29.988399999999999</v>
      </c>
      <c r="AN297">
        <f>Table8393[[#This Row],[CFNM]]/Table8393[[#This Row],[CAREA]]</f>
        <v>0.36483303648768334</v>
      </c>
    </row>
    <row r="298" spans="1:40">
      <c r="A298">
        <v>2.2668900000000001</v>
      </c>
      <c r="B298">
        <f>-(Table1386[[#This Row],[time]]-2)*2</f>
        <v>-0.53378000000000014</v>
      </c>
      <c r="C298">
        <v>89.199200000000005</v>
      </c>
      <c r="D298">
        <v>14.8894</v>
      </c>
      <c r="E298">
        <f>Table1386[[#This Row],[CFNM]]/Table1386[[#This Row],[CAREA]]</f>
        <v>0.1669230217311366</v>
      </c>
      <c r="F298">
        <v>2.2668900000000001</v>
      </c>
      <c r="G298">
        <f>-(Table2387[[#This Row],[time]]-2)*2</f>
        <v>-0.53378000000000014</v>
      </c>
      <c r="H298">
        <v>95.230800000000002</v>
      </c>
      <c r="I298">
        <v>6.9916400000000003</v>
      </c>
      <c r="J298">
        <f>Table2387[[#This Row],[CFNM]]/Table2387[[#This Row],[CAREA]]</f>
        <v>7.3417843806835609E-2</v>
      </c>
      <c r="K298">
        <v>2.2668900000000001</v>
      </c>
      <c r="L298">
        <f>-(Table3388[[#This Row],[time]]-2)*2</f>
        <v>-0.53378000000000014</v>
      </c>
      <c r="M298">
        <v>89.273200000000003</v>
      </c>
      <c r="N298">
        <v>11.414099999999999</v>
      </c>
      <c r="O298">
        <f>Table3388[[#This Row],[CFNM]]/Table3388[[#This Row],[CAREA]]</f>
        <v>0.12785584027457286</v>
      </c>
      <c r="P298">
        <v>2.2668900000000001</v>
      </c>
      <c r="Q298">
        <f>-(Table4389[[#This Row],[time]]-2)*2</f>
        <v>-0.53378000000000014</v>
      </c>
      <c r="R298">
        <v>87.944199999999995</v>
      </c>
      <c r="S298">
        <v>16.010100000000001</v>
      </c>
      <c r="T298">
        <f>Table4389[[#This Row],[CFNM]]/Table4389[[#This Row],[CAREA]]</f>
        <v>0.18204838977442517</v>
      </c>
      <c r="U298">
        <v>2.2668900000000001</v>
      </c>
      <c r="V298">
        <f>-(Table5390[[#This Row],[time]]-2)*2</f>
        <v>-0.53378000000000014</v>
      </c>
      <c r="W298">
        <v>80.019499999999994</v>
      </c>
      <c r="X298">
        <v>27.6402</v>
      </c>
      <c r="Y298">
        <f>Table5390[[#This Row],[CFNM]]/Table5390[[#This Row],[CAREA]]</f>
        <v>0.34541830428832976</v>
      </c>
      <c r="Z298">
        <v>2.2668900000000001</v>
      </c>
      <c r="AA298">
        <f>-(Table6391[[#This Row],[time]]-2)*2</f>
        <v>-0.53378000000000014</v>
      </c>
      <c r="AB298">
        <v>88.402299999999997</v>
      </c>
      <c r="AC298">
        <v>39.000799999999998</v>
      </c>
      <c r="AD298">
        <f>Table6391[[#This Row],[CFNM]]/Table6391[[#This Row],[CAREA]]</f>
        <v>0.44117404185185227</v>
      </c>
      <c r="AE298">
        <v>2.2668900000000001</v>
      </c>
      <c r="AF298">
        <f>-(Table7392[[#This Row],[time]]-2)*2</f>
        <v>-0.53378000000000014</v>
      </c>
      <c r="AG298">
        <v>80.166899999999998</v>
      </c>
      <c r="AH298">
        <v>31.162099999999999</v>
      </c>
      <c r="AI298">
        <f>Table7392[[#This Row],[CFNM]]/Table7392[[#This Row],[CAREA]]</f>
        <v>0.38871529272056171</v>
      </c>
      <c r="AJ298">
        <v>2.2668900000000001</v>
      </c>
      <c r="AK298">
        <f>-(Table8393[[#This Row],[time]]-2)*2</f>
        <v>-0.53378000000000014</v>
      </c>
      <c r="AL298">
        <v>81.977900000000005</v>
      </c>
      <c r="AM298">
        <v>33.427500000000002</v>
      </c>
      <c r="AN298">
        <f>Table8393[[#This Row],[CFNM]]/Table8393[[#This Row],[CAREA]]</f>
        <v>0.4077623359466393</v>
      </c>
    </row>
    <row r="299" spans="1:40">
      <c r="A299">
        <v>2.3262700000000001</v>
      </c>
      <c r="B299">
        <f>-(Table1386[[#This Row],[time]]-2)*2</f>
        <v>-0.65254000000000012</v>
      </c>
      <c r="C299">
        <v>89.343800000000002</v>
      </c>
      <c r="D299">
        <v>15.9712</v>
      </c>
      <c r="E299">
        <f>Table1386[[#This Row],[CFNM]]/Table1386[[#This Row],[CAREA]]</f>
        <v>0.1787611451494116</v>
      </c>
      <c r="F299">
        <v>2.3262700000000001</v>
      </c>
      <c r="G299">
        <f>-(Table2387[[#This Row],[time]]-2)*2</f>
        <v>-0.65254000000000012</v>
      </c>
      <c r="H299">
        <v>95.647400000000005</v>
      </c>
      <c r="I299">
        <v>8.2621000000000002</v>
      </c>
      <c r="J299">
        <f>Table2387[[#This Row],[CFNM]]/Table2387[[#This Row],[CAREA]]</f>
        <v>8.6380811187758366E-2</v>
      </c>
      <c r="K299">
        <v>2.3262700000000001</v>
      </c>
      <c r="L299">
        <f>-(Table3388[[#This Row],[time]]-2)*2</f>
        <v>-0.65254000000000012</v>
      </c>
      <c r="M299">
        <v>89.991900000000001</v>
      </c>
      <c r="N299">
        <v>13.674099999999999</v>
      </c>
      <c r="O299">
        <f>Table3388[[#This Row],[CFNM]]/Table3388[[#This Row],[CAREA]]</f>
        <v>0.15194811977522421</v>
      </c>
      <c r="P299">
        <v>2.3262700000000001</v>
      </c>
      <c r="Q299">
        <f>-(Table4389[[#This Row],[time]]-2)*2</f>
        <v>-0.65254000000000012</v>
      </c>
      <c r="R299">
        <v>88.283299999999997</v>
      </c>
      <c r="S299">
        <v>18.5471</v>
      </c>
      <c r="T299">
        <f>Table4389[[#This Row],[CFNM]]/Table4389[[#This Row],[CAREA]]</f>
        <v>0.21008616578673431</v>
      </c>
      <c r="U299">
        <v>2.3262700000000001</v>
      </c>
      <c r="V299">
        <f>-(Table5390[[#This Row],[time]]-2)*2</f>
        <v>-0.65254000000000012</v>
      </c>
      <c r="W299">
        <v>79.146799999999999</v>
      </c>
      <c r="X299">
        <v>30.340499999999999</v>
      </c>
      <c r="Y299">
        <f>Table5390[[#This Row],[CFNM]]/Table5390[[#This Row],[CAREA]]</f>
        <v>0.38334462037631339</v>
      </c>
      <c r="Z299">
        <v>2.3262700000000001</v>
      </c>
      <c r="AA299">
        <f>-(Table6391[[#This Row],[time]]-2)*2</f>
        <v>-0.65254000000000012</v>
      </c>
      <c r="AB299">
        <v>87.376300000000001</v>
      </c>
      <c r="AC299">
        <v>43.205100000000002</v>
      </c>
      <c r="AD299">
        <f>Table6391[[#This Row],[CFNM]]/Table6391[[#This Row],[CAREA]]</f>
        <v>0.49447161301176634</v>
      </c>
      <c r="AE299">
        <v>2.3262700000000001</v>
      </c>
      <c r="AF299">
        <f>-(Table7392[[#This Row],[time]]-2)*2</f>
        <v>-0.65254000000000012</v>
      </c>
      <c r="AG299">
        <v>80.098299999999995</v>
      </c>
      <c r="AH299">
        <v>35.210799999999999</v>
      </c>
      <c r="AI299">
        <f>Table7392[[#This Row],[CFNM]]/Table7392[[#This Row],[CAREA]]</f>
        <v>0.439594847830728</v>
      </c>
      <c r="AJ299">
        <v>2.3262700000000001</v>
      </c>
      <c r="AK299">
        <f>-(Table8393[[#This Row],[time]]-2)*2</f>
        <v>-0.65254000000000012</v>
      </c>
      <c r="AL299">
        <v>81.536100000000005</v>
      </c>
      <c r="AM299">
        <v>37.343699999999998</v>
      </c>
      <c r="AN299">
        <f>Table8393[[#This Row],[CFNM]]/Table8393[[#This Row],[CAREA]]</f>
        <v>0.45800203836092229</v>
      </c>
    </row>
    <row r="300" spans="1:40">
      <c r="A300">
        <v>2.3684599999999998</v>
      </c>
      <c r="B300">
        <f>-(Table1386[[#This Row],[time]]-2)*2</f>
        <v>-0.73691999999999958</v>
      </c>
      <c r="C300">
        <v>89.694400000000002</v>
      </c>
      <c r="D300">
        <v>17.081099999999999</v>
      </c>
      <c r="E300">
        <f>Table1386[[#This Row],[CFNM]]/Table1386[[#This Row],[CAREA]]</f>
        <v>0.19043663818476961</v>
      </c>
      <c r="F300">
        <v>2.3684599999999998</v>
      </c>
      <c r="G300">
        <f>-(Table2387[[#This Row],[time]]-2)*2</f>
        <v>-0.73691999999999958</v>
      </c>
      <c r="H300">
        <v>96.140500000000003</v>
      </c>
      <c r="I300">
        <v>9.5926600000000004</v>
      </c>
      <c r="J300">
        <f>Table2387[[#This Row],[CFNM]]/Table2387[[#This Row],[CAREA]]</f>
        <v>9.9777513118820896E-2</v>
      </c>
      <c r="K300">
        <v>2.3684599999999998</v>
      </c>
      <c r="L300">
        <f>-(Table3388[[#This Row],[time]]-2)*2</f>
        <v>-0.73691999999999958</v>
      </c>
      <c r="M300">
        <v>89.868300000000005</v>
      </c>
      <c r="N300">
        <v>15.911199999999999</v>
      </c>
      <c r="O300">
        <f>Table3388[[#This Row],[CFNM]]/Table3388[[#This Row],[CAREA]]</f>
        <v>0.17705019456248752</v>
      </c>
      <c r="P300">
        <v>2.3684599999999998</v>
      </c>
      <c r="Q300">
        <f>-(Table4389[[#This Row],[time]]-2)*2</f>
        <v>-0.73691999999999958</v>
      </c>
      <c r="R300">
        <v>88.527799999999999</v>
      </c>
      <c r="S300">
        <v>21.108499999999999</v>
      </c>
      <c r="T300">
        <f>Table4389[[#This Row],[CFNM]]/Table4389[[#This Row],[CAREA]]</f>
        <v>0.23843922474070292</v>
      </c>
      <c r="U300">
        <v>2.3684599999999998</v>
      </c>
      <c r="V300">
        <f>-(Table5390[[#This Row],[time]]-2)*2</f>
        <v>-0.73691999999999958</v>
      </c>
      <c r="W300">
        <v>78.046199999999999</v>
      </c>
      <c r="X300">
        <v>32.866999999999997</v>
      </c>
      <c r="Y300">
        <f>Table5390[[#This Row],[CFNM]]/Table5390[[#This Row],[CAREA]]</f>
        <v>0.42112236085805582</v>
      </c>
      <c r="Z300">
        <v>2.3684599999999998</v>
      </c>
      <c r="AA300">
        <f>-(Table6391[[#This Row],[time]]-2)*2</f>
        <v>-0.73691999999999958</v>
      </c>
      <c r="AB300">
        <v>86.337400000000002</v>
      </c>
      <c r="AC300">
        <v>46.8367</v>
      </c>
      <c r="AD300">
        <f>Table6391[[#This Row],[CFNM]]/Table6391[[#This Row],[CAREA]]</f>
        <v>0.54248448528679338</v>
      </c>
      <c r="AE300">
        <v>2.3684599999999998</v>
      </c>
      <c r="AF300">
        <f>-(Table7392[[#This Row],[time]]-2)*2</f>
        <v>-0.73691999999999958</v>
      </c>
      <c r="AG300">
        <v>79.962900000000005</v>
      </c>
      <c r="AH300">
        <v>39.009</v>
      </c>
      <c r="AI300">
        <f>Table7392[[#This Row],[CFNM]]/Table7392[[#This Row],[CAREA]]</f>
        <v>0.48783873521345522</v>
      </c>
      <c r="AJ300">
        <v>2.3684599999999998</v>
      </c>
      <c r="AK300">
        <f>-(Table8393[[#This Row],[time]]-2)*2</f>
        <v>-0.73691999999999958</v>
      </c>
      <c r="AL300">
        <v>81.2667</v>
      </c>
      <c r="AM300">
        <v>41.115400000000001</v>
      </c>
      <c r="AN300">
        <f>Table8393[[#This Row],[CFNM]]/Table8393[[#This Row],[CAREA]]</f>
        <v>0.50593170388363251</v>
      </c>
    </row>
    <row r="301" spans="1:40">
      <c r="A301">
        <v>2.4278300000000002</v>
      </c>
      <c r="B301">
        <f>-(Table1386[[#This Row],[time]]-2)*2</f>
        <v>-0.85566000000000031</v>
      </c>
      <c r="C301">
        <v>90.144499999999994</v>
      </c>
      <c r="D301">
        <v>18.115100000000002</v>
      </c>
      <c r="E301">
        <f>Table1386[[#This Row],[CFNM]]/Table1386[[#This Row],[CAREA]]</f>
        <v>0.20095624247735583</v>
      </c>
      <c r="F301">
        <v>2.4278300000000002</v>
      </c>
      <c r="G301">
        <f>-(Table2387[[#This Row],[time]]-2)*2</f>
        <v>-0.85566000000000031</v>
      </c>
      <c r="H301">
        <v>96.531199999999998</v>
      </c>
      <c r="I301">
        <v>11.121</v>
      </c>
      <c r="J301">
        <f>Table2387[[#This Row],[CFNM]]/Table2387[[#This Row],[CAREA]]</f>
        <v>0.1152062752768017</v>
      </c>
      <c r="K301">
        <v>2.4278300000000002</v>
      </c>
      <c r="L301">
        <f>-(Table3388[[#This Row],[time]]-2)*2</f>
        <v>-0.85566000000000031</v>
      </c>
      <c r="M301">
        <v>90.287499999999994</v>
      </c>
      <c r="N301">
        <v>18.0078</v>
      </c>
      <c r="O301">
        <f>Table3388[[#This Row],[CFNM]]/Table3388[[#This Row],[CAREA]]</f>
        <v>0.19944953620379344</v>
      </c>
      <c r="P301">
        <v>2.4278300000000002</v>
      </c>
      <c r="Q301">
        <f>-(Table4389[[#This Row],[time]]-2)*2</f>
        <v>-0.85566000000000031</v>
      </c>
      <c r="R301">
        <v>88.552199999999999</v>
      </c>
      <c r="S301">
        <v>23.470600000000001</v>
      </c>
      <c r="T301">
        <f>Table4389[[#This Row],[CFNM]]/Table4389[[#This Row],[CAREA]]</f>
        <v>0.26504818626753485</v>
      </c>
      <c r="U301">
        <v>2.4278300000000002</v>
      </c>
      <c r="V301">
        <f>-(Table5390[[#This Row],[time]]-2)*2</f>
        <v>-0.85566000000000031</v>
      </c>
      <c r="W301">
        <v>77.101600000000005</v>
      </c>
      <c r="X301">
        <v>35.051400000000001</v>
      </c>
      <c r="Y301">
        <f>Table5390[[#This Row],[CFNM]]/Table5390[[#This Row],[CAREA]]</f>
        <v>0.45461313383898644</v>
      </c>
      <c r="Z301">
        <v>2.4278300000000002</v>
      </c>
      <c r="AA301">
        <f>-(Table6391[[#This Row],[time]]-2)*2</f>
        <v>-0.85566000000000031</v>
      </c>
      <c r="AB301">
        <v>84.690799999999996</v>
      </c>
      <c r="AC301">
        <v>49.802199999999999</v>
      </c>
      <c r="AD301">
        <f>Table6391[[#This Row],[CFNM]]/Table6391[[#This Row],[CAREA]]</f>
        <v>0.58804734398541525</v>
      </c>
      <c r="AE301">
        <v>2.4278300000000002</v>
      </c>
      <c r="AF301">
        <f>-(Table7392[[#This Row],[time]]-2)*2</f>
        <v>-0.85566000000000031</v>
      </c>
      <c r="AG301">
        <v>79.616299999999995</v>
      </c>
      <c r="AH301">
        <v>42.297499999999999</v>
      </c>
      <c r="AI301">
        <f>Table7392[[#This Row],[CFNM]]/Table7392[[#This Row],[CAREA]]</f>
        <v>0.53126683857451307</v>
      </c>
      <c r="AJ301">
        <v>2.4278300000000002</v>
      </c>
      <c r="AK301">
        <f>-(Table8393[[#This Row],[time]]-2)*2</f>
        <v>-0.85566000000000031</v>
      </c>
      <c r="AL301">
        <v>80.188500000000005</v>
      </c>
      <c r="AM301">
        <v>44.258099999999999</v>
      </c>
      <c r="AN301">
        <f>Table8393[[#This Row],[CFNM]]/Table8393[[#This Row],[CAREA]]</f>
        <v>0.55192577489290851</v>
      </c>
    </row>
    <row r="302" spans="1:40">
      <c r="A302">
        <v>2.4542000000000002</v>
      </c>
      <c r="B302">
        <f>-(Table1386[[#This Row],[time]]-2)*2</f>
        <v>-0.90840000000000032</v>
      </c>
      <c r="C302">
        <v>90.711500000000001</v>
      </c>
      <c r="D302">
        <v>19.202200000000001</v>
      </c>
      <c r="E302">
        <f>Table1386[[#This Row],[CFNM]]/Table1386[[#This Row],[CAREA]]</f>
        <v>0.21168429581695816</v>
      </c>
      <c r="F302">
        <v>2.4542000000000002</v>
      </c>
      <c r="G302">
        <f>-(Table2387[[#This Row],[time]]-2)*2</f>
        <v>-0.90840000000000032</v>
      </c>
      <c r="H302">
        <v>96.886200000000002</v>
      </c>
      <c r="I302">
        <v>12.883900000000001</v>
      </c>
      <c r="J302">
        <f>Table2387[[#This Row],[CFNM]]/Table2387[[#This Row],[CAREA]]</f>
        <v>0.13297972260239332</v>
      </c>
      <c r="K302">
        <v>2.4542000000000002</v>
      </c>
      <c r="L302">
        <f>-(Table3388[[#This Row],[time]]-2)*2</f>
        <v>-0.90840000000000032</v>
      </c>
      <c r="M302">
        <v>90.195700000000002</v>
      </c>
      <c r="N302">
        <v>20.248899999999999</v>
      </c>
      <c r="O302">
        <f>Table3388[[#This Row],[CFNM]]/Table3388[[#This Row],[CAREA]]</f>
        <v>0.2244996158353447</v>
      </c>
      <c r="P302">
        <v>2.4542000000000002</v>
      </c>
      <c r="Q302">
        <f>-(Table4389[[#This Row],[time]]-2)*2</f>
        <v>-0.90840000000000032</v>
      </c>
      <c r="R302">
        <v>88.4054</v>
      </c>
      <c r="S302">
        <v>26.135999999999999</v>
      </c>
      <c r="T302">
        <f>Table4389[[#This Row],[CFNM]]/Table4389[[#This Row],[CAREA]]</f>
        <v>0.29563804925943438</v>
      </c>
      <c r="U302">
        <v>2.4542000000000002</v>
      </c>
      <c r="V302">
        <f>-(Table5390[[#This Row],[time]]-2)*2</f>
        <v>-0.90840000000000032</v>
      </c>
      <c r="W302">
        <v>75.923299999999998</v>
      </c>
      <c r="X302">
        <v>37.249299999999998</v>
      </c>
      <c r="Y302">
        <f>Table5390[[#This Row],[CFNM]]/Table5390[[#This Row],[CAREA]]</f>
        <v>0.49061750477126259</v>
      </c>
      <c r="Z302">
        <v>2.4542000000000002</v>
      </c>
      <c r="AA302">
        <f>-(Table6391[[#This Row],[time]]-2)*2</f>
        <v>-0.90840000000000032</v>
      </c>
      <c r="AB302">
        <v>83.703400000000002</v>
      </c>
      <c r="AC302">
        <v>52.811999999999998</v>
      </c>
      <c r="AD302">
        <f>Table6391[[#This Row],[CFNM]]/Table6391[[#This Row],[CAREA]]</f>
        <v>0.63094211226784092</v>
      </c>
      <c r="AE302">
        <v>2.4542000000000002</v>
      </c>
      <c r="AF302">
        <f>-(Table7392[[#This Row],[time]]-2)*2</f>
        <v>-0.90840000000000032</v>
      </c>
      <c r="AG302">
        <v>79.063500000000005</v>
      </c>
      <c r="AH302">
        <v>45.6922</v>
      </c>
      <c r="AI302">
        <f>Table7392[[#This Row],[CFNM]]/Table7392[[#This Row],[CAREA]]</f>
        <v>0.57791774965692133</v>
      </c>
      <c r="AJ302">
        <v>2.4542000000000002</v>
      </c>
      <c r="AK302">
        <f>-(Table8393[[#This Row],[time]]-2)*2</f>
        <v>-0.90840000000000032</v>
      </c>
      <c r="AL302">
        <v>79.876099999999994</v>
      </c>
      <c r="AM302">
        <v>47.471299999999999</v>
      </c>
      <c r="AN302">
        <f>Table8393[[#This Row],[CFNM]]/Table8393[[#This Row],[CAREA]]</f>
        <v>0.59431169023024411</v>
      </c>
    </row>
    <row r="303" spans="1:40">
      <c r="A303">
        <v>2.5061499999999999</v>
      </c>
      <c r="B303">
        <f>-(Table1386[[#This Row],[time]]-2)*2</f>
        <v>-1.0122999999999998</v>
      </c>
      <c r="C303">
        <v>91.286799999999999</v>
      </c>
      <c r="D303">
        <v>20.2561</v>
      </c>
      <c r="E303">
        <f>Table1386[[#This Row],[CFNM]]/Table1386[[#This Row],[CAREA]]</f>
        <v>0.22189516994790046</v>
      </c>
      <c r="F303">
        <v>2.5061499999999999</v>
      </c>
      <c r="G303">
        <f>-(Table2387[[#This Row],[time]]-2)*2</f>
        <v>-1.0122999999999998</v>
      </c>
      <c r="H303">
        <v>97.686099999999996</v>
      </c>
      <c r="I303">
        <v>14.801500000000001</v>
      </c>
      <c r="J303">
        <f>Table2387[[#This Row],[CFNM]]/Table2387[[#This Row],[CAREA]]</f>
        <v>0.15152104547115711</v>
      </c>
      <c r="K303">
        <v>2.5061499999999999</v>
      </c>
      <c r="L303">
        <f>-(Table3388[[#This Row],[time]]-2)*2</f>
        <v>-1.0122999999999998</v>
      </c>
      <c r="M303">
        <v>89.867000000000004</v>
      </c>
      <c r="N303">
        <v>22.666699999999999</v>
      </c>
      <c r="O303">
        <f>Table3388[[#This Row],[CFNM]]/Table3388[[#This Row],[CAREA]]</f>
        <v>0.25222495465521266</v>
      </c>
      <c r="P303">
        <v>2.5061499999999999</v>
      </c>
      <c r="Q303">
        <f>-(Table4389[[#This Row],[time]]-2)*2</f>
        <v>-1.0122999999999998</v>
      </c>
      <c r="R303">
        <v>88.145200000000003</v>
      </c>
      <c r="S303">
        <v>29.386900000000001</v>
      </c>
      <c r="T303">
        <f>Table4389[[#This Row],[CFNM]]/Table4389[[#This Row],[CAREA]]</f>
        <v>0.33339194873912592</v>
      </c>
      <c r="U303">
        <v>2.5061499999999999</v>
      </c>
      <c r="V303">
        <f>-(Table5390[[#This Row],[time]]-2)*2</f>
        <v>-1.0122999999999998</v>
      </c>
      <c r="W303">
        <v>72.920500000000004</v>
      </c>
      <c r="X303">
        <v>41.156300000000002</v>
      </c>
      <c r="Y303">
        <f>Table5390[[#This Row],[CFNM]]/Table5390[[#This Row],[CAREA]]</f>
        <v>0.56439958585034389</v>
      </c>
      <c r="Z303">
        <v>2.5061499999999999</v>
      </c>
      <c r="AA303">
        <f>-(Table6391[[#This Row],[time]]-2)*2</f>
        <v>-1.0122999999999998</v>
      </c>
      <c r="AB303">
        <v>82.056700000000006</v>
      </c>
      <c r="AC303">
        <v>56.885800000000003</v>
      </c>
      <c r="AD303">
        <f>Table6391[[#This Row],[CFNM]]/Table6391[[#This Row],[CAREA]]</f>
        <v>0.6932499113417917</v>
      </c>
      <c r="AE303">
        <v>2.5061499999999999</v>
      </c>
      <c r="AF303">
        <f>-(Table7392[[#This Row],[time]]-2)*2</f>
        <v>-1.0122999999999998</v>
      </c>
      <c r="AG303">
        <v>78.144999999999996</v>
      </c>
      <c r="AH303">
        <v>49.719299999999997</v>
      </c>
      <c r="AI303">
        <f>Table7392[[#This Row],[CFNM]]/Table7392[[#This Row],[CAREA]]</f>
        <v>0.63624416149465735</v>
      </c>
      <c r="AJ303">
        <v>2.5061499999999999</v>
      </c>
      <c r="AK303">
        <f>-(Table8393[[#This Row],[time]]-2)*2</f>
        <v>-1.0122999999999998</v>
      </c>
      <c r="AL303">
        <v>79.617800000000003</v>
      </c>
      <c r="AM303">
        <v>51.114699999999999</v>
      </c>
      <c r="AN303">
        <f>Table8393[[#This Row],[CFNM]]/Table8393[[#This Row],[CAREA]]</f>
        <v>0.6420009093443928</v>
      </c>
    </row>
    <row r="304" spans="1:40">
      <c r="A304">
        <v>2.5507599999999999</v>
      </c>
      <c r="B304">
        <f>-(Table1386[[#This Row],[time]]-2)*2</f>
        <v>-1.1015199999999998</v>
      </c>
      <c r="C304">
        <v>91.256600000000006</v>
      </c>
      <c r="D304">
        <v>21.2865</v>
      </c>
      <c r="E304">
        <f>Table1386[[#This Row],[CFNM]]/Table1386[[#This Row],[CAREA]]</f>
        <v>0.23325984093205313</v>
      </c>
      <c r="F304">
        <v>2.5507599999999999</v>
      </c>
      <c r="G304">
        <f>-(Table2387[[#This Row],[time]]-2)*2</f>
        <v>-1.1015199999999998</v>
      </c>
      <c r="H304">
        <v>98.744200000000006</v>
      </c>
      <c r="I304">
        <v>16.492699999999999</v>
      </c>
      <c r="J304">
        <f>Table2387[[#This Row],[CFNM]]/Table2387[[#This Row],[CAREA]]</f>
        <v>0.16702449359050961</v>
      </c>
      <c r="K304">
        <v>2.5507599999999999</v>
      </c>
      <c r="L304">
        <f>-(Table3388[[#This Row],[time]]-2)*2</f>
        <v>-1.1015199999999998</v>
      </c>
      <c r="M304">
        <v>89.598200000000006</v>
      </c>
      <c r="N304">
        <v>25.139600000000002</v>
      </c>
      <c r="O304">
        <f>Table3388[[#This Row],[CFNM]]/Table3388[[#This Row],[CAREA]]</f>
        <v>0.28058152953965593</v>
      </c>
      <c r="P304">
        <v>2.5507599999999999</v>
      </c>
      <c r="Q304">
        <f>-(Table4389[[#This Row],[time]]-2)*2</f>
        <v>-1.1015199999999998</v>
      </c>
      <c r="R304">
        <v>87.769800000000004</v>
      </c>
      <c r="S304">
        <v>32.750399999999999</v>
      </c>
      <c r="T304">
        <f>Table4389[[#This Row],[CFNM]]/Table4389[[#This Row],[CAREA]]</f>
        <v>0.3731397359911951</v>
      </c>
      <c r="U304">
        <v>2.5507599999999999</v>
      </c>
      <c r="V304">
        <f>-(Table5390[[#This Row],[time]]-2)*2</f>
        <v>-1.1015199999999998</v>
      </c>
      <c r="W304">
        <v>67.8001</v>
      </c>
      <c r="X304">
        <v>45.390799999999999</v>
      </c>
      <c r="Y304">
        <f>Table5390[[#This Row],[CFNM]]/Table5390[[#This Row],[CAREA]]</f>
        <v>0.6694798385253119</v>
      </c>
      <c r="Z304">
        <v>2.5507599999999999</v>
      </c>
      <c r="AA304">
        <f>-(Table6391[[#This Row],[time]]-2)*2</f>
        <v>-1.1015199999999998</v>
      </c>
      <c r="AB304">
        <v>77.5976</v>
      </c>
      <c r="AC304">
        <v>61.343499999999999</v>
      </c>
      <c r="AD304">
        <f>Table6391[[#This Row],[CFNM]]/Table6391[[#This Row],[CAREA]]</f>
        <v>0.79053347010732289</v>
      </c>
      <c r="AE304">
        <v>2.5507599999999999</v>
      </c>
      <c r="AF304">
        <f>-(Table7392[[#This Row],[time]]-2)*2</f>
        <v>-1.1015199999999998</v>
      </c>
      <c r="AG304">
        <v>77.298400000000001</v>
      </c>
      <c r="AH304">
        <v>53.732199999999999</v>
      </c>
      <c r="AI304">
        <f>Table7392[[#This Row],[CFNM]]/Table7392[[#This Row],[CAREA]]</f>
        <v>0.69512693665069392</v>
      </c>
      <c r="AJ304">
        <v>2.5507599999999999</v>
      </c>
      <c r="AK304">
        <f>-(Table8393[[#This Row],[time]]-2)*2</f>
        <v>-1.1015199999999998</v>
      </c>
      <c r="AL304">
        <v>79.329400000000007</v>
      </c>
      <c r="AM304">
        <v>54.850700000000003</v>
      </c>
      <c r="AN304">
        <f>Table8393[[#This Row],[CFNM]]/Table8393[[#This Row],[CAREA]]</f>
        <v>0.69142965911755283</v>
      </c>
    </row>
    <row r="305" spans="1:40">
      <c r="A305">
        <v>2.60453</v>
      </c>
      <c r="B305">
        <f>-(Table1386[[#This Row],[time]]-2)*2</f>
        <v>-1.20906</v>
      </c>
      <c r="C305">
        <v>91.123500000000007</v>
      </c>
      <c r="D305">
        <v>22.313600000000001</v>
      </c>
      <c r="E305">
        <f>Table1386[[#This Row],[CFNM]]/Table1386[[#This Row],[CAREA]]</f>
        <v>0.24487206922473345</v>
      </c>
      <c r="F305">
        <v>2.60453</v>
      </c>
      <c r="G305">
        <f>-(Table2387[[#This Row],[time]]-2)*2</f>
        <v>-1.20906</v>
      </c>
      <c r="H305">
        <v>98.813699999999997</v>
      </c>
      <c r="I305">
        <v>18.080100000000002</v>
      </c>
      <c r="J305">
        <f>Table2387[[#This Row],[CFNM]]/Table2387[[#This Row],[CAREA]]</f>
        <v>0.18297159199584676</v>
      </c>
      <c r="K305">
        <v>2.60453</v>
      </c>
      <c r="L305">
        <f>-(Table3388[[#This Row],[time]]-2)*2</f>
        <v>-1.20906</v>
      </c>
      <c r="M305">
        <v>89.186999999999998</v>
      </c>
      <c r="N305">
        <v>27.681000000000001</v>
      </c>
      <c r="O305">
        <f>Table3388[[#This Row],[CFNM]]/Table3388[[#This Row],[CAREA]]</f>
        <v>0.31037034545393388</v>
      </c>
      <c r="P305">
        <v>2.60453</v>
      </c>
      <c r="Q305">
        <f>-(Table4389[[#This Row],[time]]-2)*2</f>
        <v>-1.20906</v>
      </c>
      <c r="R305">
        <v>87.490300000000005</v>
      </c>
      <c r="S305">
        <v>36.328800000000001</v>
      </c>
      <c r="T305">
        <f>Table4389[[#This Row],[CFNM]]/Table4389[[#This Row],[CAREA]]</f>
        <v>0.41523231718259052</v>
      </c>
      <c r="U305">
        <v>2.60453</v>
      </c>
      <c r="V305">
        <f>-(Table5390[[#This Row],[time]]-2)*2</f>
        <v>-1.20906</v>
      </c>
      <c r="W305">
        <v>63.705100000000002</v>
      </c>
      <c r="X305">
        <v>49.480699999999999</v>
      </c>
      <c r="Y305">
        <f>Table5390[[#This Row],[CFNM]]/Table5390[[#This Row],[CAREA]]</f>
        <v>0.77671489409796068</v>
      </c>
      <c r="Z305">
        <v>2.60453</v>
      </c>
      <c r="AA305">
        <f>-(Table6391[[#This Row],[time]]-2)*2</f>
        <v>-1.20906</v>
      </c>
      <c r="AB305">
        <v>74.468500000000006</v>
      </c>
      <c r="AC305">
        <v>65.920599999999993</v>
      </c>
      <c r="AD305">
        <f>Table6391[[#This Row],[CFNM]]/Table6391[[#This Row],[CAREA]]</f>
        <v>0.88521455380462866</v>
      </c>
      <c r="AE305">
        <v>2.60453</v>
      </c>
      <c r="AF305">
        <f>-(Table7392[[#This Row],[time]]-2)*2</f>
        <v>-1.20906</v>
      </c>
      <c r="AG305">
        <v>76.465900000000005</v>
      </c>
      <c r="AH305">
        <v>57.518500000000003</v>
      </c>
      <c r="AI305">
        <f>Table7392[[#This Row],[CFNM]]/Table7392[[#This Row],[CAREA]]</f>
        <v>0.75221111632767024</v>
      </c>
      <c r="AJ305">
        <v>2.60453</v>
      </c>
      <c r="AK305">
        <f>-(Table8393[[#This Row],[time]]-2)*2</f>
        <v>-1.20906</v>
      </c>
      <c r="AL305">
        <v>77.596500000000006</v>
      </c>
      <c r="AM305">
        <v>58.434399999999997</v>
      </c>
      <c r="AN305">
        <f>Table8393[[#This Row],[CFNM]]/Table8393[[#This Row],[CAREA]]</f>
        <v>0.75305458364745825</v>
      </c>
    </row>
    <row r="306" spans="1:40">
      <c r="A306">
        <v>2.65273</v>
      </c>
      <c r="B306">
        <f>-(Table1386[[#This Row],[time]]-2)*2</f>
        <v>-1.3054600000000001</v>
      </c>
      <c r="C306">
        <v>91.275300000000001</v>
      </c>
      <c r="D306">
        <v>23.562799999999999</v>
      </c>
      <c r="E306">
        <f>Table1386[[#This Row],[CFNM]]/Table1386[[#This Row],[CAREA]]</f>
        <v>0.25815089076672437</v>
      </c>
      <c r="F306">
        <v>2.65273</v>
      </c>
      <c r="G306">
        <f>-(Table2387[[#This Row],[time]]-2)*2</f>
        <v>-1.3054600000000001</v>
      </c>
      <c r="H306">
        <v>99.250799999999998</v>
      </c>
      <c r="I306">
        <v>19.944600000000001</v>
      </c>
      <c r="J306">
        <f>Table2387[[#This Row],[CFNM]]/Table2387[[#This Row],[CAREA]]</f>
        <v>0.2009515288541755</v>
      </c>
      <c r="K306">
        <v>2.65273</v>
      </c>
      <c r="L306">
        <f>-(Table3388[[#This Row],[time]]-2)*2</f>
        <v>-1.3054600000000001</v>
      </c>
      <c r="M306">
        <v>88.458799999999997</v>
      </c>
      <c r="N306">
        <v>30.8431</v>
      </c>
      <c r="O306">
        <f>Table3388[[#This Row],[CFNM]]/Table3388[[#This Row],[CAREA]]</f>
        <v>0.34867192410478098</v>
      </c>
      <c r="P306">
        <v>2.65273</v>
      </c>
      <c r="Q306">
        <f>-(Table4389[[#This Row],[time]]-2)*2</f>
        <v>-1.3054600000000001</v>
      </c>
      <c r="R306">
        <v>87.308499999999995</v>
      </c>
      <c r="S306">
        <v>40.912599999999998</v>
      </c>
      <c r="T306">
        <f>Table4389[[#This Row],[CFNM]]/Table4389[[#This Row],[CAREA]]</f>
        <v>0.46859813191155503</v>
      </c>
      <c r="U306">
        <v>2.65273</v>
      </c>
      <c r="V306">
        <f>-(Table5390[[#This Row],[time]]-2)*2</f>
        <v>-1.3054600000000001</v>
      </c>
      <c r="W306">
        <v>56.5657</v>
      </c>
      <c r="X306">
        <v>54.716099999999997</v>
      </c>
      <c r="Y306">
        <f>Table5390[[#This Row],[CFNM]]/Table5390[[#This Row],[CAREA]]</f>
        <v>0.96730173939330721</v>
      </c>
      <c r="Z306">
        <v>2.65273</v>
      </c>
      <c r="AA306">
        <f>-(Table6391[[#This Row],[time]]-2)*2</f>
        <v>-1.3054600000000001</v>
      </c>
      <c r="AB306">
        <v>67.300200000000004</v>
      </c>
      <c r="AC306">
        <v>71.874200000000002</v>
      </c>
      <c r="AD306">
        <f>Table6391[[#This Row],[CFNM]]/Table6391[[#This Row],[CAREA]]</f>
        <v>1.0679641368079145</v>
      </c>
      <c r="AE306">
        <v>2.65273</v>
      </c>
      <c r="AF306">
        <f>-(Table7392[[#This Row],[time]]-2)*2</f>
        <v>-1.3054600000000001</v>
      </c>
      <c r="AG306">
        <v>75.518100000000004</v>
      </c>
      <c r="AH306">
        <v>62.0289</v>
      </c>
      <c r="AI306">
        <f>Table7392[[#This Row],[CFNM]]/Table7392[[#This Row],[CAREA]]</f>
        <v>0.8213779213195247</v>
      </c>
      <c r="AJ306">
        <v>2.65273</v>
      </c>
      <c r="AK306">
        <f>-(Table8393[[#This Row],[time]]-2)*2</f>
        <v>-1.3054600000000001</v>
      </c>
      <c r="AL306">
        <v>77.160600000000002</v>
      </c>
      <c r="AM306">
        <v>62.795400000000001</v>
      </c>
      <c r="AN306">
        <f>Table8393[[#This Row],[CFNM]]/Table8393[[#This Row],[CAREA]]</f>
        <v>0.81382726417368445</v>
      </c>
    </row>
    <row r="307" spans="1:40">
      <c r="A307">
        <v>2.7006199999999998</v>
      </c>
      <c r="B307">
        <f>-(Table1386[[#This Row],[time]]-2)*2</f>
        <v>-1.4012399999999996</v>
      </c>
      <c r="C307">
        <v>91.744600000000005</v>
      </c>
      <c r="D307">
        <v>24.622800000000002</v>
      </c>
      <c r="E307">
        <f>Table1386[[#This Row],[CFNM]]/Table1386[[#This Row],[CAREA]]</f>
        <v>0.26838418827920119</v>
      </c>
      <c r="F307">
        <v>2.7006199999999998</v>
      </c>
      <c r="G307">
        <f>-(Table2387[[#This Row],[time]]-2)*2</f>
        <v>-1.4012399999999996</v>
      </c>
      <c r="H307">
        <v>99.363900000000001</v>
      </c>
      <c r="I307">
        <v>21.4664</v>
      </c>
      <c r="J307">
        <f>Table2387[[#This Row],[CFNM]]/Table2387[[#This Row],[CAREA]]</f>
        <v>0.21603821911176996</v>
      </c>
      <c r="K307">
        <v>2.7006199999999998</v>
      </c>
      <c r="L307">
        <f>-(Table3388[[#This Row],[time]]-2)*2</f>
        <v>-1.4012399999999996</v>
      </c>
      <c r="M307">
        <v>88.163200000000003</v>
      </c>
      <c r="N307">
        <v>33.589199999999998</v>
      </c>
      <c r="O307">
        <f>Table3388[[#This Row],[CFNM]]/Table3388[[#This Row],[CAREA]]</f>
        <v>0.3809888933251061</v>
      </c>
      <c r="P307">
        <v>2.7006199999999998</v>
      </c>
      <c r="Q307">
        <f>-(Table4389[[#This Row],[time]]-2)*2</f>
        <v>-1.4012399999999996</v>
      </c>
      <c r="R307">
        <v>87.1648</v>
      </c>
      <c r="S307">
        <v>44.749699999999997</v>
      </c>
      <c r="T307">
        <f>Table4389[[#This Row],[CFNM]]/Table4389[[#This Row],[CAREA]]</f>
        <v>0.51339187378391271</v>
      </c>
      <c r="U307">
        <v>2.7006199999999998</v>
      </c>
      <c r="V307">
        <f>-(Table5390[[#This Row],[time]]-2)*2</f>
        <v>-1.4012399999999996</v>
      </c>
      <c r="W307">
        <v>50.791899999999998</v>
      </c>
      <c r="X307">
        <v>59.099600000000002</v>
      </c>
      <c r="Y307">
        <f>Table5390[[#This Row],[CFNM]]/Table5390[[#This Row],[CAREA]]</f>
        <v>1.1635634815787557</v>
      </c>
      <c r="Z307">
        <v>2.7006199999999998</v>
      </c>
      <c r="AA307">
        <f>-(Table6391[[#This Row],[time]]-2)*2</f>
        <v>-1.4012399999999996</v>
      </c>
      <c r="AB307">
        <v>62.487299999999998</v>
      </c>
      <c r="AC307">
        <v>76.962699999999998</v>
      </c>
      <c r="AD307">
        <f>Table6391[[#This Row],[CFNM]]/Table6391[[#This Row],[CAREA]]</f>
        <v>1.2316534719855075</v>
      </c>
      <c r="AE307">
        <v>2.7006199999999998</v>
      </c>
      <c r="AF307">
        <f>-(Table7392[[#This Row],[time]]-2)*2</f>
        <v>-1.4012399999999996</v>
      </c>
      <c r="AG307">
        <v>74.702600000000004</v>
      </c>
      <c r="AH307">
        <v>65.796499999999995</v>
      </c>
      <c r="AI307">
        <f>Table7392[[#This Row],[CFNM]]/Table7392[[#This Row],[CAREA]]</f>
        <v>0.88077924998594415</v>
      </c>
      <c r="AJ307">
        <v>2.7006199999999998</v>
      </c>
      <c r="AK307">
        <f>-(Table8393[[#This Row],[time]]-2)*2</f>
        <v>-1.4012399999999996</v>
      </c>
      <c r="AL307">
        <v>76.846000000000004</v>
      </c>
      <c r="AM307">
        <v>66.471400000000003</v>
      </c>
      <c r="AN307">
        <f>Table8393[[#This Row],[CFNM]]/Table8393[[#This Row],[CAREA]]</f>
        <v>0.8649949249147646</v>
      </c>
    </row>
    <row r="308" spans="1:40">
      <c r="A308">
        <v>2.75176</v>
      </c>
      <c r="B308">
        <f>-(Table1386[[#This Row],[time]]-2)*2</f>
        <v>-1.50352</v>
      </c>
      <c r="C308">
        <v>91.226500000000001</v>
      </c>
      <c r="D308">
        <v>25.775700000000001</v>
      </c>
      <c r="E308">
        <f>Table1386[[#This Row],[CFNM]]/Table1386[[#This Row],[CAREA]]</f>
        <v>0.28254618997769287</v>
      </c>
      <c r="F308">
        <v>2.75176</v>
      </c>
      <c r="G308">
        <f>-(Table2387[[#This Row],[time]]-2)*2</f>
        <v>-1.50352</v>
      </c>
      <c r="H308">
        <v>99.385499999999993</v>
      </c>
      <c r="I308">
        <v>23.087800000000001</v>
      </c>
      <c r="J308">
        <f>Table2387[[#This Row],[CFNM]]/Table2387[[#This Row],[CAREA]]</f>
        <v>0.23230551740445038</v>
      </c>
      <c r="K308">
        <v>2.75176</v>
      </c>
      <c r="L308">
        <f>-(Table3388[[#This Row],[time]]-2)*2</f>
        <v>-1.50352</v>
      </c>
      <c r="M308">
        <v>87.742800000000003</v>
      </c>
      <c r="N308">
        <v>36.4953</v>
      </c>
      <c r="O308">
        <f>Table3388[[#This Row],[CFNM]]/Table3388[[#This Row],[CAREA]]</f>
        <v>0.41593498269943519</v>
      </c>
      <c r="P308">
        <v>2.75176</v>
      </c>
      <c r="Q308">
        <f>-(Table4389[[#This Row],[time]]-2)*2</f>
        <v>-1.50352</v>
      </c>
      <c r="R308">
        <v>86.978499999999997</v>
      </c>
      <c r="S308">
        <v>48.759500000000003</v>
      </c>
      <c r="T308">
        <f>Table4389[[#This Row],[CFNM]]/Table4389[[#This Row],[CAREA]]</f>
        <v>0.56059256023040183</v>
      </c>
      <c r="U308">
        <v>2.75176</v>
      </c>
      <c r="V308">
        <f>-(Table5390[[#This Row],[time]]-2)*2</f>
        <v>-1.50352</v>
      </c>
      <c r="W308">
        <v>47.264800000000001</v>
      </c>
      <c r="X308">
        <v>63.5017</v>
      </c>
      <c r="Y308">
        <f>Table5390[[#This Row],[CFNM]]/Table5390[[#This Row],[CAREA]]</f>
        <v>1.3435304920363569</v>
      </c>
      <c r="Z308">
        <v>2.75176</v>
      </c>
      <c r="AA308">
        <f>-(Table6391[[#This Row],[time]]-2)*2</f>
        <v>-1.50352</v>
      </c>
      <c r="AB308">
        <v>58.691699999999997</v>
      </c>
      <c r="AC308">
        <v>82.0381</v>
      </c>
      <c r="AD308">
        <f>Table6391[[#This Row],[CFNM]]/Table6391[[#This Row],[CAREA]]</f>
        <v>1.3977802653526818</v>
      </c>
      <c r="AE308">
        <v>2.75176</v>
      </c>
      <c r="AF308">
        <f>-(Table7392[[#This Row],[time]]-2)*2</f>
        <v>-1.50352</v>
      </c>
      <c r="AG308">
        <v>74.037400000000005</v>
      </c>
      <c r="AH308">
        <v>69.562700000000007</v>
      </c>
      <c r="AI308">
        <f>Table7392[[#This Row],[CFNM]]/Table7392[[#This Row],[CAREA]]</f>
        <v>0.93956162696150869</v>
      </c>
      <c r="AJ308">
        <v>2.75176</v>
      </c>
      <c r="AK308">
        <f>-(Table8393[[#This Row],[time]]-2)*2</f>
        <v>-1.50352</v>
      </c>
      <c r="AL308">
        <v>76.576999999999998</v>
      </c>
      <c r="AM308">
        <v>70.163300000000007</v>
      </c>
      <c r="AN308">
        <f>Table8393[[#This Row],[CFNM]]/Table8393[[#This Row],[CAREA]]</f>
        <v>0.91624508664481508</v>
      </c>
    </row>
    <row r="309" spans="1:40">
      <c r="A309">
        <v>2.80444</v>
      </c>
      <c r="B309">
        <f>-(Table1386[[#This Row],[time]]-2)*2</f>
        <v>-1.6088800000000001</v>
      </c>
      <c r="C309">
        <v>91.563500000000005</v>
      </c>
      <c r="D309">
        <v>27.266999999999999</v>
      </c>
      <c r="E309">
        <f>Table1386[[#This Row],[CFNM]]/Table1386[[#This Row],[CAREA]]</f>
        <v>0.29779333468030383</v>
      </c>
      <c r="F309">
        <v>2.80444</v>
      </c>
      <c r="G309">
        <f>-(Table2387[[#This Row],[time]]-2)*2</f>
        <v>-1.6088800000000001</v>
      </c>
      <c r="H309">
        <v>99.733599999999996</v>
      </c>
      <c r="I309">
        <v>24.970400000000001</v>
      </c>
      <c r="J309">
        <f>Table2387[[#This Row],[CFNM]]/Table2387[[#This Row],[CAREA]]</f>
        <v>0.25037098831286547</v>
      </c>
      <c r="K309">
        <v>2.80444</v>
      </c>
      <c r="L309">
        <f>-(Table3388[[#This Row],[time]]-2)*2</f>
        <v>-1.6088800000000001</v>
      </c>
      <c r="M309">
        <v>86.698599999999999</v>
      </c>
      <c r="N309">
        <v>39.934100000000001</v>
      </c>
      <c r="O309">
        <f>Table3388[[#This Row],[CFNM]]/Table3388[[#This Row],[CAREA]]</f>
        <v>0.46060836045795434</v>
      </c>
      <c r="P309">
        <v>2.80444</v>
      </c>
      <c r="Q309">
        <f>-(Table4389[[#This Row],[time]]-2)*2</f>
        <v>-1.6088800000000001</v>
      </c>
      <c r="R309">
        <v>86.667199999999994</v>
      </c>
      <c r="S309">
        <v>53.433199999999999</v>
      </c>
      <c r="T309">
        <f>Table4389[[#This Row],[CFNM]]/Table4389[[#This Row],[CAREA]]</f>
        <v>0.61653312902689839</v>
      </c>
      <c r="U309">
        <v>2.80444</v>
      </c>
      <c r="V309">
        <f>-(Table5390[[#This Row],[time]]-2)*2</f>
        <v>-1.6088800000000001</v>
      </c>
      <c r="W309">
        <v>41.777500000000003</v>
      </c>
      <c r="X309">
        <v>68.367500000000007</v>
      </c>
      <c r="Y309">
        <f>Table5390[[#This Row],[CFNM]]/Table5390[[#This Row],[CAREA]]</f>
        <v>1.6364669977858897</v>
      </c>
      <c r="Z309">
        <v>2.80444</v>
      </c>
      <c r="AA309">
        <f>-(Table6391[[#This Row],[time]]-2)*2</f>
        <v>-1.6088800000000001</v>
      </c>
      <c r="AB309">
        <v>55.079700000000003</v>
      </c>
      <c r="AC309">
        <v>87.764600000000002</v>
      </c>
      <c r="AD309">
        <f>Table6391[[#This Row],[CFNM]]/Table6391[[#This Row],[CAREA]]</f>
        <v>1.5934110026016843</v>
      </c>
      <c r="AE309">
        <v>2.80444</v>
      </c>
      <c r="AF309">
        <f>-(Table7392[[#This Row],[time]]-2)*2</f>
        <v>-1.6088800000000001</v>
      </c>
      <c r="AG309">
        <v>73.237399999999994</v>
      </c>
      <c r="AH309">
        <v>73.680099999999996</v>
      </c>
      <c r="AI309">
        <f>Table7392[[#This Row],[CFNM]]/Table7392[[#This Row],[CAREA]]</f>
        <v>1.0060447257821823</v>
      </c>
      <c r="AJ309">
        <v>2.80444</v>
      </c>
      <c r="AK309">
        <f>-(Table8393[[#This Row],[time]]-2)*2</f>
        <v>-1.6088800000000001</v>
      </c>
      <c r="AL309">
        <v>76.214200000000005</v>
      </c>
      <c r="AM309">
        <v>74.486599999999996</v>
      </c>
      <c r="AN309">
        <f>Table8393[[#This Row],[CFNM]]/Table8393[[#This Row],[CAREA]]</f>
        <v>0.9773323081525489</v>
      </c>
    </row>
    <row r="310" spans="1:40">
      <c r="A310">
        <v>2.8583699999999999</v>
      </c>
      <c r="B310">
        <f>-(Table1386[[#This Row],[time]]-2)*2</f>
        <v>-1.7167399999999997</v>
      </c>
      <c r="C310">
        <v>91.719499999999996</v>
      </c>
      <c r="D310">
        <v>28.848199999999999</v>
      </c>
      <c r="E310">
        <f>Table1386[[#This Row],[CFNM]]/Table1386[[#This Row],[CAREA]]</f>
        <v>0.31452635481004582</v>
      </c>
      <c r="F310">
        <v>2.8583699999999999</v>
      </c>
      <c r="G310">
        <f>-(Table2387[[#This Row],[time]]-2)*2</f>
        <v>-1.7167399999999997</v>
      </c>
      <c r="H310">
        <v>99.896500000000003</v>
      </c>
      <c r="I310">
        <v>26.571400000000001</v>
      </c>
      <c r="J310">
        <f>Table2387[[#This Row],[CFNM]]/Table2387[[#This Row],[CAREA]]</f>
        <v>0.26598929892438672</v>
      </c>
      <c r="K310">
        <v>2.8583699999999999</v>
      </c>
      <c r="L310">
        <f>-(Table3388[[#This Row],[time]]-2)*2</f>
        <v>-1.7167399999999997</v>
      </c>
      <c r="M310">
        <v>85.858699999999999</v>
      </c>
      <c r="N310">
        <v>42.883400000000002</v>
      </c>
      <c r="O310">
        <f>Table3388[[#This Row],[CFNM]]/Table3388[[#This Row],[CAREA]]</f>
        <v>0.49946481835853562</v>
      </c>
      <c r="P310">
        <v>2.8583699999999999</v>
      </c>
      <c r="Q310">
        <f>-(Table4389[[#This Row],[time]]-2)*2</f>
        <v>-1.7167399999999997</v>
      </c>
      <c r="R310">
        <v>86.387900000000002</v>
      </c>
      <c r="S310">
        <v>57.335099999999997</v>
      </c>
      <c r="T310">
        <f>Table4389[[#This Row],[CFNM]]/Table4389[[#This Row],[CAREA]]</f>
        <v>0.6636936422809212</v>
      </c>
      <c r="U310">
        <v>2.8583699999999999</v>
      </c>
      <c r="V310">
        <f>-(Table5390[[#This Row],[time]]-2)*2</f>
        <v>-1.7167399999999997</v>
      </c>
      <c r="W310">
        <v>39.797800000000002</v>
      </c>
      <c r="X310">
        <v>72.436199999999999</v>
      </c>
      <c r="Y310">
        <f>Table5390[[#This Row],[CFNM]]/Table5390[[#This Row],[CAREA]]</f>
        <v>1.8201056339797677</v>
      </c>
      <c r="Z310">
        <v>2.8583699999999999</v>
      </c>
      <c r="AA310">
        <f>-(Table6391[[#This Row],[time]]-2)*2</f>
        <v>-1.7167399999999997</v>
      </c>
      <c r="AB310">
        <v>52.629399999999997</v>
      </c>
      <c r="AC310">
        <v>92.591300000000004</v>
      </c>
      <c r="AD310">
        <f>Table6391[[#This Row],[CFNM]]/Table6391[[#This Row],[CAREA]]</f>
        <v>1.7593075353319629</v>
      </c>
      <c r="AE310">
        <v>2.8583699999999999</v>
      </c>
      <c r="AF310">
        <f>-(Table7392[[#This Row],[time]]-2)*2</f>
        <v>-1.7167399999999997</v>
      </c>
      <c r="AG310">
        <v>72.635999999999996</v>
      </c>
      <c r="AH310">
        <v>77.152199999999993</v>
      </c>
      <c r="AI310">
        <f>Table7392[[#This Row],[CFNM]]/Table7392[[#This Row],[CAREA]]</f>
        <v>1.0621757806046588</v>
      </c>
      <c r="AJ310">
        <v>2.8583699999999999</v>
      </c>
      <c r="AK310">
        <f>-(Table8393[[#This Row],[time]]-2)*2</f>
        <v>-1.7167399999999997</v>
      </c>
      <c r="AL310">
        <v>75.840100000000007</v>
      </c>
      <c r="AM310">
        <v>78.147499999999994</v>
      </c>
      <c r="AN310">
        <f>Table8393[[#This Row],[CFNM]]/Table8393[[#This Row],[CAREA]]</f>
        <v>1.0304245379423285</v>
      </c>
    </row>
    <row r="311" spans="1:40">
      <c r="A311">
        <v>2.9134199999999999</v>
      </c>
      <c r="B311">
        <f>-(Table1386[[#This Row],[time]]-2)*2</f>
        <v>-1.8268399999999998</v>
      </c>
      <c r="C311">
        <v>92.170599999999993</v>
      </c>
      <c r="D311">
        <v>31.3675</v>
      </c>
      <c r="E311">
        <f>Table1386[[#This Row],[CFNM]]/Table1386[[#This Row],[CAREA]]</f>
        <v>0.34032001527602079</v>
      </c>
      <c r="F311">
        <v>2.9134199999999999</v>
      </c>
      <c r="G311">
        <f>-(Table2387[[#This Row],[time]]-2)*2</f>
        <v>-1.8268399999999998</v>
      </c>
      <c r="H311">
        <v>100.238</v>
      </c>
      <c r="I311">
        <v>28.2181</v>
      </c>
      <c r="J311">
        <f>Table2387[[#This Row],[CFNM]]/Table2387[[#This Row],[CAREA]]</f>
        <v>0.28151100381092997</v>
      </c>
      <c r="K311">
        <v>2.9134199999999999</v>
      </c>
      <c r="L311">
        <f>-(Table3388[[#This Row],[time]]-2)*2</f>
        <v>-1.8268399999999998</v>
      </c>
      <c r="M311">
        <v>84.782700000000006</v>
      </c>
      <c r="N311">
        <v>46.490900000000003</v>
      </c>
      <c r="O311">
        <f>Table3388[[#This Row],[CFNM]]/Table3388[[#This Row],[CAREA]]</f>
        <v>0.54835361459354326</v>
      </c>
      <c r="P311">
        <v>2.9134199999999999</v>
      </c>
      <c r="Q311">
        <f>-(Table4389[[#This Row],[time]]-2)*2</f>
        <v>-1.8268399999999998</v>
      </c>
      <c r="R311">
        <v>86.0154</v>
      </c>
      <c r="S311">
        <v>61.295499999999997</v>
      </c>
      <c r="T311">
        <f>Table4389[[#This Row],[CFNM]]/Table4389[[#This Row],[CAREA]]</f>
        <v>0.7126107650490493</v>
      </c>
      <c r="U311">
        <v>2.9134199999999999</v>
      </c>
      <c r="V311">
        <f>-(Table5390[[#This Row],[time]]-2)*2</f>
        <v>-1.8268399999999998</v>
      </c>
      <c r="W311">
        <v>38.8902</v>
      </c>
      <c r="X311">
        <v>76.496499999999997</v>
      </c>
      <c r="Y311">
        <f>Table5390[[#This Row],[CFNM]]/Table5390[[#This Row],[CAREA]]</f>
        <v>1.9669865415965975</v>
      </c>
      <c r="Z311">
        <v>2.9134199999999999</v>
      </c>
      <c r="AA311">
        <f>-(Table6391[[#This Row],[time]]-2)*2</f>
        <v>-1.8268399999999998</v>
      </c>
      <c r="AB311">
        <v>50.571899999999999</v>
      </c>
      <c r="AC311">
        <v>97.306700000000006</v>
      </c>
      <c r="AD311">
        <f>Table6391[[#This Row],[CFNM]]/Table6391[[#This Row],[CAREA]]</f>
        <v>1.92412584854435</v>
      </c>
      <c r="AE311">
        <v>2.9134199999999999</v>
      </c>
      <c r="AF311">
        <f>-(Table7392[[#This Row],[time]]-2)*2</f>
        <v>-1.8268399999999998</v>
      </c>
      <c r="AG311">
        <v>71.984399999999994</v>
      </c>
      <c r="AH311">
        <v>80.847499999999997</v>
      </c>
      <c r="AI311">
        <f>Table7392[[#This Row],[CFNM]]/Table7392[[#This Row],[CAREA]]</f>
        <v>1.1231252882569001</v>
      </c>
      <c r="AJ311">
        <v>2.9134199999999999</v>
      </c>
      <c r="AK311">
        <f>-(Table8393[[#This Row],[time]]-2)*2</f>
        <v>-1.8268399999999998</v>
      </c>
      <c r="AL311">
        <v>75.536699999999996</v>
      </c>
      <c r="AM311">
        <v>82.067800000000005</v>
      </c>
      <c r="AN311">
        <f>Table8393[[#This Row],[CFNM]]/Table8393[[#This Row],[CAREA]]</f>
        <v>1.0864626069182266</v>
      </c>
    </row>
    <row r="312" spans="1:40">
      <c r="A312">
        <v>2.9619599999999999</v>
      </c>
      <c r="B312">
        <f>-(Table1386[[#This Row],[time]]-2)*2</f>
        <v>-1.9239199999999999</v>
      </c>
      <c r="C312">
        <v>91.552899999999994</v>
      </c>
      <c r="D312">
        <v>34.074199999999998</v>
      </c>
      <c r="E312">
        <f>Table1386[[#This Row],[CFNM]]/Table1386[[#This Row],[CAREA]]</f>
        <v>0.37218045523407778</v>
      </c>
      <c r="F312">
        <v>2.9619599999999999</v>
      </c>
      <c r="G312">
        <f>-(Table2387[[#This Row],[time]]-2)*2</f>
        <v>-1.9239199999999999</v>
      </c>
      <c r="H312">
        <v>100.23099999999999</v>
      </c>
      <c r="I312">
        <v>29.852900000000002</v>
      </c>
      <c r="J312">
        <f>Table2387[[#This Row],[CFNM]]/Table2387[[#This Row],[CAREA]]</f>
        <v>0.29784098731929248</v>
      </c>
      <c r="K312">
        <v>2.9619599999999999</v>
      </c>
      <c r="L312">
        <f>-(Table3388[[#This Row],[time]]-2)*2</f>
        <v>-1.9239199999999999</v>
      </c>
      <c r="M312">
        <v>83.667400000000001</v>
      </c>
      <c r="N312">
        <v>50.104999999999997</v>
      </c>
      <c r="O312">
        <f>Table3388[[#This Row],[CFNM]]/Table3388[[#This Row],[CAREA]]</f>
        <v>0.59885929286675565</v>
      </c>
      <c r="P312">
        <v>2.9619599999999999</v>
      </c>
      <c r="Q312">
        <f>-(Table4389[[#This Row],[time]]-2)*2</f>
        <v>-1.9239199999999999</v>
      </c>
      <c r="R312">
        <v>85.756600000000006</v>
      </c>
      <c r="S312">
        <v>65.129300000000001</v>
      </c>
      <c r="T312">
        <f>Table4389[[#This Row],[CFNM]]/Table4389[[#This Row],[CAREA]]</f>
        <v>0.75946690983551113</v>
      </c>
      <c r="U312">
        <v>2.9619599999999999</v>
      </c>
      <c r="V312">
        <f>-(Table5390[[#This Row],[time]]-2)*2</f>
        <v>-1.9239199999999999</v>
      </c>
      <c r="W312">
        <v>37.2605</v>
      </c>
      <c r="X312">
        <v>80.655699999999996</v>
      </c>
      <c r="Y312">
        <f>Table5390[[#This Row],[CFNM]]/Table5390[[#This Row],[CAREA]]</f>
        <v>2.1646435233021561</v>
      </c>
      <c r="Z312">
        <v>2.9619599999999999</v>
      </c>
      <c r="AA312">
        <f>-(Table6391[[#This Row],[time]]-2)*2</f>
        <v>-1.9239199999999999</v>
      </c>
      <c r="AB312">
        <v>48.155299999999997</v>
      </c>
      <c r="AC312">
        <v>101.953</v>
      </c>
      <c r="AD312">
        <f>Table6391[[#This Row],[CFNM]]/Table6391[[#This Row],[CAREA]]</f>
        <v>2.1171709033065937</v>
      </c>
      <c r="AE312">
        <v>2.9619599999999999</v>
      </c>
      <c r="AF312">
        <f>-(Table7392[[#This Row],[time]]-2)*2</f>
        <v>-1.9239199999999999</v>
      </c>
      <c r="AG312">
        <v>71.415499999999994</v>
      </c>
      <c r="AH312">
        <v>84.594099999999997</v>
      </c>
      <c r="AI312">
        <f>Table7392[[#This Row],[CFNM]]/Table7392[[#This Row],[CAREA]]</f>
        <v>1.1845341697530649</v>
      </c>
      <c r="AJ312">
        <v>2.9619599999999999</v>
      </c>
      <c r="AK312">
        <f>-(Table8393[[#This Row],[time]]-2)*2</f>
        <v>-1.9239199999999999</v>
      </c>
      <c r="AL312">
        <v>75.187299999999993</v>
      </c>
      <c r="AM312">
        <v>85.924899999999994</v>
      </c>
      <c r="AN312">
        <f>Table8393[[#This Row],[CFNM]]/Table8393[[#This Row],[CAREA]]</f>
        <v>1.1428113524491503</v>
      </c>
    </row>
    <row r="313" spans="1:40">
      <c r="A313">
        <v>3</v>
      </c>
      <c r="B313">
        <f>-(Table1386[[#This Row],[time]]-2)*2</f>
        <v>-2</v>
      </c>
      <c r="C313">
        <v>90.554299999999998</v>
      </c>
      <c r="D313">
        <v>36.783499999999997</v>
      </c>
      <c r="E313">
        <f>Table1386[[#This Row],[CFNM]]/Table1386[[#This Row],[CAREA]]</f>
        <v>0.40620379153723235</v>
      </c>
      <c r="F313">
        <v>3</v>
      </c>
      <c r="G313">
        <f>-(Table2387[[#This Row],[time]]-2)*2</f>
        <v>-2</v>
      </c>
      <c r="H313">
        <v>100.295</v>
      </c>
      <c r="I313">
        <v>31.3294</v>
      </c>
      <c r="J313">
        <f>Table2387[[#This Row],[CFNM]]/Table2387[[#This Row],[CAREA]]</f>
        <v>0.31237250112169102</v>
      </c>
      <c r="K313">
        <v>3</v>
      </c>
      <c r="L313">
        <f>-(Table3388[[#This Row],[time]]-2)*2</f>
        <v>-2</v>
      </c>
      <c r="M313">
        <v>82.684399999999997</v>
      </c>
      <c r="N313">
        <v>53.649099999999997</v>
      </c>
      <c r="O313">
        <f>Table3388[[#This Row],[CFNM]]/Table3388[[#This Row],[CAREA]]</f>
        <v>0.64884186134264743</v>
      </c>
      <c r="P313">
        <v>3</v>
      </c>
      <c r="Q313">
        <f>-(Table4389[[#This Row],[time]]-2)*2</f>
        <v>-2</v>
      </c>
      <c r="R313">
        <v>85.438199999999995</v>
      </c>
      <c r="S313">
        <v>69.010400000000004</v>
      </c>
      <c r="T313">
        <f>Table4389[[#This Row],[CFNM]]/Table4389[[#This Row],[CAREA]]</f>
        <v>0.80772300914579198</v>
      </c>
      <c r="U313">
        <v>3</v>
      </c>
      <c r="V313">
        <f>-(Table5390[[#This Row],[time]]-2)*2</f>
        <v>-2</v>
      </c>
      <c r="W313">
        <v>35.966000000000001</v>
      </c>
      <c r="X313">
        <v>85.202399999999997</v>
      </c>
      <c r="Y313">
        <f>Table5390[[#This Row],[CFNM]]/Table5390[[#This Row],[CAREA]]</f>
        <v>2.3689706945448479</v>
      </c>
      <c r="Z313">
        <v>3</v>
      </c>
      <c r="AA313">
        <f>-(Table6391[[#This Row],[time]]-2)*2</f>
        <v>-2</v>
      </c>
      <c r="AB313">
        <v>45.1815</v>
      </c>
      <c r="AC313">
        <v>106.896</v>
      </c>
      <c r="AD313">
        <f>Table6391[[#This Row],[CFNM]]/Table6391[[#This Row],[CAREA]]</f>
        <v>2.3659241061053748</v>
      </c>
      <c r="AE313">
        <v>3</v>
      </c>
      <c r="AF313">
        <f>-(Table7392[[#This Row],[time]]-2)*2</f>
        <v>-2</v>
      </c>
      <c r="AG313">
        <v>70.762799999999999</v>
      </c>
      <c r="AH313">
        <v>88.321799999999996</v>
      </c>
      <c r="AI313">
        <f>Table7392[[#This Row],[CFNM]]/Table7392[[#This Row],[CAREA]]</f>
        <v>1.248138852617477</v>
      </c>
      <c r="AJ313">
        <v>3</v>
      </c>
      <c r="AK313">
        <f>-(Table8393[[#This Row],[time]]-2)*2</f>
        <v>-2</v>
      </c>
      <c r="AL313">
        <v>74.786600000000007</v>
      </c>
      <c r="AM313">
        <v>89.724800000000002</v>
      </c>
      <c r="AN313">
        <f>Table8393[[#This Row],[CFNM]]/Table8393[[#This Row],[CAREA]]</f>
        <v>1.1997443392265459</v>
      </c>
    </row>
    <row r="315" spans="1:40">
      <c r="A315" t="s">
        <v>43</v>
      </c>
      <c r="E315" t="s">
        <v>2</v>
      </c>
    </row>
    <row r="316" spans="1:40">
      <c r="A316" t="s">
        <v>44</v>
      </c>
      <c r="E316" t="s">
        <v>4</v>
      </c>
      <c r="F316" t="s">
        <v>5</v>
      </c>
    </row>
    <row r="318" spans="1:40">
      <c r="A318" t="s">
        <v>7</v>
      </c>
      <c r="F318" t="s">
        <v>8</v>
      </c>
      <c r="K318" t="s">
        <v>9</v>
      </c>
      <c r="P318" t="s">
        <v>26</v>
      </c>
      <c r="U318" t="s">
        <v>11</v>
      </c>
      <c r="Z318" t="s">
        <v>12</v>
      </c>
      <c r="AE318" t="s">
        <v>13</v>
      </c>
      <c r="AJ318" t="s">
        <v>14</v>
      </c>
    </row>
    <row r="319" spans="1:40">
      <c r="A319" t="s">
        <v>15</v>
      </c>
      <c r="B319" t="s">
        <v>16</v>
      </c>
      <c r="C319" t="s">
        <v>20</v>
      </c>
      <c r="D319" t="s">
        <v>18</v>
      </c>
      <c r="E319" t="s">
        <v>19</v>
      </c>
      <c r="F319" t="s">
        <v>15</v>
      </c>
      <c r="G319" t="s">
        <v>16</v>
      </c>
      <c r="H319" t="s">
        <v>20</v>
      </c>
      <c r="I319" t="s">
        <v>18</v>
      </c>
      <c r="J319" t="s">
        <v>19</v>
      </c>
      <c r="K319" t="s">
        <v>15</v>
      </c>
      <c r="L319" t="s">
        <v>16</v>
      </c>
      <c r="M319" t="s">
        <v>20</v>
      </c>
      <c r="N319" t="s">
        <v>18</v>
      </c>
      <c r="O319" t="s">
        <v>19</v>
      </c>
      <c r="P319" t="s">
        <v>15</v>
      </c>
      <c r="Q319" t="s">
        <v>16</v>
      </c>
      <c r="R319" t="s">
        <v>20</v>
      </c>
      <c r="S319" t="s">
        <v>18</v>
      </c>
      <c r="T319" t="s">
        <v>19</v>
      </c>
      <c r="U319" t="s">
        <v>15</v>
      </c>
      <c r="V319" t="s">
        <v>16</v>
      </c>
      <c r="W319" t="s">
        <v>20</v>
      </c>
      <c r="X319" t="s">
        <v>18</v>
      </c>
      <c r="Y319" t="s">
        <v>19</v>
      </c>
      <c r="Z319" t="s">
        <v>15</v>
      </c>
      <c r="AA319" t="s">
        <v>16</v>
      </c>
      <c r="AB319" t="s">
        <v>20</v>
      </c>
      <c r="AC319" t="s">
        <v>18</v>
      </c>
      <c r="AD319" t="s">
        <v>19</v>
      </c>
      <c r="AE319" t="s">
        <v>15</v>
      </c>
      <c r="AF319" t="s">
        <v>16</v>
      </c>
      <c r="AG319" t="s">
        <v>20</v>
      </c>
      <c r="AH319" t="s">
        <v>18</v>
      </c>
      <c r="AI319" t="s">
        <v>19</v>
      </c>
      <c r="AJ319" t="s">
        <v>15</v>
      </c>
      <c r="AK319" t="s">
        <v>16</v>
      </c>
      <c r="AL319" t="s">
        <v>20</v>
      </c>
      <c r="AM319" t="s">
        <v>18</v>
      </c>
      <c r="AN319" t="s">
        <v>19</v>
      </c>
    </row>
    <row r="320" spans="1:40">
      <c r="A320">
        <v>2</v>
      </c>
      <c r="B320">
        <f>(Table110394[[#This Row],[time]]-2)*2</f>
        <v>0</v>
      </c>
      <c r="C320">
        <v>80.561099999999996</v>
      </c>
      <c r="D320">
        <v>3.98237</v>
      </c>
      <c r="E320" s="2">
        <f>Table110394[[#This Row],[CFNM]]/Table110394[[#This Row],[CAREA]]</f>
        <v>4.9432914893168048E-2</v>
      </c>
      <c r="F320">
        <v>2</v>
      </c>
      <c r="G320">
        <f>(Table211395[[#This Row],[time]]-2)*2</f>
        <v>0</v>
      </c>
      <c r="H320">
        <v>87.831800000000001</v>
      </c>
      <c r="I320">
        <v>3.8491799999999998E-3</v>
      </c>
      <c r="J320" s="2">
        <f>Table211395[[#This Row],[CFNM]]/Table211395[[#This Row],[CAREA]]</f>
        <v>4.38244462711683E-5</v>
      </c>
      <c r="K320">
        <v>2</v>
      </c>
      <c r="L320">
        <f>(Table312396[[#This Row],[time]]-2)*2</f>
        <v>0</v>
      </c>
      <c r="M320">
        <v>85.166700000000006</v>
      </c>
      <c r="N320">
        <v>3.70054E-3</v>
      </c>
      <c r="O320">
        <f>Table312396[[#This Row],[CFNM]]/Table312396[[#This Row],[CAREA]]</f>
        <v>4.3450550508590793E-5</v>
      </c>
      <c r="P320">
        <v>2</v>
      </c>
      <c r="Q320">
        <f>(Table413397[[#This Row],[time]]-2)*2</f>
        <v>0</v>
      </c>
      <c r="R320">
        <v>79.101699999999994</v>
      </c>
      <c r="S320">
        <v>4.5258399999999997E-3</v>
      </c>
      <c r="T320">
        <f>Table413397[[#This Row],[CFNM]]/Table413397[[#This Row],[CAREA]]</f>
        <v>5.7215458074858061E-5</v>
      </c>
      <c r="U320">
        <v>2</v>
      </c>
      <c r="V320">
        <f>(Table514398[[#This Row],[time]]-2)*2</f>
        <v>0</v>
      </c>
      <c r="W320">
        <v>83.227699999999999</v>
      </c>
      <c r="X320">
        <v>3.5063499999999999</v>
      </c>
      <c r="Y320">
        <f>Table514398[[#This Row],[CFNM]]/Table514398[[#This Row],[CAREA]]</f>
        <v>4.2129603485378066E-2</v>
      </c>
      <c r="Z320">
        <v>2</v>
      </c>
      <c r="AA320">
        <f>(Table615399[[#This Row],[time]]-2)*2</f>
        <v>0</v>
      </c>
      <c r="AB320">
        <v>84.265900000000002</v>
      </c>
      <c r="AC320">
        <v>6.2742399999999998</v>
      </c>
      <c r="AD320">
        <f>Table615399[[#This Row],[CFNM]]/Table615399[[#This Row],[CAREA]]</f>
        <v>7.4457639448460164E-2</v>
      </c>
      <c r="AE320">
        <v>2</v>
      </c>
      <c r="AF320">
        <f>(Table716400[[#This Row],[time]]-2)*2</f>
        <v>0</v>
      </c>
      <c r="AG320">
        <v>78.459999999999994</v>
      </c>
      <c r="AH320">
        <v>14.707599999999999</v>
      </c>
      <c r="AI320">
        <f>Table716400[[#This Row],[CFNM]]/Table716400[[#This Row],[CAREA]]</f>
        <v>0.1874534794799898</v>
      </c>
      <c r="AJ320">
        <v>2</v>
      </c>
      <c r="AK320">
        <f>(Table817401[[#This Row],[time]]-2)*2</f>
        <v>0</v>
      </c>
      <c r="AL320">
        <v>83.006</v>
      </c>
      <c r="AM320">
        <v>14.6488</v>
      </c>
      <c r="AN320">
        <f>Table817401[[#This Row],[CFNM]]/Table817401[[#This Row],[CAREA]]</f>
        <v>0.17647880876081246</v>
      </c>
    </row>
    <row r="321" spans="1:40">
      <c r="A321">
        <v>2.0512600000000001</v>
      </c>
      <c r="B321">
        <f>(Table110394[[#This Row],[time]]-2)*2</f>
        <v>0.10252000000000017</v>
      </c>
      <c r="C321">
        <v>91.394999999999996</v>
      </c>
      <c r="D321">
        <v>9.2054799999999997</v>
      </c>
      <c r="E321">
        <f>Table110394[[#This Row],[CFNM]]/Table110394[[#This Row],[CAREA]]</f>
        <v>0.10072192133048855</v>
      </c>
      <c r="F321">
        <v>2.0512600000000001</v>
      </c>
      <c r="G321">
        <f>(Table211395[[#This Row],[time]]-2)*2</f>
        <v>0.10252000000000017</v>
      </c>
      <c r="H321">
        <v>94.7</v>
      </c>
      <c r="I321">
        <v>2.6673300000000002</v>
      </c>
      <c r="J321">
        <f>Table211395[[#This Row],[CFNM]]/Table211395[[#This Row],[CAREA]]</f>
        <v>2.8166103484688492E-2</v>
      </c>
      <c r="K321">
        <v>2.0512600000000001</v>
      </c>
      <c r="L321">
        <f>(Table312396[[#This Row],[time]]-2)*2</f>
        <v>0.10252000000000017</v>
      </c>
      <c r="M321">
        <v>88.740300000000005</v>
      </c>
      <c r="N321">
        <v>1.89069</v>
      </c>
      <c r="O321">
        <f>Table312396[[#This Row],[CFNM]]/Table312396[[#This Row],[CAREA]]</f>
        <v>2.1305877938208456E-2</v>
      </c>
      <c r="P321">
        <v>2.0512600000000001</v>
      </c>
      <c r="Q321">
        <f>(Table413397[[#This Row],[time]]-2)*2</f>
        <v>0.10252000000000017</v>
      </c>
      <c r="R321">
        <v>85.462800000000001</v>
      </c>
      <c r="S321">
        <v>3.7759800000000001</v>
      </c>
      <c r="T321">
        <f>Table413397[[#This Row],[CFNM]]/Table413397[[#This Row],[CAREA]]</f>
        <v>4.4182732136087283E-2</v>
      </c>
      <c r="U321">
        <v>2.0512600000000001</v>
      </c>
      <c r="V321">
        <f>(Table514398[[#This Row],[time]]-2)*2</f>
        <v>0.10252000000000017</v>
      </c>
      <c r="W321">
        <v>83.162400000000005</v>
      </c>
      <c r="X321">
        <v>2.9611200000000002</v>
      </c>
      <c r="Y321">
        <f>Table514398[[#This Row],[CFNM]]/Table514398[[#This Row],[CAREA]]</f>
        <v>3.5606476003578538E-2</v>
      </c>
      <c r="Z321">
        <v>2.0512600000000001</v>
      </c>
      <c r="AA321">
        <f>(Table615399[[#This Row],[time]]-2)*2</f>
        <v>0.10252000000000017</v>
      </c>
      <c r="AB321">
        <v>88.432599999999994</v>
      </c>
      <c r="AC321">
        <v>7.7755099999999997</v>
      </c>
      <c r="AD321">
        <f>Table615399[[#This Row],[CFNM]]/Table615399[[#This Row],[CAREA]]</f>
        <v>8.7925832781123703E-2</v>
      </c>
      <c r="AE321">
        <v>2.0512600000000001</v>
      </c>
      <c r="AF321">
        <f>(Table716400[[#This Row],[time]]-2)*2</f>
        <v>0.10252000000000017</v>
      </c>
      <c r="AG321">
        <v>78.627300000000005</v>
      </c>
      <c r="AH321">
        <v>18.531600000000001</v>
      </c>
      <c r="AI321">
        <f>Table716400[[#This Row],[CFNM]]/Table716400[[#This Row],[CAREA]]</f>
        <v>0.23568913087439095</v>
      </c>
      <c r="AJ321">
        <v>2.0512600000000001</v>
      </c>
      <c r="AK321">
        <f>(Table817401[[#This Row],[time]]-2)*2</f>
        <v>0.10252000000000017</v>
      </c>
      <c r="AL321">
        <v>83.394900000000007</v>
      </c>
      <c r="AM321">
        <v>17.6633</v>
      </c>
      <c r="AN321">
        <f>Table817401[[#This Row],[CFNM]]/Table817401[[#This Row],[CAREA]]</f>
        <v>0.21180311985505107</v>
      </c>
    </row>
    <row r="322" spans="1:40">
      <c r="A322">
        <v>2.1153300000000002</v>
      </c>
      <c r="B322">
        <f>(Table110394[[#This Row],[time]]-2)*2</f>
        <v>0.23066000000000031</v>
      </c>
      <c r="C322">
        <v>90.840400000000002</v>
      </c>
      <c r="D322">
        <v>8.1609700000000007</v>
      </c>
      <c r="E322">
        <f>Table110394[[#This Row],[CFNM]]/Table110394[[#This Row],[CAREA]]</f>
        <v>8.9838552009898681E-2</v>
      </c>
      <c r="F322">
        <v>2.1153300000000002</v>
      </c>
      <c r="G322">
        <f>(Table211395[[#This Row],[time]]-2)*2</f>
        <v>0.23066000000000031</v>
      </c>
      <c r="H322">
        <v>95.6768</v>
      </c>
      <c r="I322">
        <v>2.1685400000000001</v>
      </c>
      <c r="J322">
        <f>Table211395[[#This Row],[CFNM]]/Table211395[[#This Row],[CAREA]]</f>
        <v>2.2665264724572729E-2</v>
      </c>
      <c r="K322">
        <v>2.1153300000000002</v>
      </c>
      <c r="L322">
        <f>(Table312396[[#This Row],[time]]-2)*2</f>
        <v>0.23066000000000031</v>
      </c>
      <c r="M322">
        <v>87.878200000000007</v>
      </c>
      <c r="N322">
        <v>0.81003400000000003</v>
      </c>
      <c r="O322">
        <f>Table312396[[#This Row],[CFNM]]/Table312396[[#This Row],[CAREA]]</f>
        <v>9.2176899390292461E-3</v>
      </c>
      <c r="P322">
        <v>2.1153300000000002</v>
      </c>
      <c r="Q322">
        <f>(Table413397[[#This Row],[time]]-2)*2</f>
        <v>0.23066000000000031</v>
      </c>
      <c r="R322">
        <v>85.005399999999995</v>
      </c>
      <c r="S322">
        <v>2.5358499999999999</v>
      </c>
      <c r="T322">
        <f>Table413397[[#This Row],[CFNM]]/Table413397[[#This Row],[CAREA]]</f>
        <v>2.9831634225590375E-2</v>
      </c>
      <c r="U322">
        <v>2.1153300000000002</v>
      </c>
      <c r="V322">
        <f>(Table514398[[#This Row],[time]]-2)*2</f>
        <v>0.23066000000000031</v>
      </c>
      <c r="W322">
        <v>81.795199999999994</v>
      </c>
      <c r="X322">
        <v>1.1310800000000001</v>
      </c>
      <c r="Y322">
        <f>Table514398[[#This Row],[CFNM]]/Table514398[[#This Row],[CAREA]]</f>
        <v>1.3828195297523573E-2</v>
      </c>
      <c r="Z322">
        <v>2.1153300000000002</v>
      </c>
      <c r="AA322">
        <f>(Table615399[[#This Row],[time]]-2)*2</f>
        <v>0.23066000000000031</v>
      </c>
      <c r="AB322">
        <v>87.967299999999994</v>
      </c>
      <c r="AC322">
        <v>4.5917000000000003</v>
      </c>
      <c r="AD322">
        <f>Table615399[[#This Row],[CFNM]]/Table615399[[#This Row],[CAREA]]</f>
        <v>5.2197805320840819E-2</v>
      </c>
      <c r="AE322">
        <v>2.1153300000000002</v>
      </c>
      <c r="AF322">
        <f>(Table716400[[#This Row],[time]]-2)*2</f>
        <v>0.23066000000000031</v>
      </c>
      <c r="AG322">
        <v>78.446299999999994</v>
      </c>
      <c r="AH322">
        <v>18.060400000000001</v>
      </c>
      <c r="AI322">
        <f>Table716400[[#This Row],[CFNM]]/Table716400[[#This Row],[CAREA]]</f>
        <v>0.23022628218284358</v>
      </c>
      <c r="AJ322">
        <v>2.1153300000000002</v>
      </c>
      <c r="AK322">
        <f>(Table817401[[#This Row],[time]]-2)*2</f>
        <v>0.23066000000000031</v>
      </c>
      <c r="AL322">
        <v>83.536600000000007</v>
      </c>
      <c r="AM322">
        <v>17.001799999999999</v>
      </c>
      <c r="AN322">
        <f>Table817401[[#This Row],[CFNM]]/Table817401[[#This Row],[CAREA]]</f>
        <v>0.20352516142624907</v>
      </c>
    </row>
    <row r="323" spans="1:40">
      <c r="A323">
        <v>2.16533</v>
      </c>
      <c r="B323">
        <f>(Table110394[[#This Row],[time]]-2)*2</f>
        <v>0.33065999999999995</v>
      </c>
      <c r="C323">
        <v>89.612499999999997</v>
      </c>
      <c r="D323">
        <v>6.5223000000000004</v>
      </c>
      <c r="E323">
        <f>Table110394[[#This Row],[CFNM]]/Table110394[[#This Row],[CAREA]]</f>
        <v>7.2783372855349429E-2</v>
      </c>
      <c r="F323">
        <v>2.16533</v>
      </c>
      <c r="G323">
        <f>(Table211395[[#This Row],[time]]-2)*2</f>
        <v>0.33065999999999995</v>
      </c>
      <c r="H323">
        <v>95.485299999999995</v>
      </c>
      <c r="I323">
        <v>0.96591300000000002</v>
      </c>
      <c r="J323">
        <f>Table211395[[#This Row],[CFNM]]/Table211395[[#This Row],[CAREA]]</f>
        <v>1.0115829347554022E-2</v>
      </c>
      <c r="K323">
        <v>2.16533</v>
      </c>
      <c r="L323">
        <f>(Table312396[[#This Row],[time]]-2)*2</f>
        <v>0.33065999999999995</v>
      </c>
      <c r="M323">
        <v>86.355099999999993</v>
      </c>
      <c r="N323">
        <v>4.6771399999999998E-3</v>
      </c>
      <c r="O323">
        <f>Table312396[[#This Row],[CFNM]]/Table312396[[#This Row],[CAREA]]</f>
        <v>5.4161711352311561E-5</v>
      </c>
      <c r="P323">
        <v>2.16533</v>
      </c>
      <c r="Q323">
        <f>(Table413397[[#This Row],[time]]-2)*2</f>
        <v>0.33065999999999995</v>
      </c>
      <c r="R323">
        <v>83.552999999999997</v>
      </c>
      <c r="S323">
        <v>0.77101299999999995</v>
      </c>
      <c r="T323">
        <f>Table413397[[#This Row],[CFNM]]/Table413397[[#This Row],[CAREA]]</f>
        <v>9.2278314363338238E-3</v>
      </c>
      <c r="U323">
        <v>2.16533</v>
      </c>
      <c r="V323">
        <f>(Table514398[[#This Row],[time]]-2)*2</f>
        <v>0.33065999999999995</v>
      </c>
      <c r="W323">
        <v>80.768900000000002</v>
      </c>
      <c r="X323">
        <v>0.53348600000000002</v>
      </c>
      <c r="Y323">
        <f>Table514398[[#This Row],[CFNM]]/Table514398[[#This Row],[CAREA]]</f>
        <v>6.6050918113283704E-3</v>
      </c>
      <c r="Z323">
        <v>2.16533</v>
      </c>
      <c r="AA323">
        <f>(Table615399[[#This Row],[time]]-2)*2</f>
        <v>0.33065999999999995</v>
      </c>
      <c r="AB323">
        <v>87.2303</v>
      </c>
      <c r="AC323">
        <v>2.83446</v>
      </c>
      <c r="AD323">
        <f>Table615399[[#This Row],[CFNM]]/Table615399[[#This Row],[CAREA]]</f>
        <v>3.2493984315083178E-2</v>
      </c>
      <c r="AE323">
        <v>2.16533</v>
      </c>
      <c r="AF323">
        <f>(Table716400[[#This Row],[time]]-2)*2</f>
        <v>0.33065999999999995</v>
      </c>
      <c r="AG323">
        <v>78.178100000000001</v>
      </c>
      <c r="AH323">
        <v>17.490600000000001</v>
      </c>
      <c r="AI323">
        <f>Table716400[[#This Row],[CFNM]]/Table716400[[#This Row],[CAREA]]</f>
        <v>0.22372761681340428</v>
      </c>
      <c r="AJ323">
        <v>2.16533</v>
      </c>
      <c r="AK323">
        <f>(Table817401[[#This Row],[time]]-2)*2</f>
        <v>0.33065999999999995</v>
      </c>
      <c r="AL323">
        <v>83.732299999999995</v>
      </c>
      <c r="AM323">
        <v>16.051200000000001</v>
      </c>
      <c r="AN323">
        <f>Table817401[[#This Row],[CFNM]]/Table817401[[#This Row],[CAREA]]</f>
        <v>0.19169663319889699</v>
      </c>
    </row>
    <row r="324" spans="1:40">
      <c r="A324">
        <v>2.2246999999999999</v>
      </c>
      <c r="B324">
        <f>(Table110394[[#This Row],[time]]-2)*2</f>
        <v>0.4493999999999998</v>
      </c>
      <c r="C324">
        <v>88.744</v>
      </c>
      <c r="D324">
        <v>6.0458999999999996</v>
      </c>
      <c r="E324">
        <f>Table110394[[#This Row],[CFNM]]/Table110394[[#This Row],[CAREA]]</f>
        <v>6.8127422698999365E-2</v>
      </c>
      <c r="F324">
        <v>2.2246999999999999</v>
      </c>
      <c r="G324">
        <f>(Table211395[[#This Row],[time]]-2)*2</f>
        <v>0.4493999999999998</v>
      </c>
      <c r="H324">
        <v>94.856800000000007</v>
      </c>
      <c r="I324">
        <v>0.38796399999999998</v>
      </c>
      <c r="J324">
        <f>Table211395[[#This Row],[CFNM]]/Table211395[[#This Row],[CAREA]]</f>
        <v>4.0899967108314842E-3</v>
      </c>
      <c r="K324">
        <v>2.2246999999999999</v>
      </c>
      <c r="L324">
        <f>(Table312396[[#This Row],[time]]-2)*2</f>
        <v>0.4493999999999998</v>
      </c>
      <c r="M324">
        <v>85.915000000000006</v>
      </c>
      <c r="N324">
        <v>4.5393300000000003E-3</v>
      </c>
      <c r="O324">
        <f>Table312396[[#This Row],[CFNM]]/Table312396[[#This Row],[CAREA]]</f>
        <v>5.2835127742536226E-5</v>
      </c>
      <c r="P324">
        <v>2.2246999999999999</v>
      </c>
      <c r="Q324">
        <f>(Table413397[[#This Row],[time]]-2)*2</f>
        <v>0.4493999999999998</v>
      </c>
      <c r="R324">
        <v>82.980900000000005</v>
      </c>
      <c r="S324">
        <v>0.48736200000000002</v>
      </c>
      <c r="T324">
        <f>Table413397[[#This Row],[CFNM]]/Table413397[[#This Row],[CAREA]]</f>
        <v>5.8731828649725417E-3</v>
      </c>
      <c r="U324">
        <v>2.2246999999999999</v>
      </c>
      <c r="V324">
        <f>(Table514398[[#This Row],[time]]-2)*2</f>
        <v>0.4493999999999998</v>
      </c>
      <c r="W324">
        <v>80.222899999999996</v>
      </c>
      <c r="X324">
        <v>0.36688199999999999</v>
      </c>
      <c r="Y324">
        <f>Table514398[[#This Row],[CFNM]]/Table514398[[#This Row],[CAREA]]</f>
        <v>4.5732826911019176E-3</v>
      </c>
      <c r="Z324">
        <v>2.2246999999999999</v>
      </c>
      <c r="AA324">
        <f>(Table615399[[#This Row],[time]]-2)*2</f>
        <v>0.4493999999999998</v>
      </c>
      <c r="AB324">
        <v>86.0137</v>
      </c>
      <c r="AC324">
        <v>2.0263200000000001</v>
      </c>
      <c r="AD324">
        <f>Table615399[[#This Row],[CFNM]]/Table615399[[#This Row],[CAREA]]</f>
        <v>2.3558107603788701E-2</v>
      </c>
      <c r="AE324">
        <v>2.2246999999999999</v>
      </c>
      <c r="AF324">
        <f>(Table716400[[#This Row],[time]]-2)*2</f>
        <v>0.4493999999999998</v>
      </c>
      <c r="AG324">
        <v>78.052899999999994</v>
      </c>
      <c r="AH324">
        <v>17.203900000000001</v>
      </c>
      <c r="AI324">
        <f>Table716400[[#This Row],[CFNM]]/Table716400[[#This Row],[CAREA]]</f>
        <v>0.22041333505865895</v>
      </c>
      <c r="AJ324">
        <v>2.2246999999999999</v>
      </c>
      <c r="AK324">
        <f>(Table817401[[#This Row],[time]]-2)*2</f>
        <v>0.4493999999999998</v>
      </c>
      <c r="AL324">
        <v>83.878699999999995</v>
      </c>
      <c r="AM324">
        <v>15.5726</v>
      </c>
      <c r="AN324">
        <f>Table817401[[#This Row],[CFNM]]/Table817401[[#This Row],[CAREA]]</f>
        <v>0.18565619161956493</v>
      </c>
    </row>
    <row r="325" spans="1:40">
      <c r="A325">
        <v>2.2668900000000001</v>
      </c>
      <c r="B325">
        <f>(Table110394[[#This Row],[time]]-2)*2</f>
        <v>0.53378000000000014</v>
      </c>
      <c r="C325">
        <v>88.209000000000003</v>
      </c>
      <c r="D325">
        <v>6.0054600000000002</v>
      </c>
      <c r="E325">
        <f>Table110394[[#This Row],[CFNM]]/Table110394[[#This Row],[CAREA]]</f>
        <v>6.8082168486208891E-2</v>
      </c>
      <c r="F325">
        <v>2.2668900000000001</v>
      </c>
      <c r="G325">
        <f>(Table211395[[#This Row],[time]]-2)*2</f>
        <v>0.53378000000000014</v>
      </c>
      <c r="H325">
        <v>94.313100000000006</v>
      </c>
      <c r="I325">
        <v>0.24707100000000001</v>
      </c>
      <c r="J325">
        <f>Table211395[[#This Row],[CFNM]]/Table211395[[#This Row],[CAREA]]</f>
        <v>2.6196890993934034E-3</v>
      </c>
      <c r="K325">
        <v>2.2668900000000001</v>
      </c>
      <c r="L325">
        <f>(Table312396[[#This Row],[time]]-2)*2</f>
        <v>0.53378000000000014</v>
      </c>
      <c r="M325">
        <v>85.295500000000004</v>
      </c>
      <c r="N325">
        <v>4.52828E-3</v>
      </c>
      <c r="O325">
        <f>Table312396[[#This Row],[CFNM]]/Table312396[[#This Row],[CAREA]]</f>
        <v>5.3089318897245456E-5</v>
      </c>
      <c r="P325">
        <v>2.2668900000000001</v>
      </c>
      <c r="Q325">
        <f>(Table413397[[#This Row],[time]]-2)*2</f>
        <v>0.53378000000000014</v>
      </c>
      <c r="R325">
        <v>82.3887</v>
      </c>
      <c r="S325">
        <v>0.38758999999999999</v>
      </c>
      <c r="T325">
        <f>Table413397[[#This Row],[CFNM]]/Table413397[[#This Row],[CAREA]]</f>
        <v>4.7044072791535734E-3</v>
      </c>
      <c r="U325">
        <v>2.2668900000000001</v>
      </c>
      <c r="V325">
        <f>(Table514398[[#This Row],[time]]-2)*2</f>
        <v>0.53378000000000014</v>
      </c>
      <c r="W325">
        <v>79.627600000000001</v>
      </c>
      <c r="X325">
        <v>0.231514</v>
      </c>
      <c r="Y325">
        <f>Table514398[[#This Row],[CFNM]]/Table514398[[#This Row],[CAREA]]</f>
        <v>2.9074592226815826E-3</v>
      </c>
      <c r="Z325">
        <v>2.2668900000000001</v>
      </c>
      <c r="AA325">
        <f>(Table615399[[#This Row],[time]]-2)*2</f>
        <v>0.53378000000000014</v>
      </c>
      <c r="AB325">
        <v>84.073099999999997</v>
      </c>
      <c r="AC325">
        <v>1.3974200000000001</v>
      </c>
      <c r="AD325">
        <f>Table615399[[#This Row],[CFNM]]/Table615399[[#This Row],[CAREA]]</f>
        <v>1.6621487729130961E-2</v>
      </c>
      <c r="AE325">
        <v>2.2668900000000001</v>
      </c>
      <c r="AF325">
        <f>(Table716400[[#This Row],[time]]-2)*2</f>
        <v>0.53378000000000014</v>
      </c>
      <c r="AG325">
        <v>77.848200000000006</v>
      </c>
      <c r="AH325">
        <v>16.9405</v>
      </c>
      <c r="AI325">
        <f>Table716400[[#This Row],[CFNM]]/Table716400[[#This Row],[CAREA]]</f>
        <v>0.21760939880433972</v>
      </c>
      <c r="AJ325">
        <v>2.2668900000000001</v>
      </c>
      <c r="AK325">
        <f>(Table817401[[#This Row],[time]]-2)*2</f>
        <v>0.53378000000000014</v>
      </c>
      <c r="AL325">
        <v>84.209000000000003</v>
      </c>
      <c r="AM325">
        <v>15.103300000000001</v>
      </c>
      <c r="AN325">
        <f>Table817401[[#This Row],[CFNM]]/Table817401[[#This Row],[CAREA]]</f>
        <v>0.17935493830825683</v>
      </c>
    </row>
    <row r="326" spans="1:40">
      <c r="A326">
        <v>2.3262700000000001</v>
      </c>
      <c r="B326">
        <f>(Table110394[[#This Row],[time]]-2)*2</f>
        <v>0.65254000000000012</v>
      </c>
      <c r="C326">
        <v>87.719700000000003</v>
      </c>
      <c r="D326">
        <v>6.0989300000000002</v>
      </c>
      <c r="E326">
        <f>Table110394[[#This Row],[CFNM]]/Table110394[[#This Row],[CAREA]]</f>
        <v>6.9527483564125275E-2</v>
      </c>
      <c r="F326">
        <v>2.3262700000000001</v>
      </c>
      <c r="G326">
        <f>(Table211395[[#This Row],[time]]-2)*2</f>
        <v>0.65254000000000012</v>
      </c>
      <c r="H326">
        <v>93.891999999999996</v>
      </c>
      <c r="I326">
        <v>0.21188699999999999</v>
      </c>
      <c r="J326">
        <f>Table211395[[#This Row],[CFNM]]/Table211395[[#This Row],[CAREA]]</f>
        <v>2.2567098368338093E-3</v>
      </c>
      <c r="K326">
        <v>2.3262700000000001</v>
      </c>
      <c r="L326">
        <f>(Table312396[[#This Row],[time]]-2)*2</f>
        <v>0.65254000000000012</v>
      </c>
      <c r="M326">
        <v>84.749700000000004</v>
      </c>
      <c r="N326">
        <v>4.4875499999999999E-3</v>
      </c>
      <c r="O326">
        <f>Table312396[[#This Row],[CFNM]]/Table312396[[#This Row],[CAREA]]</f>
        <v>5.2950629913734204E-5</v>
      </c>
      <c r="P326">
        <v>2.3262700000000001</v>
      </c>
      <c r="Q326">
        <f>(Table413397[[#This Row],[time]]-2)*2</f>
        <v>0.65254000000000012</v>
      </c>
      <c r="R326">
        <v>81.892099999999999</v>
      </c>
      <c r="S326">
        <v>0.30701000000000001</v>
      </c>
      <c r="T326">
        <f>Table413397[[#This Row],[CFNM]]/Table413397[[#This Row],[CAREA]]</f>
        <v>3.7489574696460345E-3</v>
      </c>
      <c r="U326">
        <v>2.3262700000000001</v>
      </c>
      <c r="V326">
        <f>(Table514398[[#This Row],[time]]-2)*2</f>
        <v>0.65254000000000012</v>
      </c>
      <c r="W326">
        <v>79.206699999999998</v>
      </c>
      <c r="X326">
        <v>0.13180500000000001</v>
      </c>
      <c r="Y326">
        <f>Table514398[[#This Row],[CFNM]]/Table514398[[#This Row],[CAREA]]</f>
        <v>1.6640637723828919E-3</v>
      </c>
      <c r="Z326">
        <v>2.3262700000000001</v>
      </c>
      <c r="AA326">
        <f>(Table615399[[#This Row],[time]]-2)*2</f>
        <v>0.65254000000000012</v>
      </c>
      <c r="AB326">
        <v>83.074399999999997</v>
      </c>
      <c r="AC326">
        <v>0.88571500000000003</v>
      </c>
      <c r="AD326">
        <f>Table615399[[#This Row],[CFNM]]/Table615399[[#This Row],[CAREA]]</f>
        <v>1.0661708059281801E-2</v>
      </c>
      <c r="AE326">
        <v>2.3262700000000001</v>
      </c>
      <c r="AF326">
        <f>(Table716400[[#This Row],[time]]-2)*2</f>
        <v>0.65254000000000012</v>
      </c>
      <c r="AG326">
        <v>77.655299999999997</v>
      </c>
      <c r="AH326">
        <v>16.691700000000001</v>
      </c>
      <c r="AI326">
        <f>Table716400[[#This Row],[CFNM]]/Table716400[[#This Row],[CAREA]]</f>
        <v>0.21494605004423395</v>
      </c>
      <c r="AJ326">
        <v>2.3262700000000001</v>
      </c>
      <c r="AK326">
        <f>(Table817401[[#This Row],[time]]-2)*2</f>
        <v>0.65254000000000012</v>
      </c>
      <c r="AL326">
        <v>84.218299999999999</v>
      </c>
      <c r="AM326">
        <v>14.6629</v>
      </c>
      <c r="AN326">
        <f>Table817401[[#This Row],[CFNM]]/Table817401[[#This Row],[CAREA]]</f>
        <v>0.17410586535230468</v>
      </c>
    </row>
    <row r="327" spans="1:40">
      <c r="A327">
        <v>2.3684599999999998</v>
      </c>
      <c r="B327">
        <f>(Table110394[[#This Row],[time]]-2)*2</f>
        <v>0.73691999999999958</v>
      </c>
      <c r="C327">
        <v>86.8583</v>
      </c>
      <c r="D327">
        <v>6.0771899999999999</v>
      </c>
      <c r="E327">
        <f>Table110394[[#This Row],[CFNM]]/Table110394[[#This Row],[CAREA]]</f>
        <v>6.9966715903949303E-2</v>
      </c>
      <c r="F327">
        <v>2.3684599999999998</v>
      </c>
      <c r="G327">
        <f>(Table211395[[#This Row],[time]]-2)*2</f>
        <v>0.73691999999999958</v>
      </c>
      <c r="H327">
        <v>93.349599999999995</v>
      </c>
      <c r="I327">
        <v>0.13342300000000001</v>
      </c>
      <c r="J327">
        <f>Table211395[[#This Row],[CFNM]]/Table211395[[#This Row],[CAREA]]</f>
        <v>1.4292830392417324E-3</v>
      </c>
      <c r="K327">
        <v>2.3684599999999998</v>
      </c>
      <c r="L327">
        <f>(Table312396[[#This Row],[time]]-2)*2</f>
        <v>0.73691999999999958</v>
      </c>
      <c r="M327">
        <v>84.179500000000004</v>
      </c>
      <c r="N327">
        <v>4.3991000000000004E-3</v>
      </c>
      <c r="O327">
        <f>Table312396[[#This Row],[CFNM]]/Table312396[[#This Row],[CAREA]]</f>
        <v>5.2258566515600592E-5</v>
      </c>
      <c r="P327">
        <v>2.3684599999999998</v>
      </c>
      <c r="Q327">
        <f>(Table413397[[#This Row],[time]]-2)*2</f>
        <v>0.73691999999999958</v>
      </c>
      <c r="R327">
        <v>81.467799999999997</v>
      </c>
      <c r="S327">
        <v>0.23125000000000001</v>
      </c>
      <c r="T327">
        <f>Table413397[[#This Row],[CFNM]]/Table413397[[#This Row],[CAREA]]</f>
        <v>2.8385447992949364E-3</v>
      </c>
      <c r="U327">
        <v>2.3684599999999998</v>
      </c>
      <c r="V327">
        <f>(Table514398[[#This Row],[time]]-2)*2</f>
        <v>0.73691999999999958</v>
      </c>
      <c r="W327">
        <v>78.694599999999994</v>
      </c>
      <c r="X327">
        <v>2.01625E-2</v>
      </c>
      <c r="Y327">
        <f>Table514398[[#This Row],[CFNM]]/Table514398[[#This Row],[CAREA]]</f>
        <v>2.5621198913267242E-4</v>
      </c>
      <c r="Z327">
        <v>2.3684599999999998</v>
      </c>
      <c r="AA327">
        <f>(Table615399[[#This Row],[time]]-2)*2</f>
        <v>0.73691999999999958</v>
      </c>
      <c r="AB327">
        <v>81.899799999999999</v>
      </c>
      <c r="AC327">
        <v>0.47042899999999999</v>
      </c>
      <c r="AD327">
        <f>Table615399[[#This Row],[CFNM]]/Table615399[[#This Row],[CAREA]]</f>
        <v>5.743957860702956E-3</v>
      </c>
      <c r="AE327">
        <v>2.3684599999999998</v>
      </c>
      <c r="AF327">
        <f>(Table716400[[#This Row],[time]]-2)*2</f>
        <v>0.73691999999999958</v>
      </c>
      <c r="AG327">
        <v>77.698700000000002</v>
      </c>
      <c r="AH327">
        <v>16.330400000000001</v>
      </c>
      <c r="AI327">
        <f>Table716400[[#This Row],[CFNM]]/Table716400[[#This Row],[CAREA]]</f>
        <v>0.21017597463020618</v>
      </c>
      <c r="AJ327">
        <v>2.3684599999999998</v>
      </c>
      <c r="AK327">
        <f>(Table817401[[#This Row],[time]]-2)*2</f>
        <v>0.73691999999999958</v>
      </c>
      <c r="AL327">
        <v>84.182100000000005</v>
      </c>
      <c r="AM327">
        <v>14.0906</v>
      </c>
      <c r="AN327">
        <f>Table817401[[#This Row],[CFNM]]/Table817401[[#This Row],[CAREA]]</f>
        <v>0.16738237701364067</v>
      </c>
    </row>
    <row r="328" spans="1:40">
      <c r="A328">
        <v>2.4278300000000002</v>
      </c>
      <c r="B328">
        <f>(Table110394[[#This Row],[time]]-2)*2</f>
        <v>0.85566000000000031</v>
      </c>
      <c r="C328">
        <v>85.628699999999995</v>
      </c>
      <c r="D328">
        <v>6.0399200000000004</v>
      </c>
      <c r="E328">
        <f>Table110394[[#This Row],[CFNM]]/Table110394[[#This Row],[CAREA]]</f>
        <v>7.0536163692780582E-2</v>
      </c>
      <c r="F328">
        <v>2.4278300000000002</v>
      </c>
      <c r="G328">
        <f>(Table211395[[#This Row],[time]]-2)*2</f>
        <v>0.85566000000000031</v>
      </c>
      <c r="H328">
        <v>92.632900000000006</v>
      </c>
      <c r="I328">
        <v>3.5313999999999998E-2</v>
      </c>
      <c r="J328">
        <f>Table211395[[#This Row],[CFNM]]/Table211395[[#This Row],[CAREA]]</f>
        <v>3.8122524502633511E-4</v>
      </c>
      <c r="K328">
        <v>2.4278300000000002</v>
      </c>
      <c r="L328">
        <f>(Table312396[[#This Row],[time]]-2)*2</f>
        <v>0.85566000000000031</v>
      </c>
      <c r="M328">
        <v>83.392600000000002</v>
      </c>
      <c r="N328">
        <v>4.2474599999999998E-3</v>
      </c>
      <c r="O328">
        <f>Table312396[[#This Row],[CFNM]]/Table312396[[#This Row],[CAREA]]</f>
        <v>5.0933296239714313E-5</v>
      </c>
      <c r="P328">
        <v>2.4278300000000002</v>
      </c>
      <c r="Q328">
        <f>(Table413397[[#This Row],[time]]-2)*2</f>
        <v>0.85566000000000031</v>
      </c>
      <c r="R328">
        <v>80.834199999999996</v>
      </c>
      <c r="S328">
        <v>4.8952700000000002E-2</v>
      </c>
      <c r="T328">
        <f>Table413397[[#This Row],[CFNM]]/Table413397[[#This Row],[CAREA]]</f>
        <v>6.055939194054002E-4</v>
      </c>
      <c r="U328">
        <v>2.4278300000000002</v>
      </c>
      <c r="V328">
        <f>(Table514398[[#This Row],[time]]-2)*2</f>
        <v>0.85566000000000031</v>
      </c>
      <c r="W328">
        <v>77.724000000000004</v>
      </c>
      <c r="X328">
        <v>4.8243399999999999E-3</v>
      </c>
      <c r="Y328">
        <f>Table514398[[#This Row],[CFNM]]/Table514398[[#This Row],[CAREA]]</f>
        <v>6.2070145643559259E-5</v>
      </c>
      <c r="Z328">
        <v>2.4278300000000002</v>
      </c>
      <c r="AA328">
        <f>(Table615399[[#This Row],[time]]-2)*2</f>
        <v>0.85566000000000031</v>
      </c>
      <c r="AB328">
        <v>80.055099999999996</v>
      </c>
      <c r="AC328">
        <v>0.151033</v>
      </c>
      <c r="AD328">
        <f>Table615399[[#This Row],[CFNM]]/Table615399[[#This Row],[CAREA]]</f>
        <v>1.88661309523066E-3</v>
      </c>
      <c r="AE328">
        <v>2.4278300000000002</v>
      </c>
      <c r="AF328">
        <f>(Table716400[[#This Row],[time]]-2)*2</f>
        <v>0.85566000000000031</v>
      </c>
      <c r="AG328">
        <v>77.787300000000002</v>
      </c>
      <c r="AH328">
        <v>15.7723</v>
      </c>
      <c r="AI328">
        <f>Table716400[[#This Row],[CFNM]]/Table716400[[#This Row],[CAREA]]</f>
        <v>0.20276189043712789</v>
      </c>
      <c r="AJ328">
        <v>2.4278300000000002</v>
      </c>
      <c r="AK328">
        <f>(Table817401[[#This Row],[time]]-2)*2</f>
        <v>0.85566000000000031</v>
      </c>
      <c r="AL328">
        <v>84.177800000000005</v>
      </c>
      <c r="AM328">
        <v>13.270799999999999</v>
      </c>
      <c r="AN328">
        <f>Table817401[[#This Row],[CFNM]]/Table817401[[#This Row],[CAREA]]</f>
        <v>0.15765201751530686</v>
      </c>
    </row>
    <row r="329" spans="1:40">
      <c r="A329">
        <v>2.4542000000000002</v>
      </c>
      <c r="B329">
        <f>(Table110394[[#This Row],[time]]-2)*2</f>
        <v>0.90840000000000032</v>
      </c>
      <c r="C329">
        <v>85.360100000000003</v>
      </c>
      <c r="D329">
        <v>6.0266999999999999</v>
      </c>
      <c r="E329">
        <f>Table110394[[#This Row],[CFNM]]/Table110394[[#This Row],[CAREA]]</f>
        <v>7.0603244372956453E-2</v>
      </c>
      <c r="F329">
        <v>2.4542000000000002</v>
      </c>
      <c r="G329">
        <f>(Table211395[[#This Row],[time]]-2)*2</f>
        <v>0.90840000000000032</v>
      </c>
      <c r="H329">
        <v>92.393900000000002</v>
      </c>
      <c r="I329">
        <v>7.18805E-2</v>
      </c>
      <c r="J329">
        <f>Table211395[[#This Row],[CFNM]]/Table211395[[#This Row],[CAREA]]</f>
        <v>7.7797884925303511E-4</v>
      </c>
      <c r="K329">
        <v>2.4542000000000002</v>
      </c>
      <c r="L329">
        <f>(Table312396[[#This Row],[time]]-2)*2</f>
        <v>0.90840000000000032</v>
      </c>
      <c r="M329">
        <v>83.099699999999999</v>
      </c>
      <c r="N329">
        <v>4.1832299999999996E-3</v>
      </c>
      <c r="O329">
        <f>Table312396[[#This Row],[CFNM]]/Table312396[[#This Row],[CAREA]]</f>
        <v>5.0339892923801163E-5</v>
      </c>
      <c r="P329">
        <v>2.4542000000000002</v>
      </c>
      <c r="Q329">
        <f>(Table413397[[#This Row],[time]]-2)*2</f>
        <v>0.90840000000000032</v>
      </c>
      <c r="R329">
        <v>80.584999999999994</v>
      </c>
      <c r="S329">
        <v>6.4555400000000001E-3</v>
      </c>
      <c r="T329">
        <f>Table413397[[#This Row],[CFNM]]/Table413397[[#This Row],[CAREA]]</f>
        <v>8.0108456908854013E-5</v>
      </c>
      <c r="U329">
        <v>2.4542000000000002</v>
      </c>
      <c r="V329">
        <f>(Table514398[[#This Row],[time]]-2)*2</f>
        <v>0.90840000000000032</v>
      </c>
      <c r="W329">
        <v>77.209599999999995</v>
      </c>
      <c r="X329">
        <v>4.4320100000000001E-3</v>
      </c>
      <c r="Y329">
        <f>Table514398[[#This Row],[CFNM]]/Table514398[[#This Row],[CAREA]]</f>
        <v>5.7402317846485416E-5</v>
      </c>
      <c r="Z329">
        <v>2.4542000000000002</v>
      </c>
      <c r="AA329">
        <f>(Table615399[[#This Row],[time]]-2)*2</f>
        <v>0.90840000000000032</v>
      </c>
      <c r="AB329">
        <v>78.967100000000002</v>
      </c>
      <c r="AC329">
        <v>3.0136E-2</v>
      </c>
      <c r="AD329">
        <f>Table615399[[#This Row],[CFNM]]/Table615399[[#This Row],[CAREA]]</f>
        <v>3.816272852871639E-4</v>
      </c>
      <c r="AE329">
        <v>2.4542000000000002</v>
      </c>
      <c r="AF329">
        <f>(Table716400[[#This Row],[time]]-2)*2</f>
        <v>0.90840000000000032</v>
      </c>
      <c r="AG329">
        <v>77.888499999999993</v>
      </c>
      <c r="AH329">
        <v>15.546200000000001</v>
      </c>
      <c r="AI329">
        <f>Table716400[[#This Row],[CFNM]]/Table716400[[#This Row],[CAREA]]</f>
        <v>0.19959557572684031</v>
      </c>
      <c r="AJ329">
        <v>2.4542000000000002</v>
      </c>
      <c r="AK329">
        <f>(Table817401[[#This Row],[time]]-2)*2</f>
        <v>0.90840000000000032</v>
      </c>
      <c r="AL329">
        <v>83.782499999999999</v>
      </c>
      <c r="AM329">
        <v>12.9458</v>
      </c>
      <c r="AN329">
        <f>Table817401[[#This Row],[CFNM]]/Table817401[[#This Row],[CAREA]]</f>
        <v>0.15451675469220899</v>
      </c>
    </row>
    <row r="330" spans="1:40">
      <c r="A330">
        <v>2.5061499999999999</v>
      </c>
      <c r="B330">
        <f>(Table110394[[#This Row],[time]]-2)*2</f>
        <v>1.0122999999999998</v>
      </c>
      <c r="C330">
        <v>84.825599999999994</v>
      </c>
      <c r="D330">
        <v>5.9533199999999997</v>
      </c>
      <c r="E330">
        <f>Table110394[[#This Row],[CFNM]]/Table110394[[#This Row],[CAREA]]</f>
        <v>7.0183057944771393E-2</v>
      </c>
      <c r="F330">
        <v>2.5061499999999999</v>
      </c>
      <c r="G330">
        <f>(Table211395[[#This Row],[time]]-2)*2</f>
        <v>1.0122999999999998</v>
      </c>
      <c r="H330">
        <v>91.927400000000006</v>
      </c>
      <c r="I330">
        <v>0.15010699999999999</v>
      </c>
      <c r="J330">
        <f>Table211395[[#This Row],[CFNM]]/Table211395[[#This Row],[CAREA]]</f>
        <v>1.6328863864310313E-3</v>
      </c>
      <c r="K330">
        <v>2.5061499999999999</v>
      </c>
      <c r="L330">
        <f>(Table312396[[#This Row],[time]]-2)*2</f>
        <v>1.0122999999999998</v>
      </c>
      <c r="M330">
        <v>82.631399999999999</v>
      </c>
      <c r="N330">
        <v>4.07318E-3</v>
      </c>
      <c r="O330">
        <f>Table312396[[#This Row],[CFNM]]/Table312396[[#This Row],[CAREA]]</f>
        <v>4.9293367896465507E-5</v>
      </c>
      <c r="P330">
        <v>2.5061499999999999</v>
      </c>
      <c r="Q330">
        <f>(Table413397[[#This Row],[time]]-2)*2</f>
        <v>1.0122999999999998</v>
      </c>
      <c r="R330">
        <v>80.152799999999999</v>
      </c>
      <c r="S330">
        <v>5.5911299999999997E-3</v>
      </c>
      <c r="T330">
        <f>Table413397[[#This Row],[CFNM]]/Table413397[[#This Row],[CAREA]]</f>
        <v>6.9755891247716862E-5</v>
      </c>
      <c r="U330">
        <v>2.5061499999999999</v>
      </c>
      <c r="V330">
        <f>(Table514398[[#This Row],[time]]-2)*2</f>
        <v>1.0122999999999998</v>
      </c>
      <c r="W330">
        <v>76.669499999999999</v>
      </c>
      <c r="X330">
        <v>4.3195300000000002E-3</v>
      </c>
      <c r="Y330">
        <f>Table514398[[#This Row],[CFNM]]/Table514398[[#This Row],[CAREA]]</f>
        <v>5.6339613536021498E-5</v>
      </c>
      <c r="Z330">
        <v>2.5061499999999999</v>
      </c>
      <c r="AA330">
        <f>(Table615399[[#This Row],[time]]-2)*2</f>
        <v>1.0122999999999998</v>
      </c>
      <c r="AB330">
        <v>77.388900000000007</v>
      </c>
      <c r="AC330">
        <v>3.8839299999999998E-3</v>
      </c>
      <c r="AD330">
        <f>Table615399[[#This Row],[CFNM]]/Table615399[[#This Row],[CAREA]]</f>
        <v>5.0187171545273279E-5</v>
      </c>
      <c r="AE330">
        <v>2.5061499999999999</v>
      </c>
      <c r="AF330">
        <f>(Table716400[[#This Row],[time]]-2)*2</f>
        <v>1.0122999999999998</v>
      </c>
      <c r="AG330">
        <v>78.071600000000004</v>
      </c>
      <c r="AH330">
        <v>15.1013</v>
      </c>
      <c r="AI330">
        <f>Table716400[[#This Row],[CFNM]]/Table716400[[#This Row],[CAREA]]</f>
        <v>0.19342885248925346</v>
      </c>
      <c r="AJ330">
        <v>2.5061499999999999</v>
      </c>
      <c r="AK330">
        <f>(Table817401[[#This Row],[time]]-2)*2</f>
        <v>1.0122999999999998</v>
      </c>
      <c r="AL330">
        <v>83.6935</v>
      </c>
      <c r="AM330">
        <v>12.3339</v>
      </c>
      <c r="AN330">
        <f>Table817401[[#This Row],[CFNM]]/Table817401[[#This Row],[CAREA]]</f>
        <v>0.14736986743295477</v>
      </c>
    </row>
    <row r="331" spans="1:40">
      <c r="A331">
        <v>2.5507599999999999</v>
      </c>
      <c r="B331">
        <f>(Table110394[[#This Row],[time]]-2)*2</f>
        <v>1.1015199999999998</v>
      </c>
      <c r="C331">
        <v>83.962699999999998</v>
      </c>
      <c r="D331">
        <v>5.9064500000000004</v>
      </c>
      <c r="E331">
        <f>Table110394[[#This Row],[CFNM]]/Table110394[[#This Row],[CAREA]]</f>
        <v>7.0346117978578593E-2</v>
      </c>
      <c r="F331">
        <v>2.5507599999999999</v>
      </c>
      <c r="G331">
        <f>(Table211395[[#This Row],[time]]-2)*2</f>
        <v>1.1015199999999998</v>
      </c>
      <c r="H331">
        <v>91.382300000000001</v>
      </c>
      <c r="I331">
        <v>0.22203999999999999</v>
      </c>
      <c r="J331">
        <f>Table211395[[#This Row],[CFNM]]/Table211395[[#This Row],[CAREA]]</f>
        <v>2.4297922026475585E-3</v>
      </c>
      <c r="K331">
        <v>2.5507599999999999</v>
      </c>
      <c r="L331">
        <f>(Table312396[[#This Row],[time]]-2)*2</f>
        <v>1.1015199999999998</v>
      </c>
      <c r="M331">
        <v>82.217200000000005</v>
      </c>
      <c r="N331">
        <v>3.9762900000000004E-3</v>
      </c>
      <c r="O331">
        <f>Table312396[[#This Row],[CFNM]]/Table312396[[#This Row],[CAREA]]</f>
        <v>4.8363237862637015E-5</v>
      </c>
      <c r="P331">
        <v>2.5507599999999999</v>
      </c>
      <c r="Q331">
        <f>(Table413397[[#This Row],[time]]-2)*2</f>
        <v>1.1015199999999998</v>
      </c>
      <c r="R331">
        <v>79.414299999999997</v>
      </c>
      <c r="S331">
        <v>5.5017E-3</v>
      </c>
      <c r="T331">
        <f>Table413397[[#This Row],[CFNM]]/Table413397[[#This Row],[CAREA]]</f>
        <v>6.9278454887847655E-5</v>
      </c>
      <c r="U331">
        <v>2.5507599999999999</v>
      </c>
      <c r="V331">
        <f>(Table514398[[#This Row],[time]]-2)*2</f>
        <v>1.1015199999999998</v>
      </c>
      <c r="W331">
        <v>75.049099999999996</v>
      </c>
      <c r="X331">
        <v>4.2174100000000004E-3</v>
      </c>
      <c r="Y331">
        <f>Table514398[[#This Row],[CFNM]]/Table514398[[#This Row],[CAREA]]</f>
        <v>5.6195344114719575E-5</v>
      </c>
      <c r="Z331">
        <v>2.5507599999999999</v>
      </c>
      <c r="AA331">
        <f>(Table615399[[#This Row],[time]]-2)*2</f>
        <v>1.1015199999999998</v>
      </c>
      <c r="AB331">
        <v>76.510999999999996</v>
      </c>
      <c r="AC331">
        <v>3.7154100000000002E-3</v>
      </c>
      <c r="AD331">
        <f>Table615399[[#This Row],[CFNM]]/Table615399[[#This Row],[CAREA]]</f>
        <v>4.8560468429376176E-5</v>
      </c>
      <c r="AE331">
        <v>2.5507599999999999</v>
      </c>
      <c r="AF331">
        <f>(Table716400[[#This Row],[time]]-2)*2</f>
        <v>1.1015199999999998</v>
      </c>
      <c r="AG331">
        <v>78.122299999999996</v>
      </c>
      <c r="AH331">
        <v>14.684900000000001</v>
      </c>
      <c r="AI331">
        <f>Table716400[[#This Row],[CFNM]]/Table716400[[#This Row],[CAREA]]</f>
        <v>0.18797321635435724</v>
      </c>
      <c r="AJ331">
        <v>2.5507599999999999</v>
      </c>
      <c r="AK331">
        <f>(Table817401[[#This Row],[time]]-2)*2</f>
        <v>1.1015199999999998</v>
      </c>
      <c r="AL331">
        <v>83.621200000000002</v>
      </c>
      <c r="AM331">
        <v>11.7446</v>
      </c>
      <c r="AN331">
        <f>Table817401[[#This Row],[CFNM]]/Table817401[[#This Row],[CAREA]]</f>
        <v>0.14045002941837717</v>
      </c>
    </row>
    <row r="332" spans="1:40">
      <c r="A332">
        <v>2.60453</v>
      </c>
      <c r="B332">
        <f>(Table110394[[#This Row],[time]]-2)*2</f>
        <v>1.20906</v>
      </c>
      <c r="C332">
        <v>83.504300000000001</v>
      </c>
      <c r="D332">
        <v>5.8657000000000004</v>
      </c>
      <c r="E332">
        <f>Table110394[[#This Row],[CFNM]]/Table110394[[#This Row],[CAREA]]</f>
        <v>7.0244286821157714E-2</v>
      </c>
      <c r="F332">
        <v>2.60453</v>
      </c>
      <c r="G332">
        <f>(Table211395[[#This Row],[time]]-2)*2</f>
        <v>1.20906</v>
      </c>
      <c r="H332">
        <v>90.929299999999998</v>
      </c>
      <c r="I332">
        <v>0.274841</v>
      </c>
      <c r="J332">
        <f>Table211395[[#This Row],[CFNM]]/Table211395[[#This Row],[CAREA]]</f>
        <v>3.0225790806703672E-3</v>
      </c>
      <c r="K332">
        <v>2.60453</v>
      </c>
      <c r="L332">
        <f>(Table312396[[#This Row],[time]]-2)*2</f>
        <v>1.20906</v>
      </c>
      <c r="M332">
        <v>81.907899999999998</v>
      </c>
      <c r="N332">
        <v>3.8918799999999999E-3</v>
      </c>
      <c r="O332">
        <f>Table312396[[#This Row],[CFNM]]/Table312396[[#This Row],[CAREA]]</f>
        <v>4.7515319035160223E-5</v>
      </c>
      <c r="P332">
        <v>2.60453</v>
      </c>
      <c r="Q332">
        <f>(Table413397[[#This Row],[time]]-2)*2</f>
        <v>1.20906</v>
      </c>
      <c r="R332">
        <v>79.137900000000002</v>
      </c>
      <c r="S332">
        <v>5.4190699999999998E-3</v>
      </c>
      <c r="T332">
        <f>Table413397[[#This Row],[CFNM]]/Table413397[[#This Row],[CAREA]]</f>
        <v>6.8476292648655065E-5</v>
      </c>
      <c r="U332">
        <v>2.60453</v>
      </c>
      <c r="V332">
        <f>(Table514398[[#This Row],[time]]-2)*2</f>
        <v>1.20906</v>
      </c>
      <c r="W332">
        <v>74.361999999999995</v>
      </c>
      <c r="X332">
        <v>4.1281599999999996E-3</v>
      </c>
      <c r="Y332">
        <f>Table514398[[#This Row],[CFNM]]/Table514398[[#This Row],[CAREA]]</f>
        <v>5.5514375621957452E-5</v>
      </c>
      <c r="Z332">
        <v>2.60453</v>
      </c>
      <c r="AA332">
        <f>(Table615399[[#This Row],[time]]-2)*2</f>
        <v>1.20906</v>
      </c>
      <c r="AB332">
        <v>76.16</v>
      </c>
      <c r="AC332">
        <v>3.5726299999999998E-3</v>
      </c>
      <c r="AD332">
        <f>Table615399[[#This Row],[CFNM]]/Table615399[[#This Row],[CAREA]]</f>
        <v>4.6909532563025209E-5</v>
      </c>
      <c r="AE332">
        <v>2.60453</v>
      </c>
      <c r="AF332">
        <f>(Table716400[[#This Row],[time]]-2)*2</f>
        <v>1.20906</v>
      </c>
      <c r="AG332">
        <v>78.175600000000003</v>
      </c>
      <c r="AH332">
        <v>14.2577</v>
      </c>
      <c r="AI332">
        <f>Table716400[[#This Row],[CFNM]]/Table716400[[#This Row],[CAREA]]</f>
        <v>0.1823804358393156</v>
      </c>
      <c r="AJ332">
        <v>2.60453</v>
      </c>
      <c r="AK332">
        <f>(Table817401[[#This Row],[time]]-2)*2</f>
        <v>1.20906</v>
      </c>
      <c r="AL332">
        <v>83.554100000000005</v>
      </c>
      <c r="AM332">
        <v>11.192500000000001</v>
      </c>
      <c r="AN332">
        <f>Table817401[[#This Row],[CFNM]]/Table817401[[#This Row],[CAREA]]</f>
        <v>0.13395512607998888</v>
      </c>
    </row>
    <row r="333" spans="1:40">
      <c r="A333">
        <v>2.65273</v>
      </c>
      <c r="B333">
        <f>(Table110394[[#This Row],[time]]-2)*2</f>
        <v>1.3054600000000001</v>
      </c>
      <c r="C333">
        <v>83.120999999999995</v>
      </c>
      <c r="D333">
        <v>5.7722800000000003</v>
      </c>
      <c r="E333">
        <f>Table110394[[#This Row],[CFNM]]/Table110394[[#This Row],[CAREA]]</f>
        <v>6.9444304086813208E-2</v>
      </c>
      <c r="F333">
        <v>2.65273</v>
      </c>
      <c r="G333">
        <f>(Table211395[[#This Row],[time]]-2)*2</f>
        <v>1.3054600000000001</v>
      </c>
      <c r="H333">
        <v>90.436700000000002</v>
      </c>
      <c r="I333">
        <v>0.33293699999999998</v>
      </c>
      <c r="J333">
        <f>Table211395[[#This Row],[CFNM]]/Table211395[[#This Row],[CAREA]]</f>
        <v>3.6814368503052409E-3</v>
      </c>
      <c r="K333">
        <v>2.65273</v>
      </c>
      <c r="L333">
        <f>(Table312396[[#This Row],[time]]-2)*2</f>
        <v>1.3054600000000001</v>
      </c>
      <c r="M333">
        <v>81.465199999999996</v>
      </c>
      <c r="N333">
        <v>3.7795400000000001E-3</v>
      </c>
      <c r="O333">
        <f>Table312396[[#This Row],[CFNM]]/Table312396[[#This Row],[CAREA]]</f>
        <v>4.6394534107815365E-5</v>
      </c>
      <c r="P333">
        <v>2.65273</v>
      </c>
      <c r="Q333">
        <f>(Table413397[[#This Row],[time]]-2)*2</f>
        <v>1.3054600000000001</v>
      </c>
      <c r="R333">
        <v>78.664900000000003</v>
      </c>
      <c r="S333">
        <v>5.3031299999999996E-3</v>
      </c>
      <c r="T333">
        <f>Table413397[[#This Row],[CFNM]]/Table413397[[#This Row],[CAREA]]</f>
        <v>6.7414183454119939E-5</v>
      </c>
      <c r="U333">
        <v>2.65273</v>
      </c>
      <c r="V333">
        <f>(Table514398[[#This Row],[time]]-2)*2</f>
        <v>1.3054600000000001</v>
      </c>
      <c r="W333">
        <v>73.553600000000003</v>
      </c>
      <c r="X333">
        <v>4.0162499999999999E-3</v>
      </c>
      <c r="Y333">
        <f>Table514398[[#This Row],[CFNM]]/Table514398[[#This Row],[CAREA]]</f>
        <v>5.4603037784690347E-5</v>
      </c>
      <c r="Z333">
        <v>2.65273</v>
      </c>
      <c r="AA333">
        <f>(Table615399[[#This Row],[time]]-2)*2</f>
        <v>1.3054600000000001</v>
      </c>
      <c r="AB333">
        <v>75.800299999999993</v>
      </c>
      <c r="AC333">
        <v>3.4019100000000002E-3</v>
      </c>
      <c r="AD333">
        <f>Table615399[[#This Row],[CFNM]]/Table615399[[#This Row],[CAREA]]</f>
        <v>4.4879901530732732E-5</v>
      </c>
      <c r="AE333">
        <v>2.65273</v>
      </c>
      <c r="AF333">
        <f>(Table716400[[#This Row],[time]]-2)*2</f>
        <v>1.3054600000000001</v>
      </c>
      <c r="AG333">
        <v>78.299199999999999</v>
      </c>
      <c r="AH333">
        <v>13.6381</v>
      </c>
      <c r="AI333">
        <f>Table716400[[#This Row],[CFNM]]/Table716400[[#This Row],[CAREA]]</f>
        <v>0.17417930195966241</v>
      </c>
      <c r="AJ333">
        <v>2.65273</v>
      </c>
      <c r="AK333">
        <f>(Table817401[[#This Row],[time]]-2)*2</f>
        <v>1.3054600000000001</v>
      </c>
      <c r="AL333">
        <v>83.470100000000002</v>
      </c>
      <c r="AM333">
        <v>10.4879</v>
      </c>
      <c r="AN333">
        <f>Table817401[[#This Row],[CFNM]]/Table817401[[#This Row],[CAREA]]</f>
        <v>0.12564858554140942</v>
      </c>
    </row>
    <row r="334" spans="1:40">
      <c r="A334">
        <v>2.7006199999999998</v>
      </c>
      <c r="B334">
        <f>(Table110394[[#This Row],[time]]-2)*2</f>
        <v>1.4012399999999996</v>
      </c>
      <c r="C334">
        <v>82.642899999999997</v>
      </c>
      <c r="D334">
        <v>5.6397399999999998</v>
      </c>
      <c r="E334">
        <f>Table110394[[#This Row],[CFNM]]/Table110394[[#This Row],[CAREA]]</f>
        <v>6.824228094609458E-2</v>
      </c>
      <c r="F334">
        <v>2.7006199999999998</v>
      </c>
      <c r="G334">
        <f>(Table211395[[#This Row],[time]]-2)*2</f>
        <v>1.4012399999999996</v>
      </c>
      <c r="H334">
        <v>89.815100000000001</v>
      </c>
      <c r="I334">
        <v>0.38956299999999999</v>
      </c>
      <c r="J334">
        <f>Table211395[[#This Row],[CFNM]]/Table211395[[#This Row],[CAREA]]</f>
        <v>4.3373887018997919E-3</v>
      </c>
      <c r="K334">
        <v>2.7006199999999998</v>
      </c>
      <c r="L334">
        <f>(Table312396[[#This Row],[time]]-2)*2</f>
        <v>1.4012399999999996</v>
      </c>
      <c r="M334">
        <v>81.0274</v>
      </c>
      <c r="N334">
        <v>3.6558599999999999E-3</v>
      </c>
      <c r="O334">
        <f>Table312396[[#This Row],[CFNM]]/Table312396[[#This Row],[CAREA]]</f>
        <v>4.5118811661240515E-5</v>
      </c>
      <c r="P334">
        <v>2.7006199999999998</v>
      </c>
      <c r="Q334">
        <f>(Table413397[[#This Row],[time]]-2)*2</f>
        <v>1.4012399999999996</v>
      </c>
      <c r="R334">
        <v>78.219499999999996</v>
      </c>
      <c r="S334">
        <v>5.1804800000000003E-3</v>
      </c>
      <c r="T334">
        <f>Table413397[[#This Row],[CFNM]]/Table413397[[#This Row],[CAREA]]</f>
        <v>6.6230032153107604E-5</v>
      </c>
      <c r="U334">
        <v>2.7006199999999998</v>
      </c>
      <c r="V334">
        <f>(Table514398[[#This Row],[time]]-2)*2</f>
        <v>1.4012399999999996</v>
      </c>
      <c r="W334">
        <v>72.982900000000001</v>
      </c>
      <c r="X334">
        <v>3.8953099999999999E-3</v>
      </c>
      <c r="Y334">
        <f>Table514398[[#This Row],[CFNM]]/Table514398[[#This Row],[CAREA]]</f>
        <v>5.3372913381079677E-5</v>
      </c>
      <c r="Z334">
        <v>2.7006199999999998</v>
      </c>
      <c r="AA334">
        <f>(Table615399[[#This Row],[time]]-2)*2</f>
        <v>1.4012399999999996</v>
      </c>
      <c r="AB334">
        <v>74.307199999999995</v>
      </c>
      <c r="AC334">
        <v>3.2240599999999999E-3</v>
      </c>
      <c r="AD334">
        <f>Table615399[[#This Row],[CFNM]]/Table615399[[#This Row],[CAREA]]</f>
        <v>4.3388258472933986E-5</v>
      </c>
      <c r="AE334">
        <v>2.7006199999999998</v>
      </c>
      <c r="AF334">
        <f>(Table716400[[#This Row],[time]]-2)*2</f>
        <v>1.4012399999999996</v>
      </c>
      <c r="AG334">
        <v>78.3262</v>
      </c>
      <c r="AH334">
        <v>12.877700000000001</v>
      </c>
      <c r="AI334">
        <f>Table716400[[#This Row],[CFNM]]/Table716400[[#This Row],[CAREA]]</f>
        <v>0.1644111421210272</v>
      </c>
      <c r="AJ334">
        <v>2.7006199999999998</v>
      </c>
      <c r="AK334">
        <f>(Table817401[[#This Row],[time]]-2)*2</f>
        <v>1.4012399999999996</v>
      </c>
      <c r="AL334">
        <v>83.375699999999995</v>
      </c>
      <c r="AM334">
        <v>9.8342899999999993</v>
      </c>
      <c r="AN334">
        <f>Table817401[[#This Row],[CFNM]]/Table817401[[#This Row],[CAREA]]</f>
        <v>0.11795151345056173</v>
      </c>
    </row>
    <row r="335" spans="1:40">
      <c r="A335">
        <v>2.75176</v>
      </c>
      <c r="B335">
        <f>(Table110394[[#This Row],[time]]-2)*2</f>
        <v>1.50352</v>
      </c>
      <c r="C335">
        <v>82.192599999999999</v>
      </c>
      <c r="D335">
        <v>5.5453599999999996</v>
      </c>
      <c r="E335">
        <f>Table110394[[#This Row],[CFNM]]/Table110394[[#This Row],[CAREA]]</f>
        <v>6.7467874236853437E-2</v>
      </c>
      <c r="F335">
        <v>2.75176</v>
      </c>
      <c r="G335">
        <f>(Table211395[[#This Row],[time]]-2)*2</f>
        <v>1.50352</v>
      </c>
      <c r="H335">
        <v>89.325500000000005</v>
      </c>
      <c r="I335">
        <v>0.431778</v>
      </c>
      <c r="J335">
        <f>Table211395[[#This Row],[CFNM]]/Table211395[[#This Row],[CAREA]]</f>
        <v>4.8337596766880675E-3</v>
      </c>
      <c r="K335">
        <v>2.75176</v>
      </c>
      <c r="L335">
        <f>(Table312396[[#This Row],[time]]-2)*2</f>
        <v>1.50352</v>
      </c>
      <c r="M335">
        <v>80.565899999999999</v>
      </c>
      <c r="N335">
        <v>3.5528500000000002E-3</v>
      </c>
      <c r="O335">
        <f>Table312396[[#This Row],[CFNM]]/Table312396[[#This Row],[CAREA]]</f>
        <v>4.4098681948566332E-5</v>
      </c>
      <c r="P335">
        <v>2.75176</v>
      </c>
      <c r="Q335">
        <f>(Table413397[[#This Row],[time]]-2)*2</f>
        <v>1.50352</v>
      </c>
      <c r="R335">
        <v>77.898600000000002</v>
      </c>
      <c r="S335">
        <v>5.0847799999999997E-3</v>
      </c>
      <c r="T335">
        <f>Table413397[[#This Row],[CFNM]]/Table413397[[#This Row],[CAREA]]</f>
        <v>6.5274343826461577E-5</v>
      </c>
      <c r="U335">
        <v>2.75176</v>
      </c>
      <c r="V335">
        <f>(Table514398[[#This Row],[time]]-2)*2</f>
        <v>1.50352</v>
      </c>
      <c r="W335">
        <v>72.4315</v>
      </c>
      <c r="X335">
        <v>3.7975999999999999E-3</v>
      </c>
      <c r="Y335">
        <f>Table514398[[#This Row],[CFNM]]/Table514398[[#This Row],[CAREA]]</f>
        <v>5.2430227180163324E-5</v>
      </c>
      <c r="Z335">
        <v>2.75176</v>
      </c>
      <c r="AA335">
        <f>(Table615399[[#This Row],[time]]-2)*2</f>
        <v>1.50352</v>
      </c>
      <c r="AB335">
        <v>73.548500000000004</v>
      </c>
      <c r="AC335">
        <v>3.0908300000000001E-3</v>
      </c>
      <c r="AD335">
        <f>Table615399[[#This Row],[CFNM]]/Table615399[[#This Row],[CAREA]]</f>
        <v>4.2024378471348834E-5</v>
      </c>
      <c r="AE335">
        <v>2.75176</v>
      </c>
      <c r="AF335">
        <f>(Table716400[[#This Row],[time]]-2)*2</f>
        <v>1.50352</v>
      </c>
      <c r="AG335">
        <v>78.343599999999995</v>
      </c>
      <c r="AH335">
        <v>12.233499999999999</v>
      </c>
      <c r="AI335">
        <f>Table716400[[#This Row],[CFNM]]/Table716400[[#This Row],[CAREA]]</f>
        <v>0.15615187456282326</v>
      </c>
      <c r="AJ335">
        <v>2.75176</v>
      </c>
      <c r="AK335">
        <f>(Table817401[[#This Row],[time]]-2)*2</f>
        <v>1.50352</v>
      </c>
      <c r="AL335">
        <v>83.295100000000005</v>
      </c>
      <c r="AM335">
        <v>9.3246099999999998</v>
      </c>
      <c r="AN335">
        <f>Table817401[[#This Row],[CFNM]]/Table817401[[#This Row],[CAREA]]</f>
        <v>0.11194668113730578</v>
      </c>
    </row>
    <row r="336" spans="1:40">
      <c r="A336">
        <v>2.80444</v>
      </c>
      <c r="B336">
        <f>(Table110394[[#This Row],[time]]-2)*2</f>
        <v>1.6088800000000001</v>
      </c>
      <c r="C336">
        <v>81.712599999999995</v>
      </c>
      <c r="D336">
        <v>5.4134099999999998</v>
      </c>
      <c r="E336">
        <f>Table110394[[#This Row],[CFNM]]/Table110394[[#This Row],[CAREA]]</f>
        <v>6.6249391158768656E-2</v>
      </c>
      <c r="F336">
        <v>2.80444</v>
      </c>
      <c r="G336">
        <f>(Table211395[[#This Row],[time]]-2)*2</f>
        <v>1.6088800000000001</v>
      </c>
      <c r="H336">
        <v>88.802099999999996</v>
      </c>
      <c r="I336">
        <v>0.476885</v>
      </c>
      <c r="J336">
        <f>Table211395[[#This Row],[CFNM]]/Table211395[[#This Row],[CAREA]]</f>
        <v>5.3701995786135694E-3</v>
      </c>
      <c r="K336">
        <v>2.80444</v>
      </c>
      <c r="L336">
        <f>(Table312396[[#This Row],[time]]-2)*2</f>
        <v>1.6088800000000001</v>
      </c>
      <c r="M336">
        <v>80.157499999999999</v>
      </c>
      <c r="N336">
        <v>3.4299199999999999E-3</v>
      </c>
      <c r="O336">
        <f>Table312396[[#This Row],[CFNM]]/Table312396[[#This Row],[CAREA]]</f>
        <v>4.2789757664597823E-5</v>
      </c>
      <c r="P336">
        <v>2.80444</v>
      </c>
      <c r="Q336">
        <f>(Table413397[[#This Row],[time]]-2)*2</f>
        <v>1.6088800000000001</v>
      </c>
      <c r="R336">
        <v>77.0976</v>
      </c>
      <c r="S336">
        <v>4.9644700000000003E-3</v>
      </c>
      <c r="T336">
        <f>Table413397[[#This Row],[CFNM]]/Table413397[[#This Row],[CAREA]]</f>
        <v>6.4392017390943438E-5</v>
      </c>
      <c r="U336">
        <v>2.80444</v>
      </c>
      <c r="V336">
        <f>(Table514398[[#This Row],[time]]-2)*2</f>
        <v>1.6088800000000001</v>
      </c>
      <c r="W336">
        <v>71.084500000000006</v>
      </c>
      <c r="X336">
        <v>3.6840699999999998E-3</v>
      </c>
      <c r="Y336">
        <f>Table514398[[#This Row],[CFNM]]/Table514398[[#This Row],[CAREA]]</f>
        <v>5.1826628871272915E-5</v>
      </c>
      <c r="Z336">
        <v>2.80444</v>
      </c>
      <c r="AA336">
        <f>(Table615399[[#This Row],[time]]-2)*2</f>
        <v>1.6088800000000001</v>
      </c>
      <c r="AB336">
        <v>73.190200000000004</v>
      </c>
      <c r="AC336">
        <v>2.93501E-3</v>
      </c>
      <c r="AD336">
        <f>Table615399[[#This Row],[CFNM]]/Table615399[[#This Row],[CAREA]]</f>
        <v>4.0101133758344693E-5</v>
      </c>
      <c r="AE336">
        <v>2.80444</v>
      </c>
      <c r="AF336">
        <f>(Table716400[[#This Row],[time]]-2)*2</f>
        <v>1.6088800000000001</v>
      </c>
      <c r="AG336">
        <v>78.392399999999995</v>
      </c>
      <c r="AH336">
        <v>11.4108</v>
      </c>
      <c r="AI336">
        <f>Table716400[[#This Row],[CFNM]]/Table716400[[#This Row],[CAREA]]</f>
        <v>0.14556002877829996</v>
      </c>
      <c r="AJ336">
        <v>2.80444</v>
      </c>
      <c r="AK336">
        <f>(Table817401[[#This Row],[time]]-2)*2</f>
        <v>1.6088800000000001</v>
      </c>
      <c r="AL336">
        <v>83.180800000000005</v>
      </c>
      <c r="AM336">
        <v>8.7032100000000003</v>
      </c>
      <c r="AN336">
        <f>Table817401[[#This Row],[CFNM]]/Table817401[[#This Row],[CAREA]]</f>
        <v>0.10463003481572671</v>
      </c>
    </row>
    <row r="337" spans="1:40">
      <c r="A337">
        <v>2.8583699999999999</v>
      </c>
      <c r="B337">
        <f>(Table110394[[#This Row],[time]]-2)*2</f>
        <v>1.7167399999999997</v>
      </c>
      <c r="C337">
        <v>80.646199999999993</v>
      </c>
      <c r="D337">
        <v>5.2605700000000004</v>
      </c>
      <c r="E337">
        <f>Table110394[[#This Row],[CFNM]]/Table110394[[#This Row],[CAREA]]</f>
        <v>6.5230227834665505E-2</v>
      </c>
      <c r="F337">
        <v>2.8583699999999999</v>
      </c>
      <c r="G337">
        <f>(Table211395[[#This Row],[time]]-2)*2</f>
        <v>1.7167399999999997</v>
      </c>
      <c r="H337">
        <v>88.242099999999994</v>
      </c>
      <c r="I337">
        <v>0.51306600000000002</v>
      </c>
      <c r="J337">
        <f>Table211395[[#This Row],[CFNM]]/Table211395[[#This Row],[CAREA]]</f>
        <v>5.8142995236967398E-3</v>
      </c>
      <c r="K337">
        <v>2.8583699999999999</v>
      </c>
      <c r="L337">
        <f>(Table312396[[#This Row],[time]]-2)*2</f>
        <v>1.7167399999999997</v>
      </c>
      <c r="M337">
        <v>79.566999999999993</v>
      </c>
      <c r="N337">
        <v>3.3057500000000001E-3</v>
      </c>
      <c r="O337">
        <f>Table312396[[#This Row],[CFNM]]/Table312396[[#This Row],[CAREA]]</f>
        <v>4.1546746766875718E-5</v>
      </c>
      <c r="P337">
        <v>2.8583699999999999</v>
      </c>
      <c r="Q337">
        <f>(Table413397[[#This Row],[time]]-2)*2</f>
        <v>1.7167399999999997</v>
      </c>
      <c r="R337">
        <v>76.725099999999998</v>
      </c>
      <c r="S337">
        <v>4.8430499999999998E-3</v>
      </c>
      <c r="T337">
        <f>Table413397[[#This Row],[CFNM]]/Table413397[[#This Row],[CAREA]]</f>
        <v>6.3122107367732336E-5</v>
      </c>
      <c r="U337">
        <v>2.8583699999999999</v>
      </c>
      <c r="V337">
        <f>(Table514398[[#This Row],[time]]-2)*2</f>
        <v>1.7167399999999997</v>
      </c>
      <c r="W337">
        <v>70.653800000000004</v>
      </c>
      <c r="X337">
        <v>3.5722100000000001E-3</v>
      </c>
      <c r="Y337">
        <f>Table514398[[#This Row],[CFNM]]/Table514398[[#This Row],[CAREA]]</f>
        <v>5.0559347126410754E-5</v>
      </c>
      <c r="Z337">
        <v>2.8583699999999999</v>
      </c>
      <c r="AA337">
        <f>(Table615399[[#This Row],[time]]-2)*2</f>
        <v>1.7167399999999997</v>
      </c>
      <c r="AB337">
        <v>71.193600000000004</v>
      </c>
      <c r="AC337">
        <v>2.7879100000000002E-3</v>
      </c>
      <c r="AD337">
        <f>Table615399[[#This Row],[CFNM]]/Table615399[[#This Row],[CAREA]]</f>
        <v>3.9159559286227976E-5</v>
      </c>
      <c r="AE337">
        <v>2.8583699999999999</v>
      </c>
      <c r="AF337">
        <f>(Table716400[[#This Row],[time]]-2)*2</f>
        <v>1.7167399999999997</v>
      </c>
      <c r="AG337">
        <v>78.409400000000005</v>
      </c>
      <c r="AH337">
        <v>10.669499999999999</v>
      </c>
      <c r="AI337">
        <f>Table716400[[#This Row],[CFNM]]/Table716400[[#This Row],[CAREA]]</f>
        <v>0.13607424620007294</v>
      </c>
      <c r="AJ337">
        <v>2.8583699999999999</v>
      </c>
      <c r="AK337">
        <f>(Table817401[[#This Row],[time]]-2)*2</f>
        <v>1.7167399999999997</v>
      </c>
      <c r="AL337">
        <v>83.060199999999995</v>
      </c>
      <c r="AM337">
        <v>8.1133500000000005</v>
      </c>
      <c r="AN337">
        <f>Table817401[[#This Row],[CFNM]]/Table817401[[#This Row],[CAREA]]</f>
        <v>9.7680357138557342E-2</v>
      </c>
    </row>
    <row r="338" spans="1:40">
      <c r="A338">
        <v>2.9134199999999999</v>
      </c>
      <c r="B338">
        <f>(Table110394[[#This Row],[time]]-2)*2</f>
        <v>1.8268399999999998</v>
      </c>
      <c r="C338">
        <v>79.876900000000006</v>
      </c>
      <c r="D338">
        <v>5.03308</v>
      </c>
      <c r="E338">
        <f>Table110394[[#This Row],[CFNM]]/Table110394[[#This Row],[CAREA]]</f>
        <v>6.3010457341233825E-2</v>
      </c>
      <c r="F338">
        <v>2.9134199999999999</v>
      </c>
      <c r="G338">
        <f>(Table211395[[#This Row],[time]]-2)*2</f>
        <v>1.8268399999999998</v>
      </c>
      <c r="H338">
        <v>87.611099999999993</v>
      </c>
      <c r="I338">
        <v>0.55751799999999996</v>
      </c>
      <c r="J338">
        <f>Table211395[[#This Row],[CFNM]]/Table211395[[#This Row],[CAREA]]</f>
        <v>6.3635543897976399E-3</v>
      </c>
      <c r="K338">
        <v>2.9134199999999999</v>
      </c>
      <c r="L338">
        <f>(Table312396[[#This Row],[time]]-2)*2</f>
        <v>1.8268399999999998</v>
      </c>
      <c r="M338">
        <v>79.003</v>
      </c>
      <c r="N338">
        <v>3.1469100000000002E-3</v>
      </c>
      <c r="O338">
        <f>Table312396[[#This Row],[CFNM]]/Table312396[[#This Row],[CAREA]]</f>
        <v>3.9832791159829376E-5</v>
      </c>
      <c r="P338">
        <v>2.9134199999999999</v>
      </c>
      <c r="Q338">
        <f>(Table413397[[#This Row],[time]]-2)*2</f>
        <v>1.8268399999999998</v>
      </c>
      <c r="R338">
        <v>76.254499999999993</v>
      </c>
      <c r="S338">
        <v>4.6870200000000001E-3</v>
      </c>
      <c r="T338">
        <f>Table413397[[#This Row],[CFNM]]/Table413397[[#This Row],[CAREA]]</f>
        <v>6.1465487282717752E-5</v>
      </c>
      <c r="U338">
        <v>2.9134199999999999</v>
      </c>
      <c r="V338">
        <f>(Table514398[[#This Row],[time]]-2)*2</f>
        <v>1.8268399999999998</v>
      </c>
      <c r="W338">
        <v>70.077600000000004</v>
      </c>
      <c r="X338">
        <v>3.4275400000000002E-3</v>
      </c>
      <c r="Y338">
        <f>Table514398[[#This Row],[CFNM]]/Table514398[[#This Row],[CAREA]]</f>
        <v>4.8910636209002592E-5</v>
      </c>
      <c r="Z338">
        <v>2.9134199999999999</v>
      </c>
      <c r="AA338">
        <f>(Table615399[[#This Row],[time]]-2)*2</f>
        <v>1.8268399999999998</v>
      </c>
      <c r="AB338">
        <v>70.044799999999995</v>
      </c>
      <c r="AC338">
        <v>2.60845E-3</v>
      </c>
      <c r="AD338">
        <f>Table615399[[#This Row],[CFNM]]/Table615399[[#This Row],[CAREA]]</f>
        <v>3.723973799625383E-5</v>
      </c>
      <c r="AE338">
        <v>2.9134199999999999</v>
      </c>
      <c r="AF338">
        <f>(Table716400[[#This Row],[time]]-2)*2</f>
        <v>1.8268399999999998</v>
      </c>
      <c r="AG338">
        <v>78.271299999999997</v>
      </c>
      <c r="AH338">
        <v>9.6806800000000006</v>
      </c>
      <c r="AI338">
        <f>Table716400[[#This Row],[CFNM]]/Table716400[[#This Row],[CAREA]]</f>
        <v>0.12368109383643815</v>
      </c>
      <c r="AJ338">
        <v>2.9134199999999999</v>
      </c>
      <c r="AK338">
        <f>(Table817401[[#This Row],[time]]-2)*2</f>
        <v>1.8268399999999998</v>
      </c>
      <c r="AL338">
        <v>82.947800000000001</v>
      </c>
      <c r="AM338">
        <v>7.2799399999999999</v>
      </c>
      <c r="AN338">
        <f>Table817401[[#This Row],[CFNM]]/Table817401[[#This Row],[CAREA]]</f>
        <v>8.7765317464718773E-2</v>
      </c>
    </row>
    <row r="339" spans="1:40">
      <c r="A339">
        <v>2.9619599999999999</v>
      </c>
      <c r="B339">
        <f>(Table110394[[#This Row],[time]]-2)*2</f>
        <v>1.9239199999999999</v>
      </c>
      <c r="C339">
        <v>79.592299999999994</v>
      </c>
      <c r="D339">
        <v>4.8794399999999998</v>
      </c>
      <c r="E339">
        <f>Table110394[[#This Row],[CFNM]]/Table110394[[#This Row],[CAREA]]</f>
        <v>6.1305427786356219E-2</v>
      </c>
      <c r="F339">
        <v>2.9619599999999999</v>
      </c>
      <c r="G339">
        <f>(Table211395[[#This Row],[time]]-2)*2</f>
        <v>1.9239199999999999</v>
      </c>
      <c r="H339">
        <v>87.233699999999999</v>
      </c>
      <c r="I339">
        <v>0.58418400000000004</v>
      </c>
      <c r="J339">
        <f>Table211395[[#This Row],[CFNM]]/Table211395[[#This Row],[CAREA]]</f>
        <v>6.6967697117054541E-3</v>
      </c>
      <c r="K339">
        <v>2.9619599999999999</v>
      </c>
      <c r="L339">
        <f>(Table312396[[#This Row],[time]]-2)*2</f>
        <v>1.9239199999999999</v>
      </c>
      <c r="M339">
        <v>78.682699999999997</v>
      </c>
      <c r="N339">
        <v>3.0510799999999999E-3</v>
      </c>
      <c r="O339">
        <f>Table312396[[#This Row],[CFNM]]/Table312396[[#This Row],[CAREA]]</f>
        <v>3.8777011973407114E-5</v>
      </c>
      <c r="P339">
        <v>2.9619599999999999</v>
      </c>
      <c r="Q339">
        <f>(Table413397[[#This Row],[time]]-2)*2</f>
        <v>1.9239199999999999</v>
      </c>
      <c r="R339">
        <v>75.989000000000004</v>
      </c>
      <c r="S339">
        <v>4.5904099999999996E-3</v>
      </c>
      <c r="T339">
        <f>Table413397[[#This Row],[CFNM]]/Table413397[[#This Row],[CAREA]]</f>
        <v>6.0408874968745469E-5</v>
      </c>
      <c r="U339">
        <v>2.9619599999999999</v>
      </c>
      <c r="V339">
        <f>(Table514398[[#This Row],[time]]-2)*2</f>
        <v>1.9239199999999999</v>
      </c>
      <c r="W339">
        <v>69.745800000000003</v>
      </c>
      <c r="X339">
        <v>3.3393899999999998E-3</v>
      </c>
      <c r="Y339">
        <f>Table514398[[#This Row],[CFNM]]/Table514398[[#This Row],[CAREA]]</f>
        <v>4.7879442202971357E-5</v>
      </c>
      <c r="Z339">
        <v>2.9619599999999999</v>
      </c>
      <c r="AA339">
        <f>(Table615399[[#This Row],[time]]-2)*2</f>
        <v>1.9239199999999999</v>
      </c>
      <c r="AB339">
        <v>68.52</v>
      </c>
      <c r="AC339">
        <v>2.5006099999999999E-3</v>
      </c>
      <c r="AD339">
        <f>Table615399[[#This Row],[CFNM]]/Table615399[[#This Row],[CAREA]]</f>
        <v>3.649460011675423E-5</v>
      </c>
      <c r="AE339">
        <v>2.9619599999999999</v>
      </c>
      <c r="AF339">
        <f>(Table716400[[#This Row],[time]]-2)*2</f>
        <v>1.9239199999999999</v>
      </c>
      <c r="AG339">
        <v>78.170699999999997</v>
      </c>
      <c r="AH339">
        <v>9.0250500000000002</v>
      </c>
      <c r="AI339">
        <f>Table716400[[#This Row],[CFNM]]/Table716400[[#This Row],[CAREA]]</f>
        <v>0.1154531045519613</v>
      </c>
      <c r="AJ339">
        <v>2.9619599999999999</v>
      </c>
      <c r="AK339">
        <f>(Table817401[[#This Row],[time]]-2)*2</f>
        <v>1.9239199999999999</v>
      </c>
      <c r="AL339">
        <v>82.873099999999994</v>
      </c>
      <c r="AM339">
        <v>6.7583399999999996</v>
      </c>
      <c r="AN339">
        <f>Table817401[[#This Row],[CFNM]]/Table817401[[#This Row],[CAREA]]</f>
        <v>8.1550466918698591E-2</v>
      </c>
    </row>
    <row r="340" spans="1:40">
      <c r="A340">
        <v>3</v>
      </c>
      <c r="B340">
        <f>(Table110394[[#This Row],[time]]-2)*2</f>
        <v>2</v>
      </c>
      <c r="C340">
        <v>78.504199999999997</v>
      </c>
      <c r="D340">
        <v>4.6958799999999998</v>
      </c>
      <c r="E340">
        <f>Table110394[[#This Row],[CFNM]]/Table110394[[#This Row],[CAREA]]</f>
        <v>5.981692699244117E-2</v>
      </c>
      <c r="F340">
        <v>3</v>
      </c>
      <c r="G340">
        <f>(Table211395[[#This Row],[time]]-2)*2</f>
        <v>2</v>
      </c>
      <c r="H340">
        <v>86.8048</v>
      </c>
      <c r="I340">
        <v>0.60655800000000004</v>
      </c>
      <c r="J340">
        <f>Table211395[[#This Row],[CFNM]]/Table211395[[#This Row],[CAREA]]</f>
        <v>6.9876089801485641E-3</v>
      </c>
      <c r="K340">
        <v>3</v>
      </c>
      <c r="L340">
        <f>(Table312396[[#This Row],[time]]-2)*2</f>
        <v>2</v>
      </c>
      <c r="M340">
        <v>78.335300000000004</v>
      </c>
      <c r="N340">
        <v>2.9458000000000002E-3</v>
      </c>
      <c r="O340">
        <f>Table312396[[#This Row],[CFNM]]/Table312396[[#This Row],[CAREA]]</f>
        <v>3.7605013320942158E-5</v>
      </c>
      <c r="P340">
        <v>3</v>
      </c>
      <c r="Q340">
        <f>(Table413397[[#This Row],[time]]-2)*2</f>
        <v>2</v>
      </c>
      <c r="R340">
        <v>75.728899999999996</v>
      </c>
      <c r="S340">
        <v>4.4852800000000003E-3</v>
      </c>
      <c r="T340">
        <f>Table413397[[#This Row],[CFNM]]/Table413397[[#This Row],[CAREA]]</f>
        <v>5.9228115026099684E-5</v>
      </c>
      <c r="U340">
        <v>3</v>
      </c>
      <c r="V340">
        <f>(Table514398[[#This Row],[time]]-2)*2</f>
        <v>2</v>
      </c>
      <c r="W340">
        <v>69.367900000000006</v>
      </c>
      <c r="X340">
        <v>3.2413300000000002E-3</v>
      </c>
      <c r="Y340">
        <f>Table514398[[#This Row],[CFNM]]/Table514398[[#This Row],[CAREA]]</f>
        <v>4.6726655989297645E-5</v>
      </c>
      <c r="Z340">
        <v>3</v>
      </c>
      <c r="AA340">
        <f>(Table615399[[#This Row],[time]]-2)*2</f>
        <v>2</v>
      </c>
      <c r="AB340">
        <v>66.912300000000002</v>
      </c>
      <c r="AC340">
        <v>2.3857100000000001E-3</v>
      </c>
      <c r="AD340">
        <f>Table615399[[#This Row],[CFNM]]/Table615399[[#This Row],[CAREA]]</f>
        <v>3.5654281798712641E-5</v>
      </c>
      <c r="AE340">
        <v>3</v>
      </c>
      <c r="AF340">
        <f>(Table716400[[#This Row],[time]]-2)*2</f>
        <v>2</v>
      </c>
      <c r="AG340">
        <v>78.001900000000006</v>
      </c>
      <c r="AH340">
        <v>8.3291599999999999</v>
      </c>
      <c r="AI340">
        <f>Table716400[[#This Row],[CFNM]]/Table716400[[#This Row],[CAREA]]</f>
        <v>0.10678150147624609</v>
      </c>
      <c r="AJ340">
        <v>3</v>
      </c>
      <c r="AK340">
        <f>(Table817401[[#This Row],[time]]-2)*2</f>
        <v>2</v>
      </c>
      <c r="AL340">
        <v>82.780199999999994</v>
      </c>
      <c r="AM340">
        <v>6.19048</v>
      </c>
      <c r="AN340">
        <f>Table817401[[#This Row],[CFNM]]/Table817401[[#This Row],[CAREA]]</f>
        <v>7.4782133891921024E-2</v>
      </c>
    </row>
    <row r="343" spans="1:40">
      <c r="A343" s="1" t="s">
        <v>45</v>
      </c>
    </row>
    <row r="344" spans="1:40">
      <c r="A344" t="s">
        <v>46</v>
      </c>
      <c r="F344" t="s">
        <v>2</v>
      </c>
    </row>
    <row r="345" spans="1:40">
      <c r="F345" t="s">
        <v>4</v>
      </c>
      <c r="G345" t="s">
        <v>5</v>
      </c>
    </row>
    <row r="348" spans="1:40">
      <c r="A348" t="s">
        <v>7</v>
      </c>
      <c r="F348" t="s">
        <v>8</v>
      </c>
      <c r="K348" t="s">
        <v>9</v>
      </c>
      <c r="P348" t="s">
        <v>26</v>
      </c>
      <c r="U348" t="s">
        <v>11</v>
      </c>
      <c r="Z348" t="s">
        <v>12</v>
      </c>
      <c r="AE348" t="s">
        <v>13</v>
      </c>
      <c r="AJ348" t="s">
        <v>14</v>
      </c>
    </row>
    <row r="349" spans="1:40">
      <c r="A349" t="s">
        <v>15</v>
      </c>
      <c r="B349" t="s">
        <v>16</v>
      </c>
      <c r="C349" t="s">
        <v>20</v>
      </c>
      <c r="D349" t="s">
        <v>18</v>
      </c>
      <c r="E349" t="s">
        <v>19</v>
      </c>
      <c r="F349" t="s">
        <v>15</v>
      </c>
      <c r="G349" t="s">
        <v>16</v>
      </c>
      <c r="H349" t="s">
        <v>20</v>
      </c>
      <c r="I349" t="s">
        <v>18</v>
      </c>
      <c r="J349" t="s">
        <v>19</v>
      </c>
      <c r="K349" t="s">
        <v>15</v>
      </c>
      <c r="L349" t="s">
        <v>16</v>
      </c>
      <c r="M349" t="s">
        <v>20</v>
      </c>
      <c r="N349" t="s">
        <v>18</v>
      </c>
      <c r="O349" t="s">
        <v>19</v>
      </c>
      <c r="P349" t="s">
        <v>15</v>
      </c>
      <c r="Q349" t="s">
        <v>16</v>
      </c>
      <c r="R349" t="s">
        <v>20</v>
      </c>
      <c r="S349" t="s">
        <v>18</v>
      </c>
      <c r="T349" t="s">
        <v>19</v>
      </c>
      <c r="U349" t="s">
        <v>15</v>
      </c>
      <c r="V349" t="s">
        <v>16</v>
      </c>
      <c r="W349" t="s">
        <v>20</v>
      </c>
      <c r="X349" t="s">
        <v>18</v>
      </c>
      <c r="Y349" t="s">
        <v>19</v>
      </c>
      <c r="Z349" t="s">
        <v>15</v>
      </c>
      <c r="AA349" t="s">
        <v>16</v>
      </c>
      <c r="AB349" t="s">
        <v>20</v>
      </c>
      <c r="AC349" t="s">
        <v>18</v>
      </c>
      <c r="AD349" t="s">
        <v>19</v>
      </c>
      <c r="AE349" t="s">
        <v>15</v>
      </c>
      <c r="AF349" t="s">
        <v>16</v>
      </c>
      <c r="AG349" t="s">
        <v>20</v>
      </c>
      <c r="AH349" t="s">
        <v>18</v>
      </c>
      <c r="AI349" t="s">
        <v>19</v>
      </c>
      <c r="AJ349" t="s">
        <v>15</v>
      </c>
      <c r="AK349" t="s">
        <v>16</v>
      </c>
      <c r="AL349" t="s">
        <v>20</v>
      </c>
      <c r="AM349" t="s">
        <v>18</v>
      </c>
      <c r="AN349" t="s">
        <v>19</v>
      </c>
    </row>
    <row r="350" spans="1:40">
      <c r="A350">
        <v>2</v>
      </c>
      <c r="B350">
        <f>-(Table1402[[#This Row],[time]]-2)*2</f>
        <v>0</v>
      </c>
      <c r="C350">
        <v>91.105400000000003</v>
      </c>
      <c r="D350">
        <v>10.2014</v>
      </c>
      <c r="E350" s="2">
        <f>Table1402[[#This Row],[CFNM]]/Table1402[[#This Row],[CAREA]]</f>
        <v>0.11197360419909247</v>
      </c>
      <c r="F350">
        <v>2</v>
      </c>
      <c r="G350">
        <f>-(Table2403[[#This Row],[time]]-2)*2</f>
        <v>0</v>
      </c>
      <c r="H350">
        <v>95.867800000000003</v>
      </c>
      <c r="I350">
        <v>3.5860500000000002</v>
      </c>
      <c r="J350" s="2">
        <f>Table2403[[#This Row],[CFNM]]/Table2403[[#This Row],[CAREA]]</f>
        <v>3.740619895314172E-2</v>
      </c>
      <c r="K350">
        <v>2</v>
      </c>
      <c r="L350">
        <f>-(Table3404[[#This Row],[time]]-2)*2</f>
        <v>0</v>
      </c>
      <c r="M350">
        <v>89.266099999999994</v>
      </c>
      <c r="N350">
        <v>3.6396999999999999</v>
      </c>
      <c r="O350">
        <f>Table3404[[#This Row],[CFNM]]/Table3404[[#This Row],[CAREA]]</f>
        <v>4.0773597143820554E-2</v>
      </c>
      <c r="P350">
        <v>2</v>
      </c>
      <c r="Q350">
        <f>-(Table4405[[#This Row],[time]]-2)*2</f>
        <v>0</v>
      </c>
      <c r="R350">
        <v>86.426900000000003</v>
      </c>
      <c r="S350">
        <v>6.4320700000000004</v>
      </c>
      <c r="T350">
        <f>Table4405[[#This Row],[CFNM]]/Table4405[[#This Row],[CAREA]]</f>
        <v>7.4422083865092928E-2</v>
      </c>
      <c r="U350">
        <v>2</v>
      </c>
      <c r="V350">
        <f>-(Table5406[[#This Row],[time]]-2)*2</f>
        <v>0</v>
      </c>
      <c r="W350">
        <v>82.680599999999998</v>
      </c>
      <c r="X350">
        <v>9.2786299999999997</v>
      </c>
      <c r="Y350">
        <f>Table5406[[#This Row],[CFNM]]/Table5406[[#This Row],[CAREA]]</f>
        <v>0.11222257700113449</v>
      </c>
      <c r="Z350">
        <v>2</v>
      </c>
      <c r="AA350">
        <f>-(Table6407[[#This Row],[time]]-2)*2</f>
        <v>0</v>
      </c>
      <c r="AB350">
        <v>88.9298</v>
      </c>
      <c r="AC350">
        <v>15.8246</v>
      </c>
      <c r="AD350">
        <f>Table6407[[#This Row],[CFNM]]/Table6407[[#This Row],[CAREA]]</f>
        <v>0.17794485088238138</v>
      </c>
      <c r="AE350">
        <v>2</v>
      </c>
      <c r="AF350">
        <f>-(Table7408[[#This Row],[time]]-2)*2</f>
        <v>0</v>
      </c>
      <c r="AG350">
        <v>78.958100000000002</v>
      </c>
      <c r="AH350">
        <v>19.616599999999998</v>
      </c>
      <c r="AI350">
        <f>Table7408[[#This Row],[CFNM]]/Table7408[[#This Row],[CAREA]]</f>
        <v>0.24844316162622959</v>
      </c>
      <c r="AJ350">
        <v>2</v>
      </c>
      <c r="AK350">
        <f>-(Table8409[[#This Row],[time]]-2)*2</f>
        <v>0</v>
      </c>
      <c r="AL350">
        <v>83.134600000000006</v>
      </c>
      <c r="AM350">
        <v>19.232700000000001</v>
      </c>
      <c r="AN350">
        <f>Table8409[[#This Row],[CFNM]]/Table8409[[#This Row],[CAREA]]</f>
        <v>0.23134410943217384</v>
      </c>
    </row>
    <row r="351" spans="1:40">
      <c r="A351">
        <v>2.0512600000000001</v>
      </c>
      <c r="B351">
        <f>-(Table1402[[#This Row],[time]]-2)*2</f>
        <v>-0.10252000000000017</v>
      </c>
      <c r="C351">
        <v>90.975899999999996</v>
      </c>
      <c r="D351">
        <v>10.4831</v>
      </c>
      <c r="E351">
        <f>Table1402[[#This Row],[CFNM]]/Table1402[[#This Row],[CAREA]]</f>
        <v>0.11522941790078473</v>
      </c>
      <c r="F351">
        <v>2.0512600000000001</v>
      </c>
      <c r="G351">
        <f>-(Table2403[[#This Row],[time]]-2)*2</f>
        <v>-0.10252000000000017</v>
      </c>
      <c r="H351">
        <v>95.957899999999995</v>
      </c>
      <c r="I351">
        <v>3.7174900000000002</v>
      </c>
      <c r="J351">
        <f>Table2403[[#This Row],[CFNM]]/Table2403[[#This Row],[CAREA]]</f>
        <v>3.8740843640804982E-2</v>
      </c>
      <c r="K351">
        <v>2.0512600000000001</v>
      </c>
      <c r="L351">
        <f>-(Table3404[[#This Row],[time]]-2)*2</f>
        <v>-0.10252000000000017</v>
      </c>
      <c r="M351">
        <v>89.108900000000006</v>
      </c>
      <c r="N351">
        <v>4.1724699999999997</v>
      </c>
      <c r="O351">
        <f>Table3404[[#This Row],[CFNM]]/Table3404[[#This Row],[CAREA]]</f>
        <v>4.6824391278536708E-2</v>
      </c>
      <c r="P351">
        <v>2.0512600000000001</v>
      </c>
      <c r="Q351">
        <f>-(Table4405[[#This Row],[time]]-2)*2</f>
        <v>-0.10252000000000017</v>
      </c>
      <c r="R351">
        <v>86.494200000000006</v>
      </c>
      <c r="S351">
        <v>7.08826</v>
      </c>
      <c r="T351">
        <f>Table4405[[#This Row],[CFNM]]/Table4405[[#This Row],[CAREA]]</f>
        <v>8.1950697272187026E-2</v>
      </c>
      <c r="U351">
        <v>2.0512600000000001</v>
      </c>
      <c r="V351">
        <f>-(Table5406[[#This Row],[time]]-2)*2</f>
        <v>-0.10252000000000017</v>
      </c>
      <c r="W351">
        <v>82.612499999999997</v>
      </c>
      <c r="X351">
        <v>10.7014</v>
      </c>
      <c r="Y351">
        <f>Table5406[[#This Row],[CFNM]]/Table5406[[#This Row],[CAREA]]</f>
        <v>0.12953729762445151</v>
      </c>
      <c r="Z351">
        <v>2.0512600000000001</v>
      </c>
      <c r="AA351">
        <f>-(Table6407[[#This Row],[time]]-2)*2</f>
        <v>-0.10252000000000017</v>
      </c>
      <c r="AB351">
        <v>88.991699999999994</v>
      </c>
      <c r="AC351">
        <v>17.612200000000001</v>
      </c>
      <c r="AD351">
        <f>Table6407[[#This Row],[CFNM]]/Table6407[[#This Row],[CAREA]]</f>
        <v>0.19790834426131879</v>
      </c>
      <c r="AE351">
        <v>2.0512600000000001</v>
      </c>
      <c r="AF351">
        <f>-(Table7408[[#This Row],[time]]-2)*2</f>
        <v>-0.10252000000000017</v>
      </c>
      <c r="AG351">
        <v>79.098600000000005</v>
      </c>
      <c r="AH351">
        <v>20.881</v>
      </c>
      <c r="AI351">
        <f>Table7408[[#This Row],[CFNM]]/Table7408[[#This Row],[CAREA]]</f>
        <v>0.26398697322076498</v>
      </c>
      <c r="AJ351">
        <v>2.0512600000000001</v>
      </c>
      <c r="AK351">
        <f>-(Table8409[[#This Row],[time]]-2)*2</f>
        <v>-0.10252000000000017</v>
      </c>
      <c r="AL351">
        <v>83.053399999999996</v>
      </c>
      <c r="AM351">
        <v>20.741599999999998</v>
      </c>
      <c r="AN351">
        <f>Table8409[[#This Row],[CFNM]]/Table8409[[#This Row],[CAREA]]</f>
        <v>0.24973812029369055</v>
      </c>
    </row>
    <row r="352" spans="1:40">
      <c r="A352">
        <v>2.1153300000000002</v>
      </c>
      <c r="B352">
        <f>-(Table1402[[#This Row],[time]]-2)*2</f>
        <v>-0.23066000000000031</v>
      </c>
      <c r="C352">
        <v>90.509299999999996</v>
      </c>
      <c r="D352">
        <v>11.1357</v>
      </c>
      <c r="E352">
        <f>Table1402[[#This Row],[CFNM]]/Table1402[[#This Row],[CAREA]]</f>
        <v>0.12303376559093927</v>
      </c>
      <c r="F352">
        <v>2.1153300000000002</v>
      </c>
      <c r="G352">
        <f>-(Table2403[[#This Row],[time]]-2)*2</f>
        <v>-0.23066000000000031</v>
      </c>
      <c r="H352">
        <v>95.618399999999994</v>
      </c>
      <c r="I352">
        <v>3.89167</v>
      </c>
      <c r="J352">
        <f>Table2403[[#This Row],[CFNM]]/Table2403[[#This Row],[CAREA]]</f>
        <v>4.0700011713226743E-2</v>
      </c>
      <c r="K352">
        <v>2.1153300000000002</v>
      </c>
      <c r="L352">
        <f>-(Table3404[[#This Row],[time]]-2)*2</f>
        <v>-0.23066000000000031</v>
      </c>
      <c r="M352">
        <v>89.030500000000004</v>
      </c>
      <c r="N352">
        <v>5.3928200000000004</v>
      </c>
      <c r="O352">
        <f>Table3404[[#This Row],[CFNM]]/Table3404[[#This Row],[CAREA]]</f>
        <v>6.0572725077361132E-2</v>
      </c>
      <c r="P352">
        <v>2.1153300000000002</v>
      </c>
      <c r="Q352">
        <f>-(Table4405[[#This Row],[time]]-2)*2</f>
        <v>-0.23066000000000031</v>
      </c>
      <c r="R352">
        <v>86.635999999999996</v>
      </c>
      <c r="S352">
        <v>8.48353</v>
      </c>
      <c r="T352">
        <f>Table4405[[#This Row],[CFNM]]/Table4405[[#This Row],[CAREA]]</f>
        <v>9.7921533773489083E-2</v>
      </c>
      <c r="U352">
        <v>2.1153300000000002</v>
      </c>
      <c r="V352">
        <f>-(Table5406[[#This Row],[time]]-2)*2</f>
        <v>-0.23066000000000031</v>
      </c>
      <c r="W352">
        <v>82.235200000000006</v>
      </c>
      <c r="X352">
        <v>14.073499999999999</v>
      </c>
      <c r="Y352">
        <f>Table5406[[#This Row],[CFNM]]/Table5406[[#This Row],[CAREA]]</f>
        <v>0.17113717726715566</v>
      </c>
      <c r="Z352">
        <v>2.1153300000000002</v>
      </c>
      <c r="AA352">
        <f>-(Table6407[[#This Row],[time]]-2)*2</f>
        <v>-0.23066000000000031</v>
      </c>
      <c r="AB352">
        <v>88.976699999999994</v>
      </c>
      <c r="AC352">
        <v>21.616</v>
      </c>
      <c r="AD352">
        <f>Table6407[[#This Row],[CFNM]]/Table6407[[#This Row],[CAREA]]</f>
        <v>0.2429400056419265</v>
      </c>
      <c r="AE352">
        <v>2.1153300000000002</v>
      </c>
      <c r="AF352">
        <f>-(Table7408[[#This Row],[time]]-2)*2</f>
        <v>-0.23066000000000031</v>
      </c>
      <c r="AG352">
        <v>79.316999999999993</v>
      </c>
      <c r="AH352">
        <v>22.543099999999999</v>
      </c>
      <c r="AI352">
        <f>Table7408[[#This Row],[CFNM]]/Table7408[[#This Row],[CAREA]]</f>
        <v>0.28421523759093259</v>
      </c>
      <c r="AJ352">
        <v>2.1153300000000002</v>
      </c>
      <c r="AK352">
        <f>-(Table8409[[#This Row],[time]]-2)*2</f>
        <v>-0.23066000000000031</v>
      </c>
      <c r="AL352">
        <v>82.882499999999993</v>
      </c>
      <c r="AM352">
        <v>22.911300000000001</v>
      </c>
      <c r="AN352">
        <f>Table8409[[#This Row],[CFNM]]/Table8409[[#This Row],[CAREA]]</f>
        <v>0.27643109220884993</v>
      </c>
    </row>
    <row r="353" spans="1:40">
      <c r="A353">
        <v>2.16533</v>
      </c>
      <c r="B353">
        <f>-(Table1402[[#This Row],[time]]-2)*2</f>
        <v>-0.33065999999999995</v>
      </c>
      <c r="C353">
        <v>90.03</v>
      </c>
      <c r="D353">
        <v>11.801</v>
      </c>
      <c r="E353">
        <f>Table1402[[#This Row],[CFNM]]/Table1402[[#This Row],[CAREA]]</f>
        <v>0.13107852937909586</v>
      </c>
      <c r="F353">
        <v>2.16533</v>
      </c>
      <c r="G353">
        <f>-(Table2403[[#This Row],[time]]-2)*2</f>
        <v>-0.33065999999999995</v>
      </c>
      <c r="H353">
        <v>95.119399999999999</v>
      </c>
      <c r="I353">
        <v>4.2151500000000004</v>
      </c>
      <c r="J353">
        <f>Table2403[[#This Row],[CFNM]]/Table2403[[#This Row],[CAREA]]</f>
        <v>4.4314303916971727E-2</v>
      </c>
      <c r="K353">
        <v>2.16533</v>
      </c>
      <c r="L353">
        <f>-(Table3404[[#This Row],[time]]-2)*2</f>
        <v>-0.33065999999999995</v>
      </c>
      <c r="M353">
        <v>89.090900000000005</v>
      </c>
      <c r="N353">
        <v>6.5861799999999997</v>
      </c>
      <c r="O353">
        <f>Table3404[[#This Row],[CFNM]]/Table3404[[#This Row],[CAREA]]</f>
        <v>7.3926517747603851E-2</v>
      </c>
      <c r="P353">
        <v>2.16533</v>
      </c>
      <c r="Q353">
        <f>-(Table4405[[#This Row],[time]]-2)*2</f>
        <v>-0.33065999999999995</v>
      </c>
      <c r="R353">
        <v>86.78</v>
      </c>
      <c r="S353">
        <v>9.8904800000000002</v>
      </c>
      <c r="T353">
        <f>Table4405[[#This Row],[CFNM]]/Table4405[[#This Row],[CAREA]]</f>
        <v>0.11397188292233233</v>
      </c>
      <c r="U353">
        <v>2.16533</v>
      </c>
      <c r="V353">
        <f>-(Table5406[[#This Row],[time]]-2)*2</f>
        <v>-0.33065999999999995</v>
      </c>
      <c r="W353">
        <v>81.965100000000007</v>
      </c>
      <c r="X353">
        <v>17.285</v>
      </c>
      <c r="Y353">
        <f>Table5406[[#This Row],[CFNM]]/Table5406[[#This Row],[CAREA]]</f>
        <v>0.21088243654921424</v>
      </c>
      <c r="Z353">
        <v>2.16533</v>
      </c>
      <c r="AA353">
        <f>-(Table6407[[#This Row],[time]]-2)*2</f>
        <v>-0.33065999999999995</v>
      </c>
      <c r="AB353">
        <v>88.884699999999995</v>
      </c>
      <c r="AC353">
        <v>25.2758</v>
      </c>
      <c r="AD353">
        <f>Table6407[[#This Row],[CFNM]]/Table6407[[#This Row],[CAREA]]</f>
        <v>0.28436615075485433</v>
      </c>
      <c r="AE353">
        <v>2.16533</v>
      </c>
      <c r="AF353">
        <f>-(Table7408[[#This Row],[time]]-2)*2</f>
        <v>-0.33065999999999995</v>
      </c>
      <c r="AG353">
        <v>79.628</v>
      </c>
      <c r="AH353">
        <v>24.558900000000001</v>
      </c>
      <c r="AI353">
        <f>Table7408[[#This Row],[CFNM]]/Table7408[[#This Row],[CAREA]]</f>
        <v>0.30842040488270461</v>
      </c>
      <c r="AJ353">
        <v>2.16533</v>
      </c>
      <c r="AK353">
        <f>-(Table8409[[#This Row],[time]]-2)*2</f>
        <v>-0.33065999999999995</v>
      </c>
      <c r="AL353">
        <v>82.658100000000005</v>
      </c>
      <c r="AM353">
        <v>25.683900000000001</v>
      </c>
      <c r="AN353">
        <f>Table8409[[#This Row],[CFNM]]/Table8409[[#This Row],[CAREA]]</f>
        <v>0.31072453879293138</v>
      </c>
    </row>
    <row r="354" spans="1:40">
      <c r="A354">
        <v>2.2246999999999999</v>
      </c>
      <c r="B354">
        <f>-(Table1402[[#This Row],[time]]-2)*2</f>
        <v>-0.4493999999999998</v>
      </c>
      <c r="C354">
        <v>89.639399999999995</v>
      </c>
      <c r="D354">
        <v>12.350099999999999</v>
      </c>
      <c r="E354">
        <f>Table1402[[#This Row],[CFNM]]/Table1402[[#This Row],[CAREA]]</f>
        <v>0.13777535324868306</v>
      </c>
      <c r="F354">
        <v>2.2246999999999999</v>
      </c>
      <c r="G354">
        <f>-(Table2403[[#This Row],[time]]-2)*2</f>
        <v>-0.4493999999999998</v>
      </c>
      <c r="H354">
        <v>94.833100000000002</v>
      </c>
      <c r="I354">
        <v>4.4996</v>
      </c>
      <c r="J354">
        <f>Table2403[[#This Row],[CFNM]]/Table2403[[#This Row],[CAREA]]</f>
        <v>4.744756841229486E-2</v>
      </c>
      <c r="K354">
        <v>2.2246999999999999</v>
      </c>
      <c r="L354">
        <f>-(Table3404[[#This Row],[time]]-2)*2</f>
        <v>-0.4493999999999998</v>
      </c>
      <c r="M354">
        <v>88.884900000000002</v>
      </c>
      <c r="N354">
        <v>7.5604399999999998</v>
      </c>
      <c r="O354">
        <f>Table3404[[#This Row],[CFNM]]/Table3404[[#This Row],[CAREA]]</f>
        <v>8.5058767012169662E-2</v>
      </c>
      <c r="P354">
        <v>2.2246999999999999</v>
      </c>
      <c r="Q354">
        <f>-(Table4405[[#This Row],[time]]-2)*2</f>
        <v>-0.4493999999999998</v>
      </c>
      <c r="R354">
        <v>86.887699999999995</v>
      </c>
      <c r="S354">
        <v>11.0236</v>
      </c>
      <c r="T354">
        <f>Table4405[[#This Row],[CFNM]]/Table4405[[#This Row],[CAREA]]</f>
        <v>0.12687181269615838</v>
      </c>
      <c r="U354">
        <v>2.2246999999999999</v>
      </c>
      <c r="V354">
        <f>-(Table5406[[#This Row],[time]]-2)*2</f>
        <v>-0.4493999999999998</v>
      </c>
      <c r="W354">
        <v>81.609200000000001</v>
      </c>
      <c r="X354">
        <v>19.853000000000002</v>
      </c>
      <c r="Y354">
        <f>Table5406[[#This Row],[CFNM]]/Table5406[[#This Row],[CAREA]]</f>
        <v>0.24326914122427376</v>
      </c>
      <c r="Z354">
        <v>2.2246999999999999</v>
      </c>
      <c r="AA354">
        <f>-(Table6407[[#This Row],[time]]-2)*2</f>
        <v>-0.4493999999999998</v>
      </c>
      <c r="AB354">
        <v>88.694500000000005</v>
      </c>
      <c r="AC354">
        <v>28.440100000000001</v>
      </c>
      <c r="AD354">
        <f>Table6407[[#This Row],[CFNM]]/Table6407[[#This Row],[CAREA]]</f>
        <v>0.32065235161143024</v>
      </c>
      <c r="AE354">
        <v>2.2246999999999999</v>
      </c>
      <c r="AF354">
        <f>-(Table7408[[#This Row],[time]]-2)*2</f>
        <v>-0.4493999999999998</v>
      </c>
      <c r="AG354">
        <v>79.639499999999998</v>
      </c>
      <c r="AH354">
        <v>26.7027</v>
      </c>
      <c r="AI354">
        <f>Table7408[[#This Row],[CFNM]]/Table7408[[#This Row],[CAREA]]</f>
        <v>0.33529467161396043</v>
      </c>
      <c r="AJ354">
        <v>2.2246999999999999</v>
      </c>
      <c r="AK354">
        <f>-(Table8409[[#This Row],[time]]-2)*2</f>
        <v>-0.4493999999999998</v>
      </c>
      <c r="AL354">
        <v>82.452699999999993</v>
      </c>
      <c r="AM354">
        <v>28.459599999999998</v>
      </c>
      <c r="AN354">
        <f>Table8409[[#This Row],[CFNM]]/Table8409[[#This Row],[CAREA]]</f>
        <v>0.3451627417901415</v>
      </c>
    </row>
    <row r="355" spans="1:40">
      <c r="A355">
        <v>2.2668900000000001</v>
      </c>
      <c r="B355">
        <f>-(Table1402[[#This Row],[time]]-2)*2</f>
        <v>-0.53378000000000014</v>
      </c>
      <c r="C355">
        <v>89.149199999999993</v>
      </c>
      <c r="D355">
        <v>13.290100000000001</v>
      </c>
      <c r="E355">
        <f>Table1402[[#This Row],[CFNM]]/Table1402[[#This Row],[CAREA]]</f>
        <v>0.14907705285072667</v>
      </c>
      <c r="F355">
        <v>2.2668900000000001</v>
      </c>
      <c r="G355">
        <f>-(Table2403[[#This Row],[time]]-2)*2</f>
        <v>-0.53378000000000014</v>
      </c>
      <c r="H355">
        <v>94.473299999999995</v>
      </c>
      <c r="I355">
        <v>5.0547500000000003</v>
      </c>
      <c r="J355">
        <f>Table2403[[#This Row],[CFNM]]/Table2403[[#This Row],[CAREA]]</f>
        <v>5.3504535143791956E-2</v>
      </c>
      <c r="K355">
        <v>2.2668900000000001</v>
      </c>
      <c r="L355">
        <f>-(Table3404[[#This Row],[time]]-2)*2</f>
        <v>-0.53378000000000014</v>
      </c>
      <c r="M355">
        <v>88.999399999999994</v>
      </c>
      <c r="N355">
        <v>8.8651199999999992</v>
      </c>
      <c r="O355">
        <f>Table3404[[#This Row],[CFNM]]/Table3404[[#This Row],[CAREA]]</f>
        <v>9.9608761407380272E-2</v>
      </c>
      <c r="P355">
        <v>2.2668900000000001</v>
      </c>
      <c r="Q355">
        <f>-(Table4405[[#This Row],[time]]-2)*2</f>
        <v>-0.53378000000000014</v>
      </c>
      <c r="R355">
        <v>87.014600000000002</v>
      </c>
      <c r="S355">
        <v>12.696400000000001</v>
      </c>
      <c r="T355">
        <f>Table4405[[#This Row],[CFNM]]/Table4405[[#This Row],[CAREA]]</f>
        <v>0.14591114594562293</v>
      </c>
      <c r="U355">
        <v>2.2668900000000001</v>
      </c>
      <c r="V355">
        <f>-(Table5406[[#This Row],[time]]-2)*2</f>
        <v>-0.53378000000000014</v>
      </c>
      <c r="W355">
        <v>81.565899999999999</v>
      </c>
      <c r="X355">
        <v>23.295300000000001</v>
      </c>
      <c r="Y355">
        <f>Table5406[[#This Row],[CFNM]]/Table5406[[#This Row],[CAREA]]</f>
        <v>0.28560096805160001</v>
      </c>
      <c r="Z355">
        <v>2.2668900000000001</v>
      </c>
      <c r="AA355">
        <f>-(Table6407[[#This Row],[time]]-2)*2</f>
        <v>-0.53378000000000014</v>
      </c>
      <c r="AB355">
        <v>89.002600000000001</v>
      </c>
      <c r="AC355">
        <v>32.797699999999999</v>
      </c>
      <c r="AD355">
        <f>Table6407[[#This Row],[CFNM]]/Table6407[[#This Row],[CAREA]]</f>
        <v>0.36850271789812883</v>
      </c>
      <c r="AE355">
        <v>2.2668900000000001</v>
      </c>
      <c r="AF355">
        <f>-(Table7408[[#This Row],[time]]-2)*2</f>
        <v>-0.53378000000000014</v>
      </c>
      <c r="AG355">
        <v>79.852900000000005</v>
      </c>
      <c r="AH355">
        <v>29.787400000000002</v>
      </c>
      <c r="AI355">
        <f>Table7408[[#This Row],[CFNM]]/Table7408[[#This Row],[CAREA]]</f>
        <v>0.3730284059814985</v>
      </c>
      <c r="AJ355">
        <v>2.2668900000000001</v>
      </c>
      <c r="AK355">
        <f>-(Table8409[[#This Row],[time]]-2)*2</f>
        <v>-0.53378000000000014</v>
      </c>
      <c r="AL355">
        <v>82.182100000000005</v>
      </c>
      <c r="AM355">
        <v>32.0944</v>
      </c>
      <c r="AN355">
        <f>Table8409[[#This Row],[CFNM]]/Table8409[[#This Row],[CAREA]]</f>
        <v>0.39052786434028819</v>
      </c>
    </row>
    <row r="356" spans="1:40">
      <c r="A356">
        <v>2.3262700000000001</v>
      </c>
      <c r="B356">
        <f>-(Table1402[[#This Row],[time]]-2)*2</f>
        <v>-0.65254000000000012</v>
      </c>
      <c r="C356">
        <v>88.808199999999999</v>
      </c>
      <c r="D356">
        <v>14.4529</v>
      </c>
      <c r="E356">
        <f>Table1402[[#This Row],[CFNM]]/Table1402[[#This Row],[CAREA]]</f>
        <v>0.16274285482646872</v>
      </c>
      <c r="F356">
        <v>2.3262700000000001</v>
      </c>
      <c r="G356">
        <f>-(Table2403[[#This Row],[time]]-2)*2</f>
        <v>-0.65254000000000012</v>
      </c>
      <c r="H356">
        <v>94.187200000000004</v>
      </c>
      <c r="I356">
        <v>5.9632199999999997</v>
      </c>
      <c r="J356">
        <f>Table2403[[#This Row],[CFNM]]/Table2403[[#This Row],[CAREA]]</f>
        <v>6.3312424618207144E-2</v>
      </c>
      <c r="K356">
        <v>2.3262700000000001</v>
      </c>
      <c r="L356">
        <f>-(Table3404[[#This Row],[time]]-2)*2</f>
        <v>-0.65254000000000012</v>
      </c>
      <c r="M356">
        <v>89.123599999999996</v>
      </c>
      <c r="N356">
        <v>10.1671</v>
      </c>
      <c r="O356">
        <f>Table3404[[#This Row],[CFNM]]/Table3404[[#This Row],[CAREA]]</f>
        <v>0.11407865032381995</v>
      </c>
      <c r="P356">
        <v>2.3262700000000001</v>
      </c>
      <c r="Q356">
        <f>-(Table4405[[#This Row],[time]]-2)*2</f>
        <v>-0.65254000000000012</v>
      </c>
      <c r="R356">
        <v>87.121300000000005</v>
      </c>
      <c r="S356">
        <v>14.5044</v>
      </c>
      <c r="T356">
        <f>Table4405[[#This Row],[CFNM]]/Table4405[[#This Row],[CAREA]]</f>
        <v>0.16648511902370602</v>
      </c>
      <c r="U356">
        <v>2.3262700000000001</v>
      </c>
      <c r="V356">
        <f>-(Table5406[[#This Row],[time]]-2)*2</f>
        <v>-0.65254000000000012</v>
      </c>
      <c r="W356">
        <v>81.023099999999999</v>
      </c>
      <c r="X356">
        <v>26.485199999999999</v>
      </c>
      <c r="Y356">
        <f>Table5406[[#This Row],[CFNM]]/Table5406[[#This Row],[CAREA]]</f>
        <v>0.32688455514538445</v>
      </c>
      <c r="Z356">
        <v>2.3262700000000001</v>
      </c>
      <c r="AA356">
        <f>-(Table6407[[#This Row],[time]]-2)*2</f>
        <v>-0.65254000000000012</v>
      </c>
      <c r="AB356">
        <v>89.012500000000003</v>
      </c>
      <c r="AC356">
        <v>37.124499999999998</v>
      </c>
      <c r="AD356">
        <f>Table6407[[#This Row],[CFNM]]/Table6407[[#This Row],[CAREA]]</f>
        <v>0.41707063614660861</v>
      </c>
      <c r="AE356">
        <v>2.3262700000000001</v>
      </c>
      <c r="AF356">
        <f>-(Table7408[[#This Row],[time]]-2)*2</f>
        <v>-0.65254000000000012</v>
      </c>
      <c r="AG356">
        <v>80.180599999999998</v>
      </c>
      <c r="AH356">
        <v>33.163699999999999</v>
      </c>
      <c r="AI356">
        <f>Table7408[[#This Row],[CFNM]]/Table7408[[#This Row],[CAREA]]</f>
        <v>0.41361251973669438</v>
      </c>
      <c r="AJ356">
        <v>2.3262700000000001</v>
      </c>
      <c r="AK356">
        <f>-(Table8409[[#This Row],[time]]-2)*2</f>
        <v>-0.65254000000000012</v>
      </c>
      <c r="AL356">
        <v>81.785700000000006</v>
      </c>
      <c r="AM356">
        <v>35.564</v>
      </c>
      <c r="AN356">
        <f>Table8409[[#This Row],[CFNM]]/Table8409[[#This Row],[CAREA]]</f>
        <v>0.43484374407750986</v>
      </c>
    </row>
    <row r="357" spans="1:40">
      <c r="A357">
        <v>2.3684599999999998</v>
      </c>
      <c r="B357">
        <f>-(Table1402[[#This Row],[time]]-2)*2</f>
        <v>-0.73691999999999958</v>
      </c>
      <c r="C357">
        <v>88.600300000000004</v>
      </c>
      <c r="D357">
        <v>15.6938</v>
      </c>
      <c r="E357">
        <f>Table1402[[#This Row],[CFNM]]/Table1402[[#This Row],[CAREA]]</f>
        <v>0.17713032574381801</v>
      </c>
      <c r="F357">
        <v>2.3684599999999998</v>
      </c>
      <c r="G357">
        <f>-(Table2403[[#This Row],[time]]-2)*2</f>
        <v>-0.73691999999999958</v>
      </c>
      <c r="H357">
        <v>93.8626</v>
      </c>
      <c r="I357">
        <v>6.9211200000000002</v>
      </c>
      <c r="J357">
        <f>Table2403[[#This Row],[CFNM]]/Table2403[[#This Row],[CAREA]]</f>
        <v>7.3736717286757458E-2</v>
      </c>
      <c r="K357">
        <v>2.3684599999999998</v>
      </c>
      <c r="L357">
        <f>-(Table3404[[#This Row],[time]]-2)*2</f>
        <v>-0.73691999999999958</v>
      </c>
      <c r="M357">
        <v>88.510400000000004</v>
      </c>
      <c r="N357">
        <v>11.593999999999999</v>
      </c>
      <c r="O357">
        <f>Table3404[[#This Row],[CFNM]]/Table3404[[#This Row],[CAREA]]</f>
        <v>0.13099025651222906</v>
      </c>
      <c r="P357">
        <v>2.3684599999999998</v>
      </c>
      <c r="Q357">
        <f>-(Table4405[[#This Row],[time]]-2)*2</f>
        <v>-0.73691999999999958</v>
      </c>
      <c r="R357">
        <v>87.206500000000005</v>
      </c>
      <c r="S357">
        <v>16.342300000000002</v>
      </c>
      <c r="T357">
        <f>Table4405[[#This Row],[CFNM]]/Table4405[[#This Row],[CAREA]]</f>
        <v>0.18739772838033864</v>
      </c>
      <c r="U357">
        <v>2.3684599999999998</v>
      </c>
      <c r="V357">
        <f>-(Table5406[[#This Row],[time]]-2)*2</f>
        <v>-0.73691999999999958</v>
      </c>
      <c r="W357">
        <v>80.373900000000006</v>
      </c>
      <c r="X357">
        <v>29.4663</v>
      </c>
      <c r="Y357">
        <f>Table5406[[#This Row],[CFNM]]/Table5406[[#This Row],[CAREA]]</f>
        <v>0.36661528182656306</v>
      </c>
      <c r="Z357">
        <v>2.3684599999999998</v>
      </c>
      <c r="AA357">
        <f>-(Table6407[[#This Row],[time]]-2)*2</f>
        <v>-0.73691999999999958</v>
      </c>
      <c r="AB357">
        <v>88.427300000000002</v>
      </c>
      <c r="AC357">
        <v>41.117899999999999</v>
      </c>
      <c r="AD357">
        <f>Table6407[[#This Row],[CFNM]]/Table6407[[#This Row],[CAREA]]</f>
        <v>0.46499101521815095</v>
      </c>
      <c r="AE357">
        <v>2.3684599999999998</v>
      </c>
      <c r="AF357">
        <f>-(Table7408[[#This Row],[time]]-2)*2</f>
        <v>-0.73691999999999958</v>
      </c>
      <c r="AG357">
        <v>80.109300000000005</v>
      </c>
      <c r="AH357">
        <v>36.761000000000003</v>
      </c>
      <c r="AI357">
        <f>Table7408[[#This Row],[CFNM]]/Table7408[[#This Row],[CAREA]]</f>
        <v>0.45888554762056344</v>
      </c>
      <c r="AJ357">
        <v>2.3684599999999998</v>
      </c>
      <c r="AK357">
        <f>-(Table8409[[#This Row],[time]]-2)*2</f>
        <v>-0.73691999999999958</v>
      </c>
      <c r="AL357">
        <v>81.5672</v>
      </c>
      <c r="AM357">
        <v>39.1083</v>
      </c>
      <c r="AN357">
        <f>Table8409[[#This Row],[CFNM]]/Table8409[[#This Row],[CAREA]]</f>
        <v>0.47946110691552485</v>
      </c>
    </row>
    <row r="358" spans="1:40">
      <c r="A358">
        <v>2.4278300000000002</v>
      </c>
      <c r="B358">
        <f>-(Table1402[[#This Row],[time]]-2)*2</f>
        <v>-0.85566000000000031</v>
      </c>
      <c r="C358">
        <v>88.376000000000005</v>
      </c>
      <c r="D358">
        <v>16.888200000000001</v>
      </c>
      <c r="E358">
        <f>Table1402[[#This Row],[CFNM]]/Table1402[[#This Row],[CAREA]]</f>
        <v>0.19109486738481035</v>
      </c>
      <c r="F358">
        <v>2.4278300000000002</v>
      </c>
      <c r="G358">
        <f>-(Table2403[[#This Row],[time]]-2)*2</f>
        <v>-0.85566000000000031</v>
      </c>
      <c r="H358">
        <v>93.4572</v>
      </c>
      <c r="I358">
        <v>7.8650399999999996</v>
      </c>
      <c r="J358">
        <f>Table2403[[#This Row],[CFNM]]/Table2403[[#This Row],[CAREA]]</f>
        <v>8.4156597886519177E-2</v>
      </c>
      <c r="K358">
        <v>2.4278300000000002</v>
      </c>
      <c r="L358">
        <f>-(Table3404[[#This Row],[time]]-2)*2</f>
        <v>-0.85566000000000031</v>
      </c>
      <c r="M358">
        <v>88.631200000000007</v>
      </c>
      <c r="N358">
        <v>13.051</v>
      </c>
      <c r="O358">
        <f>Table3404[[#This Row],[CFNM]]/Table3404[[#This Row],[CAREA]]</f>
        <v>0.14725062957513832</v>
      </c>
      <c r="P358">
        <v>2.4278300000000002</v>
      </c>
      <c r="Q358">
        <f>-(Table4405[[#This Row],[time]]-2)*2</f>
        <v>-0.85566000000000031</v>
      </c>
      <c r="R358">
        <v>87.317499999999995</v>
      </c>
      <c r="S358">
        <v>18.1798</v>
      </c>
      <c r="T358">
        <f>Table4405[[#This Row],[CFNM]]/Table4405[[#This Row],[CAREA]]</f>
        <v>0.2082033956537922</v>
      </c>
      <c r="U358">
        <v>2.4278300000000002</v>
      </c>
      <c r="V358">
        <f>-(Table5406[[#This Row],[time]]-2)*2</f>
        <v>-0.85566000000000031</v>
      </c>
      <c r="W358">
        <v>79.260000000000005</v>
      </c>
      <c r="X358">
        <v>32.016199999999998</v>
      </c>
      <c r="Y358">
        <f>Table5406[[#This Row],[CFNM]]/Table5406[[#This Row],[CAREA]]</f>
        <v>0.40393893515013873</v>
      </c>
      <c r="Z358">
        <v>2.4278300000000002</v>
      </c>
      <c r="AA358">
        <f>-(Table6407[[#This Row],[time]]-2)*2</f>
        <v>-0.85566000000000031</v>
      </c>
      <c r="AB358">
        <v>87.718100000000007</v>
      </c>
      <c r="AC358">
        <v>44.808300000000003</v>
      </c>
      <c r="AD358">
        <f>Table6407[[#This Row],[CFNM]]/Table6407[[#This Row],[CAREA]]</f>
        <v>0.51082159782302627</v>
      </c>
      <c r="AE358">
        <v>2.4278300000000002</v>
      </c>
      <c r="AF358">
        <f>-(Table7408[[#This Row],[time]]-2)*2</f>
        <v>-0.85566000000000031</v>
      </c>
      <c r="AG358">
        <v>80.004000000000005</v>
      </c>
      <c r="AH358">
        <v>40.403300000000002</v>
      </c>
      <c r="AI358">
        <f>Table7408[[#This Row],[CFNM]]/Table7408[[#This Row],[CAREA]]</f>
        <v>0.50501599920004003</v>
      </c>
      <c r="AJ358">
        <v>2.4278300000000002</v>
      </c>
      <c r="AK358">
        <f>-(Table8409[[#This Row],[time]]-2)*2</f>
        <v>-0.85566000000000031</v>
      </c>
      <c r="AL358">
        <v>81.3827</v>
      </c>
      <c r="AM358">
        <v>42.694099999999999</v>
      </c>
      <c r="AN358">
        <f>Table8409[[#This Row],[CFNM]]/Table8409[[#This Row],[CAREA]]</f>
        <v>0.52460903853030183</v>
      </c>
    </row>
    <row r="359" spans="1:40">
      <c r="A359">
        <v>2.4542000000000002</v>
      </c>
      <c r="B359">
        <f>-(Table1402[[#This Row],[time]]-2)*2</f>
        <v>-0.90840000000000032</v>
      </c>
      <c r="C359">
        <v>88.190200000000004</v>
      </c>
      <c r="D359">
        <v>18.026</v>
      </c>
      <c r="E359">
        <f>Table1402[[#This Row],[CFNM]]/Table1402[[#This Row],[CAREA]]</f>
        <v>0.20439912824780984</v>
      </c>
      <c r="F359">
        <v>2.4542000000000002</v>
      </c>
      <c r="G359">
        <f>-(Table2403[[#This Row],[time]]-2)*2</f>
        <v>-0.90840000000000032</v>
      </c>
      <c r="H359">
        <v>93.204800000000006</v>
      </c>
      <c r="I359">
        <v>8.8072999999999997</v>
      </c>
      <c r="J359">
        <f>Table2403[[#This Row],[CFNM]]/Table2403[[#This Row],[CAREA]]</f>
        <v>9.4494060391739465E-2</v>
      </c>
      <c r="K359">
        <v>2.4542000000000002</v>
      </c>
      <c r="L359">
        <f>-(Table3404[[#This Row],[time]]-2)*2</f>
        <v>-0.90840000000000032</v>
      </c>
      <c r="M359">
        <v>88.772999999999996</v>
      </c>
      <c r="N359">
        <v>14.5267</v>
      </c>
      <c r="O359">
        <f>Table3404[[#This Row],[CFNM]]/Table3404[[#This Row],[CAREA]]</f>
        <v>0.16363871897987001</v>
      </c>
      <c r="P359">
        <v>2.4542000000000002</v>
      </c>
      <c r="Q359">
        <f>-(Table4405[[#This Row],[time]]-2)*2</f>
        <v>-0.90840000000000032</v>
      </c>
      <c r="R359">
        <v>87.429199999999994</v>
      </c>
      <c r="S359">
        <v>20.0807</v>
      </c>
      <c r="T359">
        <f>Table4405[[#This Row],[CFNM]]/Table4405[[#This Row],[CAREA]]</f>
        <v>0.22967955785938796</v>
      </c>
      <c r="U359">
        <v>2.4542000000000002</v>
      </c>
      <c r="V359">
        <f>-(Table5406[[#This Row],[time]]-2)*2</f>
        <v>-0.90840000000000032</v>
      </c>
      <c r="W359">
        <v>78.415599999999998</v>
      </c>
      <c r="X359">
        <v>34.498100000000001</v>
      </c>
      <c r="Y359">
        <f>Table5406[[#This Row],[CFNM]]/Table5406[[#This Row],[CAREA]]</f>
        <v>0.43993924678252799</v>
      </c>
      <c r="Z359">
        <v>2.4542000000000002</v>
      </c>
      <c r="AA359">
        <f>-(Table6407[[#This Row],[time]]-2)*2</f>
        <v>-0.90840000000000032</v>
      </c>
      <c r="AB359">
        <v>87.025800000000004</v>
      </c>
      <c r="AC359">
        <v>48.3658</v>
      </c>
      <c r="AD359">
        <f>Table6407[[#This Row],[CFNM]]/Table6407[[#This Row],[CAREA]]</f>
        <v>0.55576392288263943</v>
      </c>
      <c r="AE359">
        <v>2.4542000000000002</v>
      </c>
      <c r="AF359">
        <f>-(Table7408[[#This Row],[time]]-2)*2</f>
        <v>-0.90840000000000032</v>
      </c>
      <c r="AG359">
        <v>79.687700000000007</v>
      </c>
      <c r="AH359">
        <v>44.039700000000003</v>
      </c>
      <c r="AI359">
        <f>Table7408[[#This Row],[CFNM]]/Table7408[[#This Row],[CAREA]]</f>
        <v>0.55265367177117675</v>
      </c>
      <c r="AJ359">
        <v>2.4542000000000002</v>
      </c>
      <c r="AK359">
        <f>-(Table8409[[#This Row],[time]]-2)*2</f>
        <v>-0.90840000000000032</v>
      </c>
      <c r="AL359">
        <v>80.397800000000004</v>
      </c>
      <c r="AM359">
        <v>46.2684</v>
      </c>
      <c r="AN359">
        <f>Table8409[[#This Row],[CFNM]]/Table8409[[#This Row],[CAREA]]</f>
        <v>0.57549335927102485</v>
      </c>
    </row>
    <row r="360" spans="1:40">
      <c r="A360">
        <v>2.5061499999999999</v>
      </c>
      <c r="B360">
        <f>-(Table1402[[#This Row],[time]]-2)*2</f>
        <v>-1.0122999999999998</v>
      </c>
      <c r="C360">
        <v>88.046199999999999</v>
      </c>
      <c r="D360">
        <v>18.976500000000001</v>
      </c>
      <c r="E360">
        <f>Table1402[[#This Row],[CFNM]]/Table1402[[#This Row],[CAREA]]</f>
        <v>0.2155288927858329</v>
      </c>
      <c r="F360">
        <v>2.5061499999999999</v>
      </c>
      <c r="G360">
        <f>-(Table2403[[#This Row],[time]]-2)*2</f>
        <v>-1.0122999999999998</v>
      </c>
      <c r="H360">
        <v>93.106200000000001</v>
      </c>
      <c r="I360">
        <v>9.6509499999999999</v>
      </c>
      <c r="J360">
        <f>Table2403[[#This Row],[CFNM]]/Table2403[[#This Row],[CAREA]]</f>
        <v>0.10365528826222099</v>
      </c>
      <c r="K360">
        <v>2.5061499999999999</v>
      </c>
      <c r="L360">
        <f>-(Table3404[[#This Row],[time]]-2)*2</f>
        <v>-1.0122999999999998</v>
      </c>
      <c r="M360">
        <v>88.943799999999996</v>
      </c>
      <c r="N360">
        <v>15.864100000000001</v>
      </c>
      <c r="O360">
        <f>Table3404[[#This Row],[CFNM]]/Table3404[[#This Row],[CAREA]]</f>
        <v>0.1783609425277535</v>
      </c>
      <c r="P360">
        <v>2.5061499999999999</v>
      </c>
      <c r="Q360">
        <f>-(Table4405[[#This Row],[time]]-2)*2</f>
        <v>-1.0122999999999998</v>
      </c>
      <c r="R360">
        <v>87.862899999999996</v>
      </c>
      <c r="S360">
        <v>21.817599999999999</v>
      </c>
      <c r="T360">
        <f>Table4405[[#This Row],[CFNM]]/Table4405[[#This Row],[CAREA]]</f>
        <v>0.24831413486238219</v>
      </c>
      <c r="U360">
        <v>2.5061499999999999</v>
      </c>
      <c r="V360">
        <f>-(Table5406[[#This Row],[time]]-2)*2</f>
        <v>-1.0122999999999998</v>
      </c>
      <c r="W360">
        <v>77.755799999999994</v>
      </c>
      <c r="X360">
        <v>36.709600000000002</v>
      </c>
      <c r="Y360">
        <f>Table5406[[#This Row],[CFNM]]/Table5406[[#This Row],[CAREA]]</f>
        <v>0.4721139773495997</v>
      </c>
      <c r="Z360">
        <v>2.5061499999999999</v>
      </c>
      <c r="AA360">
        <f>-(Table6407[[#This Row],[time]]-2)*2</f>
        <v>-1.0122999999999998</v>
      </c>
      <c r="AB360">
        <v>86.331199999999995</v>
      </c>
      <c r="AC360">
        <v>51.427300000000002</v>
      </c>
      <c r="AD360">
        <f>Table6407[[#This Row],[CFNM]]/Table6407[[#This Row],[CAREA]]</f>
        <v>0.59569773152695671</v>
      </c>
      <c r="AE360">
        <v>2.5061499999999999</v>
      </c>
      <c r="AF360">
        <f>-(Table7408[[#This Row],[time]]-2)*2</f>
        <v>-1.0122999999999998</v>
      </c>
      <c r="AG360">
        <v>79.271100000000004</v>
      </c>
      <c r="AH360">
        <v>47.267899999999997</v>
      </c>
      <c r="AI360">
        <f>Table7408[[#This Row],[CFNM]]/Table7408[[#This Row],[CAREA]]</f>
        <v>0.59628162091859449</v>
      </c>
      <c r="AJ360">
        <v>2.5061499999999999</v>
      </c>
      <c r="AK360">
        <f>-(Table8409[[#This Row],[time]]-2)*2</f>
        <v>-1.0122999999999998</v>
      </c>
      <c r="AL360">
        <v>80.123000000000005</v>
      </c>
      <c r="AM360">
        <v>49.4452</v>
      </c>
      <c r="AN360">
        <f>Table8409[[#This Row],[CFNM]]/Table8409[[#This Row],[CAREA]]</f>
        <v>0.61711618386730394</v>
      </c>
    </row>
    <row r="361" spans="1:40">
      <c r="A361">
        <v>2.5507599999999999</v>
      </c>
      <c r="B361">
        <f>-(Table1402[[#This Row],[time]]-2)*2</f>
        <v>-1.1015199999999998</v>
      </c>
      <c r="C361">
        <v>87.801400000000001</v>
      </c>
      <c r="D361">
        <v>20.020600000000002</v>
      </c>
      <c r="E361">
        <f>Table1402[[#This Row],[CFNM]]/Table1402[[#This Row],[CAREA]]</f>
        <v>0.22802142107073464</v>
      </c>
      <c r="F361">
        <v>2.5507599999999999</v>
      </c>
      <c r="G361">
        <f>-(Table2403[[#This Row],[time]]-2)*2</f>
        <v>-1.1015199999999998</v>
      </c>
      <c r="H361">
        <v>93.005300000000005</v>
      </c>
      <c r="I361">
        <v>10.645099999999999</v>
      </c>
      <c r="J361">
        <f>Table2403[[#This Row],[CFNM]]/Table2403[[#This Row],[CAREA]]</f>
        <v>0.11445691804660593</v>
      </c>
      <c r="K361">
        <v>2.5507599999999999</v>
      </c>
      <c r="L361">
        <f>-(Table3404[[#This Row],[time]]-2)*2</f>
        <v>-1.1015199999999998</v>
      </c>
      <c r="M361">
        <v>89.131500000000003</v>
      </c>
      <c r="N361">
        <v>17.523299999999999</v>
      </c>
      <c r="O361">
        <f>Table3404[[#This Row],[CFNM]]/Table3404[[#This Row],[CAREA]]</f>
        <v>0.19660052843270895</v>
      </c>
      <c r="P361">
        <v>2.5507599999999999</v>
      </c>
      <c r="Q361">
        <f>-(Table4405[[#This Row],[time]]-2)*2</f>
        <v>-1.1015199999999998</v>
      </c>
      <c r="R361">
        <v>88.067400000000006</v>
      </c>
      <c r="S361">
        <v>23.8842</v>
      </c>
      <c r="T361">
        <f>Table4405[[#This Row],[CFNM]]/Table4405[[#This Row],[CAREA]]</f>
        <v>0.27120364629817617</v>
      </c>
      <c r="U361">
        <v>2.5507599999999999</v>
      </c>
      <c r="V361">
        <f>-(Table5406[[#This Row],[time]]-2)*2</f>
        <v>-1.1015199999999998</v>
      </c>
      <c r="W361">
        <v>76.819699999999997</v>
      </c>
      <c r="X361">
        <v>39.299599999999998</v>
      </c>
      <c r="Y361">
        <f>Table5406[[#This Row],[CFNM]]/Table5406[[#This Row],[CAREA]]</f>
        <v>0.5115823154737652</v>
      </c>
      <c r="Z361">
        <v>2.5507599999999999</v>
      </c>
      <c r="AA361">
        <f>-(Table6407[[#This Row],[time]]-2)*2</f>
        <v>-1.1015199999999998</v>
      </c>
      <c r="AB361">
        <v>84.795299999999997</v>
      </c>
      <c r="AC361">
        <v>55.0364</v>
      </c>
      <c r="AD361">
        <f>Table6407[[#This Row],[CFNM]]/Table6407[[#This Row],[CAREA]]</f>
        <v>0.64905012424037656</v>
      </c>
      <c r="AE361">
        <v>2.5507599999999999</v>
      </c>
      <c r="AF361">
        <f>-(Table7408[[#This Row],[time]]-2)*2</f>
        <v>-1.1015199999999998</v>
      </c>
      <c r="AG361">
        <v>78.396000000000001</v>
      </c>
      <c r="AH361">
        <v>51.313600000000001</v>
      </c>
      <c r="AI361">
        <f>Table7408[[#This Row],[CFNM]]/Table7408[[#This Row],[CAREA]]</f>
        <v>0.65454359916322258</v>
      </c>
      <c r="AJ361">
        <v>2.5507599999999999</v>
      </c>
      <c r="AK361">
        <f>-(Table8409[[#This Row],[time]]-2)*2</f>
        <v>-1.1015199999999998</v>
      </c>
      <c r="AL361">
        <v>79.815700000000007</v>
      </c>
      <c r="AM361">
        <v>53.1372</v>
      </c>
      <c r="AN361">
        <f>Table8409[[#This Row],[CFNM]]/Table8409[[#This Row],[CAREA]]</f>
        <v>0.66574871861049889</v>
      </c>
    </row>
    <row r="362" spans="1:40">
      <c r="A362">
        <v>2.60453</v>
      </c>
      <c r="B362">
        <f>-(Table1402[[#This Row],[time]]-2)*2</f>
        <v>-1.20906</v>
      </c>
      <c r="C362">
        <v>87.684299999999993</v>
      </c>
      <c r="D362">
        <v>20.912800000000001</v>
      </c>
      <c r="E362">
        <f>Table1402[[#This Row],[CFNM]]/Table1402[[#This Row],[CAREA]]</f>
        <v>0.23850107715976523</v>
      </c>
      <c r="F362">
        <v>2.60453</v>
      </c>
      <c r="G362">
        <f>-(Table2403[[#This Row],[time]]-2)*2</f>
        <v>-1.20906</v>
      </c>
      <c r="H362">
        <v>92.917000000000002</v>
      </c>
      <c r="I362">
        <v>11.523199999999999</v>
      </c>
      <c r="J362">
        <f>Table2403[[#This Row],[CFNM]]/Table2403[[#This Row],[CAREA]]</f>
        <v>0.12401605734149831</v>
      </c>
      <c r="K362">
        <v>2.60453</v>
      </c>
      <c r="L362">
        <f>-(Table3404[[#This Row],[time]]-2)*2</f>
        <v>-1.20906</v>
      </c>
      <c r="M362">
        <v>89.549899999999994</v>
      </c>
      <c r="N362">
        <v>19.1236</v>
      </c>
      <c r="O362">
        <f>Table3404[[#This Row],[CFNM]]/Table3404[[#This Row],[CAREA]]</f>
        <v>0.21355244394466102</v>
      </c>
      <c r="P362">
        <v>2.60453</v>
      </c>
      <c r="Q362">
        <f>-(Table4405[[#This Row],[time]]-2)*2</f>
        <v>-1.20906</v>
      </c>
      <c r="R362">
        <v>88.210499999999996</v>
      </c>
      <c r="S362">
        <v>25.776199999999999</v>
      </c>
      <c r="T362">
        <f>Table4405[[#This Row],[CFNM]]/Table4405[[#This Row],[CAREA]]</f>
        <v>0.29221237834498159</v>
      </c>
      <c r="U362">
        <v>2.60453</v>
      </c>
      <c r="V362">
        <f>-(Table5406[[#This Row],[time]]-2)*2</f>
        <v>-1.20906</v>
      </c>
      <c r="W362">
        <v>75.899500000000003</v>
      </c>
      <c r="X362">
        <v>41.597999999999999</v>
      </c>
      <c r="Y362">
        <f>Table5406[[#This Row],[CFNM]]/Table5406[[#This Row],[CAREA]]</f>
        <v>0.54806685156028689</v>
      </c>
      <c r="Z362">
        <v>2.60453</v>
      </c>
      <c r="AA362">
        <f>-(Table6407[[#This Row],[time]]-2)*2</f>
        <v>-1.20906</v>
      </c>
      <c r="AB362">
        <v>84.072999999999993</v>
      </c>
      <c r="AC362">
        <v>58.195900000000002</v>
      </c>
      <c r="AD362">
        <f>Table6407[[#This Row],[CFNM]]/Table6407[[#This Row],[CAREA]]</f>
        <v>0.69220677268564235</v>
      </c>
      <c r="AE362">
        <v>2.60453</v>
      </c>
      <c r="AF362">
        <f>-(Table7408[[#This Row],[time]]-2)*2</f>
        <v>-1.20906</v>
      </c>
      <c r="AG362">
        <v>77.660700000000006</v>
      </c>
      <c r="AH362">
        <v>54.981499999999997</v>
      </c>
      <c r="AI362">
        <f>Table7408[[#This Row],[CFNM]]/Table7408[[#This Row],[CAREA]]</f>
        <v>0.70797069817810032</v>
      </c>
      <c r="AJ362">
        <v>2.60453</v>
      </c>
      <c r="AK362">
        <f>-(Table8409[[#This Row],[time]]-2)*2</f>
        <v>-1.20906</v>
      </c>
      <c r="AL362">
        <v>79.622500000000002</v>
      </c>
      <c r="AM362">
        <v>56.579500000000003</v>
      </c>
      <c r="AN362">
        <f>Table8409[[#This Row],[CFNM]]/Table8409[[#This Row],[CAREA]]</f>
        <v>0.71059687902288926</v>
      </c>
    </row>
    <row r="363" spans="1:40">
      <c r="A363">
        <v>2.65273</v>
      </c>
      <c r="B363">
        <f>-(Table1402[[#This Row],[time]]-2)*2</f>
        <v>-1.3054600000000001</v>
      </c>
      <c r="C363">
        <v>87.316000000000003</v>
      </c>
      <c r="D363">
        <v>21.7438</v>
      </c>
      <c r="E363">
        <f>Table1402[[#This Row],[CFNM]]/Table1402[[#This Row],[CAREA]]</f>
        <v>0.24902423381739888</v>
      </c>
      <c r="F363">
        <v>2.65273</v>
      </c>
      <c r="G363">
        <f>-(Table2403[[#This Row],[time]]-2)*2</f>
        <v>-1.3054600000000001</v>
      </c>
      <c r="H363">
        <v>92.838399999999993</v>
      </c>
      <c r="I363">
        <v>12.4412</v>
      </c>
      <c r="J363">
        <f>Table2403[[#This Row],[CFNM]]/Table2403[[#This Row],[CAREA]]</f>
        <v>0.13400920308837724</v>
      </c>
      <c r="K363">
        <v>2.65273</v>
      </c>
      <c r="L363">
        <f>-(Table3404[[#This Row],[time]]-2)*2</f>
        <v>-1.3054600000000001</v>
      </c>
      <c r="M363">
        <v>89.670599999999993</v>
      </c>
      <c r="N363">
        <v>20.717700000000001</v>
      </c>
      <c r="O363">
        <f>Table3404[[#This Row],[CFNM]]/Table3404[[#This Row],[CAREA]]</f>
        <v>0.23104228141665165</v>
      </c>
      <c r="P363">
        <v>2.65273</v>
      </c>
      <c r="Q363">
        <f>-(Table4405[[#This Row],[time]]-2)*2</f>
        <v>-1.3054600000000001</v>
      </c>
      <c r="R363">
        <v>88.355599999999995</v>
      </c>
      <c r="S363">
        <v>27.7531</v>
      </c>
      <c r="T363">
        <f>Table4405[[#This Row],[CFNM]]/Table4405[[#This Row],[CAREA]]</f>
        <v>0.31410685910117753</v>
      </c>
      <c r="U363">
        <v>2.65273</v>
      </c>
      <c r="V363">
        <f>-(Table5406[[#This Row],[time]]-2)*2</f>
        <v>-1.3054600000000001</v>
      </c>
      <c r="W363">
        <v>75.049400000000006</v>
      </c>
      <c r="X363">
        <v>44.204799999999999</v>
      </c>
      <c r="Y363">
        <f>Table5406[[#This Row],[CFNM]]/Table5406[[#This Row],[CAREA]]</f>
        <v>0.58900937249331764</v>
      </c>
      <c r="Z363">
        <v>2.65273</v>
      </c>
      <c r="AA363">
        <f>-(Table6407[[#This Row],[time]]-2)*2</f>
        <v>-1.3054600000000001</v>
      </c>
      <c r="AB363">
        <v>83.417699999999996</v>
      </c>
      <c r="AC363">
        <v>61.668700000000001</v>
      </c>
      <c r="AD363">
        <f>Table6407[[#This Row],[CFNM]]/Table6407[[#This Row],[CAREA]]</f>
        <v>0.73927595702111182</v>
      </c>
      <c r="AE363">
        <v>2.65273</v>
      </c>
      <c r="AF363">
        <f>-(Table7408[[#This Row],[time]]-2)*2</f>
        <v>-1.3054600000000001</v>
      </c>
      <c r="AG363">
        <v>76.967100000000002</v>
      </c>
      <c r="AH363">
        <v>58.603499999999997</v>
      </c>
      <c r="AI363">
        <f>Table7408[[#This Row],[CFNM]]/Table7408[[#This Row],[CAREA]]</f>
        <v>0.76140974520282034</v>
      </c>
      <c r="AJ363">
        <v>2.65273</v>
      </c>
      <c r="AK363">
        <f>-(Table8409[[#This Row],[time]]-2)*2</f>
        <v>-1.3054600000000001</v>
      </c>
      <c r="AL363">
        <v>78.085800000000006</v>
      </c>
      <c r="AM363">
        <v>60.087699999999998</v>
      </c>
      <c r="AN363">
        <f>Table8409[[#This Row],[CFNM]]/Table8409[[#This Row],[CAREA]]</f>
        <v>0.76950866866959156</v>
      </c>
    </row>
    <row r="364" spans="1:40">
      <c r="A364">
        <v>2.7006199999999998</v>
      </c>
      <c r="B364">
        <f>-(Table1402[[#This Row],[time]]-2)*2</f>
        <v>-1.4012399999999996</v>
      </c>
      <c r="C364">
        <v>87.218599999999995</v>
      </c>
      <c r="D364">
        <v>22.610299999999999</v>
      </c>
      <c r="E364">
        <f>Table1402[[#This Row],[CFNM]]/Table1402[[#This Row],[CAREA]]</f>
        <v>0.25923713519822605</v>
      </c>
      <c r="F364">
        <v>2.7006199999999998</v>
      </c>
      <c r="G364">
        <f>-(Table2403[[#This Row],[time]]-2)*2</f>
        <v>-1.4012399999999996</v>
      </c>
      <c r="H364">
        <v>92.781700000000001</v>
      </c>
      <c r="I364">
        <v>13.473100000000001</v>
      </c>
      <c r="J364">
        <f>Table2403[[#This Row],[CFNM]]/Table2403[[#This Row],[CAREA]]</f>
        <v>0.14521290297547901</v>
      </c>
      <c r="K364">
        <v>2.7006199999999998</v>
      </c>
      <c r="L364">
        <f>-(Table3404[[#This Row],[time]]-2)*2</f>
        <v>-1.4012399999999996</v>
      </c>
      <c r="M364">
        <v>89.575800000000001</v>
      </c>
      <c r="N364">
        <v>22.4803</v>
      </c>
      <c r="O364">
        <f>Table3404[[#This Row],[CFNM]]/Table3404[[#This Row],[CAREA]]</f>
        <v>0.25096398804141296</v>
      </c>
      <c r="P364">
        <v>2.7006199999999998</v>
      </c>
      <c r="Q364">
        <f>-(Table4405[[#This Row],[time]]-2)*2</f>
        <v>-1.4012399999999996</v>
      </c>
      <c r="R364">
        <v>88.457899999999995</v>
      </c>
      <c r="S364">
        <v>30.075099999999999</v>
      </c>
      <c r="T364">
        <f>Table4405[[#This Row],[CFNM]]/Table4405[[#This Row],[CAREA]]</f>
        <v>0.33999337537970042</v>
      </c>
      <c r="U364">
        <v>2.7006199999999998</v>
      </c>
      <c r="V364">
        <f>-(Table5406[[#This Row],[time]]-2)*2</f>
        <v>-1.4012399999999996</v>
      </c>
      <c r="W364">
        <v>74.052499999999995</v>
      </c>
      <c r="X364">
        <v>47.2119</v>
      </c>
      <c r="Y364">
        <f>Table5406[[#This Row],[CFNM]]/Table5406[[#This Row],[CAREA]]</f>
        <v>0.63754633537017658</v>
      </c>
      <c r="Z364">
        <v>2.7006199999999998</v>
      </c>
      <c r="AA364">
        <f>-(Table6407[[#This Row],[time]]-2)*2</f>
        <v>-1.4012399999999996</v>
      </c>
      <c r="AB364">
        <v>82.670900000000003</v>
      </c>
      <c r="AC364">
        <v>65.768500000000003</v>
      </c>
      <c r="AD364">
        <f>Table6407[[#This Row],[CFNM]]/Table6407[[#This Row],[CAREA]]</f>
        <v>0.79554595389671579</v>
      </c>
      <c r="AE364">
        <v>2.7006199999999998</v>
      </c>
      <c r="AF364">
        <f>-(Table7408[[#This Row],[time]]-2)*2</f>
        <v>-1.4012399999999996</v>
      </c>
      <c r="AG364">
        <v>76.169700000000006</v>
      </c>
      <c r="AH364">
        <v>62.517000000000003</v>
      </c>
      <c r="AI364">
        <f>Table7408[[#This Row],[CFNM]]/Table7408[[#This Row],[CAREA]]</f>
        <v>0.82075943583866018</v>
      </c>
      <c r="AJ364">
        <v>2.7006199999999998</v>
      </c>
      <c r="AK364">
        <f>-(Table8409[[#This Row],[time]]-2)*2</f>
        <v>-1.4012399999999996</v>
      </c>
      <c r="AL364">
        <v>77.858699999999999</v>
      </c>
      <c r="AM364">
        <v>64.072699999999998</v>
      </c>
      <c r="AN364">
        <f>Table8409[[#This Row],[CFNM]]/Table8409[[#This Row],[CAREA]]</f>
        <v>0.82293565137871549</v>
      </c>
    </row>
    <row r="365" spans="1:40">
      <c r="A365">
        <v>2.75176</v>
      </c>
      <c r="B365">
        <f>-(Table1402[[#This Row],[time]]-2)*2</f>
        <v>-1.50352</v>
      </c>
      <c r="C365">
        <v>86.961399999999998</v>
      </c>
      <c r="D365">
        <v>23.335799999999999</v>
      </c>
      <c r="E365">
        <f>Table1402[[#This Row],[CFNM]]/Table1402[[#This Row],[CAREA]]</f>
        <v>0.26834664575317324</v>
      </c>
      <c r="F365">
        <v>2.75176</v>
      </c>
      <c r="G365">
        <f>-(Table2403[[#This Row],[time]]-2)*2</f>
        <v>-1.50352</v>
      </c>
      <c r="H365">
        <v>92.753</v>
      </c>
      <c r="I365">
        <v>14.3377</v>
      </c>
      <c r="J365">
        <f>Table2403[[#This Row],[CFNM]]/Table2403[[#This Row],[CAREA]]</f>
        <v>0.15457936670512004</v>
      </c>
      <c r="K365">
        <v>2.75176</v>
      </c>
      <c r="L365">
        <f>-(Table3404[[#This Row],[time]]-2)*2</f>
        <v>-1.50352</v>
      </c>
      <c r="M365">
        <v>89.465299999999999</v>
      </c>
      <c r="N365">
        <v>24.055700000000002</v>
      </c>
      <c r="O365">
        <f>Table3404[[#This Row],[CFNM]]/Table3404[[#This Row],[CAREA]]</f>
        <v>0.26888301944999909</v>
      </c>
      <c r="P365">
        <v>2.75176</v>
      </c>
      <c r="Q365">
        <f>-(Table4405[[#This Row],[time]]-2)*2</f>
        <v>-1.50352</v>
      </c>
      <c r="R365">
        <v>88.542400000000001</v>
      </c>
      <c r="S365">
        <v>32.187899999999999</v>
      </c>
      <c r="T365">
        <f>Table4405[[#This Row],[CFNM]]/Table4405[[#This Row],[CAREA]]</f>
        <v>0.36353091852039249</v>
      </c>
      <c r="U365">
        <v>2.75176</v>
      </c>
      <c r="V365">
        <f>-(Table5406[[#This Row],[time]]-2)*2</f>
        <v>-1.50352</v>
      </c>
      <c r="W365">
        <v>73.267200000000003</v>
      </c>
      <c r="X365">
        <v>49.8384</v>
      </c>
      <c r="Y365">
        <f>Table5406[[#This Row],[CFNM]]/Table5406[[#This Row],[CAREA]]</f>
        <v>0.68022798742138357</v>
      </c>
      <c r="Z365">
        <v>2.75176</v>
      </c>
      <c r="AA365">
        <f>-(Table6407[[#This Row],[time]]-2)*2</f>
        <v>-1.50352</v>
      </c>
      <c r="AB365">
        <v>81.958299999999994</v>
      </c>
      <c r="AC365">
        <v>69.371600000000001</v>
      </c>
      <c r="AD365">
        <f>Table6407[[#This Row],[CFNM]]/Table6407[[#This Row],[CAREA]]</f>
        <v>0.84642556031542882</v>
      </c>
      <c r="AE365">
        <v>2.75176</v>
      </c>
      <c r="AF365">
        <f>-(Table7408[[#This Row],[time]]-2)*2</f>
        <v>-1.50352</v>
      </c>
      <c r="AG365">
        <v>75.527699999999996</v>
      </c>
      <c r="AH365">
        <v>65.947199999999995</v>
      </c>
      <c r="AI365">
        <f>Table7408[[#This Row],[CFNM]]/Table7408[[#This Row],[CAREA]]</f>
        <v>0.87315249901691694</v>
      </c>
      <c r="AJ365">
        <v>2.75176</v>
      </c>
      <c r="AK365">
        <f>-(Table8409[[#This Row],[time]]-2)*2</f>
        <v>-1.50352</v>
      </c>
      <c r="AL365">
        <v>77.607399999999998</v>
      </c>
      <c r="AM365">
        <v>67.468500000000006</v>
      </c>
      <c r="AN365">
        <f>Table8409[[#This Row],[CFNM]]/Table8409[[#This Row],[CAREA]]</f>
        <v>0.86935653043395356</v>
      </c>
    </row>
    <row r="366" spans="1:40">
      <c r="A366">
        <v>2.80444</v>
      </c>
      <c r="B366">
        <f>-(Table1402[[#This Row],[time]]-2)*2</f>
        <v>-1.6088800000000001</v>
      </c>
      <c r="C366">
        <v>86.6892</v>
      </c>
      <c r="D366">
        <v>24.178899999999999</v>
      </c>
      <c r="E366">
        <f>Table1402[[#This Row],[CFNM]]/Table1402[[#This Row],[CAREA]]</f>
        <v>0.27891478984694745</v>
      </c>
      <c r="F366">
        <v>2.80444</v>
      </c>
      <c r="G366">
        <f>-(Table2403[[#This Row],[time]]-2)*2</f>
        <v>-1.6088800000000001</v>
      </c>
      <c r="H366">
        <v>92.745900000000006</v>
      </c>
      <c r="I366">
        <v>15.379200000000001</v>
      </c>
      <c r="J366">
        <f>Table2403[[#This Row],[CFNM]]/Table2403[[#This Row],[CAREA]]</f>
        <v>0.16582080717314729</v>
      </c>
      <c r="K366">
        <v>2.80444</v>
      </c>
      <c r="L366">
        <f>-(Table3404[[#This Row],[time]]-2)*2</f>
        <v>-1.6088800000000001</v>
      </c>
      <c r="M366">
        <v>89.961299999999994</v>
      </c>
      <c r="N366">
        <v>26.0427</v>
      </c>
      <c r="O366">
        <f>Table3404[[#This Row],[CFNM]]/Table3404[[#This Row],[CAREA]]</f>
        <v>0.28948781309296334</v>
      </c>
      <c r="P366">
        <v>2.80444</v>
      </c>
      <c r="Q366">
        <f>-(Table4405[[#This Row],[time]]-2)*2</f>
        <v>-1.6088800000000001</v>
      </c>
      <c r="R366">
        <v>88.279600000000002</v>
      </c>
      <c r="S366">
        <v>34.914400000000001</v>
      </c>
      <c r="T366">
        <f>Table4405[[#This Row],[CFNM]]/Table4405[[#This Row],[CAREA]]</f>
        <v>0.39549794063407628</v>
      </c>
      <c r="U366">
        <v>2.80444</v>
      </c>
      <c r="V366">
        <f>-(Table5406[[#This Row],[time]]-2)*2</f>
        <v>-1.6088800000000001</v>
      </c>
      <c r="W366">
        <v>72.171099999999996</v>
      </c>
      <c r="X366">
        <v>53.128399999999999</v>
      </c>
      <c r="Y366">
        <f>Table5406[[#This Row],[CFNM]]/Table5406[[#This Row],[CAREA]]</f>
        <v>0.73614507746175406</v>
      </c>
      <c r="Z366">
        <v>2.80444</v>
      </c>
      <c r="AA366">
        <f>-(Table6407[[#This Row],[time]]-2)*2</f>
        <v>-1.6088800000000001</v>
      </c>
      <c r="AB366">
        <v>81.034000000000006</v>
      </c>
      <c r="AC366">
        <v>73.887699999999995</v>
      </c>
      <c r="AD366">
        <f>Table6407[[#This Row],[CFNM]]/Table6407[[#This Row],[CAREA]]</f>
        <v>0.91181109164054586</v>
      </c>
      <c r="AE366">
        <v>2.80444</v>
      </c>
      <c r="AF366">
        <f>-(Table7408[[#This Row],[time]]-2)*2</f>
        <v>-1.6088800000000001</v>
      </c>
      <c r="AG366">
        <v>74.692599999999999</v>
      </c>
      <c r="AH366">
        <v>70.208600000000004</v>
      </c>
      <c r="AI366">
        <f>Table7408[[#This Row],[CFNM]]/Table7408[[#This Row],[CAREA]]</f>
        <v>0.93996727922177037</v>
      </c>
      <c r="AJ366">
        <v>2.80444</v>
      </c>
      <c r="AK366">
        <f>-(Table8409[[#This Row],[time]]-2)*2</f>
        <v>-1.6088800000000001</v>
      </c>
      <c r="AL366">
        <v>77.338200000000001</v>
      </c>
      <c r="AM366">
        <v>71.713099999999997</v>
      </c>
      <c r="AN366">
        <f>Table8409[[#This Row],[CFNM]]/Table8409[[#This Row],[CAREA]]</f>
        <v>0.92726621514335728</v>
      </c>
    </row>
    <row r="367" spans="1:40">
      <c r="A367">
        <v>2.8583699999999999</v>
      </c>
      <c r="B367">
        <f>-(Table1402[[#This Row],[time]]-2)*2</f>
        <v>-1.7167399999999997</v>
      </c>
      <c r="C367">
        <v>86.670100000000005</v>
      </c>
      <c r="D367">
        <v>24.806899999999999</v>
      </c>
      <c r="E367">
        <f>Table1402[[#This Row],[CFNM]]/Table1402[[#This Row],[CAREA]]</f>
        <v>0.28622212273898379</v>
      </c>
      <c r="F367">
        <v>2.8583699999999999</v>
      </c>
      <c r="G367">
        <f>-(Table2403[[#This Row],[time]]-2)*2</f>
        <v>-1.7167399999999997</v>
      </c>
      <c r="H367">
        <v>92.764499999999998</v>
      </c>
      <c r="I367">
        <v>16.195499999999999</v>
      </c>
      <c r="J367">
        <f>Table2403[[#This Row],[CFNM]]/Table2403[[#This Row],[CAREA]]</f>
        <v>0.17458726129068769</v>
      </c>
      <c r="K367">
        <v>2.8583699999999999</v>
      </c>
      <c r="L367">
        <f>-(Table3404[[#This Row],[time]]-2)*2</f>
        <v>-1.7167399999999997</v>
      </c>
      <c r="M367">
        <v>90.379199999999997</v>
      </c>
      <c r="N367">
        <v>27.6754</v>
      </c>
      <c r="O367">
        <f>Table3404[[#This Row],[CFNM]]/Table3404[[#This Row],[CAREA]]</f>
        <v>0.30621426168853011</v>
      </c>
      <c r="P367">
        <v>2.8583699999999999</v>
      </c>
      <c r="Q367">
        <f>-(Table4405[[#This Row],[time]]-2)*2</f>
        <v>-1.7167399999999997</v>
      </c>
      <c r="R367">
        <v>88.168000000000006</v>
      </c>
      <c r="S367">
        <v>37.205300000000001</v>
      </c>
      <c r="T367">
        <f>Table4405[[#This Row],[CFNM]]/Table4405[[#This Row],[CAREA]]</f>
        <v>0.42198189819435622</v>
      </c>
      <c r="U367">
        <v>2.8583699999999999</v>
      </c>
      <c r="V367">
        <f>-(Table5406[[#This Row],[time]]-2)*2</f>
        <v>-1.7167399999999997</v>
      </c>
      <c r="W367">
        <v>70.6327</v>
      </c>
      <c r="X367">
        <v>55.794600000000003</v>
      </c>
      <c r="Y367">
        <f>Table5406[[#This Row],[CFNM]]/Table5406[[#This Row],[CAREA]]</f>
        <v>0.78992591250228295</v>
      </c>
      <c r="Z367">
        <v>2.8583699999999999</v>
      </c>
      <c r="AA367">
        <f>-(Table6407[[#This Row],[time]]-2)*2</f>
        <v>-1.7167399999999997</v>
      </c>
      <c r="AB367">
        <v>80.310199999999995</v>
      </c>
      <c r="AC367">
        <v>77.517600000000002</v>
      </c>
      <c r="AD367">
        <f>Table6407[[#This Row],[CFNM]]/Table6407[[#This Row],[CAREA]]</f>
        <v>0.96522733102395475</v>
      </c>
      <c r="AE367">
        <v>2.8583699999999999</v>
      </c>
      <c r="AF367">
        <f>-(Table7408[[#This Row],[time]]-2)*2</f>
        <v>-1.7167399999999997</v>
      </c>
      <c r="AG367">
        <v>74.163899999999998</v>
      </c>
      <c r="AH367">
        <v>73.551199999999994</v>
      </c>
      <c r="AI367">
        <f>Table7408[[#This Row],[CFNM]]/Table7408[[#This Row],[CAREA]]</f>
        <v>0.99173856822524165</v>
      </c>
      <c r="AJ367">
        <v>2.8583699999999999</v>
      </c>
      <c r="AK367">
        <f>-(Table8409[[#This Row],[time]]-2)*2</f>
        <v>-1.7167399999999997</v>
      </c>
      <c r="AL367">
        <v>77.126900000000006</v>
      </c>
      <c r="AM367">
        <v>74.9863</v>
      </c>
      <c r="AN367">
        <f>Table8409[[#This Row],[CFNM]]/Table8409[[#This Row],[CAREA]]</f>
        <v>0.97224574046149914</v>
      </c>
    </row>
    <row r="368" spans="1:40">
      <c r="A368">
        <v>2.9134199999999999</v>
      </c>
      <c r="B368">
        <f>-(Table1402[[#This Row],[time]]-2)*2</f>
        <v>-1.8268399999999998</v>
      </c>
      <c r="C368">
        <v>86.606099999999998</v>
      </c>
      <c r="D368">
        <v>25.543099999999999</v>
      </c>
      <c r="E368">
        <f>Table1402[[#This Row],[CFNM]]/Table1402[[#This Row],[CAREA]]</f>
        <v>0.29493419054777897</v>
      </c>
      <c r="F368">
        <v>2.9134199999999999</v>
      </c>
      <c r="G368">
        <f>-(Table2403[[#This Row],[time]]-2)*2</f>
        <v>-1.8268399999999998</v>
      </c>
      <c r="H368">
        <v>92.747100000000003</v>
      </c>
      <c r="I368">
        <v>17.108499999999999</v>
      </c>
      <c r="J368">
        <f>Table2403[[#This Row],[CFNM]]/Table2403[[#This Row],[CAREA]]</f>
        <v>0.18446398863145047</v>
      </c>
      <c r="K368">
        <v>2.9134199999999999</v>
      </c>
      <c r="L368">
        <f>-(Table3404[[#This Row],[time]]-2)*2</f>
        <v>-1.8268399999999998</v>
      </c>
      <c r="M368">
        <v>90.143600000000006</v>
      </c>
      <c r="N368">
        <v>29.771999999999998</v>
      </c>
      <c r="O368">
        <f>Table3404[[#This Row],[CFNM]]/Table3404[[#This Row],[CAREA]]</f>
        <v>0.33027303103048911</v>
      </c>
      <c r="P368">
        <v>2.9134199999999999</v>
      </c>
      <c r="Q368">
        <f>-(Table4405[[#This Row],[time]]-2)*2</f>
        <v>-1.8268399999999998</v>
      </c>
      <c r="R368">
        <v>88.084900000000005</v>
      </c>
      <c r="S368">
        <v>40.037599999999998</v>
      </c>
      <c r="T368">
        <f>Table4405[[#This Row],[CFNM]]/Table4405[[#This Row],[CAREA]]</f>
        <v>0.45453420506806497</v>
      </c>
      <c r="U368">
        <v>2.9134199999999999</v>
      </c>
      <c r="V368">
        <f>-(Table5406[[#This Row],[time]]-2)*2</f>
        <v>-1.8268399999999998</v>
      </c>
      <c r="W368">
        <v>69.541600000000003</v>
      </c>
      <c r="X368">
        <v>58.888199999999998</v>
      </c>
      <c r="Y368">
        <f>Table5406[[#This Row],[CFNM]]/Table5406[[#This Row],[CAREA]]</f>
        <v>0.8468053654215606</v>
      </c>
      <c r="Z368">
        <v>2.9134199999999999</v>
      </c>
      <c r="AA368">
        <f>-(Table6407[[#This Row],[time]]-2)*2</f>
        <v>-1.8268399999999998</v>
      </c>
      <c r="AB368">
        <v>78.717500000000001</v>
      </c>
      <c r="AC368">
        <v>81.773399999999995</v>
      </c>
      <c r="AD368">
        <f>Table6407[[#This Row],[CFNM]]/Table6407[[#This Row],[CAREA]]</f>
        <v>1.0388211007717469</v>
      </c>
      <c r="AE368">
        <v>2.9134199999999999</v>
      </c>
      <c r="AF368">
        <f>-(Table7408[[#This Row],[time]]-2)*2</f>
        <v>-1.8268399999999998</v>
      </c>
      <c r="AG368">
        <v>73.528000000000006</v>
      </c>
      <c r="AH368">
        <v>77.290599999999998</v>
      </c>
      <c r="AI368">
        <f>Table7408[[#This Row],[CFNM]]/Table7408[[#This Row],[CAREA]]</f>
        <v>1.0511723425089761</v>
      </c>
      <c r="AJ368">
        <v>2.9134199999999999</v>
      </c>
      <c r="AK368">
        <f>-(Table8409[[#This Row],[time]]-2)*2</f>
        <v>-1.8268399999999998</v>
      </c>
      <c r="AL368">
        <v>76.835899999999995</v>
      </c>
      <c r="AM368">
        <v>78.884100000000004</v>
      </c>
      <c r="AN368">
        <f>Table8409[[#This Row],[CFNM]]/Table8409[[#This Row],[CAREA]]</f>
        <v>1.0266568101629578</v>
      </c>
    </row>
    <row r="369" spans="1:40">
      <c r="A369">
        <v>2.9619599999999999</v>
      </c>
      <c r="B369">
        <f>-(Table1402[[#This Row],[time]]-2)*2</f>
        <v>-1.9239199999999999</v>
      </c>
      <c r="C369">
        <v>86.725700000000003</v>
      </c>
      <c r="D369">
        <v>26.1478</v>
      </c>
      <c r="E369">
        <f>Table1402[[#This Row],[CFNM]]/Table1402[[#This Row],[CAREA]]</f>
        <v>0.30150001671938076</v>
      </c>
      <c r="F369">
        <v>2.9619599999999999</v>
      </c>
      <c r="G369">
        <f>-(Table2403[[#This Row],[time]]-2)*2</f>
        <v>-1.9239199999999999</v>
      </c>
      <c r="H369">
        <v>92.831699999999998</v>
      </c>
      <c r="I369">
        <v>18.077000000000002</v>
      </c>
      <c r="J369">
        <f>Table2403[[#This Row],[CFNM]]/Table2403[[#This Row],[CAREA]]</f>
        <v>0.19472874029022416</v>
      </c>
      <c r="K369">
        <v>2.9619599999999999</v>
      </c>
      <c r="L369">
        <f>-(Table3404[[#This Row],[time]]-2)*2</f>
        <v>-1.9239199999999999</v>
      </c>
      <c r="M369">
        <v>89.902199999999993</v>
      </c>
      <c r="N369">
        <v>31.8081</v>
      </c>
      <c r="O369">
        <f>Table3404[[#This Row],[CFNM]]/Table3404[[#This Row],[CAREA]]</f>
        <v>0.35380780448086924</v>
      </c>
      <c r="P369">
        <v>2.9619599999999999</v>
      </c>
      <c r="Q369">
        <f>-(Table4405[[#This Row],[time]]-2)*2</f>
        <v>-1.9239199999999999</v>
      </c>
      <c r="R369">
        <v>87.853200000000001</v>
      </c>
      <c r="S369">
        <v>43.1676</v>
      </c>
      <c r="T369">
        <f>Table4405[[#This Row],[CFNM]]/Table4405[[#This Row],[CAREA]]</f>
        <v>0.49136058788979797</v>
      </c>
      <c r="U369">
        <v>2.9619599999999999</v>
      </c>
      <c r="V369">
        <f>-(Table5406[[#This Row],[time]]-2)*2</f>
        <v>-1.9239199999999999</v>
      </c>
      <c r="W369">
        <v>68.458200000000005</v>
      </c>
      <c r="X369">
        <v>61.943399999999997</v>
      </c>
      <c r="Y369">
        <f>Table5406[[#This Row],[CFNM]]/Table5406[[#This Row],[CAREA]]</f>
        <v>0.90483535938718795</v>
      </c>
      <c r="Z369">
        <v>2.9619599999999999</v>
      </c>
      <c r="AA369">
        <f>-(Table6407[[#This Row],[time]]-2)*2</f>
        <v>-1.9239199999999999</v>
      </c>
      <c r="AB369">
        <v>76.994600000000005</v>
      </c>
      <c r="AC369">
        <v>86.099100000000007</v>
      </c>
      <c r="AD369">
        <f>Table6407[[#This Row],[CFNM]]/Table6407[[#This Row],[CAREA]]</f>
        <v>1.1182485524958894</v>
      </c>
      <c r="AE369">
        <v>2.9619599999999999</v>
      </c>
      <c r="AF369">
        <f>-(Table7408[[#This Row],[time]]-2)*2</f>
        <v>-1.9239199999999999</v>
      </c>
      <c r="AG369">
        <v>72.950199999999995</v>
      </c>
      <c r="AH369">
        <v>80.866399999999999</v>
      </c>
      <c r="AI369">
        <f>Table7408[[#This Row],[CFNM]]/Table7408[[#This Row],[CAREA]]</f>
        <v>1.1085151240161097</v>
      </c>
      <c r="AJ369">
        <v>2.9619599999999999</v>
      </c>
      <c r="AK369">
        <f>-(Table8409[[#This Row],[time]]-2)*2</f>
        <v>-1.9239199999999999</v>
      </c>
      <c r="AL369">
        <v>76.587699999999998</v>
      </c>
      <c r="AM369">
        <v>82.822900000000004</v>
      </c>
      <c r="AN369">
        <f>Table8409[[#This Row],[CFNM]]/Table8409[[#This Row],[CAREA]]</f>
        <v>1.0814125505792707</v>
      </c>
    </row>
    <row r="370" spans="1:40">
      <c r="A370">
        <v>3</v>
      </c>
      <c r="B370">
        <f>-(Table1402[[#This Row],[time]]-2)*2</f>
        <v>-2</v>
      </c>
      <c r="C370">
        <v>86.804699999999997</v>
      </c>
      <c r="D370">
        <v>26.665600000000001</v>
      </c>
      <c r="E370">
        <f>Table1402[[#This Row],[CFNM]]/Table1402[[#This Row],[CAREA]]</f>
        <v>0.30719073967193022</v>
      </c>
      <c r="F370">
        <v>3</v>
      </c>
      <c r="G370">
        <f>-(Table2403[[#This Row],[time]]-2)*2</f>
        <v>-2</v>
      </c>
      <c r="H370">
        <v>92.958799999999997</v>
      </c>
      <c r="I370">
        <v>19.047599999999999</v>
      </c>
      <c r="J370">
        <f>Table2403[[#This Row],[CFNM]]/Table2403[[#This Row],[CAREA]]</f>
        <v>0.20490367775831875</v>
      </c>
      <c r="K370">
        <v>3</v>
      </c>
      <c r="L370">
        <f>-(Table3404[[#This Row],[time]]-2)*2</f>
        <v>-2</v>
      </c>
      <c r="M370">
        <v>89.516499999999994</v>
      </c>
      <c r="N370">
        <v>33.819600000000001</v>
      </c>
      <c r="O370">
        <f>Table3404[[#This Row],[CFNM]]/Table3404[[#This Row],[CAREA]]</f>
        <v>0.37780297487055464</v>
      </c>
      <c r="P370">
        <v>3</v>
      </c>
      <c r="Q370">
        <f>-(Table4405[[#This Row],[time]]-2)*2</f>
        <v>-2</v>
      </c>
      <c r="R370">
        <v>87.663600000000002</v>
      </c>
      <c r="S370">
        <v>46.363500000000002</v>
      </c>
      <c r="T370">
        <f>Table4405[[#This Row],[CFNM]]/Table4405[[#This Row],[CAREA]]</f>
        <v>0.52887971746540186</v>
      </c>
      <c r="U370">
        <v>3</v>
      </c>
      <c r="V370">
        <f>-(Table5406[[#This Row],[time]]-2)*2</f>
        <v>-2</v>
      </c>
      <c r="W370">
        <v>67.441900000000004</v>
      </c>
      <c r="X370">
        <v>64.8964</v>
      </c>
      <c r="Y370">
        <f>Table5406[[#This Row],[CFNM]]/Table5406[[#This Row],[CAREA]]</f>
        <v>0.96225640143590252</v>
      </c>
      <c r="Z370">
        <v>3</v>
      </c>
      <c r="AA370">
        <f>-(Table6407[[#This Row],[time]]-2)*2</f>
        <v>-2</v>
      </c>
      <c r="AB370">
        <v>74.877499999999998</v>
      </c>
      <c r="AC370">
        <v>90.366399999999999</v>
      </c>
      <c r="AD370">
        <f>Table6407[[#This Row],[CFNM]]/Table6407[[#This Row],[CAREA]]</f>
        <v>1.2068565323361491</v>
      </c>
      <c r="AE370">
        <v>3</v>
      </c>
      <c r="AF370">
        <f>-(Table7408[[#This Row],[time]]-2)*2</f>
        <v>-2</v>
      </c>
      <c r="AG370">
        <v>72.353300000000004</v>
      </c>
      <c r="AH370">
        <v>84.331400000000002</v>
      </c>
      <c r="AI370">
        <f>Table7408[[#This Row],[CFNM]]/Table7408[[#This Row],[CAREA]]</f>
        <v>1.1655501545886642</v>
      </c>
      <c r="AJ370">
        <v>3</v>
      </c>
      <c r="AK370">
        <f>-(Table8409[[#This Row],[time]]-2)*2</f>
        <v>-2</v>
      </c>
      <c r="AL370">
        <v>76.374300000000005</v>
      </c>
      <c r="AM370">
        <v>86.577699999999993</v>
      </c>
      <c r="AN370">
        <f>Table8409[[#This Row],[CFNM]]/Table8409[[#This Row],[CAREA]]</f>
        <v>1.1335972964727663</v>
      </c>
    </row>
    <row r="372" spans="1:40">
      <c r="A372" t="s">
        <v>47</v>
      </c>
      <c r="E372" t="s">
        <v>2</v>
      </c>
    </row>
    <row r="373" spans="1:40">
      <c r="A373" t="s">
        <v>48</v>
      </c>
      <c r="E373" t="s">
        <v>4</v>
      </c>
      <c r="F373" t="s">
        <v>5</v>
      </c>
    </row>
    <row r="375" spans="1:40">
      <c r="A375" t="s">
        <v>7</v>
      </c>
      <c r="F375" t="s">
        <v>8</v>
      </c>
      <c r="K375" t="s">
        <v>9</v>
      </c>
      <c r="P375" t="s">
        <v>26</v>
      </c>
      <c r="U375" t="s">
        <v>11</v>
      </c>
      <c r="Z375" t="s">
        <v>12</v>
      </c>
      <c r="AE375" t="s">
        <v>13</v>
      </c>
      <c r="AJ375" t="s">
        <v>14</v>
      </c>
    </row>
    <row r="376" spans="1:40">
      <c r="A376" t="s">
        <v>15</v>
      </c>
      <c r="B376" t="s">
        <v>16</v>
      </c>
      <c r="C376" t="s">
        <v>20</v>
      </c>
      <c r="D376" t="s">
        <v>18</v>
      </c>
      <c r="E376" t="s">
        <v>19</v>
      </c>
      <c r="F376" t="s">
        <v>15</v>
      </c>
      <c r="G376" t="s">
        <v>16</v>
      </c>
      <c r="H376" t="s">
        <v>20</v>
      </c>
      <c r="I376" t="s">
        <v>18</v>
      </c>
      <c r="J376" t="s">
        <v>19</v>
      </c>
      <c r="K376" t="s">
        <v>15</v>
      </c>
      <c r="L376" t="s">
        <v>16</v>
      </c>
      <c r="M376" t="s">
        <v>20</v>
      </c>
      <c r="N376" t="s">
        <v>18</v>
      </c>
      <c r="O376" t="s">
        <v>19</v>
      </c>
      <c r="P376" t="s">
        <v>15</v>
      </c>
      <c r="Q376" t="s">
        <v>16</v>
      </c>
      <c r="R376" t="s">
        <v>20</v>
      </c>
      <c r="S376" t="s">
        <v>18</v>
      </c>
      <c r="T376" t="s">
        <v>19</v>
      </c>
      <c r="U376" t="s">
        <v>15</v>
      </c>
      <c r="V376" t="s">
        <v>16</v>
      </c>
      <c r="W376" t="s">
        <v>20</v>
      </c>
      <c r="X376" t="s">
        <v>18</v>
      </c>
      <c r="Y376" t="s">
        <v>19</v>
      </c>
      <c r="Z376" t="s">
        <v>15</v>
      </c>
      <c r="AA376" t="s">
        <v>16</v>
      </c>
      <c r="AB376" t="s">
        <v>20</v>
      </c>
      <c r="AC376" t="s">
        <v>18</v>
      </c>
      <c r="AD376" t="s">
        <v>19</v>
      </c>
      <c r="AE376" t="s">
        <v>15</v>
      </c>
      <c r="AF376" t="s">
        <v>16</v>
      </c>
      <c r="AG376" t="s">
        <v>20</v>
      </c>
      <c r="AH376" t="s">
        <v>18</v>
      </c>
      <c r="AI376" t="s">
        <v>19</v>
      </c>
      <c r="AJ376" t="s">
        <v>15</v>
      </c>
      <c r="AK376" t="s">
        <v>16</v>
      </c>
      <c r="AL376" t="s">
        <v>20</v>
      </c>
      <c r="AM376" t="s">
        <v>18</v>
      </c>
      <c r="AN376" t="s">
        <v>19</v>
      </c>
    </row>
    <row r="377" spans="1:40">
      <c r="A377">
        <v>2</v>
      </c>
      <c r="B377">
        <f>(Table110410[[#This Row],[time]]-2)*2</f>
        <v>0</v>
      </c>
      <c r="C377">
        <v>91.105400000000003</v>
      </c>
      <c r="D377">
        <v>10.2014</v>
      </c>
      <c r="E377" s="2">
        <f>Table110410[[#This Row],[CFNM]]/Table110410[[#This Row],[CAREA]]</f>
        <v>0.11197360419909247</v>
      </c>
      <c r="F377">
        <v>2</v>
      </c>
      <c r="G377">
        <f>(Table211411[[#This Row],[time]]-2)*2</f>
        <v>0</v>
      </c>
      <c r="H377">
        <v>95.867800000000003</v>
      </c>
      <c r="I377">
        <v>3.5860500000000002</v>
      </c>
      <c r="J377" s="2">
        <f>Table211411[[#This Row],[CFNM]]/Table211411[[#This Row],[CAREA]]</f>
        <v>3.740619895314172E-2</v>
      </c>
      <c r="K377">
        <v>2</v>
      </c>
      <c r="L377">
        <f>(Table312412[[#This Row],[time]]-2)*2</f>
        <v>0</v>
      </c>
      <c r="M377">
        <v>89.266099999999994</v>
      </c>
      <c r="N377">
        <v>3.6396999999999999</v>
      </c>
      <c r="O377">
        <f>Table312412[[#This Row],[CFNM]]/Table312412[[#This Row],[CAREA]]</f>
        <v>4.0773597143820554E-2</v>
      </c>
      <c r="P377">
        <v>2</v>
      </c>
      <c r="Q377">
        <f>(Table413413[[#This Row],[time]]-2)*2</f>
        <v>0</v>
      </c>
      <c r="R377">
        <v>86.426900000000003</v>
      </c>
      <c r="S377">
        <v>6.4320700000000004</v>
      </c>
      <c r="T377">
        <f>Table413413[[#This Row],[CFNM]]/Table413413[[#This Row],[CAREA]]</f>
        <v>7.4422083865092928E-2</v>
      </c>
      <c r="U377">
        <v>2</v>
      </c>
      <c r="V377">
        <f>(Table514414[[#This Row],[time]]-2)*2</f>
        <v>0</v>
      </c>
      <c r="W377">
        <v>82.680599999999998</v>
      </c>
      <c r="X377">
        <v>9.2786299999999997</v>
      </c>
      <c r="Y377">
        <f>Table514414[[#This Row],[CFNM]]/Table514414[[#This Row],[CAREA]]</f>
        <v>0.11222257700113449</v>
      </c>
      <c r="Z377">
        <v>2</v>
      </c>
      <c r="AA377">
        <f>(Table615415[[#This Row],[time]]-2)*2</f>
        <v>0</v>
      </c>
      <c r="AB377">
        <v>88.9298</v>
      </c>
      <c r="AC377">
        <v>15.8246</v>
      </c>
      <c r="AD377">
        <f>Table615415[[#This Row],[CFNM]]/Table615415[[#This Row],[CAREA]]</f>
        <v>0.17794485088238138</v>
      </c>
      <c r="AE377">
        <v>2</v>
      </c>
      <c r="AF377">
        <f>(Table716416[[#This Row],[time]]-2)*2</f>
        <v>0</v>
      </c>
      <c r="AG377">
        <v>78.958100000000002</v>
      </c>
      <c r="AH377">
        <v>19.616599999999998</v>
      </c>
      <c r="AI377">
        <f>Table716416[[#This Row],[CFNM]]/Table716416[[#This Row],[CAREA]]</f>
        <v>0.24844316162622959</v>
      </c>
      <c r="AJ377">
        <v>2</v>
      </c>
      <c r="AK377">
        <f>(Table817417[[#This Row],[time]]-2)*2</f>
        <v>0</v>
      </c>
      <c r="AL377">
        <v>83.134600000000006</v>
      </c>
      <c r="AM377">
        <v>19.232700000000001</v>
      </c>
      <c r="AN377">
        <f>Table817417[[#This Row],[CFNM]]/Table817417[[#This Row],[CAREA]]</f>
        <v>0.23134410943217384</v>
      </c>
    </row>
    <row r="378" spans="1:40">
      <c r="A378">
        <v>2.0512600000000001</v>
      </c>
      <c r="B378">
        <f>(Table110410[[#This Row],[time]]-2)*2</f>
        <v>0.10252000000000017</v>
      </c>
      <c r="C378">
        <v>91.23</v>
      </c>
      <c r="D378">
        <v>10.1099</v>
      </c>
      <c r="E378">
        <f>Table110410[[#This Row],[CFNM]]/Table110410[[#This Row],[CAREA]]</f>
        <v>0.11081771347144578</v>
      </c>
      <c r="F378">
        <v>2.0512600000000001</v>
      </c>
      <c r="G378">
        <f>(Table211411[[#This Row],[time]]-2)*2</f>
        <v>0.10252000000000017</v>
      </c>
      <c r="H378">
        <v>96.125</v>
      </c>
      <c r="I378">
        <v>3.6124499999999999</v>
      </c>
      <c r="J378">
        <f>Table211411[[#This Row],[CFNM]]/Table211411[[#This Row],[CAREA]]</f>
        <v>3.758075422626788E-2</v>
      </c>
      <c r="K378">
        <v>2.0512600000000001</v>
      </c>
      <c r="L378">
        <f>(Table312412[[#This Row],[time]]-2)*2</f>
        <v>0.10252000000000017</v>
      </c>
      <c r="M378">
        <v>89.319900000000004</v>
      </c>
      <c r="N378">
        <v>3.2627799999999998</v>
      </c>
      <c r="O378">
        <f>Table312412[[#This Row],[CFNM]]/Table312412[[#This Row],[CAREA]]</f>
        <v>3.6529149719155524E-2</v>
      </c>
      <c r="P378">
        <v>2.0512600000000001</v>
      </c>
      <c r="Q378">
        <f>(Table413413[[#This Row],[time]]-2)*2</f>
        <v>0.10252000000000017</v>
      </c>
      <c r="R378">
        <v>86.504999999999995</v>
      </c>
      <c r="S378">
        <v>6.1049899999999999</v>
      </c>
      <c r="T378">
        <f>Table413413[[#This Row],[CFNM]]/Table413413[[#This Row],[CAREA]]</f>
        <v>7.0573839662447263E-2</v>
      </c>
      <c r="U378">
        <v>2.0512600000000001</v>
      </c>
      <c r="V378">
        <f>(Table514414[[#This Row],[time]]-2)*2</f>
        <v>0.10252000000000017</v>
      </c>
      <c r="W378">
        <v>82.720100000000002</v>
      </c>
      <c r="X378">
        <v>7.94733</v>
      </c>
      <c r="Y378">
        <f>Table514414[[#This Row],[CFNM]]/Table514414[[#This Row],[CAREA]]</f>
        <v>9.6074956389075927E-2</v>
      </c>
      <c r="Z378">
        <v>2.0512600000000001</v>
      </c>
      <c r="AA378">
        <f>(Table615415[[#This Row],[time]]-2)*2</f>
        <v>0.10252000000000017</v>
      </c>
      <c r="AB378">
        <v>88.877899999999997</v>
      </c>
      <c r="AC378">
        <v>14.336499999999999</v>
      </c>
      <c r="AD378">
        <f>Table615415[[#This Row],[CFNM]]/Table615415[[#This Row],[CAREA]]</f>
        <v>0.16130556640064628</v>
      </c>
      <c r="AE378">
        <v>2.0512600000000001</v>
      </c>
      <c r="AF378">
        <f>(Table716416[[#This Row],[time]]-2)*2</f>
        <v>0.10252000000000017</v>
      </c>
      <c r="AG378">
        <v>78.824399999999997</v>
      </c>
      <c r="AH378">
        <v>18.520700000000001</v>
      </c>
      <c r="AI378">
        <f>Table716416[[#This Row],[CFNM]]/Table716416[[#This Row],[CAREA]]</f>
        <v>0.23496150938034419</v>
      </c>
      <c r="AJ378">
        <v>2.0512600000000001</v>
      </c>
      <c r="AK378">
        <f>(Table817417[[#This Row],[time]]-2)*2</f>
        <v>0.10252000000000017</v>
      </c>
      <c r="AL378">
        <v>83.215599999999995</v>
      </c>
      <c r="AM378">
        <v>17.901</v>
      </c>
      <c r="AN378">
        <f>Table817417[[#This Row],[CFNM]]/Table817417[[#This Row],[CAREA]]</f>
        <v>0.21511591576579392</v>
      </c>
    </row>
    <row r="379" spans="1:40">
      <c r="A379">
        <v>2.1153300000000002</v>
      </c>
      <c r="B379">
        <f>(Table110410[[#This Row],[time]]-2)*2</f>
        <v>0.23066000000000031</v>
      </c>
      <c r="C379">
        <v>91.454499999999996</v>
      </c>
      <c r="D379">
        <v>9.5680200000000006</v>
      </c>
      <c r="E379">
        <f>Table110410[[#This Row],[CFNM]]/Table110410[[#This Row],[CAREA]]</f>
        <v>0.10462054901617746</v>
      </c>
      <c r="F379">
        <v>2.1153300000000002</v>
      </c>
      <c r="G379">
        <f>(Table211411[[#This Row],[time]]-2)*2</f>
        <v>0.23066000000000031</v>
      </c>
      <c r="H379">
        <v>96.246799999999993</v>
      </c>
      <c r="I379">
        <v>3.5328200000000001</v>
      </c>
      <c r="J379">
        <f>Table211411[[#This Row],[CFNM]]/Table211411[[#This Row],[CAREA]]</f>
        <v>3.670584372675248E-2</v>
      </c>
      <c r="K379">
        <v>2.1153300000000002</v>
      </c>
      <c r="L379">
        <f>(Table312412[[#This Row],[time]]-2)*2</f>
        <v>0.23066000000000031</v>
      </c>
      <c r="M379">
        <v>89.316699999999997</v>
      </c>
      <c r="N379">
        <v>2.2389999999999999</v>
      </c>
      <c r="O379">
        <f>Table312412[[#This Row],[CFNM]]/Table312412[[#This Row],[CAREA]]</f>
        <v>2.5068100366448826E-2</v>
      </c>
      <c r="P379">
        <v>2.1153300000000002</v>
      </c>
      <c r="Q379">
        <f>(Table413413[[#This Row],[time]]-2)*2</f>
        <v>0.23066000000000031</v>
      </c>
      <c r="R379">
        <v>86.445999999999998</v>
      </c>
      <c r="S379">
        <v>4.9803199999999999</v>
      </c>
      <c r="T379">
        <f>Table413413[[#This Row],[CFNM]]/Table413413[[#This Row],[CAREA]]</f>
        <v>5.7611919579853316E-2</v>
      </c>
      <c r="U379">
        <v>2.1153300000000002</v>
      </c>
      <c r="V379">
        <f>(Table514414[[#This Row],[time]]-2)*2</f>
        <v>0.23066000000000031</v>
      </c>
      <c r="W379">
        <v>82.773099999999999</v>
      </c>
      <c r="X379">
        <v>4.6534500000000003</v>
      </c>
      <c r="Y379">
        <f>Table514414[[#This Row],[CFNM]]/Table514414[[#This Row],[CAREA]]</f>
        <v>5.6219351455968188E-2</v>
      </c>
      <c r="Z379">
        <v>2.1153300000000002</v>
      </c>
      <c r="AA379">
        <f>(Table615415[[#This Row],[time]]-2)*2</f>
        <v>0.23066000000000031</v>
      </c>
      <c r="AB379">
        <v>88.616200000000006</v>
      </c>
      <c r="AC379">
        <v>10.3574</v>
      </c>
      <c r="AD379">
        <f>Table615415[[#This Row],[CFNM]]/Table615415[[#This Row],[CAREA]]</f>
        <v>0.11687930649249234</v>
      </c>
      <c r="AE379">
        <v>2.1153300000000002</v>
      </c>
      <c r="AF379">
        <f>(Table716416[[#This Row],[time]]-2)*2</f>
        <v>0.23066000000000031</v>
      </c>
      <c r="AG379">
        <v>78.5899</v>
      </c>
      <c r="AH379">
        <v>17.296500000000002</v>
      </c>
      <c r="AI379">
        <f>Table716416[[#This Row],[CFNM]]/Table716416[[#This Row],[CAREA]]</f>
        <v>0.2200855326193315</v>
      </c>
      <c r="AJ379">
        <v>2.1153300000000002</v>
      </c>
      <c r="AK379">
        <f>(Table817417[[#This Row],[time]]-2)*2</f>
        <v>0.23066000000000031</v>
      </c>
      <c r="AL379">
        <v>83.387200000000007</v>
      </c>
      <c r="AM379">
        <v>16.3813</v>
      </c>
      <c r="AN379">
        <f>Table817417[[#This Row],[CFNM]]/Table817417[[#This Row],[CAREA]]</f>
        <v>0.19644861561486654</v>
      </c>
    </row>
    <row r="380" spans="1:40">
      <c r="A380">
        <v>2.16533</v>
      </c>
      <c r="B380">
        <f>(Table110410[[#This Row],[time]]-2)*2</f>
        <v>0.33065999999999995</v>
      </c>
      <c r="C380">
        <v>91.6601</v>
      </c>
      <c r="D380">
        <v>9.04678</v>
      </c>
      <c r="E380">
        <f>Table110410[[#This Row],[CFNM]]/Table110410[[#This Row],[CAREA]]</f>
        <v>9.8699215907466831E-2</v>
      </c>
      <c r="F380">
        <v>2.16533</v>
      </c>
      <c r="G380">
        <f>(Table211411[[#This Row],[time]]-2)*2</f>
        <v>0.33065999999999995</v>
      </c>
      <c r="H380">
        <v>96.244299999999996</v>
      </c>
      <c r="I380">
        <v>3.4326099999999999</v>
      </c>
      <c r="J380">
        <f>Table211411[[#This Row],[CFNM]]/Table211411[[#This Row],[CAREA]]</f>
        <v>3.5665592663669435E-2</v>
      </c>
      <c r="K380">
        <v>2.16533</v>
      </c>
      <c r="L380">
        <f>(Table312412[[#This Row],[time]]-2)*2</f>
        <v>0.33065999999999995</v>
      </c>
      <c r="M380">
        <v>89.258200000000002</v>
      </c>
      <c r="N380">
        <v>1.4126300000000001</v>
      </c>
      <c r="O380">
        <f>Table312412[[#This Row],[CFNM]]/Table312412[[#This Row],[CAREA]]</f>
        <v>1.5826333042790467E-2</v>
      </c>
      <c r="P380">
        <v>2.16533</v>
      </c>
      <c r="Q380">
        <f>(Table413413[[#This Row],[time]]-2)*2</f>
        <v>0.33065999999999995</v>
      </c>
      <c r="R380">
        <v>86.309700000000007</v>
      </c>
      <c r="S380">
        <v>3.7766600000000001</v>
      </c>
      <c r="T380">
        <f>Table413413[[#This Row],[CFNM]]/Table413413[[#This Row],[CAREA]]</f>
        <v>4.375707481314383E-2</v>
      </c>
      <c r="U380">
        <v>2.16533</v>
      </c>
      <c r="V380">
        <f>(Table514414[[#This Row],[time]]-2)*2</f>
        <v>0.33065999999999995</v>
      </c>
      <c r="W380">
        <v>82.348799999999997</v>
      </c>
      <c r="X380">
        <v>2.3443700000000001</v>
      </c>
      <c r="Y380">
        <f>Table514414[[#This Row],[CFNM]]/Table514414[[#This Row],[CAREA]]</f>
        <v>2.8468781573016244E-2</v>
      </c>
      <c r="Z380">
        <v>2.16533</v>
      </c>
      <c r="AA380">
        <f>(Table615415[[#This Row],[time]]-2)*2</f>
        <v>0.33065999999999995</v>
      </c>
      <c r="AB380">
        <v>88.1982</v>
      </c>
      <c r="AC380">
        <v>6.5966899999999997</v>
      </c>
      <c r="AD380">
        <f>Table615415[[#This Row],[CFNM]]/Table615415[[#This Row],[CAREA]]</f>
        <v>7.4793930034853309E-2</v>
      </c>
      <c r="AE380">
        <v>2.16533</v>
      </c>
      <c r="AF380">
        <f>(Table716416[[#This Row],[time]]-2)*2</f>
        <v>0.33065999999999995</v>
      </c>
      <c r="AG380">
        <v>78.406899999999993</v>
      </c>
      <c r="AH380">
        <v>16.448499999999999</v>
      </c>
      <c r="AI380">
        <f>Table716416[[#This Row],[CFNM]]/Table716416[[#This Row],[CAREA]]</f>
        <v>0.20978383280042956</v>
      </c>
      <c r="AJ380">
        <v>2.16533</v>
      </c>
      <c r="AK380">
        <f>(Table817417[[#This Row],[time]]-2)*2</f>
        <v>0.33065999999999995</v>
      </c>
      <c r="AL380">
        <v>83.526399999999995</v>
      </c>
      <c r="AM380">
        <v>15.285</v>
      </c>
      <c r="AN380">
        <f>Table817417[[#This Row],[CFNM]]/Table817417[[#This Row],[CAREA]]</f>
        <v>0.18299603478660639</v>
      </c>
    </row>
    <row r="381" spans="1:40">
      <c r="A381">
        <v>2.2246999999999999</v>
      </c>
      <c r="B381">
        <f>(Table110410[[#This Row],[time]]-2)*2</f>
        <v>0.4493999999999998</v>
      </c>
      <c r="C381">
        <v>91.906400000000005</v>
      </c>
      <c r="D381">
        <v>8.1353500000000007</v>
      </c>
      <c r="E381">
        <f>Table110410[[#This Row],[CFNM]]/Table110410[[#This Row],[CAREA]]</f>
        <v>8.8517774605468169E-2</v>
      </c>
      <c r="F381">
        <v>2.2246999999999999</v>
      </c>
      <c r="G381">
        <f>(Table211411[[#This Row],[time]]-2)*2</f>
        <v>0.4493999999999998</v>
      </c>
      <c r="H381">
        <v>96.2988</v>
      </c>
      <c r="I381">
        <v>3.1626099999999999</v>
      </c>
      <c r="J381">
        <f>Table211411[[#This Row],[CFNM]]/Table211411[[#This Row],[CAREA]]</f>
        <v>3.2841634579039408E-2</v>
      </c>
      <c r="K381">
        <v>2.2246999999999999</v>
      </c>
      <c r="L381">
        <f>(Table312412[[#This Row],[time]]-2)*2</f>
        <v>0.4493999999999998</v>
      </c>
      <c r="M381">
        <v>88.834500000000006</v>
      </c>
      <c r="N381">
        <v>0.37975999999999999</v>
      </c>
      <c r="O381">
        <f>Table312412[[#This Row],[CFNM]]/Table312412[[#This Row],[CAREA]]</f>
        <v>4.2749157140525356E-3</v>
      </c>
      <c r="P381">
        <v>2.2246999999999999</v>
      </c>
      <c r="Q381">
        <f>(Table413413[[#This Row],[time]]-2)*2</f>
        <v>0.4493999999999998</v>
      </c>
      <c r="R381">
        <v>85.891599999999997</v>
      </c>
      <c r="S381">
        <v>1.94587</v>
      </c>
      <c r="T381">
        <f>Table413413[[#This Row],[CFNM]]/Table413413[[#This Row],[CAREA]]</f>
        <v>2.2654951124440575E-2</v>
      </c>
      <c r="U381">
        <v>2.2246999999999999</v>
      </c>
      <c r="V381">
        <f>(Table514414[[#This Row],[time]]-2)*2</f>
        <v>0.4493999999999998</v>
      </c>
      <c r="W381">
        <v>81.693299999999994</v>
      </c>
      <c r="X381">
        <v>1.18953</v>
      </c>
      <c r="Y381">
        <f>Table514414[[#This Row],[CFNM]]/Table514414[[#This Row],[CAREA]]</f>
        <v>1.4560924824924444E-2</v>
      </c>
      <c r="Z381">
        <v>2.2246999999999999</v>
      </c>
      <c r="AA381">
        <f>(Table615415[[#This Row],[time]]-2)*2</f>
        <v>0.4493999999999998</v>
      </c>
      <c r="AB381">
        <v>87.660399999999996</v>
      </c>
      <c r="AC381">
        <v>4.3910099999999996</v>
      </c>
      <c r="AD381">
        <f>Table615415[[#This Row],[CFNM]]/Table615415[[#This Row],[CAREA]]</f>
        <v>5.0091147199875882E-2</v>
      </c>
      <c r="AE381">
        <v>2.2246999999999999</v>
      </c>
      <c r="AF381">
        <f>(Table716416[[#This Row],[time]]-2)*2</f>
        <v>0.4493999999999998</v>
      </c>
      <c r="AG381">
        <v>78.198999999999998</v>
      </c>
      <c r="AH381">
        <v>15.7584</v>
      </c>
      <c r="AI381">
        <f>Table716416[[#This Row],[CFNM]]/Table716416[[#This Row],[CAREA]]</f>
        <v>0.20151664343533804</v>
      </c>
      <c r="AJ381">
        <v>2.2246999999999999</v>
      </c>
      <c r="AK381">
        <f>(Table817417[[#This Row],[time]]-2)*2</f>
        <v>0.4493999999999998</v>
      </c>
      <c r="AL381">
        <v>83.674499999999995</v>
      </c>
      <c r="AM381">
        <v>14.360200000000001</v>
      </c>
      <c r="AN381">
        <f>Table817417[[#This Row],[CFNM]]/Table817417[[#This Row],[CAREA]]</f>
        <v>0.17161978858553087</v>
      </c>
    </row>
    <row r="382" spans="1:40">
      <c r="A382">
        <v>2.2668900000000001</v>
      </c>
      <c r="B382">
        <f>(Table110410[[#This Row],[time]]-2)*2</f>
        <v>0.53378000000000014</v>
      </c>
      <c r="C382">
        <v>92.331500000000005</v>
      </c>
      <c r="D382">
        <v>7.1081000000000003</v>
      </c>
      <c r="E382">
        <f>Table110410[[#This Row],[CFNM]]/Table110410[[#This Row],[CAREA]]</f>
        <v>7.6984561065291904E-2</v>
      </c>
      <c r="F382">
        <v>2.2668900000000001</v>
      </c>
      <c r="G382">
        <f>(Table211411[[#This Row],[time]]-2)*2</f>
        <v>0.53378000000000014</v>
      </c>
      <c r="H382">
        <v>96.529300000000006</v>
      </c>
      <c r="I382">
        <v>2.57673</v>
      </c>
      <c r="J382">
        <f>Table211411[[#This Row],[CFNM]]/Table211411[[#This Row],[CAREA]]</f>
        <v>2.6693760340124707E-2</v>
      </c>
      <c r="K382">
        <v>2.2668900000000001</v>
      </c>
      <c r="L382">
        <f>(Table312412[[#This Row],[time]]-2)*2</f>
        <v>0.53378000000000014</v>
      </c>
      <c r="M382">
        <v>87.905299999999997</v>
      </c>
      <c r="N382">
        <v>4.4049600000000003E-3</v>
      </c>
      <c r="O382">
        <f>Table312412[[#This Row],[CFNM]]/Table312412[[#This Row],[CAREA]]</f>
        <v>5.0110289140700281E-5</v>
      </c>
      <c r="P382">
        <v>2.2668900000000001</v>
      </c>
      <c r="Q382">
        <f>(Table413413[[#This Row],[time]]-2)*2</f>
        <v>0.53378000000000014</v>
      </c>
      <c r="R382">
        <v>84.562600000000003</v>
      </c>
      <c r="S382">
        <v>0.33200600000000002</v>
      </c>
      <c r="T382">
        <f>Table413413[[#This Row],[CFNM]]/Table413413[[#This Row],[CAREA]]</f>
        <v>3.9261564805244875E-3</v>
      </c>
      <c r="U382">
        <v>2.2668900000000001</v>
      </c>
      <c r="V382">
        <f>(Table514414[[#This Row],[time]]-2)*2</f>
        <v>0.53378000000000014</v>
      </c>
      <c r="W382">
        <v>80.736500000000007</v>
      </c>
      <c r="X382">
        <v>0.77646499999999996</v>
      </c>
      <c r="Y382">
        <f>Table514414[[#This Row],[CFNM]]/Table514414[[#This Row],[CAREA]]</f>
        <v>9.6172734760610126E-3</v>
      </c>
      <c r="Z382">
        <v>2.2668900000000001</v>
      </c>
      <c r="AA382">
        <f>(Table615415[[#This Row],[time]]-2)*2</f>
        <v>0.53378000000000014</v>
      </c>
      <c r="AB382">
        <v>86.903499999999994</v>
      </c>
      <c r="AC382">
        <v>2.9416000000000002</v>
      </c>
      <c r="AD382">
        <f>Table615415[[#This Row],[CFNM]]/Table615415[[#This Row],[CAREA]]</f>
        <v>3.3849039451805743E-2</v>
      </c>
      <c r="AE382">
        <v>2.2668900000000001</v>
      </c>
      <c r="AF382">
        <f>(Table716416[[#This Row],[time]]-2)*2</f>
        <v>0.53378000000000014</v>
      </c>
      <c r="AG382">
        <v>77.999200000000002</v>
      </c>
      <c r="AH382">
        <v>15.0868</v>
      </c>
      <c r="AI382">
        <f>Table716416[[#This Row],[CFNM]]/Table716416[[#This Row],[CAREA]]</f>
        <v>0.19342249664099118</v>
      </c>
      <c r="AJ382">
        <v>2.2668900000000001</v>
      </c>
      <c r="AK382">
        <f>(Table817417[[#This Row],[time]]-2)*2</f>
        <v>0.53378000000000014</v>
      </c>
      <c r="AL382">
        <v>84.007099999999994</v>
      </c>
      <c r="AM382">
        <v>13.3391</v>
      </c>
      <c r="AN382">
        <f>Table817417[[#This Row],[CFNM]]/Table817417[[#This Row],[CAREA]]</f>
        <v>0.15878538837788711</v>
      </c>
    </row>
    <row r="383" spans="1:40">
      <c r="A383">
        <v>2.3262700000000001</v>
      </c>
      <c r="B383">
        <f>(Table110410[[#This Row],[time]]-2)*2</f>
        <v>0.65254000000000012</v>
      </c>
      <c r="C383">
        <v>92.356899999999996</v>
      </c>
      <c r="D383">
        <v>6.19231</v>
      </c>
      <c r="E383">
        <f>Table110410[[#This Row],[CFNM]]/Table110410[[#This Row],[CAREA]]</f>
        <v>6.7047616366508619E-2</v>
      </c>
      <c r="F383">
        <v>2.3262700000000001</v>
      </c>
      <c r="G383">
        <f>(Table211411[[#This Row],[time]]-2)*2</f>
        <v>0.65254000000000012</v>
      </c>
      <c r="H383">
        <v>96.511300000000006</v>
      </c>
      <c r="I383">
        <v>2.0999400000000001</v>
      </c>
      <c r="J383">
        <f>Table211411[[#This Row],[CFNM]]/Table211411[[#This Row],[CAREA]]</f>
        <v>2.175848838426174E-2</v>
      </c>
      <c r="K383">
        <v>2.3262700000000001</v>
      </c>
      <c r="L383">
        <f>(Table312412[[#This Row],[time]]-2)*2</f>
        <v>0.65254000000000012</v>
      </c>
      <c r="M383">
        <v>86.887600000000006</v>
      </c>
      <c r="N383">
        <v>3.8867799999999998E-3</v>
      </c>
      <c r="O383">
        <f>Table312412[[#This Row],[CFNM]]/Table312412[[#This Row],[CAREA]]</f>
        <v>4.4733425713220291E-5</v>
      </c>
      <c r="P383">
        <v>2.3262700000000001</v>
      </c>
      <c r="Q383">
        <f>(Table413413[[#This Row],[time]]-2)*2</f>
        <v>0.65254000000000012</v>
      </c>
      <c r="R383">
        <v>83.540800000000004</v>
      </c>
      <c r="S383">
        <v>5.3034500000000004E-3</v>
      </c>
      <c r="T383">
        <f>Table413413[[#This Row],[CFNM]]/Table413413[[#This Row],[CAREA]]</f>
        <v>6.3483351847241109E-5</v>
      </c>
      <c r="U383">
        <v>2.3262700000000001</v>
      </c>
      <c r="V383">
        <f>(Table514414[[#This Row],[time]]-2)*2</f>
        <v>0.65254000000000012</v>
      </c>
      <c r="W383">
        <v>80.555199999999999</v>
      </c>
      <c r="X383">
        <v>0.57117899999999999</v>
      </c>
      <c r="Y383">
        <f>Table514414[[#This Row],[CFNM]]/Table514414[[#This Row],[CAREA]]</f>
        <v>7.090529227163485E-3</v>
      </c>
      <c r="Z383">
        <v>2.3262700000000001</v>
      </c>
      <c r="AA383">
        <f>(Table615415[[#This Row],[time]]-2)*2</f>
        <v>0.65254000000000012</v>
      </c>
      <c r="AB383">
        <v>85.489199999999997</v>
      </c>
      <c r="AC383">
        <v>2.2154400000000001</v>
      </c>
      <c r="AD383">
        <f>Table615415[[#This Row],[CFNM]]/Table615415[[#This Row],[CAREA]]</f>
        <v>2.5914852402408727E-2</v>
      </c>
      <c r="AE383">
        <v>2.3262700000000001</v>
      </c>
      <c r="AF383">
        <f>(Table716416[[#This Row],[time]]-2)*2</f>
        <v>0.65254000000000012</v>
      </c>
      <c r="AG383">
        <v>77.878500000000003</v>
      </c>
      <c r="AH383">
        <v>14.568</v>
      </c>
      <c r="AI383">
        <f>Table716416[[#This Row],[CFNM]]/Table716416[[#This Row],[CAREA]]</f>
        <v>0.18706061364818274</v>
      </c>
      <c r="AJ383">
        <v>2.3262700000000001</v>
      </c>
      <c r="AK383">
        <f>(Table817417[[#This Row],[time]]-2)*2</f>
        <v>0.65254000000000012</v>
      </c>
      <c r="AL383">
        <v>84.137600000000006</v>
      </c>
      <c r="AM383">
        <v>12.691599999999999</v>
      </c>
      <c r="AN383">
        <f>Table817417[[#This Row],[CFNM]]/Table817417[[#This Row],[CAREA]]</f>
        <v>0.15084338036739814</v>
      </c>
    </row>
    <row r="384" spans="1:40">
      <c r="A384">
        <v>2.3684599999999998</v>
      </c>
      <c r="B384">
        <f>(Table110410[[#This Row],[time]]-2)*2</f>
        <v>0.73691999999999958</v>
      </c>
      <c r="C384">
        <v>92.275000000000006</v>
      </c>
      <c r="D384">
        <v>4.6187800000000001</v>
      </c>
      <c r="E384">
        <f>Table110410[[#This Row],[CFNM]]/Table110410[[#This Row],[CAREA]]</f>
        <v>5.0054510972636142E-2</v>
      </c>
      <c r="F384">
        <v>2.3684599999999998</v>
      </c>
      <c r="G384">
        <f>(Table211411[[#This Row],[time]]-2)*2</f>
        <v>0.73691999999999958</v>
      </c>
      <c r="H384">
        <v>96.342600000000004</v>
      </c>
      <c r="I384">
        <v>1.0610999999999999</v>
      </c>
      <c r="J384">
        <f>Table211411[[#This Row],[CFNM]]/Table211411[[#This Row],[CAREA]]</f>
        <v>1.1013819431902397E-2</v>
      </c>
      <c r="K384">
        <v>2.3684599999999998</v>
      </c>
      <c r="L384">
        <f>(Table312412[[#This Row],[time]]-2)*2</f>
        <v>0.73691999999999958</v>
      </c>
      <c r="M384">
        <v>86.6571</v>
      </c>
      <c r="N384">
        <v>3.62942E-3</v>
      </c>
      <c r="O384">
        <f>Table312412[[#This Row],[CFNM]]/Table312412[[#This Row],[CAREA]]</f>
        <v>4.1882546265683942E-5</v>
      </c>
      <c r="P384">
        <v>2.3684599999999998</v>
      </c>
      <c r="Q384">
        <f>(Table413413[[#This Row],[time]]-2)*2</f>
        <v>0.73691999999999958</v>
      </c>
      <c r="R384">
        <v>83.1952</v>
      </c>
      <c r="S384">
        <v>4.9078200000000002E-3</v>
      </c>
      <c r="T384">
        <f>Table413413[[#This Row],[CFNM]]/Table413413[[#This Row],[CAREA]]</f>
        <v>5.8991624516799052E-5</v>
      </c>
      <c r="U384">
        <v>2.3684599999999998</v>
      </c>
      <c r="V384">
        <f>(Table514414[[#This Row],[time]]-2)*2</f>
        <v>0.73691999999999958</v>
      </c>
      <c r="W384">
        <v>80.012200000000007</v>
      </c>
      <c r="X384">
        <v>0.41267199999999998</v>
      </c>
      <c r="Y384">
        <f>Table514414[[#This Row],[CFNM]]/Table514414[[#This Row],[CAREA]]</f>
        <v>5.1576134639467475E-3</v>
      </c>
      <c r="Z384">
        <v>2.3684599999999998</v>
      </c>
      <c r="AA384">
        <f>(Table615415[[#This Row],[time]]-2)*2</f>
        <v>0.73691999999999958</v>
      </c>
      <c r="AB384">
        <v>84.25</v>
      </c>
      <c r="AC384">
        <v>1.5587200000000001</v>
      </c>
      <c r="AD384">
        <f>Table615415[[#This Row],[CFNM]]/Table615415[[#This Row],[CAREA]]</f>
        <v>1.8501127596439172E-2</v>
      </c>
      <c r="AE384">
        <v>2.3684599999999998</v>
      </c>
      <c r="AF384">
        <f>(Table716416[[#This Row],[time]]-2)*2</f>
        <v>0.73691999999999958</v>
      </c>
      <c r="AG384">
        <v>77.628699999999995</v>
      </c>
      <c r="AH384">
        <v>14.042999999999999</v>
      </c>
      <c r="AI384">
        <f>Table716416[[#This Row],[CFNM]]/Table716416[[#This Row],[CAREA]]</f>
        <v>0.18089958997123487</v>
      </c>
      <c r="AJ384">
        <v>2.3684599999999998</v>
      </c>
      <c r="AK384">
        <f>(Table817417[[#This Row],[time]]-2)*2</f>
        <v>0.73691999999999958</v>
      </c>
      <c r="AL384">
        <v>84.265100000000004</v>
      </c>
      <c r="AM384">
        <v>12.0176</v>
      </c>
      <c r="AN384">
        <f>Table817417[[#This Row],[CFNM]]/Table817417[[#This Row],[CAREA]]</f>
        <v>0.14261657554551052</v>
      </c>
    </row>
    <row r="385" spans="1:40">
      <c r="A385">
        <v>2.4278300000000002</v>
      </c>
      <c r="B385">
        <f>(Table110410[[#This Row],[time]]-2)*2</f>
        <v>0.85566000000000031</v>
      </c>
      <c r="C385">
        <v>91.748999999999995</v>
      </c>
      <c r="D385">
        <v>3.05965</v>
      </c>
      <c r="E385">
        <f>Table110410[[#This Row],[CFNM]]/Table110410[[#This Row],[CAREA]]</f>
        <v>3.334804739016229E-2</v>
      </c>
      <c r="F385">
        <v>2.4278300000000002</v>
      </c>
      <c r="G385">
        <f>(Table211411[[#This Row],[time]]-2)*2</f>
        <v>0.85566000000000031</v>
      </c>
      <c r="H385">
        <v>96.002600000000001</v>
      </c>
      <c r="I385">
        <v>0.17661199999999999</v>
      </c>
      <c r="J385">
        <f>Table211411[[#This Row],[CFNM]]/Table211411[[#This Row],[CAREA]]</f>
        <v>1.8396585092487077E-3</v>
      </c>
      <c r="K385">
        <v>2.4278300000000002</v>
      </c>
      <c r="L385">
        <f>(Table312412[[#This Row],[time]]-2)*2</f>
        <v>0.85566000000000031</v>
      </c>
      <c r="M385">
        <v>85.599000000000004</v>
      </c>
      <c r="N385">
        <v>3.3913599999999999E-3</v>
      </c>
      <c r="O385">
        <f>Table312412[[#This Row],[CFNM]]/Table312412[[#This Row],[CAREA]]</f>
        <v>3.961915442937417E-5</v>
      </c>
      <c r="P385">
        <v>2.4278300000000002</v>
      </c>
      <c r="Q385">
        <f>(Table413413[[#This Row],[time]]-2)*2</f>
        <v>0.85566000000000031</v>
      </c>
      <c r="R385">
        <v>82.559200000000004</v>
      </c>
      <c r="S385">
        <v>4.5410499999999996E-3</v>
      </c>
      <c r="T385">
        <f>Table413413[[#This Row],[CFNM]]/Table413413[[#This Row],[CAREA]]</f>
        <v>5.5003561081018217E-5</v>
      </c>
      <c r="U385">
        <v>2.4278300000000002</v>
      </c>
      <c r="V385">
        <f>(Table514414[[#This Row],[time]]-2)*2</f>
        <v>0.85566000000000031</v>
      </c>
      <c r="W385">
        <v>79.394000000000005</v>
      </c>
      <c r="X385">
        <v>0.25309399999999999</v>
      </c>
      <c r="Y385">
        <f>Table514414[[#This Row],[CFNM]]/Table514414[[#This Row],[CAREA]]</f>
        <v>3.1878227573872075E-3</v>
      </c>
      <c r="Z385">
        <v>2.4278300000000002</v>
      </c>
      <c r="AA385">
        <f>(Table615415[[#This Row],[time]]-2)*2</f>
        <v>0.85566000000000031</v>
      </c>
      <c r="AB385">
        <v>83.206599999999995</v>
      </c>
      <c r="AC385">
        <v>0.96753800000000001</v>
      </c>
      <c r="AD385">
        <f>Table615415[[#This Row],[CFNM]]/Table615415[[#This Row],[CAREA]]</f>
        <v>1.162814007542671E-2</v>
      </c>
      <c r="AE385">
        <v>2.4278300000000002</v>
      </c>
      <c r="AF385">
        <f>(Table716416[[#This Row],[time]]-2)*2</f>
        <v>0.85566000000000031</v>
      </c>
      <c r="AG385">
        <v>77.376499999999993</v>
      </c>
      <c r="AH385">
        <v>13.391400000000001</v>
      </c>
      <c r="AI385">
        <f>Table716416[[#This Row],[CFNM]]/Table716416[[#This Row],[CAREA]]</f>
        <v>0.1730680503770525</v>
      </c>
      <c r="AJ385">
        <v>2.4278300000000002</v>
      </c>
      <c r="AK385">
        <f>(Table817417[[#This Row],[time]]-2)*2</f>
        <v>0.85566000000000031</v>
      </c>
      <c r="AL385">
        <v>84.017799999999994</v>
      </c>
      <c r="AM385">
        <v>11.2469</v>
      </c>
      <c r="AN385">
        <f>Table817417[[#This Row],[CFNM]]/Table817417[[#This Row],[CAREA]]</f>
        <v>0.1338633003958685</v>
      </c>
    </row>
    <row r="386" spans="1:40">
      <c r="A386">
        <v>2.4542000000000002</v>
      </c>
      <c r="B386">
        <f>(Table110410[[#This Row],[time]]-2)*2</f>
        <v>0.90840000000000032</v>
      </c>
      <c r="C386">
        <v>91.5642</v>
      </c>
      <c r="D386">
        <v>2.45784</v>
      </c>
      <c r="E386">
        <f>Table110410[[#This Row],[CFNM]]/Table110410[[#This Row],[CAREA]]</f>
        <v>2.6842805375900187E-2</v>
      </c>
      <c r="F386">
        <v>2.4542000000000002</v>
      </c>
      <c r="G386">
        <f>(Table211411[[#This Row],[time]]-2)*2</f>
        <v>0.90840000000000032</v>
      </c>
      <c r="H386">
        <v>95.854600000000005</v>
      </c>
      <c r="I386">
        <v>6.1109800000000002E-3</v>
      </c>
      <c r="J386">
        <f>Table211411[[#This Row],[CFNM]]/Table211411[[#This Row],[CAREA]]</f>
        <v>6.3752600292526389E-5</v>
      </c>
      <c r="K386">
        <v>2.4542000000000002</v>
      </c>
      <c r="L386">
        <f>(Table312412[[#This Row],[time]]-2)*2</f>
        <v>0.90840000000000032</v>
      </c>
      <c r="M386">
        <v>84.671400000000006</v>
      </c>
      <c r="N386">
        <v>3.2930400000000001E-3</v>
      </c>
      <c r="O386">
        <f>Table312412[[#This Row],[CFNM]]/Table312412[[#This Row],[CAREA]]</f>
        <v>3.8891998951239732E-5</v>
      </c>
      <c r="P386">
        <v>2.4542000000000002</v>
      </c>
      <c r="Q386">
        <f>(Table413413[[#This Row],[time]]-2)*2</f>
        <v>0.90840000000000032</v>
      </c>
      <c r="R386">
        <v>82.505300000000005</v>
      </c>
      <c r="S386">
        <v>4.4330899999999998E-3</v>
      </c>
      <c r="T386">
        <f>Table413413[[#This Row],[CFNM]]/Table413413[[#This Row],[CAREA]]</f>
        <v>5.3730972434498142E-5</v>
      </c>
      <c r="U386">
        <v>2.4542000000000002</v>
      </c>
      <c r="V386">
        <f>(Table514414[[#This Row],[time]]-2)*2</f>
        <v>0.90840000000000032</v>
      </c>
      <c r="W386">
        <v>79.2303</v>
      </c>
      <c r="X386">
        <v>0.20405200000000001</v>
      </c>
      <c r="Y386">
        <f>Table514414[[#This Row],[CFNM]]/Table514414[[#This Row],[CAREA]]</f>
        <v>2.5754288447727702E-3</v>
      </c>
      <c r="Z386">
        <v>2.4542000000000002</v>
      </c>
      <c r="AA386">
        <f>(Table615415[[#This Row],[time]]-2)*2</f>
        <v>0.90840000000000032</v>
      </c>
      <c r="AB386">
        <v>82.364199999999997</v>
      </c>
      <c r="AC386">
        <v>0.72337700000000005</v>
      </c>
      <c r="AD386">
        <f>Table615415[[#This Row],[CFNM]]/Table615415[[#This Row],[CAREA]]</f>
        <v>8.7826628559495527E-3</v>
      </c>
      <c r="AE386">
        <v>2.4542000000000002</v>
      </c>
      <c r="AF386">
        <f>(Table716416[[#This Row],[time]]-2)*2</f>
        <v>0.90840000000000032</v>
      </c>
      <c r="AG386">
        <v>77.369799999999998</v>
      </c>
      <c r="AH386">
        <v>13.095000000000001</v>
      </c>
      <c r="AI386">
        <f>Table716416[[#This Row],[CFNM]]/Table716416[[#This Row],[CAREA]]</f>
        <v>0.16925208543902143</v>
      </c>
      <c r="AJ386">
        <v>2.4542000000000002</v>
      </c>
      <c r="AK386">
        <f>(Table817417[[#This Row],[time]]-2)*2</f>
        <v>0.90840000000000032</v>
      </c>
      <c r="AL386">
        <v>83.981899999999996</v>
      </c>
      <c r="AM386">
        <v>10.8878</v>
      </c>
      <c r="AN386">
        <f>Table817417[[#This Row],[CFNM]]/Table817417[[#This Row],[CAREA]]</f>
        <v>0.12964460199161965</v>
      </c>
    </row>
    <row r="387" spans="1:40">
      <c r="A387">
        <v>2.5061499999999999</v>
      </c>
      <c r="B387">
        <f>(Table110410[[#This Row],[time]]-2)*2</f>
        <v>1.0122999999999998</v>
      </c>
      <c r="C387">
        <v>90.854100000000003</v>
      </c>
      <c r="D387">
        <v>1.3017000000000001</v>
      </c>
      <c r="E387">
        <f>Table110410[[#This Row],[CFNM]]/Table110410[[#This Row],[CAREA]]</f>
        <v>1.43273666240709E-2</v>
      </c>
      <c r="F387">
        <v>2.5061499999999999</v>
      </c>
      <c r="G387">
        <f>(Table211411[[#This Row],[time]]-2)*2</f>
        <v>1.0122999999999998</v>
      </c>
      <c r="H387">
        <v>95.091399999999993</v>
      </c>
      <c r="I387">
        <v>4.8597199999999997E-3</v>
      </c>
      <c r="J387">
        <f>Table211411[[#This Row],[CFNM]]/Table211411[[#This Row],[CAREA]]</f>
        <v>5.1105778230207991E-5</v>
      </c>
      <c r="K387">
        <v>2.5061499999999999</v>
      </c>
      <c r="L387">
        <f>(Table312412[[#This Row],[time]]-2)*2</f>
        <v>1.0122999999999998</v>
      </c>
      <c r="M387">
        <v>83.746300000000005</v>
      </c>
      <c r="N387">
        <v>3.07289E-3</v>
      </c>
      <c r="O387">
        <f>Table312412[[#This Row],[CFNM]]/Table312412[[#This Row],[CAREA]]</f>
        <v>3.6692844937627094E-5</v>
      </c>
      <c r="P387">
        <v>2.5061499999999999</v>
      </c>
      <c r="Q387">
        <f>(Table413413[[#This Row],[time]]-2)*2</f>
        <v>1.0122999999999998</v>
      </c>
      <c r="R387">
        <v>82.400599999999997</v>
      </c>
      <c r="S387">
        <v>4.2465300000000001E-3</v>
      </c>
      <c r="T387">
        <f>Table413413[[#This Row],[CFNM]]/Table413413[[#This Row],[CAREA]]</f>
        <v>5.153518299624032E-5</v>
      </c>
      <c r="U387">
        <v>2.5061499999999999</v>
      </c>
      <c r="V387">
        <f>(Table514414[[#This Row],[time]]-2)*2</f>
        <v>1.0122999999999998</v>
      </c>
      <c r="W387">
        <v>78.854500000000002</v>
      </c>
      <c r="X387">
        <v>8.2876199999999997E-2</v>
      </c>
      <c r="Y387">
        <f>Table514414[[#This Row],[CFNM]]/Table514414[[#This Row],[CAREA]]</f>
        <v>1.0510015281309246E-3</v>
      </c>
      <c r="Z387">
        <v>2.5061499999999999</v>
      </c>
      <c r="AA387">
        <f>(Table615415[[#This Row],[time]]-2)*2</f>
        <v>1.0122999999999998</v>
      </c>
      <c r="AB387">
        <v>82.046999999999997</v>
      </c>
      <c r="AC387">
        <v>0.39968399999999998</v>
      </c>
      <c r="AD387">
        <f>Table615415[[#This Row],[CFNM]]/Table615415[[#This Row],[CAREA]]</f>
        <v>4.8714029763428281E-3</v>
      </c>
      <c r="AE387">
        <v>2.5061499999999999</v>
      </c>
      <c r="AF387">
        <f>(Table716416[[#This Row],[time]]-2)*2</f>
        <v>1.0122999999999998</v>
      </c>
      <c r="AG387">
        <v>77.547499999999999</v>
      </c>
      <c r="AH387">
        <v>12.4114</v>
      </c>
      <c r="AI387">
        <f>Table716416[[#This Row],[CFNM]]/Table716416[[#This Row],[CAREA]]</f>
        <v>0.1600490022244431</v>
      </c>
      <c r="AJ387">
        <v>2.5061499999999999</v>
      </c>
      <c r="AK387">
        <f>(Table817417[[#This Row],[time]]-2)*2</f>
        <v>1.0122999999999998</v>
      </c>
      <c r="AL387">
        <v>83.954999999999998</v>
      </c>
      <c r="AM387">
        <v>10.088900000000001</v>
      </c>
      <c r="AN387">
        <f>Table817417[[#This Row],[CFNM]]/Table817417[[#This Row],[CAREA]]</f>
        <v>0.12017032934310048</v>
      </c>
    </row>
    <row r="388" spans="1:40">
      <c r="A388">
        <v>2.5507599999999999</v>
      </c>
      <c r="B388">
        <f>(Table110410[[#This Row],[time]]-2)*2</f>
        <v>1.1015199999999998</v>
      </c>
      <c r="C388">
        <v>90.129599999999996</v>
      </c>
      <c r="D388">
        <v>0.52706600000000003</v>
      </c>
      <c r="E388">
        <f>Table110410[[#This Row],[CFNM]]/Table110410[[#This Row],[CAREA]]</f>
        <v>5.8478679590278897E-3</v>
      </c>
      <c r="F388">
        <v>2.5507599999999999</v>
      </c>
      <c r="G388">
        <f>(Table211411[[#This Row],[time]]-2)*2</f>
        <v>1.1015199999999998</v>
      </c>
      <c r="H388">
        <v>94.258700000000005</v>
      </c>
      <c r="I388">
        <v>4.3244399999999997E-3</v>
      </c>
      <c r="J388">
        <f>Table211411[[#This Row],[CFNM]]/Table211411[[#This Row],[CAREA]]</f>
        <v>4.5878417589039523E-5</v>
      </c>
      <c r="K388">
        <v>2.5507599999999999</v>
      </c>
      <c r="L388">
        <f>(Table312412[[#This Row],[time]]-2)*2</f>
        <v>1.1015199999999998</v>
      </c>
      <c r="M388">
        <v>82.306899999999999</v>
      </c>
      <c r="N388">
        <v>2.8544E-3</v>
      </c>
      <c r="O388">
        <f>Table312412[[#This Row],[CFNM]]/Table312412[[#This Row],[CAREA]]</f>
        <v>3.4679960003353306E-5</v>
      </c>
      <c r="P388">
        <v>2.5507599999999999</v>
      </c>
      <c r="Q388">
        <f>(Table413413[[#This Row],[time]]-2)*2</f>
        <v>1.1015199999999998</v>
      </c>
      <c r="R388">
        <v>82.292900000000003</v>
      </c>
      <c r="S388">
        <v>4.0767700000000004E-3</v>
      </c>
      <c r="T388">
        <f>Table413413[[#This Row],[CFNM]]/Table413413[[#This Row],[CAREA]]</f>
        <v>4.9539753733311138E-5</v>
      </c>
      <c r="U388">
        <v>2.5507599999999999</v>
      </c>
      <c r="V388">
        <f>(Table514414[[#This Row],[time]]-2)*2</f>
        <v>1.1015199999999998</v>
      </c>
      <c r="W388">
        <v>78.394800000000004</v>
      </c>
      <c r="X388">
        <v>5.37828E-3</v>
      </c>
      <c r="Y388">
        <f>Table514414[[#This Row],[CFNM]]/Table514414[[#This Row],[CAREA]]</f>
        <v>6.8605060539729667E-5</v>
      </c>
      <c r="Z388">
        <v>2.5507599999999999</v>
      </c>
      <c r="AA388">
        <f>(Table615415[[#This Row],[time]]-2)*2</f>
        <v>1.1015199999999998</v>
      </c>
      <c r="AB388">
        <v>80.469899999999996</v>
      </c>
      <c r="AC388">
        <v>0.193717</v>
      </c>
      <c r="AD388">
        <f>Table615415[[#This Row],[CFNM]]/Table615415[[#This Row],[CAREA]]</f>
        <v>2.4073224895271401E-3</v>
      </c>
      <c r="AE388">
        <v>2.5507599999999999</v>
      </c>
      <c r="AF388">
        <f>(Table716416[[#This Row],[time]]-2)*2</f>
        <v>1.1015199999999998</v>
      </c>
      <c r="AG388">
        <v>77.593999999999994</v>
      </c>
      <c r="AH388">
        <v>11.707000000000001</v>
      </c>
      <c r="AI388">
        <f>Table716416[[#This Row],[CFNM]]/Table716416[[#This Row],[CAREA]]</f>
        <v>0.15087506765987063</v>
      </c>
      <c r="AJ388">
        <v>2.5507599999999999</v>
      </c>
      <c r="AK388">
        <f>(Table817417[[#This Row],[time]]-2)*2</f>
        <v>1.1015199999999998</v>
      </c>
      <c r="AL388">
        <v>83.924700000000001</v>
      </c>
      <c r="AM388">
        <v>9.2744099999999996</v>
      </c>
      <c r="AN388">
        <f>Table817417[[#This Row],[CFNM]]/Table817417[[#This Row],[CAREA]]</f>
        <v>0.11050870601860953</v>
      </c>
    </row>
    <row r="389" spans="1:40">
      <c r="A389">
        <v>2.60453</v>
      </c>
      <c r="B389">
        <f>(Table110410[[#This Row],[time]]-2)*2</f>
        <v>1.20906</v>
      </c>
      <c r="C389">
        <v>89.516400000000004</v>
      </c>
      <c r="D389">
        <v>4.9409600000000003E-3</v>
      </c>
      <c r="E389">
        <f>Table110410[[#This Row],[CFNM]]/Table110410[[#This Row],[CAREA]]</f>
        <v>5.5196142829693776E-5</v>
      </c>
      <c r="F389">
        <v>2.60453</v>
      </c>
      <c r="G389">
        <f>(Table211411[[#This Row],[time]]-2)*2</f>
        <v>1.20906</v>
      </c>
      <c r="H389">
        <v>92.625699999999995</v>
      </c>
      <c r="I389">
        <v>3.8385899999999998E-3</v>
      </c>
      <c r="J389">
        <f>Table211411[[#This Row],[CFNM]]/Table211411[[#This Row],[CAREA]]</f>
        <v>4.1441954014922425E-5</v>
      </c>
      <c r="K389">
        <v>2.60453</v>
      </c>
      <c r="L389">
        <f>(Table312412[[#This Row],[time]]-2)*2</f>
        <v>1.20906</v>
      </c>
      <c r="M389">
        <v>81.360399999999998</v>
      </c>
      <c r="N389">
        <v>2.67819E-3</v>
      </c>
      <c r="O389">
        <f>Table312412[[#This Row],[CFNM]]/Table312412[[#This Row],[CAREA]]</f>
        <v>3.29176110245279E-5</v>
      </c>
      <c r="P389">
        <v>2.60453</v>
      </c>
      <c r="Q389">
        <f>(Table413413[[#This Row],[time]]-2)*2</f>
        <v>1.20906</v>
      </c>
      <c r="R389">
        <v>82.205200000000005</v>
      </c>
      <c r="S389">
        <v>3.9339700000000002E-3</v>
      </c>
      <c r="T389">
        <f>Table413413[[#This Row],[CFNM]]/Table413413[[#This Row],[CAREA]]</f>
        <v>4.7855488460584001E-5</v>
      </c>
      <c r="U389">
        <v>2.60453</v>
      </c>
      <c r="V389">
        <f>(Table514414[[#This Row],[time]]-2)*2</f>
        <v>1.20906</v>
      </c>
      <c r="W389">
        <v>77.805499999999995</v>
      </c>
      <c r="X389">
        <v>4.6903700000000001E-3</v>
      </c>
      <c r="Y389">
        <f>Table514414[[#This Row],[CFNM]]/Table514414[[#This Row],[CAREA]]</f>
        <v>6.0283270462885017E-5</v>
      </c>
      <c r="Z389">
        <v>2.60453</v>
      </c>
      <c r="AA389">
        <f>(Table615415[[#This Row],[time]]-2)*2</f>
        <v>1.20906</v>
      </c>
      <c r="AB389">
        <v>79.407700000000006</v>
      </c>
      <c r="AC389">
        <v>3.6882999999999999E-2</v>
      </c>
      <c r="AD389">
        <f>Table615415[[#This Row],[CFNM]]/Table615415[[#This Row],[CAREA]]</f>
        <v>4.6447636690144652E-4</v>
      </c>
      <c r="AE389">
        <v>2.60453</v>
      </c>
      <c r="AF389">
        <f>(Table716416[[#This Row],[time]]-2)*2</f>
        <v>1.20906</v>
      </c>
      <c r="AG389">
        <v>77.722999999999999</v>
      </c>
      <c r="AH389">
        <v>11.092700000000001</v>
      </c>
      <c r="AI389">
        <f>Table716416[[#This Row],[CFNM]]/Table716416[[#This Row],[CAREA]]</f>
        <v>0.14272094489404683</v>
      </c>
      <c r="AJ389">
        <v>2.60453</v>
      </c>
      <c r="AK389">
        <f>(Table817417[[#This Row],[time]]-2)*2</f>
        <v>1.20906</v>
      </c>
      <c r="AL389">
        <v>83.827799999999996</v>
      </c>
      <c r="AM389">
        <v>8.5781700000000001</v>
      </c>
      <c r="AN389">
        <f>Table817417[[#This Row],[CFNM]]/Table817417[[#This Row],[CAREA]]</f>
        <v>0.10233084967039574</v>
      </c>
    </row>
    <row r="390" spans="1:40">
      <c r="A390">
        <v>2.65273</v>
      </c>
      <c r="B390">
        <f>(Table110410[[#This Row],[time]]-2)*2</f>
        <v>1.3054600000000001</v>
      </c>
      <c r="C390">
        <v>89.015900000000002</v>
      </c>
      <c r="D390">
        <v>3.9704900000000001E-3</v>
      </c>
      <c r="E390">
        <f>Table110410[[#This Row],[CFNM]]/Table110410[[#This Row],[CAREA]]</f>
        <v>4.4604278561470482E-5</v>
      </c>
      <c r="F390">
        <v>2.65273</v>
      </c>
      <c r="G390">
        <f>(Table211411[[#This Row],[time]]-2)*2</f>
        <v>1.3054600000000001</v>
      </c>
      <c r="H390">
        <v>91.805599999999998</v>
      </c>
      <c r="I390">
        <v>3.4957899999999999E-3</v>
      </c>
      <c r="J390">
        <f>Table211411[[#This Row],[CFNM]]/Table211411[[#This Row],[CAREA]]</f>
        <v>3.8078178237493135E-5</v>
      </c>
      <c r="K390">
        <v>2.65273</v>
      </c>
      <c r="L390">
        <f>(Table312412[[#This Row],[time]]-2)*2</f>
        <v>1.3054600000000001</v>
      </c>
      <c r="M390">
        <v>78.395099999999999</v>
      </c>
      <c r="N390">
        <v>2.5635599999999999E-3</v>
      </c>
      <c r="O390">
        <f>Table312412[[#This Row],[CFNM]]/Table312412[[#This Row],[CAREA]]</f>
        <v>3.2700513169828214E-5</v>
      </c>
      <c r="P390">
        <v>2.65273</v>
      </c>
      <c r="Q390">
        <f>(Table413413[[#This Row],[time]]-2)*2</f>
        <v>1.3054600000000001</v>
      </c>
      <c r="R390">
        <v>82.139300000000006</v>
      </c>
      <c r="S390">
        <v>3.83243E-3</v>
      </c>
      <c r="T390">
        <f>Table413413[[#This Row],[CFNM]]/Table413413[[#This Row],[CAREA]]</f>
        <v>4.6657690046055904E-5</v>
      </c>
      <c r="U390">
        <v>2.65273</v>
      </c>
      <c r="V390">
        <f>(Table514414[[#This Row],[time]]-2)*2</f>
        <v>1.3054600000000001</v>
      </c>
      <c r="W390">
        <v>77.341399999999993</v>
      </c>
      <c r="X390">
        <v>4.4076100000000002E-3</v>
      </c>
      <c r="Y390">
        <f>Table514414[[#This Row],[CFNM]]/Table514414[[#This Row],[CAREA]]</f>
        <v>5.6989012353021803E-5</v>
      </c>
      <c r="Z390">
        <v>2.65273</v>
      </c>
      <c r="AA390">
        <f>(Table615415[[#This Row],[time]]-2)*2</f>
        <v>1.3054600000000001</v>
      </c>
      <c r="AB390">
        <v>78.392799999999994</v>
      </c>
      <c r="AC390">
        <v>4.03389E-3</v>
      </c>
      <c r="AD390">
        <f>Table615415[[#This Row],[CFNM]]/Table615415[[#This Row],[CAREA]]</f>
        <v>5.1457404251410848E-5</v>
      </c>
      <c r="AE390">
        <v>2.65273</v>
      </c>
      <c r="AF390">
        <f>(Table716416[[#This Row],[time]]-2)*2</f>
        <v>1.3054600000000001</v>
      </c>
      <c r="AG390">
        <v>77.758300000000006</v>
      </c>
      <c r="AH390">
        <v>10.636200000000001</v>
      </c>
      <c r="AI390">
        <f>Table716416[[#This Row],[CFNM]]/Table716416[[#This Row],[CAREA]]</f>
        <v>0.13678539782891344</v>
      </c>
      <c r="AJ390">
        <v>2.65273</v>
      </c>
      <c r="AK390">
        <f>(Table817417[[#This Row],[time]]-2)*2</f>
        <v>1.3054600000000001</v>
      </c>
      <c r="AL390">
        <v>83.767600000000002</v>
      </c>
      <c r="AM390">
        <v>8.0913500000000003</v>
      </c>
      <c r="AN390">
        <f>Table817417[[#This Row],[CFNM]]/Table817417[[#This Row],[CAREA]]</f>
        <v>9.6592835416079728E-2</v>
      </c>
    </row>
    <row r="391" spans="1:40">
      <c r="A391">
        <v>2.7006199999999998</v>
      </c>
      <c r="B391">
        <f>(Table110410[[#This Row],[time]]-2)*2</f>
        <v>1.4012399999999996</v>
      </c>
      <c r="C391">
        <v>86.875699999999995</v>
      </c>
      <c r="D391">
        <v>3.7351699999999999E-3</v>
      </c>
      <c r="E391">
        <f>Table110410[[#This Row],[CFNM]]/Table110410[[#This Row],[CAREA]]</f>
        <v>4.2994416160100008E-5</v>
      </c>
      <c r="F391">
        <v>2.7006199999999998</v>
      </c>
      <c r="G391">
        <f>(Table211411[[#This Row],[time]]-2)*2</f>
        <v>1.4012399999999996</v>
      </c>
      <c r="H391">
        <v>90.665099999999995</v>
      </c>
      <c r="I391">
        <v>3.2015699999999999E-3</v>
      </c>
      <c r="J391">
        <f>Table211411[[#This Row],[CFNM]]/Table211411[[#This Row],[CAREA]]</f>
        <v>3.5312043994877853E-5</v>
      </c>
      <c r="K391">
        <v>2.7006199999999998</v>
      </c>
      <c r="L391">
        <f>(Table312412[[#This Row],[time]]-2)*2</f>
        <v>1.4012399999999996</v>
      </c>
      <c r="M391">
        <v>78.019400000000005</v>
      </c>
      <c r="N391">
        <v>2.4302600000000001E-3</v>
      </c>
      <c r="O391">
        <f>Table312412[[#This Row],[CFNM]]/Table312412[[#This Row],[CAREA]]</f>
        <v>3.1149432064332719E-5</v>
      </c>
      <c r="P391">
        <v>2.7006199999999998</v>
      </c>
      <c r="Q391">
        <f>(Table413413[[#This Row],[time]]-2)*2</f>
        <v>1.4012399999999996</v>
      </c>
      <c r="R391">
        <v>81.999399999999994</v>
      </c>
      <c r="S391">
        <v>3.66592E-3</v>
      </c>
      <c r="T391">
        <f>Table413413[[#This Row],[CFNM]]/Table413413[[#This Row],[CAREA]]</f>
        <v>4.4706668585379898E-5</v>
      </c>
      <c r="U391">
        <v>2.7006199999999998</v>
      </c>
      <c r="V391">
        <f>(Table514414[[#This Row],[time]]-2)*2</f>
        <v>1.4012399999999996</v>
      </c>
      <c r="W391">
        <v>76.863</v>
      </c>
      <c r="X391">
        <v>4.3220300000000001E-3</v>
      </c>
      <c r="Y391">
        <f>Table514414[[#This Row],[CFNM]]/Table514414[[#This Row],[CAREA]]</f>
        <v>5.6230305868883602E-5</v>
      </c>
      <c r="Z391">
        <v>2.7006199999999998</v>
      </c>
      <c r="AA391">
        <f>(Table615415[[#This Row],[time]]-2)*2</f>
        <v>1.4012399999999996</v>
      </c>
      <c r="AB391">
        <v>77.330699999999993</v>
      </c>
      <c r="AC391">
        <v>3.75085E-3</v>
      </c>
      <c r="AD391">
        <f>Table615415[[#This Row],[CFNM]]/Table615415[[#This Row],[CAREA]]</f>
        <v>4.8504022335243316E-5</v>
      </c>
      <c r="AE391">
        <v>2.7006199999999998</v>
      </c>
      <c r="AF391">
        <f>(Table716416[[#This Row],[time]]-2)*2</f>
        <v>1.4012399999999996</v>
      </c>
      <c r="AG391">
        <v>77.766999999999996</v>
      </c>
      <c r="AH391">
        <v>9.9773999999999994</v>
      </c>
      <c r="AI391">
        <f>Table716416[[#This Row],[CFNM]]/Table716416[[#This Row],[CAREA]]</f>
        <v>0.12829863566808544</v>
      </c>
      <c r="AJ391">
        <v>2.7006199999999998</v>
      </c>
      <c r="AK391">
        <f>(Table817417[[#This Row],[time]]-2)*2</f>
        <v>1.4012399999999996</v>
      </c>
      <c r="AL391">
        <v>83.684799999999996</v>
      </c>
      <c r="AM391">
        <v>7.4558299999999997</v>
      </c>
      <c r="AN391">
        <f>Table817417[[#This Row],[CFNM]]/Table817417[[#This Row],[CAREA]]</f>
        <v>8.9094196317610841E-2</v>
      </c>
    </row>
    <row r="392" spans="1:40">
      <c r="A392">
        <v>2.75176</v>
      </c>
      <c r="B392">
        <f>(Table110410[[#This Row],[time]]-2)*2</f>
        <v>1.50352</v>
      </c>
      <c r="C392">
        <v>85.939700000000002</v>
      </c>
      <c r="D392">
        <v>3.5660000000000002E-3</v>
      </c>
      <c r="E392">
        <f>Table110410[[#This Row],[CFNM]]/Table110410[[#This Row],[CAREA]]</f>
        <v>4.1494210475484554E-5</v>
      </c>
      <c r="F392">
        <v>2.75176</v>
      </c>
      <c r="G392">
        <f>(Table211411[[#This Row],[time]]-2)*2</f>
        <v>1.50352</v>
      </c>
      <c r="H392">
        <v>90.013099999999994</v>
      </c>
      <c r="I392">
        <v>3.0890599999999998E-3</v>
      </c>
      <c r="J392">
        <f>Table211411[[#This Row],[CFNM]]/Table211411[[#This Row],[CAREA]]</f>
        <v>3.4317893728801696E-5</v>
      </c>
      <c r="K392">
        <v>2.75176</v>
      </c>
      <c r="L392">
        <f>(Table312412[[#This Row],[time]]-2)*2</f>
        <v>1.50352</v>
      </c>
      <c r="M392">
        <v>76.295699999999997</v>
      </c>
      <c r="N392">
        <v>2.33606E-3</v>
      </c>
      <c r="O392">
        <f>Table312412[[#This Row],[CFNM]]/Table312412[[#This Row],[CAREA]]</f>
        <v>3.061850143586074E-5</v>
      </c>
      <c r="P392">
        <v>2.75176</v>
      </c>
      <c r="Q392">
        <f>(Table413413[[#This Row],[time]]-2)*2</f>
        <v>1.50352</v>
      </c>
      <c r="R392">
        <v>81.374399999999994</v>
      </c>
      <c r="S392">
        <v>3.5339799999999999E-3</v>
      </c>
      <c r="T392">
        <f>Table413413[[#This Row],[CFNM]]/Table413413[[#This Row],[CAREA]]</f>
        <v>4.3428645864055527E-5</v>
      </c>
      <c r="U392">
        <v>2.75176</v>
      </c>
      <c r="V392">
        <f>(Table514414[[#This Row],[time]]-2)*2</f>
        <v>1.50352</v>
      </c>
      <c r="W392">
        <v>75.322999999999993</v>
      </c>
      <c r="X392">
        <v>4.2540900000000003E-3</v>
      </c>
      <c r="Y392">
        <f>Table514414[[#This Row],[CFNM]]/Table514414[[#This Row],[CAREA]]</f>
        <v>5.6477968216879313E-5</v>
      </c>
      <c r="Z392">
        <v>2.75176</v>
      </c>
      <c r="AA392">
        <f>(Table615415[[#This Row],[time]]-2)*2</f>
        <v>1.50352</v>
      </c>
      <c r="AB392">
        <v>76.617400000000004</v>
      </c>
      <c r="AC392">
        <v>3.5817599999999998E-3</v>
      </c>
      <c r="AD392">
        <f>Table615415[[#This Row],[CFNM]]/Table615415[[#This Row],[CAREA]]</f>
        <v>4.6748649784513699E-5</v>
      </c>
      <c r="AE392">
        <v>2.75176</v>
      </c>
      <c r="AF392">
        <f>(Table716416[[#This Row],[time]]-2)*2</f>
        <v>1.50352</v>
      </c>
      <c r="AG392">
        <v>77.799499999999995</v>
      </c>
      <c r="AH392">
        <v>9.3821600000000007</v>
      </c>
      <c r="AI392">
        <f>Table716416[[#This Row],[CFNM]]/Table716416[[#This Row],[CAREA]]</f>
        <v>0.12059409122166596</v>
      </c>
      <c r="AJ392">
        <v>2.75176</v>
      </c>
      <c r="AK392">
        <f>(Table817417[[#This Row],[time]]-2)*2</f>
        <v>1.50352</v>
      </c>
      <c r="AL392">
        <v>83.5899</v>
      </c>
      <c r="AM392">
        <v>6.9316399999999998</v>
      </c>
      <c r="AN392">
        <f>Table817417[[#This Row],[CFNM]]/Table817417[[#This Row],[CAREA]]</f>
        <v>8.292437244212518E-2</v>
      </c>
    </row>
    <row r="393" spans="1:40">
      <c r="A393">
        <v>2.80444</v>
      </c>
      <c r="B393">
        <f>(Table110410[[#This Row],[time]]-2)*2</f>
        <v>1.6088800000000001</v>
      </c>
      <c r="C393">
        <v>85.603899999999996</v>
      </c>
      <c r="D393">
        <v>3.4135900000000002E-3</v>
      </c>
      <c r="E393">
        <f>Table110410[[#This Row],[CFNM]]/Table110410[[#This Row],[CAREA]]</f>
        <v>3.9876571044076265E-5</v>
      </c>
      <c r="F393">
        <v>2.80444</v>
      </c>
      <c r="G393">
        <f>(Table211411[[#This Row],[time]]-2)*2</f>
        <v>1.6088800000000001</v>
      </c>
      <c r="H393">
        <v>89.235299999999995</v>
      </c>
      <c r="I393">
        <v>3.0488500000000001E-3</v>
      </c>
      <c r="J393">
        <f>Table211411[[#This Row],[CFNM]]/Table211411[[#This Row],[CAREA]]</f>
        <v>3.4166411722715116E-5</v>
      </c>
      <c r="K393">
        <v>2.80444</v>
      </c>
      <c r="L393">
        <f>(Table312412[[#This Row],[time]]-2)*2</f>
        <v>1.6088800000000001</v>
      </c>
      <c r="M393">
        <v>76.018900000000002</v>
      </c>
      <c r="N393">
        <v>2.2533000000000002E-3</v>
      </c>
      <c r="O393">
        <f>Table312412[[#This Row],[CFNM]]/Table312412[[#This Row],[CAREA]]</f>
        <v>2.9641312884032789E-5</v>
      </c>
      <c r="P393">
        <v>2.80444</v>
      </c>
      <c r="Q393">
        <f>(Table413413[[#This Row],[time]]-2)*2</f>
        <v>1.6088800000000001</v>
      </c>
      <c r="R393">
        <v>81.095100000000002</v>
      </c>
      <c r="S393">
        <v>3.41896E-3</v>
      </c>
      <c r="T393">
        <f>Table413413[[#This Row],[CFNM]]/Table413413[[#This Row],[CAREA]]</f>
        <v>4.215988388940885E-5</v>
      </c>
      <c r="U393">
        <v>2.80444</v>
      </c>
      <c r="V393">
        <f>(Table514414[[#This Row],[time]]-2)*2</f>
        <v>1.6088800000000001</v>
      </c>
      <c r="W393">
        <v>74.476900000000001</v>
      </c>
      <c r="X393">
        <v>4.1559800000000001E-3</v>
      </c>
      <c r="Y393">
        <f>Table514414[[#This Row],[CFNM]]/Table514414[[#This Row],[CAREA]]</f>
        <v>5.5802268891428084E-5</v>
      </c>
      <c r="Z393">
        <v>2.80444</v>
      </c>
      <c r="AA393">
        <f>(Table615415[[#This Row],[time]]-2)*2</f>
        <v>1.6088800000000001</v>
      </c>
      <c r="AB393">
        <v>75.733400000000003</v>
      </c>
      <c r="AC393">
        <v>3.3753400000000001E-3</v>
      </c>
      <c r="AD393">
        <f>Table615415[[#This Row],[CFNM]]/Table615415[[#This Row],[CAREA]]</f>
        <v>4.4568710766979958E-5</v>
      </c>
      <c r="AE393">
        <v>2.80444</v>
      </c>
      <c r="AF393">
        <f>(Table716416[[#This Row],[time]]-2)*2</f>
        <v>1.6088800000000001</v>
      </c>
      <c r="AG393">
        <v>77.900199999999998</v>
      </c>
      <c r="AH393">
        <v>8.5850399999999993</v>
      </c>
      <c r="AI393">
        <f>Table716416[[#This Row],[CFNM]]/Table716416[[#This Row],[CAREA]]</f>
        <v>0.11020562206515515</v>
      </c>
      <c r="AJ393">
        <v>2.80444</v>
      </c>
      <c r="AK393">
        <f>(Table817417[[#This Row],[time]]-2)*2</f>
        <v>1.6088800000000001</v>
      </c>
      <c r="AL393">
        <v>83.433899999999994</v>
      </c>
      <c r="AM393">
        <v>6.2875100000000002</v>
      </c>
      <c r="AN393">
        <f>Table817417[[#This Row],[CFNM]]/Table817417[[#This Row],[CAREA]]</f>
        <v>7.5359176545744602E-2</v>
      </c>
    </row>
    <row r="394" spans="1:40">
      <c r="A394">
        <v>2.8583699999999999</v>
      </c>
      <c r="B394">
        <f>(Table110410[[#This Row],[time]]-2)*2</f>
        <v>1.7167399999999997</v>
      </c>
      <c r="C394">
        <v>83.709699999999998</v>
      </c>
      <c r="D394">
        <v>3.3075000000000001E-3</v>
      </c>
      <c r="E394">
        <f>Table110410[[#This Row],[CFNM]]/Table110410[[#This Row],[CAREA]]</f>
        <v>3.9511550035420031E-5</v>
      </c>
      <c r="F394">
        <v>2.8583699999999999</v>
      </c>
      <c r="G394">
        <f>(Table211411[[#This Row],[time]]-2)*2</f>
        <v>1.7167399999999997</v>
      </c>
      <c r="H394">
        <v>89.898200000000003</v>
      </c>
      <c r="I394">
        <v>3.0345300000000001E-3</v>
      </c>
      <c r="J394">
        <f>Table211411[[#This Row],[CFNM]]/Table211411[[#This Row],[CAREA]]</f>
        <v>3.375518086012846E-5</v>
      </c>
      <c r="K394">
        <v>2.8583699999999999</v>
      </c>
      <c r="L394">
        <f>(Table312412[[#This Row],[time]]-2)*2</f>
        <v>1.7167399999999997</v>
      </c>
      <c r="M394">
        <v>75.7697</v>
      </c>
      <c r="N394">
        <v>2.1928400000000002E-3</v>
      </c>
      <c r="O394">
        <f>Table312412[[#This Row],[CFNM]]/Table312412[[#This Row],[CAREA]]</f>
        <v>2.8940856305356891E-5</v>
      </c>
      <c r="P394">
        <v>2.8583699999999999</v>
      </c>
      <c r="Q394">
        <f>(Table413413[[#This Row],[time]]-2)*2</f>
        <v>1.7167399999999997</v>
      </c>
      <c r="R394">
        <v>80.864099999999993</v>
      </c>
      <c r="S394">
        <v>3.3481499999999998E-3</v>
      </c>
      <c r="T394">
        <f>Table413413[[#This Row],[CFNM]]/Table413413[[#This Row],[CAREA]]</f>
        <v>4.1404652991871552E-5</v>
      </c>
      <c r="U394">
        <v>2.8583699999999999</v>
      </c>
      <c r="V394">
        <f>(Table514414[[#This Row],[time]]-2)*2</f>
        <v>1.7167399999999997</v>
      </c>
      <c r="W394">
        <v>73.773099999999999</v>
      </c>
      <c r="X394">
        <v>4.0773199999999997E-3</v>
      </c>
      <c r="Y394">
        <f>Table514414[[#This Row],[CFNM]]/Table514414[[#This Row],[CAREA]]</f>
        <v>5.5268383733366223E-5</v>
      </c>
      <c r="Z394">
        <v>2.8583699999999999</v>
      </c>
      <c r="AA394">
        <f>(Table615415[[#This Row],[time]]-2)*2</f>
        <v>1.7167399999999997</v>
      </c>
      <c r="AB394">
        <v>74.979900000000001</v>
      </c>
      <c r="AC394">
        <v>3.22259E-3</v>
      </c>
      <c r="AD394">
        <f>Table615415[[#This Row],[CFNM]]/Table615415[[#This Row],[CAREA]]</f>
        <v>4.2979385141884689E-5</v>
      </c>
      <c r="AE394">
        <v>2.8583699999999999</v>
      </c>
      <c r="AF394">
        <f>(Table716416[[#This Row],[time]]-2)*2</f>
        <v>1.7167399999999997</v>
      </c>
      <c r="AG394">
        <v>77.909800000000004</v>
      </c>
      <c r="AH394">
        <v>7.9830899999999998</v>
      </c>
      <c r="AI394">
        <f>Table716416[[#This Row],[CFNM]]/Table716416[[#This Row],[CAREA]]</f>
        <v>0.10246580019458398</v>
      </c>
      <c r="AJ394">
        <v>2.8583699999999999</v>
      </c>
      <c r="AK394">
        <f>(Table817417[[#This Row],[time]]-2)*2</f>
        <v>1.7167399999999997</v>
      </c>
      <c r="AL394">
        <v>83.324100000000001</v>
      </c>
      <c r="AM394">
        <v>5.83256</v>
      </c>
      <c r="AN394">
        <f>Table817417[[#This Row],[CFNM]]/Table817417[[#This Row],[CAREA]]</f>
        <v>6.9998475831122092E-2</v>
      </c>
    </row>
    <row r="395" spans="1:40">
      <c r="A395">
        <v>2.9134199999999999</v>
      </c>
      <c r="B395">
        <f>(Table110410[[#This Row],[time]]-2)*2</f>
        <v>1.8268399999999998</v>
      </c>
      <c r="C395">
        <v>83.046099999999996</v>
      </c>
      <c r="D395">
        <v>3.1764599999999999E-3</v>
      </c>
      <c r="E395">
        <f>Table110410[[#This Row],[CFNM]]/Table110410[[#This Row],[CAREA]]</f>
        <v>3.8249357886764101E-5</v>
      </c>
      <c r="F395">
        <v>2.9134199999999999</v>
      </c>
      <c r="G395">
        <f>(Table211411[[#This Row],[time]]-2)*2</f>
        <v>1.8268399999999998</v>
      </c>
      <c r="H395">
        <v>89.828199999999995</v>
      </c>
      <c r="I395">
        <v>3.0270200000000001E-3</v>
      </c>
      <c r="J395">
        <f>Table211411[[#This Row],[CFNM]]/Table211411[[#This Row],[CAREA]]</f>
        <v>3.3697881066302123E-5</v>
      </c>
      <c r="K395">
        <v>2.9134199999999999</v>
      </c>
      <c r="L395">
        <f>(Table312412[[#This Row],[time]]-2)*2</f>
        <v>1.8268399999999998</v>
      </c>
      <c r="M395">
        <v>74.9238</v>
      </c>
      <c r="N395">
        <v>2.1111300000000001E-3</v>
      </c>
      <c r="O395">
        <f>Table312412[[#This Row],[CFNM]]/Table312412[[#This Row],[CAREA]]</f>
        <v>2.8177027860306074E-5</v>
      </c>
      <c r="P395">
        <v>2.9134199999999999</v>
      </c>
      <c r="Q395">
        <f>(Table413413[[#This Row],[time]]-2)*2</f>
        <v>1.8268399999999998</v>
      </c>
      <c r="R395">
        <v>80.527199999999993</v>
      </c>
      <c r="S395">
        <v>3.2652800000000002E-3</v>
      </c>
      <c r="T395">
        <f>Table413413[[#This Row],[CFNM]]/Table413413[[#This Row],[CAREA]]</f>
        <v>4.0548783516625446E-5</v>
      </c>
      <c r="U395">
        <v>2.9134199999999999</v>
      </c>
      <c r="V395">
        <f>(Table514414[[#This Row],[time]]-2)*2</f>
        <v>1.8268399999999998</v>
      </c>
      <c r="W395">
        <v>73.242900000000006</v>
      </c>
      <c r="X395">
        <v>3.9726400000000004E-3</v>
      </c>
      <c r="Y395">
        <f>Table514414[[#This Row],[CFNM]]/Table514414[[#This Row],[CAREA]]</f>
        <v>5.4239250493904529E-5</v>
      </c>
      <c r="Z395">
        <v>2.9134199999999999</v>
      </c>
      <c r="AA395">
        <f>(Table615415[[#This Row],[time]]-2)*2</f>
        <v>1.8268399999999998</v>
      </c>
      <c r="AB395">
        <v>73.792599999999993</v>
      </c>
      <c r="AC395">
        <v>3.0499400000000001E-3</v>
      </c>
      <c r="AD395">
        <f>Table615415[[#This Row],[CFNM]]/Table615415[[#This Row],[CAREA]]</f>
        <v>4.1331244596341643E-5</v>
      </c>
      <c r="AE395">
        <v>2.9134199999999999</v>
      </c>
      <c r="AF395">
        <f>(Table716416[[#This Row],[time]]-2)*2</f>
        <v>1.8268399999999998</v>
      </c>
      <c r="AG395">
        <v>77.901200000000003</v>
      </c>
      <c r="AH395">
        <v>7.2457500000000001</v>
      </c>
      <c r="AI395">
        <f>Table716416[[#This Row],[CFNM]]/Table716416[[#This Row],[CAREA]]</f>
        <v>9.3012046027532311E-2</v>
      </c>
      <c r="AJ395">
        <v>2.9134199999999999</v>
      </c>
      <c r="AK395">
        <f>(Table817417[[#This Row],[time]]-2)*2</f>
        <v>1.8268399999999998</v>
      </c>
      <c r="AL395">
        <v>83.198300000000003</v>
      </c>
      <c r="AM395">
        <v>5.2941799999999999</v>
      </c>
      <c r="AN395">
        <f>Table817417[[#This Row],[CFNM]]/Table817417[[#This Row],[CAREA]]</f>
        <v>6.3633271352900242E-2</v>
      </c>
    </row>
    <row r="396" spans="1:40">
      <c r="A396">
        <v>2.9619599999999999</v>
      </c>
      <c r="B396">
        <f>(Table110410[[#This Row],[time]]-2)*2</f>
        <v>1.9239199999999999</v>
      </c>
      <c r="C396">
        <v>81.917100000000005</v>
      </c>
      <c r="D396">
        <v>3.0569600000000001E-3</v>
      </c>
      <c r="E396">
        <f>Table110410[[#This Row],[CFNM]]/Table110410[[#This Row],[CAREA]]</f>
        <v>3.7317727312124083E-5</v>
      </c>
      <c r="F396">
        <v>2.9619599999999999</v>
      </c>
      <c r="G396">
        <f>(Table211411[[#This Row],[time]]-2)*2</f>
        <v>1.9239199999999999</v>
      </c>
      <c r="H396">
        <v>89.735600000000005</v>
      </c>
      <c r="I396">
        <v>3.0320099999999999E-3</v>
      </c>
      <c r="J396">
        <f>Table211411[[#This Row],[CFNM]]/Table211411[[#This Row],[CAREA]]</f>
        <v>3.3788262406447383E-5</v>
      </c>
      <c r="K396">
        <v>2.9619599999999999</v>
      </c>
      <c r="L396">
        <f>(Table312412[[#This Row],[time]]-2)*2</f>
        <v>1.9239199999999999</v>
      </c>
      <c r="M396">
        <v>72.545900000000003</v>
      </c>
      <c r="N396">
        <v>2.03791E-3</v>
      </c>
      <c r="O396">
        <f>Table312412[[#This Row],[CFNM]]/Table312412[[#This Row],[CAREA]]</f>
        <v>2.8091318737516523E-5</v>
      </c>
      <c r="P396">
        <v>2.9619599999999999</v>
      </c>
      <c r="Q396">
        <f>(Table413413[[#This Row],[time]]-2)*2</f>
        <v>1.9239199999999999</v>
      </c>
      <c r="R396">
        <v>80.221900000000005</v>
      </c>
      <c r="S396">
        <v>3.1927100000000001E-3</v>
      </c>
      <c r="T396">
        <f>Table413413[[#This Row],[CFNM]]/Table413413[[#This Row],[CAREA]]</f>
        <v>3.9798483955129458E-5</v>
      </c>
      <c r="U396">
        <v>2.9619599999999999</v>
      </c>
      <c r="V396">
        <f>(Table514414[[#This Row],[time]]-2)*2</f>
        <v>1.9239199999999999</v>
      </c>
      <c r="W396">
        <v>72.787300000000002</v>
      </c>
      <c r="X396">
        <v>3.8712199999999999E-3</v>
      </c>
      <c r="Y396">
        <f>Table514414[[#This Row],[CFNM]]/Table514414[[#This Row],[CAREA]]</f>
        <v>5.3185377119360106E-5</v>
      </c>
      <c r="Z396">
        <v>2.9619599999999999</v>
      </c>
      <c r="AA396">
        <f>(Table615415[[#This Row],[time]]-2)*2</f>
        <v>1.9239199999999999</v>
      </c>
      <c r="AB396">
        <v>71.276700000000005</v>
      </c>
      <c r="AC396">
        <v>2.8959300000000001E-3</v>
      </c>
      <c r="AD396">
        <f>Table615415[[#This Row],[CFNM]]/Table615415[[#This Row],[CAREA]]</f>
        <v>4.0629406243555045E-5</v>
      </c>
      <c r="AE396">
        <v>2.9619599999999999</v>
      </c>
      <c r="AF396">
        <f>(Table716416[[#This Row],[time]]-2)*2</f>
        <v>1.9239199999999999</v>
      </c>
      <c r="AG396">
        <v>77.912300000000002</v>
      </c>
      <c r="AH396">
        <v>6.5256600000000002</v>
      </c>
      <c r="AI396">
        <f>Table716416[[#This Row],[CFNM]]/Table716416[[#This Row],[CAREA]]</f>
        <v>8.3756480042303974E-2</v>
      </c>
      <c r="AJ396">
        <v>2.9619599999999999</v>
      </c>
      <c r="AK396">
        <f>(Table817417[[#This Row],[time]]-2)*2</f>
        <v>1.9239199999999999</v>
      </c>
      <c r="AL396">
        <v>83.083100000000002</v>
      </c>
      <c r="AM396">
        <v>4.8111800000000002</v>
      </c>
      <c r="AN396">
        <f>Table817417[[#This Row],[CFNM]]/Table817417[[#This Row],[CAREA]]</f>
        <v>5.7908046281373714E-2</v>
      </c>
    </row>
    <row r="397" spans="1:40">
      <c r="A397">
        <v>3</v>
      </c>
      <c r="B397">
        <f>(Table110410[[#This Row],[time]]-2)*2</f>
        <v>2</v>
      </c>
      <c r="C397">
        <v>81.406899999999993</v>
      </c>
      <c r="D397">
        <v>2.9606099999999998E-3</v>
      </c>
      <c r="E397">
        <f>Table110410[[#This Row],[CFNM]]/Table110410[[#This Row],[CAREA]]</f>
        <v>3.6368047425955295E-5</v>
      </c>
      <c r="F397">
        <v>3</v>
      </c>
      <c r="G397">
        <f>(Table211411[[#This Row],[time]]-2)*2</f>
        <v>2</v>
      </c>
      <c r="H397">
        <v>89.678600000000003</v>
      </c>
      <c r="I397">
        <v>3.0460800000000001E-3</v>
      </c>
      <c r="J397">
        <f>Table211411[[#This Row],[CFNM]]/Table211411[[#This Row],[CAREA]]</f>
        <v>3.3966631950097347E-5</v>
      </c>
      <c r="K397">
        <v>3</v>
      </c>
      <c r="L397">
        <f>(Table312412[[#This Row],[time]]-2)*2</f>
        <v>2</v>
      </c>
      <c r="M397">
        <v>70.834000000000003</v>
      </c>
      <c r="N397">
        <v>1.9774599999999999E-3</v>
      </c>
      <c r="O397">
        <f>Table312412[[#This Row],[CFNM]]/Table312412[[#This Row],[CAREA]]</f>
        <v>2.7916819606403703E-5</v>
      </c>
      <c r="P397">
        <v>3</v>
      </c>
      <c r="Q397">
        <f>(Table413413[[#This Row],[time]]-2)*2</f>
        <v>2</v>
      </c>
      <c r="R397">
        <v>79.960400000000007</v>
      </c>
      <c r="S397">
        <v>3.1358599999999999E-3</v>
      </c>
      <c r="T397">
        <f>Table413413[[#This Row],[CFNM]]/Table413413[[#This Row],[CAREA]]</f>
        <v>3.9217662743057808E-5</v>
      </c>
      <c r="U397">
        <v>3</v>
      </c>
      <c r="V397">
        <f>(Table514414[[#This Row],[time]]-2)*2</f>
        <v>2</v>
      </c>
      <c r="W397">
        <v>71.539000000000001</v>
      </c>
      <c r="X397">
        <v>3.78349E-3</v>
      </c>
      <c r="Y397">
        <f>Table514414[[#This Row],[CFNM]]/Table514414[[#This Row],[CAREA]]</f>
        <v>5.2887096548735651E-5</v>
      </c>
      <c r="Z397">
        <v>3</v>
      </c>
      <c r="AA397">
        <f>(Table615415[[#This Row],[time]]-2)*2</f>
        <v>2</v>
      </c>
      <c r="AB397">
        <v>69.444100000000006</v>
      </c>
      <c r="AC397">
        <v>2.7728800000000001E-3</v>
      </c>
      <c r="AD397">
        <f>Table615415[[#This Row],[CFNM]]/Table615415[[#This Row],[CAREA]]</f>
        <v>3.9929670051163449E-5</v>
      </c>
      <c r="AE397">
        <v>3</v>
      </c>
      <c r="AF397">
        <f>(Table716416[[#This Row],[time]]-2)*2</f>
        <v>2</v>
      </c>
      <c r="AG397">
        <v>77.906899999999993</v>
      </c>
      <c r="AH397">
        <v>5.9888599999999999</v>
      </c>
      <c r="AI397">
        <f>Table716416[[#This Row],[CFNM]]/Table716416[[#This Row],[CAREA]]</f>
        <v>7.6872010053024839E-2</v>
      </c>
      <c r="AJ397">
        <v>3</v>
      </c>
      <c r="AK397">
        <f>(Table817417[[#This Row],[time]]-2)*2</f>
        <v>2</v>
      </c>
      <c r="AL397">
        <v>82.979600000000005</v>
      </c>
      <c r="AM397">
        <v>4.4348299999999998</v>
      </c>
      <c r="AN397">
        <f>Table817417[[#This Row],[CFNM]]/Table817417[[#This Row],[CAREA]]</f>
        <v>5.3444822582899891E-2</v>
      </c>
    </row>
    <row r="400" spans="1:40">
      <c r="A400" s="1" t="s">
        <v>49</v>
      </c>
    </row>
    <row r="401" spans="1:40">
      <c r="A401" t="s">
        <v>50</v>
      </c>
      <c r="F401" t="s">
        <v>2</v>
      </c>
    </row>
    <row r="402" spans="1:40">
      <c r="F402" t="s">
        <v>4</v>
      </c>
      <c r="G402" t="s">
        <v>5</v>
      </c>
    </row>
    <row r="405" spans="1:40">
      <c r="A405" t="s">
        <v>7</v>
      </c>
      <c r="F405" t="s">
        <v>8</v>
      </c>
      <c r="K405" t="s">
        <v>9</v>
      </c>
      <c r="P405" t="s">
        <v>26</v>
      </c>
      <c r="U405" t="s">
        <v>11</v>
      </c>
      <c r="Z405" t="s">
        <v>12</v>
      </c>
      <c r="AE405" t="s">
        <v>13</v>
      </c>
      <c r="AJ405" t="s">
        <v>14</v>
      </c>
    </row>
    <row r="406" spans="1:40">
      <c r="A406" t="s">
        <v>15</v>
      </c>
      <c r="B406" t="s">
        <v>16</v>
      </c>
      <c r="C406" t="s">
        <v>20</v>
      </c>
      <c r="D406" t="s">
        <v>18</v>
      </c>
      <c r="E406" t="s">
        <v>19</v>
      </c>
      <c r="F406" t="s">
        <v>15</v>
      </c>
      <c r="G406" t="s">
        <v>16</v>
      </c>
      <c r="H406" t="s">
        <v>20</v>
      </c>
      <c r="I406" t="s">
        <v>18</v>
      </c>
      <c r="J406" t="s">
        <v>19</v>
      </c>
      <c r="K406" t="s">
        <v>15</v>
      </c>
      <c r="L406" t="s">
        <v>16</v>
      </c>
      <c r="M406" t="s">
        <v>20</v>
      </c>
      <c r="N406" t="s">
        <v>18</v>
      </c>
      <c r="O406" t="s">
        <v>19</v>
      </c>
      <c r="P406" t="s">
        <v>15</v>
      </c>
      <c r="Q406" t="s">
        <v>16</v>
      </c>
      <c r="R406" t="s">
        <v>20</v>
      </c>
      <c r="S406" t="s">
        <v>18</v>
      </c>
      <c r="T406" t="s">
        <v>19</v>
      </c>
      <c r="U406" t="s">
        <v>15</v>
      </c>
      <c r="V406" t="s">
        <v>16</v>
      </c>
      <c r="W406" t="s">
        <v>20</v>
      </c>
      <c r="X406" t="s">
        <v>18</v>
      </c>
      <c r="Y406" t="s">
        <v>19</v>
      </c>
      <c r="Z406" t="s">
        <v>15</v>
      </c>
      <c r="AA406" t="s">
        <v>16</v>
      </c>
      <c r="AB406" t="s">
        <v>20</v>
      </c>
      <c r="AC406" t="s">
        <v>18</v>
      </c>
      <c r="AD406" t="s">
        <v>19</v>
      </c>
      <c r="AE406" t="s">
        <v>15</v>
      </c>
      <c r="AF406" t="s">
        <v>16</v>
      </c>
      <c r="AG406" t="s">
        <v>20</v>
      </c>
      <c r="AH406" t="s">
        <v>18</v>
      </c>
      <c r="AI406" t="s">
        <v>19</v>
      </c>
      <c r="AJ406" t="s">
        <v>15</v>
      </c>
      <c r="AK406" t="s">
        <v>16</v>
      </c>
      <c r="AL406" t="s">
        <v>20</v>
      </c>
      <c r="AM406" t="s">
        <v>18</v>
      </c>
      <c r="AN406" t="s">
        <v>19</v>
      </c>
    </row>
    <row r="407" spans="1:40">
      <c r="A407">
        <v>2</v>
      </c>
      <c r="B407">
        <f>-(Table1418[[#This Row],[time]]-2)*2</f>
        <v>0</v>
      </c>
      <c r="C407">
        <v>80.561000000000007</v>
      </c>
      <c r="D407">
        <v>3.98224</v>
      </c>
      <c r="E407" s="2">
        <f>Table1418[[#This Row],[CFNM]]/Table1418[[#This Row],[CAREA]]</f>
        <v>4.9431362569978023E-2</v>
      </c>
      <c r="F407">
        <v>2</v>
      </c>
      <c r="G407">
        <f>-(Table2419[[#This Row],[time]]-2)*2</f>
        <v>0</v>
      </c>
      <c r="H407">
        <v>87.831800000000001</v>
      </c>
      <c r="I407">
        <v>3.8491699999999998E-3</v>
      </c>
      <c r="J407" s="2">
        <f>Table2419[[#This Row],[CFNM]]/Table2419[[#This Row],[CAREA]]</f>
        <v>4.3824332417188305E-5</v>
      </c>
      <c r="K407">
        <v>2</v>
      </c>
      <c r="L407">
        <f>-(Table3420[[#This Row],[time]]-2)*2</f>
        <v>0</v>
      </c>
      <c r="M407">
        <v>85.166600000000003</v>
      </c>
      <c r="N407">
        <v>3.7004999999999998E-3</v>
      </c>
      <c r="O407">
        <f>Table3420[[#This Row],[CFNM]]/Table3420[[#This Row],[CAREA]]</f>
        <v>4.3450131859203019E-5</v>
      </c>
      <c r="P407">
        <v>2</v>
      </c>
      <c r="Q407">
        <f>-(Table4421[[#This Row],[time]]-2)*2</f>
        <v>0</v>
      </c>
      <c r="R407">
        <v>79.101699999999994</v>
      </c>
      <c r="S407">
        <v>4.52579E-3</v>
      </c>
      <c r="T407">
        <f>Table4421[[#This Row],[CFNM]]/Table4421[[#This Row],[CAREA]]</f>
        <v>5.7214825977191392E-5</v>
      </c>
      <c r="U407">
        <v>2</v>
      </c>
      <c r="V407">
        <f>-(Table5422[[#This Row],[time]]-2)*2</f>
        <v>0</v>
      </c>
      <c r="W407">
        <v>83.227800000000002</v>
      </c>
      <c r="X407">
        <v>3.5062700000000002</v>
      </c>
      <c r="Y407">
        <f>Table5422[[#This Row],[CFNM]]/Table5422[[#This Row],[CAREA]]</f>
        <v>4.2128591648463616E-2</v>
      </c>
      <c r="Z407">
        <v>2</v>
      </c>
      <c r="AA407">
        <f>-(Table6423[[#This Row],[time]]-2)*2</f>
        <v>0</v>
      </c>
      <c r="AB407">
        <v>83.949600000000004</v>
      </c>
      <c r="AC407">
        <v>6.2740499999999999</v>
      </c>
      <c r="AD407">
        <f>Table6423[[#This Row],[CFNM]]/Table6423[[#This Row],[CAREA]]</f>
        <v>7.4735912976357233E-2</v>
      </c>
      <c r="AE407">
        <v>2</v>
      </c>
      <c r="AF407">
        <f>-(Table7424[[#This Row],[time]]-2)*2</f>
        <v>0</v>
      </c>
      <c r="AG407">
        <v>78.459999999999994</v>
      </c>
      <c r="AH407">
        <v>14.7075</v>
      </c>
      <c r="AI407">
        <f>Table7424[[#This Row],[CFNM]]/Table7424[[#This Row],[CAREA]]</f>
        <v>0.18745220494519502</v>
      </c>
      <c r="AJ407">
        <v>2</v>
      </c>
      <c r="AK407">
        <f>-(Table8425[[#This Row],[time]]-2)*2</f>
        <v>0</v>
      </c>
      <c r="AL407">
        <v>83.006</v>
      </c>
      <c r="AM407">
        <v>14.6487</v>
      </c>
      <c r="AN407">
        <f>Table8425[[#This Row],[CFNM]]/Table8425[[#This Row],[CAREA]]</f>
        <v>0.17647760402862445</v>
      </c>
    </row>
    <row r="408" spans="1:40">
      <c r="A408">
        <v>2.0512600000000001</v>
      </c>
      <c r="B408">
        <f>-(Table1418[[#This Row],[time]]-2)*2</f>
        <v>-0.10252000000000017</v>
      </c>
      <c r="C408">
        <v>91.6374</v>
      </c>
      <c r="D408">
        <v>10.6366</v>
      </c>
      <c r="E408">
        <f>Table1418[[#This Row],[CFNM]]/Table1418[[#This Row],[CAREA]]</f>
        <v>0.11607269520959783</v>
      </c>
      <c r="F408">
        <v>2.0512600000000001</v>
      </c>
      <c r="G408">
        <f>-(Table2419[[#This Row],[time]]-2)*2</f>
        <v>-0.10252000000000017</v>
      </c>
      <c r="H408">
        <v>94.601200000000006</v>
      </c>
      <c r="I408">
        <v>2.8572700000000002</v>
      </c>
      <c r="J408">
        <f>Table2419[[#This Row],[CFNM]]/Table2419[[#This Row],[CAREA]]</f>
        <v>3.0203316659830955E-2</v>
      </c>
      <c r="K408">
        <v>2.0512600000000001</v>
      </c>
      <c r="L408">
        <f>-(Table3420[[#This Row],[time]]-2)*2</f>
        <v>-0.10252000000000017</v>
      </c>
      <c r="M408">
        <v>89.665099999999995</v>
      </c>
      <c r="N408">
        <v>4.2941500000000001</v>
      </c>
      <c r="O408">
        <f>Table3420[[#This Row],[CFNM]]/Table3420[[#This Row],[CAREA]]</f>
        <v>4.7890985455879713E-2</v>
      </c>
      <c r="P408">
        <v>2.0512600000000001</v>
      </c>
      <c r="Q408">
        <f>-(Table4421[[#This Row],[time]]-2)*2</f>
        <v>-0.10252000000000017</v>
      </c>
      <c r="R408">
        <v>85.124799999999993</v>
      </c>
      <c r="S408">
        <v>5.7519</v>
      </c>
      <c r="T408">
        <f>Table4421[[#This Row],[CFNM]]/Table4421[[#This Row],[CAREA]]</f>
        <v>6.7570202808112337E-2</v>
      </c>
      <c r="U408">
        <v>2.0512600000000001</v>
      </c>
      <c r="V408">
        <f>-(Table5422[[#This Row],[time]]-2)*2</f>
        <v>-0.10252000000000017</v>
      </c>
      <c r="W408">
        <v>82.860299999999995</v>
      </c>
      <c r="X408">
        <v>11.2516</v>
      </c>
      <c r="Y408">
        <f>Table5422[[#This Row],[CFNM]]/Table5422[[#This Row],[CAREA]]</f>
        <v>0.13578999834661473</v>
      </c>
      <c r="Z408">
        <v>2.0512600000000001</v>
      </c>
      <c r="AA408">
        <f>-(Table6423[[#This Row],[time]]-2)*2</f>
        <v>-0.10252000000000017</v>
      </c>
      <c r="AB408">
        <v>88.995800000000003</v>
      </c>
      <c r="AC408">
        <v>16.496400000000001</v>
      </c>
      <c r="AD408">
        <f>Table6423[[#This Row],[CFNM]]/Table6423[[#This Row],[CAREA]]</f>
        <v>0.18536155638805427</v>
      </c>
      <c r="AE408">
        <v>2.0512600000000001</v>
      </c>
      <c r="AF408">
        <f>-(Table7424[[#This Row],[time]]-2)*2</f>
        <v>-0.10252000000000017</v>
      </c>
      <c r="AG408">
        <v>79.141000000000005</v>
      </c>
      <c r="AH408">
        <v>20.892299999999999</v>
      </c>
      <c r="AI408">
        <f>Table7424[[#This Row],[CFNM]]/Table7424[[#This Row],[CAREA]]</f>
        <v>0.26398832463577659</v>
      </c>
      <c r="AJ408">
        <v>2.0512600000000001</v>
      </c>
      <c r="AK408">
        <f>-(Table8425[[#This Row],[time]]-2)*2</f>
        <v>-0.10252000000000017</v>
      </c>
      <c r="AL408">
        <v>83.065200000000004</v>
      </c>
      <c r="AM408">
        <v>20.571899999999999</v>
      </c>
      <c r="AN408">
        <f>Table8425[[#This Row],[CFNM]]/Table8425[[#This Row],[CAREA]]</f>
        <v>0.24765966975339851</v>
      </c>
    </row>
    <row r="409" spans="1:40">
      <c r="A409">
        <v>2.1153300000000002</v>
      </c>
      <c r="B409">
        <f>-(Table1418[[#This Row],[time]]-2)*2</f>
        <v>-0.23066000000000031</v>
      </c>
      <c r="C409">
        <v>90.6691</v>
      </c>
      <c r="D409">
        <v>11.9621</v>
      </c>
      <c r="E409">
        <f>Table1418[[#This Row],[CFNM]]/Table1418[[#This Row],[CAREA]]</f>
        <v>0.13193138566501708</v>
      </c>
      <c r="F409">
        <v>2.1153300000000002</v>
      </c>
      <c r="G409">
        <f>-(Table2419[[#This Row],[time]]-2)*2</f>
        <v>-0.23066000000000031</v>
      </c>
      <c r="H409">
        <v>94.294399999999996</v>
      </c>
      <c r="I409">
        <v>3.8909099999999999</v>
      </c>
      <c r="J409">
        <f>Table2419[[#This Row],[CFNM]]/Table2419[[#This Row],[CAREA]]</f>
        <v>4.126342603590457E-2</v>
      </c>
      <c r="K409">
        <v>2.1153300000000002</v>
      </c>
      <c r="L409">
        <f>-(Table3420[[#This Row],[time]]-2)*2</f>
        <v>-0.23066000000000031</v>
      </c>
      <c r="M409">
        <v>89.788899999999998</v>
      </c>
      <c r="N409">
        <v>6.3355300000000003</v>
      </c>
      <c r="O409">
        <f>Table3420[[#This Row],[CFNM]]/Table3420[[#This Row],[CAREA]]</f>
        <v>7.056028083649539E-2</v>
      </c>
      <c r="P409">
        <v>2.1153300000000002</v>
      </c>
      <c r="Q409">
        <f>-(Table4421[[#This Row],[time]]-2)*2</f>
        <v>-0.23066000000000031</v>
      </c>
      <c r="R409">
        <v>86.388599999999997</v>
      </c>
      <c r="S409">
        <v>8.9518500000000003</v>
      </c>
      <c r="T409">
        <f>Table4421[[#This Row],[CFNM]]/Table4421[[#This Row],[CAREA]]</f>
        <v>0.10362304748543211</v>
      </c>
      <c r="U409">
        <v>2.1153300000000002</v>
      </c>
      <c r="V409">
        <f>-(Table5422[[#This Row],[time]]-2)*2</f>
        <v>-0.23066000000000031</v>
      </c>
      <c r="W409">
        <v>81.927000000000007</v>
      </c>
      <c r="X409">
        <v>16.330500000000001</v>
      </c>
      <c r="Y409">
        <f>Table5422[[#This Row],[CFNM]]/Table5422[[#This Row],[CAREA]]</f>
        <v>0.19932989124464462</v>
      </c>
      <c r="Z409">
        <v>2.1153300000000002</v>
      </c>
      <c r="AA409">
        <f>-(Table6423[[#This Row],[time]]-2)*2</f>
        <v>-0.23066000000000031</v>
      </c>
      <c r="AB409">
        <v>88.975300000000004</v>
      </c>
      <c r="AC409">
        <v>22.9374</v>
      </c>
      <c r="AD409">
        <f>Table6423[[#This Row],[CFNM]]/Table6423[[#This Row],[CAREA]]</f>
        <v>0.25779514089865391</v>
      </c>
      <c r="AE409">
        <v>2.1153300000000002</v>
      </c>
      <c r="AF409">
        <f>-(Table7424[[#This Row],[time]]-2)*2</f>
        <v>-0.23066000000000031</v>
      </c>
      <c r="AG409">
        <v>79.4542</v>
      </c>
      <c r="AH409">
        <v>22.4056</v>
      </c>
      <c r="AI409">
        <f>Table7424[[#This Row],[CFNM]]/Table7424[[#This Row],[CAREA]]</f>
        <v>0.28199390340598735</v>
      </c>
      <c r="AJ409">
        <v>2.1153300000000002</v>
      </c>
      <c r="AK409">
        <f>-(Table8425[[#This Row],[time]]-2)*2</f>
        <v>-0.23066000000000031</v>
      </c>
      <c r="AL409">
        <v>82.835800000000006</v>
      </c>
      <c r="AM409">
        <v>22.8538</v>
      </c>
      <c r="AN409">
        <f>Table8425[[#This Row],[CFNM]]/Table8425[[#This Row],[CAREA]]</f>
        <v>0.27589279031529845</v>
      </c>
    </row>
    <row r="410" spans="1:40">
      <c r="A410">
        <v>2.16533</v>
      </c>
      <c r="B410">
        <f>-(Table1418[[#This Row],[time]]-2)*2</f>
        <v>-0.33065999999999995</v>
      </c>
      <c r="C410">
        <v>90.0398</v>
      </c>
      <c r="D410">
        <v>12.8109</v>
      </c>
      <c r="E410">
        <f>Table1418[[#This Row],[CFNM]]/Table1418[[#This Row],[CAREA]]</f>
        <v>0.14228041377257614</v>
      </c>
      <c r="F410">
        <v>2.16533</v>
      </c>
      <c r="G410">
        <f>-(Table2419[[#This Row],[time]]-2)*2</f>
        <v>-0.33065999999999995</v>
      </c>
      <c r="H410">
        <v>94.128500000000003</v>
      </c>
      <c r="I410">
        <v>4.5729499999999996</v>
      </c>
      <c r="J410">
        <f>Table2419[[#This Row],[CFNM]]/Table2419[[#This Row],[CAREA]]</f>
        <v>4.8581991639089113E-2</v>
      </c>
      <c r="K410">
        <v>2.16533</v>
      </c>
      <c r="L410">
        <f>-(Table3420[[#This Row],[time]]-2)*2</f>
        <v>-0.33065999999999995</v>
      </c>
      <c r="M410">
        <v>89.900300000000001</v>
      </c>
      <c r="N410">
        <v>7.8223200000000004</v>
      </c>
      <c r="O410">
        <f>Table3420[[#This Row],[CFNM]]/Table3420[[#This Row],[CAREA]]</f>
        <v>8.7011055580459684E-2</v>
      </c>
      <c r="P410">
        <v>2.16533</v>
      </c>
      <c r="Q410">
        <f>-(Table4421[[#This Row],[time]]-2)*2</f>
        <v>-0.33065999999999995</v>
      </c>
      <c r="R410">
        <v>86.753500000000003</v>
      </c>
      <c r="S410">
        <v>10.980600000000001</v>
      </c>
      <c r="T410">
        <f>Table4421[[#This Row],[CFNM]]/Table4421[[#This Row],[CAREA]]</f>
        <v>0.12657241494579469</v>
      </c>
      <c r="U410">
        <v>2.16533</v>
      </c>
      <c r="V410">
        <f>-(Table5422[[#This Row],[time]]-2)*2</f>
        <v>-0.33065999999999995</v>
      </c>
      <c r="W410">
        <v>81.892399999999995</v>
      </c>
      <c r="X410">
        <v>20.0335</v>
      </c>
      <c r="Y410">
        <f>Table5422[[#This Row],[CFNM]]/Table5422[[#This Row],[CAREA]]</f>
        <v>0.2446319805012431</v>
      </c>
      <c r="Z410">
        <v>2.16533</v>
      </c>
      <c r="AA410">
        <f>-(Table6423[[#This Row],[time]]-2)*2</f>
        <v>-0.33065999999999995</v>
      </c>
      <c r="AB410">
        <v>88.702500000000001</v>
      </c>
      <c r="AC410">
        <v>27.738399999999999</v>
      </c>
      <c r="AD410">
        <f>Table6423[[#This Row],[CFNM]]/Table6423[[#This Row],[CAREA]]</f>
        <v>0.3127127194836673</v>
      </c>
      <c r="AE410">
        <v>2.16533</v>
      </c>
      <c r="AF410">
        <f>-(Table7424[[#This Row],[time]]-2)*2</f>
        <v>-0.33065999999999995</v>
      </c>
      <c r="AG410">
        <v>79.577100000000002</v>
      </c>
      <c r="AH410">
        <v>24.485800000000001</v>
      </c>
      <c r="AI410">
        <f>Table7424[[#This Row],[CFNM]]/Table7424[[#This Row],[CAREA]]</f>
        <v>0.30769907423115445</v>
      </c>
      <c r="AJ410">
        <v>2.16533</v>
      </c>
      <c r="AK410">
        <f>-(Table8425[[#This Row],[time]]-2)*2</f>
        <v>-0.33065999999999995</v>
      </c>
      <c r="AL410">
        <v>82.571299999999994</v>
      </c>
      <c r="AM410">
        <v>25.810700000000001</v>
      </c>
      <c r="AN410">
        <f>Table8425[[#This Row],[CFNM]]/Table8425[[#This Row],[CAREA]]</f>
        <v>0.3125868189068115</v>
      </c>
    </row>
    <row r="411" spans="1:40">
      <c r="A411">
        <v>2.2246999999999999</v>
      </c>
      <c r="B411">
        <f>-(Table1418[[#This Row],[time]]-2)*2</f>
        <v>-0.4493999999999998</v>
      </c>
      <c r="C411">
        <v>89.433999999999997</v>
      </c>
      <c r="D411">
        <v>13.858499999999999</v>
      </c>
      <c r="E411">
        <f>Table1418[[#This Row],[CFNM]]/Table1418[[#This Row],[CAREA]]</f>
        <v>0.15495784600934767</v>
      </c>
      <c r="F411">
        <v>2.2246999999999999</v>
      </c>
      <c r="G411">
        <f>-(Table2419[[#This Row],[time]]-2)*2</f>
        <v>-0.4493999999999998</v>
      </c>
      <c r="H411">
        <v>94.003500000000003</v>
      </c>
      <c r="I411">
        <v>5.6189299999999998</v>
      </c>
      <c r="J411">
        <f>Table2419[[#This Row],[CFNM]]/Table2419[[#This Row],[CAREA]]</f>
        <v>5.9773625450116212E-2</v>
      </c>
      <c r="K411">
        <v>2.2246999999999999</v>
      </c>
      <c r="L411">
        <f>-(Table3420[[#This Row],[time]]-2)*2</f>
        <v>-0.4493999999999998</v>
      </c>
      <c r="M411">
        <v>89.628900000000002</v>
      </c>
      <c r="N411">
        <v>9.6259099999999993</v>
      </c>
      <c r="O411">
        <f>Table3420[[#This Row],[CFNM]]/Table3420[[#This Row],[CAREA]]</f>
        <v>0.10739739079694161</v>
      </c>
      <c r="P411">
        <v>2.2246999999999999</v>
      </c>
      <c r="Q411">
        <f>-(Table4421[[#This Row],[time]]-2)*2</f>
        <v>-0.4493999999999998</v>
      </c>
      <c r="R411">
        <v>87.0732</v>
      </c>
      <c r="S411">
        <v>13.441700000000001</v>
      </c>
      <c r="T411">
        <f>Table4421[[#This Row],[CFNM]]/Table4421[[#This Row],[CAREA]]</f>
        <v>0.15437241309610766</v>
      </c>
      <c r="U411">
        <v>2.2246999999999999</v>
      </c>
      <c r="V411">
        <f>-(Table5422[[#This Row],[time]]-2)*2</f>
        <v>-0.4493999999999998</v>
      </c>
      <c r="W411">
        <v>81.248199999999997</v>
      </c>
      <c r="X411">
        <v>24.418800000000001</v>
      </c>
      <c r="Y411">
        <f>Table5422[[#This Row],[CFNM]]/Table5422[[#This Row],[CAREA]]</f>
        <v>0.30054573516705602</v>
      </c>
      <c r="Z411">
        <v>2.2246999999999999</v>
      </c>
      <c r="AA411">
        <f>-(Table6423[[#This Row],[time]]-2)*2</f>
        <v>-0.4493999999999998</v>
      </c>
      <c r="AB411">
        <v>88.745199999999997</v>
      </c>
      <c r="AC411">
        <v>33.755299999999998</v>
      </c>
      <c r="AD411">
        <f>Table6423[[#This Row],[CFNM]]/Table6423[[#This Row],[CAREA]]</f>
        <v>0.38036198014089778</v>
      </c>
      <c r="AE411">
        <v>2.2246999999999999</v>
      </c>
      <c r="AF411">
        <f>-(Table7424[[#This Row],[time]]-2)*2</f>
        <v>-0.4493999999999998</v>
      </c>
      <c r="AG411">
        <v>79.840900000000005</v>
      </c>
      <c r="AH411">
        <v>28.062899999999999</v>
      </c>
      <c r="AI411">
        <f>Table7424[[#This Row],[CFNM]]/Table7424[[#This Row],[CAREA]]</f>
        <v>0.3514852663234006</v>
      </c>
      <c r="AJ411">
        <v>2.2246999999999999</v>
      </c>
      <c r="AK411">
        <f>-(Table8425[[#This Row],[time]]-2)*2</f>
        <v>-0.4493999999999998</v>
      </c>
      <c r="AL411">
        <v>82.223200000000006</v>
      </c>
      <c r="AM411">
        <v>30.1554</v>
      </c>
      <c r="AN411">
        <f>Table8425[[#This Row],[CFNM]]/Table8425[[#This Row],[CAREA]]</f>
        <v>0.36675050350752586</v>
      </c>
    </row>
    <row r="412" spans="1:40">
      <c r="A412">
        <v>2.2668900000000001</v>
      </c>
      <c r="B412">
        <f>-(Table1418[[#This Row],[time]]-2)*2</f>
        <v>-0.53378000000000014</v>
      </c>
      <c r="C412">
        <v>89.153700000000001</v>
      </c>
      <c r="D412">
        <v>14.696300000000001</v>
      </c>
      <c r="E412">
        <f>Table1418[[#This Row],[CFNM]]/Table1418[[#This Row],[CAREA]]</f>
        <v>0.16484228921514193</v>
      </c>
      <c r="F412">
        <v>2.2668900000000001</v>
      </c>
      <c r="G412">
        <f>-(Table2419[[#This Row],[time]]-2)*2</f>
        <v>-0.53378000000000014</v>
      </c>
      <c r="H412">
        <v>94.298299999999998</v>
      </c>
      <c r="I412">
        <v>6.4857800000000001</v>
      </c>
      <c r="J412">
        <f>Table2419[[#This Row],[CFNM]]/Table2419[[#This Row],[CAREA]]</f>
        <v>6.8779394750488609E-2</v>
      </c>
      <c r="K412">
        <v>2.2668900000000001</v>
      </c>
      <c r="L412">
        <f>-(Table3420[[#This Row],[time]]-2)*2</f>
        <v>-0.53378000000000014</v>
      </c>
      <c r="M412">
        <v>89.761300000000006</v>
      </c>
      <c r="N412">
        <v>10.987299999999999</v>
      </c>
      <c r="O412">
        <f>Table3420[[#This Row],[CFNM]]/Table3420[[#This Row],[CAREA]]</f>
        <v>0.12240575838362411</v>
      </c>
      <c r="P412">
        <v>2.2668900000000001</v>
      </c>
      <c r="Q412">
        <f>-(Table4421[[#This Row],[time]]-2)*2</f>
        <v>-0.53378000000000014</v>
      </c>
      <c r="R412">
        <v>87.274000000000001</v>
      </c>
      <c r="S412">
        <v>15.2469</v>
      </c>
      <c r="T412">
        <f>Table4421[[#This Row],[CFNM]]/Table4421[[#This Row],[CAREA]]</f>
        <v>0.17470151476957627</v>
      </c>
      <c r="U412">
        <v>2.2668900000000001</v>
      </c>
      <c r="V412">
        <f>-(Table5422[[#This Row],[time]]-2)*2</f>
        <v>-0.53378000000000014</v>
      </c>
      <c r="W412">
        <v>80.62</v>
      </c>
      <c r="X412">
        <v>27.153700000000001</v>
      </c>
      <c r="Y412">
        <f>Table5422[[#This Row],[CFNM]]/Table5422[[#This Row],[CAREA]]</f>
        <v>0.33681096502108659</v>
      </c>
      <c r="Z412">
        <v>2.2668900000000001</v>
      </c>
      <c r="AA412">
        <f>-(Table6423[[#This Row],[time]]-2)*2</f>
        <v>-0.53378000000000014</v>
      </c>
      <c r="AB412">
        <v>88.712000000000003</v>
      </c>
      <c r="AC412">
        <v>37.714399999999998</v>
      </c>
      <c r="AD412">
        <f>Table6423[[#This Row],[CFNM]]/Table6423[[#This Row],[CAREA]]</f>
        <v>0.42513301469925147</v>
      </c>
      <c r="AE412">
        <v>2.2668900000000001</v>
      </c>
      <c r="AF412">
        <f>-(Table7424[[#This Row],[time]]-2)*2</f>
        <v>-0.53378000000000014</v>
      </c>
      <c r="AG412">
        <v>80.163499999999999</v>
      </c>
      <c r="AH412">
        <v>31.098099999999999</v>
      </c>
      <c r="AI412">
        <f>Table7424[[#This Row],[CFNM]]/Table7424[[#This Row],[CAREA]]</f>
        <v>0.38793341109108259</v>
      </c>
      <c r="AJ412">
        <v>2.2668900000000001</v>
      </c>
      <c r="AK412">
        <f>-(Table8425[[#This Row],[time]]-2)*2</f>
        <v>-0.53378000000000014</v>
      </c>
      <c r="AL412">
        <v>82.0047</v>
      </c>
      <c r="AM412">
        <v>33.366999999999997</v>
      </c>
      <c r="AN412">
        <f>Table8425[[#This Row],[CFNM]]/Table8425[[#This Row],[CAREA]]</f>
        <v>0.40689131232722026</v>
      </c>
    </row>
    <row r="413" spans="1:40">
      <c r="A413">
        <v>2.3262700000000001</v>
      </c>
      <c r="B413">
        <f>-(Table1418[[#This Row],[time]]-2)*2</f>
        <v>-0.65254000000000012</v>
      </c>
      <c r="C413">
        <v>88.991799999999998</v>
      </c>
      <c r="D413">
        <v>15.7576</v>
      </c>
      <c r="E413">
        <f>Table1418[[#This Row],[CFNM]]/Table1418[[#This Row],[CAREA]]</f>
        <v>0.17706799952355162</v>
      </c>
      <c r="F413">
        <v>2.3262700000000001</v>
      </c>
      <c r="G413">
        <f>-(Table2419[[#This Row],[time]]-2)*2</f>
        <v>-0.65254000000000012</v>
      </c>
      <c r="H413">
        <v>94.41</v>
      </c>
      <c r="I413">
        <v>7.4539299999999997</v>
      </c>
      <c r="J413">
        <f>Table2419[[#This Row],[CFNM]]/Table2419[[#This Row],[CAREA]]</f>
        <v>7.8952759241605761E-2</v>
      </c>
      <c r="K413">
        <v>2.3262700000000001</v>
      </c>
      <c r="L413">
        <f>-(Table3420[[#This Row],[time]]-2)*2</f>
        <v>-0.65254000000000012</v>
      </c>
      <c r="M413">
        <v>89.896900000000002</v>
      </c>
      <c r="N413">
        <v>12.7881</v>
      </c>
      <c r="O413">
        <f>Table3420[[#This Row],[CFNM]]/Table3420[[#This Row],[CAREA]]</f>
        <v>0.14225295866709531</v>
      </c>
      <c r="P413">
        <v>2.3262700000000001</v>
      </c>
      <c r="Q413">
        <f>-(Table4421[[#This Row],[time]]-2)*2</f>
        <v>-0.65254000000000012</v>
      </c>
      <c r="R413">
        <v>87.874799999999993</v>
      </c>
      <c r="S413">
        <v>17.386600000000001</v>
      </c>
      <c r="T413">
        <f>Table4421[[#This Row],[CFNM]]/Table4421[[#This Row],[CAREA]]</f>
        <v>0.19785649583270748</v>
      </c>
      <c r="U413">
        <v>2.3262700000000001</v>
      </c>
      <c r="V413">
        <f>-(Table5422[[#This Row],[time]]-2)*2</f>
        <v>-0.65254000000000012</v>
      </c>
      <c r="W413">
        <v>79.415800000000004</v>
      </c>
      <c r="X413">
        <v>29.7529</v>
      </c>
      <c r="Y413">
        <f>Table5422[[#This Row],[CFNM]]/Table5422[[#This Row],[CAREA]]</f>
        <v>0.37464711052460592</v>
      </c>
      <c r="Z413">
        <v>2.3262700000000001</v>
      </c>
      <c r="AA413">
        <f>-(Table6423[[#This Row],[time]]-2)*2</f>
        <v>-0.65254000000000012</v>
      </c>
      <c r="AB413">
        <v>87.823999999999998</v>
      </c>
      <c r="AC413">
        <v>41.706600000000002</v>
      </c>
      <c r="AD413">
        <f>Table6423[[#This Row],[CFNM]]/Table6423[[#This Row],[CAREA]]</f>
        <v>0.4748884131900164</v>
      </c>
      <c r="AE413">
        <v>2.3262700000000001</v>
      </c>
      <c r="AF413">
        <f>-(Table7424[[#This Row],[time]]-2)*2</f>
        <v>-0.65254000000000012</v>
      </c>
      <c r="AG413">
        <v>80.127600000000001</v>
      </c>
      <c r="AH413">
        <v>34.7637</v>
      </c>
      <c r="AI413">
        <f>Table7424[[#This Row],[CFNM]]/Table7424[[#This Row],[CAREA]]</f>
        <v>0.43385425246731463</v>
      </c>
      <c r="AJ413">
        <v>2.3262700000000001</v>
      </c>
      <c r="AK413">
        <f>-(Table8425[[#This Row],[time]]-2)*2</f>
        <v>-0.65254000000000012</v>
      </c>
      <c r="AL413">
        <v>81.598399999999998</v>
      </c>
      <c r="AM413">
        <v>36.940800000000003</v>
      </c>
      <c r="AN413">
        <f>Table8425[[#This Row],[CFNM]]/Table8425[[#This Row],[CAREA]]</f>
        <v>0.4527147591129238</v>
      </c>
    </row>
    <row r="414" spans="1:40">
      <c r="A414">
        <v>2.3684599999999998</v>
      </c>
      <c r="B414">
        <f>-(Table1418[[#This Row],[time]]-2)*2</f>
        <v>-0.73691999999999958</v>
      </c>
      <c r="C414">
        <v>88.967200000000005</v>
      </c>
      <c r="D414">
        <v>16.748799999999999</v>
      </c>
      <c r="E414">
        <f>Table1418[[#This Row],[CFNM]]/Table1418[[#This Row],[CAREA]]</f>
        <v>0.18825814457462972</v>
      </c>
      <c r="F414">
        <v>2.3684599999999998</v>
      </c>
      <c r="G414">
        <f>-(Table2419[[#This Row],[time]]-2)*2</f>
        <v>-0.73691999999999958</v>
      </c>
      <c r="H414">
        <v>94.556700000000006</v>
      </c>
      <c r="I414">
        <v>8.4587199999999996</v>
      </c>
      <c r="J414">
        <f>Table2419[[#This Row],[CFNM]]/Table2419[[#This Row],[CAREA]]</f>
        <v>8.9456590595906993E-2</v>
      </c>
      <c r="K414">
        <v>2.3684599999999998</v>
      </c>
      <c r="L414">
        <f>-(Table3420[[#This Row],[time]]-2)*2</f>
        <v>-0.73691999999999958</v>
      </c>
      <c r="M414">
        <v>89.950500000000005</v>
      </c>
      <c r="N414">
        <v>14.6915</v>
      </c>
      <c r="O414">
        <f>Table3420[[#This Row],[CFNM]]/Table3420[[#This Row],[CAREA]]</f>
        <v>0.16332871968471546</v>
      </c>
      <c r="P414">
        <v>2.3684599999999998</v>
      </c>
      <c r="Q414">
        <f>-(Table4421[[#This Row],[time]]-2)*2</f>
        <v>-0.73691999999999958</v>
      </c>
      <c r="R414">
        <v>88.097099999999998</v>
      </c>
      <c r="S414">
        <v>19.587399999999999</v>
      </c>
      <c r="T414">
        <f>Table4421[[#This Row],[CFNM]]/Table4421[[#This Row],[CAREA]]</f>
        <v>0.22233876029971475</v>
      </c>
      <c r="U414">
        <v>2.3684599999999998</v>
      </c>
      <c r="V414">
        <f>-(Table5422[[#This Row],[time]]-2)*2</f>
        <v>-0.73691999999999958</v>
      </c>
      <c r="W414">
        <v>78.539100000000005</v>
      </c>
      <c r="X414">
        <v>32.0199</v>
      </c>
      <c r="Y414">
        <f>Table5422[[#This Row],[CFNM]]/Table5422[[#This Row],[CAREA]]</f>
        <v>0.40769374744553982</v>
      </c>
      <c r="Z414">
        <v>2.3684599999999998</v>
      </c>
      <c r="AA414">
        <f>-(Table6423[[#This Row],[time]]-2)*2</f>
        <v>-0.73691999999999958</v>
      </c>
      <c r="AB414">
        <v>86.981999999999999</v>
      </c>
      <c r="AC414">
        <v>45.237499999999997</v>
      </c>
      <c r="AD414">
        <f>Table6423[[#This Row],[CFNM]]/Table6423[[#This Row],[CAREA]]</f>
        <v>0.52007886689200067</v>
      </c>
      <c r="AE414">
        <v>2.3684599999999998</v>
      </c>
      <c r="AF414">
        <f>-(Table7424[[#This Row],[time]]-2)*2</f>
        <v>-0.73691999999999958</v>
      </c>
      <c r="AG414">
        <v>80.017499999999998</v>
      </c>
      <c r="AH414">
        <v>38.339799999999997</v>
      </c>
      <c r="AI414">
        <f>Table7424[[#This Row],[CFNM]]/Table7424[[#This Row],[CAREA]]</f>
        <v>0.47914268753710121</v>
      </c>
      <c r="AJ414">
        <v>2.3684599999999998</v>
      </c>
      <c r="AK414">
        <f>-(Table8425[[#This Row],[time]]-2)*2</f>
        <v>-0.73691999999999958</v>
      </c>
      <c r="AL414">
        <v>81.382099999999994</v>
      </c>
      <c r="AM414">
        <v>40.458799999999997</v>
      </c>
      <c r="AN414">
        <f>Table8425[[#This Row],[CFNM]]/Table8425[[#This Row],[CAREA]]</f>
        <v>0.49714617833651381</v>
      </c>
    </row>
    <row r="415" spans="1:40">
      <c r="A415">
        <v>2.4278300000000002</v>
      </c>
      <c r="B415">
        <f>-(Table1418[[#This Row],[time]]-2)*2</f>
        <v>-0.85566000000000031</v>
      </c>
      <c r="C415">
        <v>89.054599999999994</v>
      </c>
      <c r="D415">
        <v>17.732099999999999</v>
      </c>
      <c r="E415">
        <f>Table1418[[#This Row],[CFNM]]/Table1418[[#This Row],[CAREA]]</f>
        <v>0.19911492500106676</v>
      </c>
      <c r="F415">
        <v>2.4278300000000002</v>
      </c>
      <c r="G415">
        <f>-(Table2419[[#This Row],[time]]-2)*2</f>
        <v>-0.85566000000000031</v>
      </c>
      <c r="H415">
        <v>94.8279</v>
      </c>
      <c r="I415">
        <v>9.6155299999999997</v>
      </c>
      <c r="J415">
        <f>Table2419[[#This Row],[CFNM]]/Table2419[[#This Row],[CAREA]]</f>
        <v>0.10139979900430147</v>
      </c>
      <c r="K415">
        <v>2.4278300000000002</v>
      </c>
      <c r="L415">
        <f>-(Table3420[[#This Row],[time]]-2)*2</f>
        <v>-0.85566000000000031</v>
      </c>
      <c r="M415">
        <v>90.293199999999999</v>
      </c>
      <c r="N415">
        <v>16.7942</v>
      </c>
      <c r="O415">
        <f>Table3420[[#This Row],[CFNM]]/Table3420[[#This Row],[CAREA]]</f>
        <v>0.1859962876495683</v>
      </c>
      <c r="P415">
        <v>2.4278300000000002</v>
      </c>
      <c r="Q415">
        <f>-(Table4421[[#This Row],[time]]-2)*2</f>
        <v>-0.85566000000000031</v>
      </c>
      <c r="R415">
        <v>88.307400000000001</v>
      </c>
      <c r="S415">
        <v>22.038799999999998</v>
      </c>
      <c r="T415">
        <f>Table4421[[#This Row],[CFNM]]/Table4421[[#This Row],[CAREA]]</f>
        <v>0.24956911878279733</v>
      </c>
      <c r="U415">
        <v>2.4278300000000002</v>
      </c>
      <c r="V415">
        <f>-(Table5422[[#This Row],[time]]-2)*2</f>
        <v>-0.85566000000000031</v>
      </c>
      <c r="W415">
        <v>77.603999999999999</v>
      </c>
      <c r="X415">
        <v>34.465499999999999</v>
      </c>
      <c r="Y415">
        <f>Table5422[[#This Row],[CFNM]]/Table5422[[#This Row],[CAREA]]</f>
        <v>0.44412014844595638</v>
      </c>
      <c r="Z415">
        <v>2.4278300000000002</v>
      </c>
      <c r="AA415">
        <f>-(Table6423[[#This Row],[time]]-2)*2</f>
        <v>-0.85566000000000031</v>
      </c>
      <c r="AB415">
        <v>85.898300000000006</v>
      </c>
      <c r="AC415">
        <v>48.7196</v>
      </c>
      <c r="AD415">
        <f>Table6423[[#This Row],[CFNM]]/Table6423[[#This Row],[CAREA]]</f>
        <v>0.56717769734674606</v>
      </c>
      <c r="AE415">
        <v>2.4278300000000002</v>
      </c>
      <c r="AF415">
        <f>-(Table7424[[#This Row],[time]]-2)*2</f>
        <v>-0.85566000000000031</v>
      </c>
      <c r="AG415">
        <v>79.695899999999995</v>
      </c>
      <c r="AH415">
        <v>42.089199999999998</v>
      </c>
      <c r="AI415">
        <f>Table7424[[#This Row],[CFNM]]/Table7424[[#This Row],[CAREA]]</f>
        <v>0.52812252575101104</v>
      </c>
      <c r="AJ415">
        <v>2.4278300000000002</v>
      </c>
      <c r="AK415">
        <f>-(Table8425[[#This Row],[time]]-2)*2</f>
        <v>-0.85566000000000031</v>
      </c>
      <c r="AL415">
        <v>81.100899999999996</v>
      </c>
      <c r="AM415">
        <v>44.1218</v>
      </c>
      <c r="AN415">
        <f>Table8425[[#This Row],[CFNM]]/Table8425[[#This Row],[CAREA]]</f>
        <v>0.54403588616155929</v>
      </c>
    </row>
    <row r="416" spans="1:40">
      <c r="A416">
        <v>2.4542000000000002</v>
      </c>
      <c r="B416">
        <f>-(Table1418[[#This Row],[time]]-2)*2</f>
        <v>-0.90840000000000032</v>
      </c>
      <c r="C416">
        <v>89.263599999999997</v>
      </c>
      <c r="D416">
        <v>18.5684</v>
      </c>
      <c r="E416">
        <f>Table1418[[#This Row],[CFNM]]/Table1418[[#This Row],[CAREA]]</f>
        <v>0.20801760179961373</v>
      </c>
      <c r="F416">
        <v>2.4542000000000002</v>
      </c>
      <c r="G416">
        <f>-(Table2419[[#This Row],[time]]-2)*2</f>
        <v>-0.90840000000000032</v>
      </c>
      <c r="H416">
        <v>95.548100000000005</v>
      </c>
      <c r="I416">
        <v>10.7441</v>
      </c>
      <c r="J416">
        <f>Table2419[[#This Row],[CFNM]]/Table2419[[#This Row],[CAREA]]</f>
        <v>0.11244702929728585</v>
      </c>
      <c r="K416">
        <v>2.4542000000000002</v>
      </c>
      <c r="L416">
        <f>-(Table3420[[#This Row],[time]]-2)*2</f>
        <v>-0.90840000000000032</v>
      </c>
      <c r="M416">
        <v>90.2928</v>
      </c>
      <c r="N416">
        <v>18.7759</v>
      </c>
      <c r="O416">
        <f>Table3420[[#This Row],[CFNM]]/Table3420[[#This Row],[CAREA]]</f>
        <v>0.20794459801888965</v>
      </c>
      <c r="P416">
        <v>2.4542000000000002</v>
      </c>
      <c r="Q416">
        <f>-(Table4421[[#This Row],[time]]-2)*2</f>
        <v>-0.90840000000000032</v>
      </c>
      <c r="R416">
        <v>88.529899999999998</v>
      </c>
      <c r="S416">
        <v>24.423500000000001</v>
      </c>
      <c r="T416">
        <f>Table4421[[#This Row],[CFNM]]/Table4421[[#This Row],[CAREA]]</f>
        <v>0.27587854498875525</v>
      </c>
      <c r="U416">
        <v>2.4542000000000002</v>
      </c>
      <c r="V416">
        <f>-(Table5422[[#This Row],[time]]-2)*2</f>
        <v>-0.90840000000000032</v>
      </c>
      <c r="W416">
        <v>76.545400000000001</v>
      </c>
      <c r="X416">
        <v>36.637099999999997</v>
      </c>
      <c r="Y416">
        <f>Table5422[[#This Row],[CFNM]]/Table5422[[#This Row],[CAREA]]</f>
        <v>0.47863228881160719</v>
      </c>
      <c r="Z416">
        <v>2.4542000000000002</v>
      </c>
      <c r="AA416">
        <f>-(Table6423[[#This Row],[time]]-2)*2</f>
        <v>-0.90840000000000032</v>
      </c>
      <c r="AB416">
        <v>84.301299999999998</v>
      </c>
      <c r="AC416">
        <v>51.728499999999997</v>
      </c>
      <c r="AD416">
        <f>Table6423[[#This Row],[CFNM]]/Table6423[[#This Row],[CAREA]]</f>
        <v>0.61361449942053081</v>
      </c>
      <c r="AE416">
        <v>2.4542000000000002</v>
      </c>
      <c r="AF416">
        <f>-(Table7424[[#This Row],[time]]-2)*2</f>
        <v>-0.90840000000000032</v>
      </c>
      <c r="AG416">
        <v>79.225899999999996</v>
      </c>
      <c r="AH416">
        <v>45.481099999999998</v>
      </c>
      <c r="AI416">
        <f>Table7424[[#This Row],[CFNM]]/Table7424[[#This Row],[CAREA]]</f>
        <v>0.57406858110794579</v>
      </c>
      <c r="AJ416">
        <v>2.4542000000000002</v>
      </c>
      <c r="AK416">
        <f>-(Table8425[[#This Row],[time]]-2)*2</f>
        <v>-0.90840000000000032</v>
      </c>
      <c r="AL416">
        <v>79.986699999999999</v>
      </c>
      <c r="AM416">
        <v>47.4009</v>
      </c>
      <c r="AN416">
        <f>Table8425[[#This Row],[CFNM]]/Table8425[[#This Row],[CAREA]]</f>
        <v>0.592609771374491</v>
      </c>
    </row>
    <row r="417" spans="1:40">
      <c r="A417">
        <v>2.5061499999999999</v>
      </c>
      <c r="B417">
        <f>-(Table1418[[#This Row],[time]]-2)*2</f>
        <v>-1.0122999999999998</v>
      </c>
      <c r="C417">
        <v>89.597499999999997</v>
      </c>
      <c r="D417">
        <v>19.5002</v>
      </c>
      <c r="E417">
        <f>Table1418[[#This Row],[CFNM]]/Table1418[[#This Row],[CAREA]]</f>
        <v>0.21764223332124222</v>
      </c>
      <c r="F417">
        <v>2.5061499999999999</v>
      </c>
      <c r="G417">
        <f>-(Table2419[[#This Row],[time]]-2)*2</f>
        <v>-1.0122999999999998</v>
      </c>
      <c r="H417">
        <v>96.273399999999995</v>
      </c>
      <c r="I417">
        <v>12.0799</v>
      </c>
      <c r="J417">
        <f>Table2419[[#This Row],[CFNM]]/Table2419[[#This Row],[CAREA]]</f>
        <v>0.12547494946683094</v>
      </c>
      <c r="K417">
        <v>2.5061499999999999</v>
      </c>
      <c r="L417">
        <f>-(Table3420[[#This Row],[time]]-2)*2</f>
        <v>-1.0122999999999998</v>
      </c>
      <c r="M417">
        <v>90.230500000000006</v>
      </c>
      <c r="N417">
        <v>20.7591</v>
      </c>
      <c r="O417">
        <f>Table3420[[#This Row],[CFNM]]/Table3420[[#This Row],[CAREA]]</f>
        <v>0.23006743839389118</v>
      </c>
      <c r="P417">
        <v>2.5061499999999999</v>
      </c>
      <c r="Q417">
        <f>-(Table4421[[#This Row],[time]]-2)*2</f>
        <v>-1.0122999999999998</v>
      </c>
      <c r="R417">
        <v>88.5227</v>
      </c>
      <c r="S417">
        <v>27.050599999999999</v>
      </c>
      <c r="T417">
        <f>Table4421[[#This Row],[CFNM]]/Table4421[[#This Row],[CAREA]]</f>
        <v>0.30557811725128131</v>
      </c>
      <c r="U417">
        <v>2.5061499999999999</v>
      </c>
      <c r="V417">
        <f>-(Table5422[[#This Row],[time]]-2)*2</f>
        <v>-1.0122999999999998</v>
      </c>
      <c r="W417">
        <v>74.906999999999996</v>
      </c>
      <c r="X417">
        <v>39.737299999999998</v>
      </c>
      <c r="Y417">
        <f>Table5422[[#This Row],[CFNM]]/Table5422[[#This Row],[CAREA]]</f>
        <v>0.53048847237240848</v>
      </c>
      <c r="Z417">
        <v>2.5061499999999999</v>
      </c>
      <c r="AA417">
        <f>-(Table6423[[#This Row],[time]]-2)*2</f>
        <v>-1.0122999999999998</v>
      </c>
      <c r="AB417">
        <v>83.611500000000007</v>
      </c>
      <c r="AC417">
        <v>55.256799999999998</v>
      </c>
      <c r="AD417">
        <f>Table6423[[#This Row],[CFNM]]/Table6423[[#This Row],[CAREA]]</f>
        <v>0.66087559725635825</v>
      </c>
      <c r="AE417">
        <v>2.5061499999999999</v>
      </c>
      <c r="AF417">
        <f>-(Table7424[[#This Row],[time]]-2)*2</f>
        <v>-1.0122999999999998</v>
      </c>
      <c r="AG417">
        <v>78.378200000000007</v>
      </c>
      <c r="AH417">
        <v>49.261200000000002</v>
      </c>
      <c r="AI417">
        <f>Table7424[[#This Row],[CFNM]]/Table7424[[#This Row],[CAREA]]</f>
        <v>0.62850639591110791</v>
      </c>
      <c r="AJ417">
        <v>2.5061499999999999</v>
      </c>
      <c r="AK417">
        <f>-(Table8425[[#This Row],[time]]-2)*2</f>
        <v>-1.0122999999999998</v>
      </c>
      <c r="AL417">
        <v>79.712500000000006</v>
      </c>
      <c r="AM417">
        <v>50.841099999999997</v>
      </c>
      <c r="AN417">
        <f>Table8425[[#This Row],[CFNM]]/Table8425[[#This Row],[CAREA]]</f>
        <v>0.63780586482672097</v>
      </c>
    </row>
    <row r="418" spans="1:40">
      <c r="A418">
        <v>2.5507599999999999</v>
      </c>
      <c r="B418">
        <f>-(Table1418[[#This Row],[time]]-2)*2</f>
        <v>-1.1015199999999998</v>
      </c>
      <c r="C418">
        <v>89.844099999999997</v>
      </c>
      <c r="D418">
        <v>20.380199999999999</v>
      </c>
      <c r="E418">
        <f>Table1418[[#This Row],[CFNM]]/Table1418[[#This Row],[CAREA]]</f>
        <v>0.22683960326832814</v>
      </c>
      <c r="F418">
        <v>2.5507599999999999</v>
      </c>
      <c r="G418">
        <f>-(Table2419[[#This Row],[time]]-2)*2</f>
        <v>-1.1015199999999998</v>
      </c>
      <c r="H418">
        <v>96.436899999999994</v>
      </c>
      <c r="I418">
        <v>13.3485</v>
      </c>
      <c r="J418">
        <f>Table2419[[#This Row],[CFNM]]/Table2419[[#This Row],[CAREA]]</f>
        <v>0.13841693376705391</v>
      </c>
      <c r="K418">
        <v>2.5507599999999999</v>
      </c>
      <c r="L418">
        <f>-(Table3420[[#This Row],[time]]-2)*2</f>
        <v>-1.1015199999999998</v>
      </c>
      <c r="M418">
        <v>90.149799999999999</v>
      </c>
      <c r="N418">
        <v>22.684200000000001</v>
      </c>
      <c r="O418">
        <f>Table3420[[#This Row],[CFNM]]/Table3420[[#This Row],[CAREA]]</f>
        <v>0.2516278460961644</v>
      </c>
      <c r="P418">
        <v>2.5507599999999999</v>
      </c>
      <c r="Q418">
        <f>-(Table4421[[#This Row],[time]]-2)*2</f>
        <v>-1.1015199999999998</v>
      </c>
      <c r="R418">
        <v>88.375</v>
      </c>
      <c r="S418">
        <v>29.601900000000001</v>
      </c>
      <c r="T418">
        <f>Table4421[[#This Row],[CFNM]]/Table4421[[#This Row],[CAREA]]</f>
        <v>0.33495785007072137</v>
      </c>
      <c r="U418">
        <v>2.5507599999999999</v>
      </c>
      <c r="V418">
        <f>-(Table5422[[#This Row],[time]]-2)*2</f>
        <v>-1.1015199999999998</v>
      </c>
      <c r="W418">
        <v>71.296899999999994</v>
      </c>
      <c r="X418">
        <v>43.482399999999998</v>
      </c>
      <c r="Y418">
        <f>Table5422[[#This Row],[CFNM]]/Table5422[[#This Row],[CAREA]]</f>
        <v>0.60987784882652685</v>
      </c>
      <c r="Z418">
        <v>2.5507599999999999</v>
      </c>
      <c r="AA418">
        <f>-(Table6423[[#This Row],[time]]-2)*2</f>
        <v>-1.1015199999999998</v>
      </c>
      <c r="AB418">
        <v>81.269599999999997</v>
      </c>
      <c r="AC418">
        <v>59.134300000000003</v>
      </c>
      <c r="AD418">
        <f>Table6423[[#This Row],[CFNM]]/Table6423[[#This Row],[CAREA]]</f>
        <v>0.72763124218650033</v>
      </c>
      <c r="AE418">
        <v>2.5507599999999999</v>
      </c>
      <c r="AF418">
        <f>-(Table7424[[#This Row],[time]]-2)*2</f>
        <v>-1.1015199999999998</v>
      </c>
      <c r="AG418">
        <v>77.589600000000004</v>
      </c>
      <c r="AH418">
        <v>53.055599999999998</v>
      </c>
      <c r="AI418">
        <f>Table7424[[#This Row],[CFNM]]/Table7424[[#This Row],[CAREA]]</f>
        <v>0.68379782857496363</v>
      </c>
      <c r="AJ418">
        <v>2.5507599999999999</v>
      </c>
      <c r="AK418">
        <f>-(Table8425[[#This Row],[time]]-2)*2</f>
        <v>-1.1015199999999998</v>
      </c>
      <c r="AL418">
        <v>79.498800000000003</v>
      </c>
      <c r="AM418">
        <v>54.366900000000001</v>
      </c>
      <c r="AN418">
        <f>Table8425[[#This Row],[CFNM]]/Table8425[[#This Row],[CAREA]]</f>
        <v>0.68387069993509331</v>
      </c>
    </row>
    <row r="419" spans="1:40">
      <c r="A419">
        <v>2.60453</v>
      </c>
      <c r="B419">
        <f>-(Table1418[[#This Row],[time]]-2)*2</f>
        <v>-1.20906</v>
      </c>
      <c r="C419">
        <v>90.058599999999998</v>
      </c>
      <c r="D419">
        <v>21.239699999999999</v>
      </c>
      <c r="E419">
        <f>Table1418[[#This Row],[CFNM]]/Table1418[[#This Row],[CAREA]]</f>
        <v>0.23584310659948077</v>
      </c>
      <c r="F419">
        <v>2.60453</v>
      </c>
      <c r="G419">
        <f>-(Table2419[[#This Row],[time]]-2)*2</f>
        <v>-1.20906</v>
      </c>
      <c r="H419">
        <v>96.715999999999994</v>
      </c>
      <c r="I419">
        <v>14.7408</v>
      </c>
      <c r="J419">
        <f>Table2419[[#This Row],[CFNM]]/Table2419[[#This Row],[CAREA]]</f>
        <v>0.15241325116836926</v>
      </c>
      <c r="K419">
        <v>2.60453</v>
      </c>
      <c r="L419">
        <f>-(Table3420[[#This Row],[time]]-2)*2</f>
        <v>-1.20906</v>
      </c>
      <c r="M419">
        <v>89.9071</v>
      </c>
      <c r="N419">
        <v>24.645</v>
      </c>
      <c r="O419">
        <f>Table3420[[#This Row],[CFNM]]/Table3420[[#This Row],[CAREA]]</f>
        <v>0.2741162822513461</v>
      </c>
      <c r="P419">
        <v>2.60453</v>
      </c>
      <c r="Q419">
        <f>-(Table4421[[#This Row],[time]]-2)*2</f>
        <v>-1.20906</v>
      </c>
      <c r="R419">
        <v>88.210099999999997</v>
      </c>
      <c r="S419">
        <v>32.282200000000003</v>
      </c>
      <c r="T419">
        <f>Table4421[[#This Row],[CFNM]]/Table4421[[#This Row],[CAREA]]</f>
        <v>0.36596942980452357</v>
      </c>
      <c r="U419">
        <v>2.60453</v>
      </c>
      <c r="V419">
        <f>-(Table5422[[#This Row],[time]]-2)*2</f>
        <v>-1.20906</v>
      </c>
      <c r="W419">
        <v>67.720399999999998</v>
      </c>
      <c r="X419">
        <v>47.306600000000003</v>
      </c>
      <c r="Y419">
        <f>Table5422[[#This Row],[CFNM]]/Table5422[[#This Row],[CAREA]]</f>
        <v>0.69855759859658251</v>
      </c>
      <c r="Z419">
        <v>2.60453</v>
      </c>
      <c r="AA419">
        <f>-(Table6423[[#This Row],[time]]-2)*2</f>
        <v>-1.20906</v>
      </c>
      <c r="AB419">
        <v>77.293700000000001</v>
      </c>
      <c r="AC419">
        <v>63.218899999999998</v>
      </c>
      <c r="AD419">
        <f>Table6423[[#This Row],[CFNM]]/Table6423[[#This Row],[CAREA]]</f>
        <v>0.81790495215004577</v>
      </c>
      <c r="AE419">
        <v>2.60453</v>
      </c>
      <c r="AF419">
        <f>-(Table7424[[#This Row],[time]]-2)*2</f>
        <v>-1.20906</v>
      </c>
      <c r="AG419">
        <v>76.818200000000004</v>
      </c>
      <c r="AH419">
        <v>56.840400000000002</v>
      </c>
      <c r="AI419">
        <f>Table7424[[#This Row],[CFNM]]/Table7424[[#This Row],[CAREA]]</f>
        <v>0.73993402605111813</v>
      </c>
      <c r="AJ419">
        <v>2.60453</v>
      </c>
      <c r="AK419">
        <f>-(Table8425[[#This Row],[time]]-2)*2</f>
        <v>-1.20906</v>
      </c>
      <c r="AL419">
        <v>77.840100000000007</v>
      </c>
      <c r="AM419">
        <v>57.934800000000003</v>
      </c>
      <c r="AN419">
        <f>Table8425[[#This Row],[CFNM]]/Table8425[[#This Row],[CAREA]]</f>
        <v>0.74427961937356191</v>
      </c>
    </row>
    <row r="420" spans="1:40">
      <c r="A420">
        <v>2.65273</v>
      </c>
      <c r="B420">
        <f>-(Table1418[[#This Row],[time]]-2)*2</f>
        <v>-1.3054600000000001</v>
      </c>
      <c r="C420">
        <v>90.427700000000002</v>
      </c>
      <c r="D420">
        <v>22.102499999999999</v>
      </c>
      <c r="E420">
        <f>Table1418[[#This Row],[CFNM]]/Table1418[[#This Row],[CAREA]]</f>
        <v>0.2444217866870439</v>
      </c>
      <c r="F420">
        <v>2.65273</v>
      </c>
      <c r="G420">
        <f>-(Table2419[[#This Row],[time]]-2)*2</f>
        <v>-1.3054600000000001</v>
      </c>
      <c r="H420">
        <v>97.020899999999997</v>
      </c>
      <c r="I420">
        <v>16.128299999999999</v>
      </c>
      <c r="J420">
        <f>Table2419[[#This Row],[CFNM]]/Table2419[[#This Row],[CAREA]]</f>
        <v>0.16623531630813568</v>
      </c>
      <c r="K420">
        <v>2.65273</v>
      </c>
      <c r="L420">
        <f>-(Table3420[[#This Row],[time]]-2)*2</f>
        <v>-1.3054600000000001</v>
      </c>
      <c r="M420">
        <v>89.729100000000003</v>
      </c>
      <c r="N420">
        <v>26.825299999999999</v>
      </c>
      <c r="O420">
        <f>Table3420[[#This Row],[CFNM]]/Table3420[[#This Row],[CAREA]]</f>
        <v>0.29895875474065825</v>
      </c>
      <c r="P420">
        <v>2.65273</v>
      </c>
      <c r="Q420">
        <f>-(Table4421[[#This Row],[time]]-2)*2</f>
        <v>-1.3054600000000001</v>
      </c>
      <c r="R420">
        <v>88.001300000000001</v>
      </c>
      <c r="S420">
        <v>35.238399999999999</v>
      </c>
      <c r="T420">
        <f>Table4421[[#This Row],[CFNM]]/Table4421[[#This Row],[CAREA]]</f>
        <v>0.40043044818656087</v>
      </c>
      <c r="U420">
        <v>2.65273</v>
      </c>
      <c r="V420">
        <f>-(Table5422[[#This Row],[time]]-2)*2</f>
        <v>-1.3054600000000001</v>
      </c>
      <c r="W420">
        <v>61.515700000000002</v>
      </c>
      <c r="X420">
        <v>51.544600000000003</v>
      </c>
      <c r="Y420">
        <f>Table5422[[#This Row],[CFNM]]/Table5422[[#This Row],[CAREA]]</f>
        <v>0.83790967183987175</v>
      </c>
      <c r="Z420">
        <v>2.65273</v>
      </c>
      <c r="AA420">
        <f>-(Table6423[[#This Row],[time]]-2)*2</f>
        <v>-1.3054600000000001</v>
      </c>
      <c r="AB420">
        <v>73.146600000000007</v>
      </c>
      <c r="AC420">
        <v>68.050700000000006</v>
      </c>
      <c r="AD420">
        <f>Table6423[[#This Row],[CFNM]]/Table6423[[#This Row],[CAREA]]</f>
        <v>0.93033305717558989</v>
      </c>
      <c r="AE420">
        <v>2.65273</v>
      </c>
      <c r="AF420">
        <f>-(Table7424[[#This Row],[time]]-2)*2</f>
        <v>-1.3054600000000001</v>
      </c>
      <c r="AG420">
        <v>75.964399999999998</v>
      </c>
      <c r="AH420">
        <v>60.820799999999998</v>
      </c>
      <c r="AI420">
        <f>Table7424[[#This Row],[CFNM]]/Table7424[[#This Row],[CAREA]]</f>
        <v>0.80064872492904571</v>
      </c>
      <c r="AJ420">
        <v>2.65273</v>
      </c>
      <c r="AK420">
        <f>-(Table8425[[#This Row],[time]]-2)*2</f>
        <v>-1.3054600000000001</v>
      </c>
      <c r="AL420">
        <v>77.489699999999999</v>
      </c>
      <c r="AM420">
        <v>61.863700000000001</v>
      </c>
      <c r="AN420">
        <f>Table8425[[#This Row],[CFNM]]/Table8425[[#This Row],[CAREA]]</f>
        <v>0.79834739326645998</v>
      </c>
    </row>
    <row r="421" spans="1:40">
      <c r="A421">
        <v>2.7006199999999998</v>
      </c>
      <c r="B421">
        <f>-(Table1418[[#This Row],[time]]-2)*2</f>
        <v>-1.4012399999999996</v>
      </c>
      <c r="C421">
        <v>89.996899999999997</v>
      </c>
      <c r="D421">
        <v>22.885200000000001</v>
      </c>
      <c r="E421">
        <f>Table1418[[#This Row],[CFNM]]/Table1418[[#This Row],[CAREA]]</f>
        <v>0.25428875883502655</v>
      </c>
      <c r="F421">
        <v>2.7006199999999998</v>
      </c>
      <c r="G421">
        <f>-(Table2419[[#This Row],[time]]-2)*2</f>
        <v>-1.4012399999999996</v>
      </c>
      <c r="H421">
        <v>97.205500000000001</v>
      </c>
      <c r="I421">
        <v>17.450500000000002</v>
      </c>
      <c r="J421">
        <f>Table2419[[#This Row],[CFNM]]/Table2419[[#This Row],[CAREA]]</f>
        <v>0.17952173488125672</v>
      </c>
      <c r="K421">
        <v>2.7006199999999998</v>
      </c>
      <c r="L421">
        <f>-(Table3420[[#This Row],[time]]-2)*2</f>
        <v>-1.4012399999999996</v>
      </c>
      <c r="M421">
        <v>89.429199999999994</v>
      </c>
      <c r="N421">
        <v>28.976800000000001</v>
      </c>
      <c r="O421">
        <f>Table3420[[#This Row],[CFNM]]/Table3420[[#This Row],[CAREA]]</f>
        <v>0.324019447786629</v>
      </c>
      <c r="P421">
        <v>2.7006199999999998</v>
      </c>
      <c r="Q421">
        <f>-(Table4421[[#This Row],[time]]-2)*2</f>
        <v>-1.4012399999999996</v>
      </c>
      <c r="R421">
        <v>87.789599999999993</v>
      </c>
      <c r="S421">
        <v>38.364600000000003</v>
      </c>
      <c r="T421">
        <f>Table4421[[#This Row],[CFNM]]/Table4421[[#This Row],[CAREA]]</f>
        <v>0.43700620574646665</v>
      </c>
      <c r="U421">
        <v>2.7006199999999998</v>
      </c>
      <c r="V421">
        <f>-(Table5422[[#This Row],[time]]-2)*2</f>
        <v>-1.4012399999999996</v>
      </c>
      <c r="W421">
        <v>56.498800000000003</v>
      </c>
      <c r="X421">
        <v>55.714700000000001</v>
      </c>
      <c r="Y421">
        <f>Table5422[[#This Row],[CFNM]]/Table5422[[#This Row],[CAREA]]</f>
        <v>0.98612182913619395</v>
      </c>
      <c r="Z421">
        <v>2.7006199999999998</v>
      </c>
      <c r="AA421">
        <f>-(Table6423[[#This Row],[time]]-2)*2</f>
        <v>-1.4012399999999996</v>
      </c>
      <c r="AB421">
        <v>67.1404</v>
      </c>
      <c r="AC421">
        <v>72.878500000000003</v>
      </c>
      <c r="AD421">
        <f>Table6423[[#This Row],[CFNM]]/Table6423[[#This Row],[CAREA]]</f>
        <v>1.0854641914555172</v>
      </c>
      <c r="AE421">
        <v>2.7006199999999998</v>
      </c>
      <c r="AF421">
        <f>-(Table7424[[#This Row],[time]]-2)*2</f>
        <v>-1.4012399999999996</v>
      </c>
      <c r="AG421">
        <v>75.199799999999996</v>
      </c>
      <c r="AH421">
        <v>64.565899999999999</v>
      </c>
      <c r="AI421">
        <f>Table7424[[#This Row],[CFNM]]/Table7424[[#This Row],[CAREA]]</f>
        <v>0.85859137923239159</v>
      </c>
      <c r="AJ421">
        <v>2.7006199999999998</v>
      </c>
      <c r="AK421">
        <f>-(Table8425[[#This Row],[time]]-2)*2</f>
        <v>-1.4012399999999996</v>
      </c>
      <c r="AL421">
        <v>77.164000000000001</v>
      </c>
      <c r="AM421">
        <v>65.512500000000003</v>
      </c>
      <c r="AN421">
        <f>Table8425[[#This Row],[CFNM]]/Table8425[[#This Row],[CAREA]]</f>
        <v>0.84900342128453687</v>
      </c>
    </row>
    <row r="422" spans="1:40">
      <c r="A422">
        <v>2.75176</v>
      </c>
      <c r="B422">
        <f>-(Table1418[[#This Row],[time]]-2)*2</f>
        <v>-1.50352</v>
      </c>
      <c r="C422">
        <v>90.263400000000004</v>
      </c>
      <c r="D422">
        <v>23.749199999999998</v>
      </c>
      <c r="E422">
        <f>Table1418[[#This Row],[CFNM]]/Table1418[[#This Row],[CAREA]]</f>
        <v>0.26310996483624588</v>
      </c>
      <c r="F422">
        <v>2.75176</v>
      </c>
      <c r="G422">
        <f>-(Table2419[[#This Row],[time]]-2)*2</f>
        <v>-1.50352</v>
      </c>
      <c r="H422">
        <v>97.459500000000006</v>
      </c>
      <c r="I422">
        <v>18.886900000000001</v>
      </c>
      <c r="J422">
        <f>Table2419[[#This Row],[CFNM]]/Table2419[[#This Row],[CAREA]]</f>
        <v>0.19379229320897398</v>
      </c>
      <c r="K422">
        <v>2.75176</v>
      </c>
      <c r="L422">
        <f>-(Table3420[[#This Row],[time]]-2)*2</f>
        <v>-1.50352</v>
      </c>
      <c r="M422">
        <v>88.917500000000004</v>
      </c>
      <c r="N422">
        <v>31.453099999999999</v>
      </c>
      <c r="O422">
        <f>Table3420[[#This Row],[CFNM]]/Table3420[[#This Row],[CAREA]]</f>
        <v>0.3537335170242078</v>
      </c>
      <c r="P422">
        <v>2.75176</v>
      </c>
      <c r="Q422">
        <f>-(Table4421[[#This Row],[time]]-2)*2</f>
        <v>-1.50352</v>
      </c>
      <c r="R422">
        <v>87.640699999999995</v>
      </c>
      <c r="S422">
        <v>42.065899999999999</v>
      </c>
      <c r="T422">
        <f>Table4421[[#This Row],[CFNM]]/Table4421[[#This Row],[CAREA]]</f>
        <v>0.47998133287388167</v>
      </c>
      <c r="U422">
        <v>2.75176</v>
      </c>
      <c r="V422">
        <f>-(Table5422[[#This Row],[time]]-2)*2</f>
        <v>-1.50352</v>
      </c>
      <c r="W422">
        <v>50.719799999999999</v>
      </c>
      <c r="X422">
        <v>60.383600000000001</v>
      </c>
      <c r="Y422">
        <f>Table5422[[#This Row],[CFNM]]/Table5422[[#This Row],[CAREA]]</f>
        <v>1.1905330856982874</v>
      </c>
      <c r="Z422">
        <v>2.75176</v>
      </c>
      <c r="AA422">
        <f>-(Table6423[[#This Row],[time]]-2)*2</f>
        <v>-1.50352</v>
      </c>
      <c r="AB422">
        <v>61.164700000000003</v>
      </c>
      <c r="AC422">
        <v>78.337100000000007</v>
      </c>
      <c r="AD422">
        <f>Table6423[[#This Row],[CFNM]]/Table6423[[#This Row],[CAREA]]</f>
        <v>1.2807567109787181</v>
      </c>
      <c r="AE422">
        <v>2.75176</v>
      </c>
      <c r="AF422">
        <f>-(Table7424[[#This Row],[time]]-2)*2</f>
        <v>-1.50352</v>
      </c>
      <c r="AG422">
        <v>74.389399999999995</v>
      </c>
      <c r="AH422">
        <v>68.646100000000004</v>
      </c>
      <c r="AI422">
        <f>Table7424[[#This Row],[CFNM]]/Table7424[[#This Row],[CAREA]]</f>
        <v>0.92279410776266524</v>
      </c>
      <c r="AJ422">
        <v>2.75176</v>
      </c>
      <c r="AK422">
        <f>-(Table8425[[#This Row],[time]]-2)*2</f>
        <v>-1.50352</v>
      </c>
      <c r="AL422">
        <v>76.830799999999996</v>
      </c>
      <c r="AM422">
        <v>69.474900000000005</v>
      </c>
      <c r="AN422">
        <f>Table8425[[#This Row],[CFNM]]/Table8425[[#This Row],[CAREA]]</f>
        <v>0.90425844843474246</v>
      </c>
    </row>
    <row r="423" spans="1:40">
      <c r="A423">
        <v>2.80444</v>
      </c>
      <c r="B423">
        <f>-(Table1418[[#This Row],[time]]-2)*2</f>
        <v>-1.6088800000000001</v>
      </c>
      <c r="C423">
        <v>90.556100000000001</v>
      </c>
      <c r="D423">
        <v>24.7121</v>
      </c>
      <c r="E423">
        <f>Table1418[[#This Row],[CFNM]]/Table1418[[#This Row],[CAREA]]</f>
        <v>0.27289271512355323</v>
      </c>
      <c r="F423">
        <v>2.80444</v>
      </c>
      <c r="G423">
        <f>-(Table2419[[#This Row],[time]]-2)*2</f>
        <v>-1.6088800000000001</v>
      </c>
      <c r="H423">
        <v>97.909099999999995</v>
      </c>
      <c r="I423">
        <v>20.394200000000001</v>
      </c>
      <c r="J423">
        <f>Table2419[[#This Row],[CFNM]]/Table2419[[#This Row],[CAREA]]</f>
        <v>0.20829728799468081</v>
      </c>
      <c r="K423">
        <v>2.80444</v>
      </c>
      <c r="L423">
        <f>-(Table3420[[#This Row],[time]]-2)*2</f>
        <v>-1.6088800000000001</v>
      </c>
      <c r="M423">
        <v>88.319100000000006</v>
      </c>
      <c r="N423">
        <v>34.266399999999997</v>
      </c>
      <c r="O423">
        <f>Table3420[[#This Row],[CFNM]]/Table3420[[#This Row],[CAREA]]</f>
        <v>0.38798402610533844</v>
      </c>
      <c r="P423">
        <v>2.80444</v>
      </c>
      <c r="Q423">
        <f>-(Table4421[[#This Row],[time]]-2)*2</f>
        <v>-1.6088800000000001</v>
      </c>
      <c r="R423">
        <v>87.444100000000006</v>
      </c>
      <c r="S423">
        <v>46.164999999999999</v>
      </c>
      <c r="T423">
        <f>Table4421[[#This Row],[CFNM]]/Table4421[[#This Row],[CAREA]]</f>
        <v>0.52793727650007261</v>
      </c>
      <c r="U423">
        <v>2.80444</v>
      </c>
      <c r="V423">
        <f>-(Table5422[[#This Row],[time]]-2)*2</f>
        <v>-1.6088800000000001</v>
      </c>
      <c r="W423">
        <v>45.380899999999997</v>
      </c>
      <c r="X423">
        <v>65.073499999999996</v>
      </c>
      <c r="Y423">
        <f>Table5422[[#This Row],[CFNM]]/Table5422[[#This Row],[CAREA]]</f>
        <v>1.4339402700254953</v>
      </c>
      <c r="Z423">
        <v>2.80444</v>
      </c>
      <c r="AA423">
        <f>-(Table6423[[#This Row],[time]]-2)*2</f>
        <v>-1.6088800000000001</v>
      </c>
      <c r="AB423">
        <v>58.8339</v>
      </c>
      <c r="AC423">
        <v>83.814099999999996</v>
      </c>
      <c r="AD423">
        <f>Table6423[[#This Row],[CFNM]]/Table6423[[#This Row],[CAREA]]</f>
        <v>1.4245885450395095</v>
      </c>
      <c r="AE423">
        <v>2.80444</v>
      </c>
      <c r="AF423">
        <f>-(Table7424[[#This Row],[time]]-2)*2</f>
        <v>-1.6088800000000001</v>
      </c>
      <c r="AG423">
        <v>73.695400000000006</v>
      </c>
      <c r="AH423">
        <v>72.5822</v>
      </c>
      <c r="AI423">
        <f>Table7424[[#This Row],[CFNM]]/Table7424[[#This Row],[CAREA]]</f>
        <v>0.98489457958027227</v>
      </c>
      <c r="AJ423">
        <v>2.80444</v>
      </c>
      <c r="AK423">
        <f>-(Table8425[[#This Row],[time]]-2)*2</f>
        <v>-1.6088800000000001</v>
      </c>
      <c r="AL423">
        <v>76.545000000000002</v>
      </c>
      <c r="AM423">
        <v>73.474900000000005</v>
      </c>
      <c r="AN423">
        <f>Table8425[[#This Row],[CFNM]]/Table8425[[#This Row],[CAREA]]</f>
        <v>0.95989156705206091</v>
      </c>
    </row>
    <row r="424" spans="1:40">
      <c r="A424">
        <v>2.8583699999999999</v>
      </c>
      <c r="B424">
        <f>-(Table1418[[#This Row],[time]]-2)*2</f>
        <v>-1.7167399999999997</v>
      </c>
      <c r="C424">
        <v>91.191400000000002</v>
      </c>
      <c r="D424">
        <v>25.707999999999998</v>
      </c>
      <c r="E424">
        <f>Table1418[[#This Row],[CFNM]]/Table1418[[#This Row],[CAREA]]</f>
        <v>0.28191254877104638</v>
      </c>
      <c r="F424">
        <v>2.8583699999999999</v>
      </c>
      <c r="G424">
        <f>-(Table2419[[#This Row],[time]]-2)*2</f>
        <v>-1.7167399999999997</v>
      </c>
      <c r="H424">
        <v>98.016599999999997</v>
      </c>
      <c r="I424">
        <v>21.9025</v>
      </c>
      <c r="J424">
        <f>Table2419[[#This Row],[CFNM]]/Table2419[[#This Row],[CAREA]]</f>
        <v>0.22345704707161848</v>
      </c>
      <c r="K424">
        <v>2.8583699999999999</v>
      </c>
      <c r="L424">
        <f>-(Table3420[[#This Row],[time]]-2)*2</f>
        <v>-1.7167399999999997</v>
      </c>
      <c r="M424">
        <v>87.962800000000001</v>
      </c>
      <c r="N424">
        <v>37.209200000000003</v>
      </c>
      <c r="O424">
        <f>Table3420[[#This Row],[CFNM]]/Table3420[[#This Row],[CAREA]]</f>
        <v>0.42301063631444202</v>
      </c>
      <c r="P424">
        <v>2.8583699999999999</v>
      </c>
      <c r="Q424">
        <f>-(Table4421[[#This Row],[time]]-2)*2</f>
        <v>-1.7167399999999997</v>
      </c>
      <c r="R424">
        <v>87.293700000000001</v>
      </c>
      <c r="S424">
        <v>50.344099999999997</v>
      </c>
      <c r="T424">
        <f>Table4421[[#This Row],[CFNM]]/Table4421[[#This Row],[CAREA]]</f>
        <v>0.57672088592876691</v>
      </c>
      <c r="U424">
        <v>2.8583699999999999</v>
      </c>
      <c r="V424">
        <f>-(Table5422[[#This Row],[time]]-2)*2</f>
        <v>-1.7167399999999997</v>
      </c>
      <c r="W424">
        <v>41.837200000000003</v>
      </c>
      <c r="X424">
        <v>69.584500000000006</v>
      </c>
      <c r="Y424">
        <f>Table5422[[#This Row],[CFNM]]/Table5422[[#This Row],[CAREA]]</f>
        <v>1.6632207700324113</v>
      </c>
      <c r="Z424">
        <v>2.8583699999999999</v>
      </c>
      <c r="AA424">
        <f>-(Table6423[[#This Row],[time]]-2)*2</f>
        <v>-1.7167399999999997</v>
      </c>
      <c r="AB424">
        <v>55.488500000000002</v>
      </c>
      <c r="AC424">
        <v>89.272400000000005</v>
      </c>
      <c r="AD424">
        <f>Table6423[[#This Row],[CFNM]]/Table6423[[#This Row],[CAREA]]</f>
        <v>1.6088450760067401</v>
      </c>
      <c r="AE424">
        <v>2.8583699999999999</v>
      </c>
      <c r="AF424">
        <f>-(Table7424[[#This Row],[time]]-2)*2</f>
        <v>-1.7167399999999997</v>
      </c>
      <c r="AG424">
        <v>73.000200000000007</v>
      </c>
      <c r="AH424">
        <v>76.308400000000006</v>
      </c>
      <c r="AI424">
        <f>Table7424[[#This Row],[CFNM]]/Table7424[[#This Row],[CAREA]]</f>
        <v>1.0453176840611396</v>
      </c>
      <c r="AJ424">
        <v>2.8583699999999999</v>
      </c>
      <c r="AK424">
        <f>-(Table8425[[#This Row],[time]]-2)*2</f>
        <v>-1.7167399999999997</v>
      </c>
      <c r="AL424">
        <v>76.211699999999993</v>
      </c>
      <c r="AM424">
        <v>77.456599999999995</v>
      </c>
      <c r="AN424">
        <f>Table8425[[#This Row],[CFNM]]/Table8425[[#This Row],[CAREA]]</f>
        <v>1.0163347622477914</v>
      </c>
    </row>
    <row r="425" spans="1:40">
      <c r="A425">
        <v>2.9134199999999999</v>
      </c>
      <c r="B425">
        <f>-(Table1418[[#This Row],[time]]-2)*2</f>
        <v>-1.8268399999999998</v>
      </c>
      <c r="C425">
        <v>91.698899999999995</v>
      </c>
      <c r="D425">
        <v>26.769300000000001</v>
      </c>
      <c r="E425">
        <f>Table1418[[#This Row],[CFNM]]/Table1418[[#This Row],[CAREA]]</f>
        <v>0.29192607544910576</v>
      </c>
      <c r="F425">
        <v>2.9134199999999999</v>
      </c>
      <c r="G425">
        <f>-(Table2419[[#This Row],[time]]-2)*2</f>
        <v>-1.8268399999999998</v>
      </c>
      <c r="H425">
        <v>98.170400000000001</v>
      </c>
      <c r="I425">
        <v>23.459099999999999</v>
      </c>
      <c r="J425">
        <f>Table2419[[#This Row],[CFNM]]/Table2419[[#This Row],[CAREA]]</f>
        <v>0.23896306829757238</v>
      </c>
      <c r="K425">
        <v>2.9134199999999999</v>
      </c>
      <c r="L425">
        <f>-(Table3420[[#This Row],[time]]-2)*2</f>
        <v>-1.8268399999999998</v>
      </c>
      <c r="M425">
        <v>87.511300000000006</v>
      </c>
      <c r="N425">
        <v>40.172899999999998</v>
      </c>
      <c r="O425">
        <f>Table3420[[#This Row],[CFNM]]/Table3420[[#This Row],[CAREA]]</f>
        <v>0.45905957287801685</v>
      </c>
      <c r="P425">
        <v>2.9134199999999999</v>
      </c>
      <c r="Q425">
        <f>-(Table4421[[#This Row],[time]]-2)*2</f>
        <v>-1.8268399999999998</v>
      </c>
      <c r="R425">
        <v>87.102800000000002</v>
      </c>
      <c r="S425">
        <v>54.477400000000003</v>
      </c>
      <c r="T425">
        <f>Table4421[[#This Row],[CFNM]]/Table4421[[#This Row],[CAREA]]</f>
        <v>0.62543798821622265</v>
      </c>
      <c r="U425">
        <v>2.9134199999999999</v>
      </c>
      <c r="V425">
        <f>-(Table5422[[#This Row],[time]]-2)*2</f>
        <v>-1.8268399999999998</v>
      </c>
      <c r="W425">
        <v>40.020299999999999</v>
      </c>
      <c r="X425">
        <v>74.009600000000006</v>
      </c>
      <c r="Y425">
        <f>Table5422[[#This Row],[CFNM]]/Table5422[[#This Row],[CAREA]]</f>
        <v>1.8493014794991545</v>
      </c>
      <c r="Z425">
        <v>2.9134199999999999</v>
      </c>
      <c r="AA425">
        <f>-(Table6423[[#This Row],[time]]-2)*2</f>
        <v>-1.8268399999999998</v>
      </c>
      <c r="AB425">
        <v>52.280900000000003</v>
      </c>
      <c r="AC425">
        <v>94.533100000000005</v>
      </c>
      <c r="AD425">
        <f>Table6423[[#This Row],[CFNM]]/Table6423[[#This Row],[CAREA]]</f>
        <v>1.8081765998672554</v>
      </c>
      <c r="AE425">
        <v>2.9134199999999999</v>
      </c>
      <c r="AF425">
        <f>-(Table7424[[#This Row],[time]]-2)*2</f>
        <v>-1.8268399999999998</v>
      </c>
      <c r="AG425">
        <v>72.333399999999997</v>
      </c>
      <c r="AH425">
        <v>80.050200000000004</v>
      </c>
      <c r="AI425">
        <f>Table7424[[#This Row],[CFNM]]/Table7424[[#This Row],[CAREA]]</f>
        <v>1.1066837726416843</v>
      </c>
      <c r="AJ425">
        <v>2.9134199999999999</v>
      </c>
      <c r="AK425">
        <f>-(Table8425[[#This Row],[time]]-2)*2</f>
        <v>-1.8268399999999998</v>
      </c>
      <c r="AL425">
        <v>75.799599999999998</v>
      </c>
      <c r="AM425">
        <v>81.401600000000002</v>
      </c>
      <c r="AN425">
        <f>Table8425[[#This Row],[CFNM]]/Table8425[[#This Row],[CAREA]]</f>
        <v>1.0739054031947399</v>
      </c>
    </row>
    <row r="426" spans="1:40">
      <c r="A426">
        <v>2.9619599999999999</v>
      </c>
      <c r="B426">
        <f>-(Table1418[[#This Row],[time]]-2)*2</f>
        <v>-1.9239199999999999</v>
      </c>
      <c r="C426">
        <v>91.656000000000006</v>
      </c>
      <c r="D426">
        <v>28.201699999999999</v>
      </c>
      <c r="E426">
        <f>Table1418[[#This Row],[CFNM]]/Table1418[[#This Row],[CAREA]]</f>
        <v>0.30769071310116081</v>
      </c>
      <c r="F426">
        <v>2.9619599999999999</v>
      </c>
      <c r="G426">
        <f>-(Table2419[[#This Row],[time]]-2)*2</f>
        <v>-1.9239199999999999</v>
      </c>
      <c r="H426">
        <v>98.238299999999995</v>
      </c>
      <c r="I426">
        <v>25.213899999999999</v>
      </c>
      <c r="J426">
        <f>Table2419[[#This Row],[CFNM]]/Table2419[[#This Row],[CAREA]]</f>
        <v>0.25666058960710841</v>
      </c>
      <c r="K426">
        <v>2.9619599999999999</v>
      </c>
      <c r="L426">
        <f>-(Table3420[[#This Row],[time]]-2)*2</f>
        <v>-1.9239199999999999</v>
      </c>
      <c r="M426">
        <v>86.393000000000001</v>
      </c>
      <c r="N426">
        <v>43.740200000000002</v>
      </c>
      <c r="O426">
        <f>Table3420[[#This Row],[CFNM]]/Table3420[[#This Row],[CAREA]]</f>
        <v>0.50629333395066733</v>
      </c>
      <c r="P426">
        <v>2.9619599999999999</v>
      </c>
      <c r="Q426">
        <f>-(Table4421[[#This Row],[time]]-2)*2</f>
        <v>-1.9239199999999999</v>
      </c>
      <c r="R426">
        <v>86.813000000000002</v>
      </c>
      <c r="S426">
        <v>59.404899999999998</v>
      </c>
      <c r="T426">
        <f>Table4421[[#This Row],[CFNM]]/Table4421[[#This Row],[CAREA]]</f>
        <v>0.68428576365290905</v>
      </c>
      <c r="U426">
        <v>2.9619599999999999</v>
      </c>
      <c r="V426">
        <f>-(Table5422[[#This Row],[time]]-2)*2</f>
        <v>-1.9239199999999999</v>
      </c>
      <c r="W426">
        <v>38.5276</v>
      </c>
      <c r="X426">
        <v>78.665499999999994</v>
      </c>
      <c r="Y426">
        <f>Table5422[[#This Row],[CFNM]]/Table5422[[#This Row],[CAREA]]</f>
        <v>2.0417960111712121</v>
      </c>
      <c r="Z426">
        <v>2.9619599999999999</v>
      </c>
      <c r="AA426">
        <f>-(Table6423[[#This Row],[time]]-2)*2</f>
        <v>-1.9239199999999999</v>
      </c>
      <c r="AB426">
        <v>49.338099999999997</v>
      </c>
      <c r="AC426">
        <v>100.015</v>
      </c>
      <c r="AD426">
        <f>Table6423[[#This Row],[CFNM]]/Table6423[[#This Row],[CAREA]]</f>
        <v>2.0271352159892659</v>
      </c>
      <c r="AE426">
        <v>2.9619599999999999</v>
      </c>
      <c r="AF426">
        <f>-(Table7424[[#This Row],[time]]-2)*2</f>
        <v>-1.9239199999999999</v>
      </c>
      <c r="AG426">
        <v>71.652299999999997</v>
      </c>
      <c r="AH426">
        <v>84.369699999999995</v>
      </c>
      <c r="AI426">
        <f>Table7424[[#This Row],[CFNM]]/Table7424[[#This Row],[CAREA]]</f>
        <v>1.1774876731102839</v>
      </c>
      <c r="AJ426">
        <v>2.9619599999999999</v>
      </c>
      <c r="AK426">
        <f>-(Table8425[[#This Row],[time]]-2)*2</f>
        <v>-1.9239199999999999</v>
      </c>
      <c r="AL426">
        <v>75.4495</v>
      </c>
      <c r="AM426">
        <v>85.898399999999995</v>
      </c>
      <c r="AN426">
        <f>Table8425[[#This Row],[CFNM]]/Table8425[[#This Row],[CAREA]]</f>
        <v>1.1384886579765272</v>
      </c>
    </row>
    <row r="427" spans="1:40">
      <c r="A427">
        <v>3</v>
      </c>
      <c r="B427">
        <f>-(Table1418[[#This Row],[time]]-2)*2</f>
        <v>-2</v>
      </c>
      <c r="C427">
        <v>91.967200000000005</v>
      </c>
      <c r="D427">
        <v>29.169699999999999</v>
      </c>
      <c r="E427">
        <f>Table1418[[#This Row],[CFNM]]/Table1418[[#This Row],[CAREA]]</f>
        <v>0.31717503631729571</v>
      </c>
      <c r="F427">
        <v>3</v>
      </c>
      <c r="G427">
        <f>-(Table2419[[#This Row],[time]]-2)*2</f>
        <v>-2</v>
      </c>
      <c r="H427">
        <v>98.136499999999998</v>
      </c>
      <c r="I427">
        <v>26.604800000000001</v>
      </c>
      <c r="J427">
        <f>Table2419[[#This Row],[CFNM]]/Table2419[[#This Row],[CAREA]]</f>
        <v>0.27109994752207384</v>
      </c>
      <c r="K427">
        <v>3</v>
      </c>
      <c r="L427">
        <f>-(Table3420[[#This Row],[time]]-2)*2</f>
        <v>-2</v>
      </c>
      <c r="M427">
        <v>85.712699999999998</v>
      </c>
      <c r="N427">
        <v>46.302</v>
      </c>
      <c r="O427">
        <f>Table3420[[#This Row],[CFNM]]/Table3420[[#This Row],[CAREA]]</f>
        <v>0.54019999369988347</v>
      </c>
      <c r="P427">
        <v>3</v>
      </c>
      <c r="Q427">
        <f>-(Table4421[[#This Row],[time]]-2)*2</f>
        <v>-2</v>
      </c>
      <c r="R427">
        <v>86.506699999999995</v>
      </c>
      <c r="S427">
        <v>62.698</v>
      </c>
      <c r="T427">
        <f>Table4421[[#This Row],[CFNM]]/Table4421[[#This Row],[CAREA]]</f>
        <v>0.72477623120521306</v>
      </c>
      <c r="U427">
        <v>3</v>
      </c>
      <c r="V427">
        <f>-(Table5422[[#This Row],[time]]-2)*2</f>
        <v>-2</v>
      </c>
      <c r="W427">
        <v>37.770200000000003</v>
      </c>
      <c r="X427">
        <v>82.017600000000002</v>
      </c>
      <c r="Y427">
        <f>Table5422[[#This Row],[CFNM]]/Table5422[[#This Row],[CAREA]]</f>
        <v>2.1714896929325236</v>
      </c>
      <c r="Z427">
        <v>3</v>
      </c>
      <c r="AA427">
        <f>-(Table6423[[#This Row],[time]]-2)*2</f>
        <v>-2</v>
      </c>
      <c r="AB427">
        <v>48.432499999999997</v>
      </c>
      <c r="AC427">
        <v>104.033</v>
      </c>
      <c r="AD427">
        <f>Table6423[[#This Row],[CFNM]]/Table6423[[#This Row],[CAREA]]</f>
        <v>2.1479997935270738</v>
      </c>
      <c r="AE427">
        <v>3</v>
      </c>
      <c r="AF427">
        <f>-(Table7424[[#This Row],[time]]-2)*2</f>
        <v>-2</v>
      </c>
      <c r="AG427">
        <v>71.128799999999998</v>
      </c>
      <c r="AH427">
        <v>87.539500000000004</v>
      </c>
      <c r="AI427">
        <f>Table7424[[#This Row],[CFNM]]/Table7424[[#This Row],[CAREA]]</f>
        <v>1.2307180776281901</v>
      </c>
      <c r="AJ427">
        <v>3</v>
      </c>
      <c r="AK427">
        <f>-(Table8425[[#This Row],[time]]-2)*2</f>
        <v>-2</v>
      </c>
      <c r="AL427">
        <v>75.117500000000007</v>
      </c>
      <c r="AM427">
        <v>89.168800000000005</v>
      </c>
      <c r="AN427">
        <f>Table8425[[#This Row],[CFNM]]/Table8425[[#This Row],[CAREA]]</f>
        <v>1.1870576097447332</v>
      </c>
    </row>
    <row r="429" spans="1:40">
      <c r="A429" t="s">
        <v>51</v>
      </c>
      <c r="E429" t="s">
        <v>2</v>
      </c>
    </row>
    <row r="430" spans="1:40">
      <c r="A430" t="s">
        <v>52</v>
      </c>
      <c r="E430" t="s">
        <v>4</v>
      </c>
      <c r="F430" t="s">
        <v>5</v>
      </c>
    </row>
    <row r="432" spans="1:40">
      <c r="A432" t="s">
        <v>7</v>
      </c>
      <c r="F432" t="s">
        <v>8</v>
      </c>
      <c r="K432" t="s">
        <v>9</v>
      </c>
      <c r="P432" t="s">
        <v>26</v>
      </c>
      <c r="U432" t="s">
        <v>11</v>
      </c>
      <c r="Z432" t="s">
        <v>12</v>
      </c>
      <c r="AE432" t="s">
        <v>13</v>
      </c>
      <c r="AJ432" t="s">
        <v>14</v>
      </c>
    </row>
    <row r="433" spans="1:40">
      <c r="A433" t="s">
        <v>15</v>
      </c>
      <c r="B433" t="s">
        <v>16</v>
      </c>
      <c r="C433" t="s">
        <v>20</v>
      </c>
      <c r="D433" t="s">
        <v>18</v>
      </c>
      <c r="E433" t="s">
        <v>19</v>
      </c>
      <c r="F433" t="s">
        <v>15</v>
      </c>
      <c r="G433" t="s">
        <v>16</v>
      </c>
      <c r="H433" t="s">
        <v>20</v>
      </c>
      <c r="I433" t="s">
        <v>18</v>
      </c>
      <c r="J433" t="s">
        <v>19</v>
      </c>
      <c r="K433" t="s">
        <v>15</v>
      </c>
      <c r="L433" t="s">
        <v>16</v>
      </c>
      <c r="M433" t="s">
        <v>20</v>
      </c>
      <c r="N433" t="s">
        <v>18</v>
      </c>
      <c r="O433" t="s">
        <v>19</v>
      </c>
      <c r="P433" t="s">
        <v>15</v>
      </c>
      <c r="Q433" t="s">
        <v>16</v>
      </c>
      <c r="R433" t="s">
        <v>20</v>
      </c>
      <c r="S433" t="s">
        <v>18</v>
      </c>
      <c r="T433" t="s">
        <v>19</v>
      </c>
      <c r="U433" t="s">
        <v>15</v>
      </c>
      <c r="V433" t="s">
        <v>16</v>
      </c>
      <c r="W433" t="s">
        <v>20</v>
      </c>
      <c r="X433" t="s">
        <v>18</v>
      </c>
      <c r="Y433" t="s">
        <v>19</v>
      </c>
      <c r="Z433" t="s">
        <v>15</v>
      </c>
      <c r="AA433" t="s">
        <v>16</v>
      </c>
      <c r="AB433" t="s">
        <v>20</v>
      </c>
      <c r="AC433" t="s">
        <v>18</v>
      </c>
      <c r="AD433" t="s">
        <v>19</v>
      </c>
      <c r="AE433" t="s">
        <v>15</v>
      </c>
      <c r="AF433" t="s">
        <v>16</v>
      </c>
      <c r="AG433" t="s">
        <v>20</v>
      </c>
      <c r="AH433" t="s">
        <v>18</v>
      </c>
      <c r="AI433" t="s">
        <v>19</v>
      </c>
      <c r="AJ433" t="s">
        <v>15</v>
      </c>
      <c r="AK433" t="s">
        <v>16</v>
      </c>
      <c r="AL433" t="s">
        <v>20</v>
      </c>
      <c r="AM433" t="s">
        <v>18</v>
      </c>
      <c r="AN433" t="s">
        <v>19</v>
      </c>
    </row>
    <row r="434" spans="1:40">
      <c r="A434">
        <v>2</v>
      </c>
      <c r="B434">
        <f>(Table110426[[#This Row],[time]]-2)*2</f>
        <v>0</v>
      </c>
      <c r="C434">
        <v>80.561000000000007</v>
      </c>
      <c r="D434">
        <v>3.98224</v>
      </c>
      <c r="E434" s="2">
        <f>Table110426[[#This Row],[CFNM]]/Table110426[[#This Row],[CAREA]]</f>
        <v>4.9431362569978023E-2</v>
      </c>
      <c r="F434">
        <v>2</v>
      </c>
      <c r="G434">
        <f>(Table211427[[#This Row],[time]]-2)*2</f>
        <v>0</v>
      </c>
      <c r="H434">
        <v>87.831800000000001</v>
      </c>
      <c r="I434">
        <v>3.8491699999999998E-3</v>
      </c>
      <c r="J434" s="2">
        <f>Table211427[[#This Row],[CFNM]]/Table211427[[#This Row],[CAREA]]</f>
        <v>4.3824332417188305E-5</v>
      </c>
      <c r="K434">
        <v>2</v>
      </c>
      <c r="L434">
        <f>(Table312428[[#This Row],[time]]-2)*2</f>
        <v>0</v>
      </c>
      <c r="M434">
        <v>85.166600000000003</v>
      </c>
      <c r="N434">
        <v>3.7004999999999998E-3</v>
      </c>
      <c r="O434">
        <f>Table312428[[#This Row],[CFNM]]/Table312428[[#This Row],[CAREA]]</f>
        <v>4.3450131859203019E-5</v>
      </c>
      <c r="P434">
        <v>2</v>
      </c>
      <c r="Q434">
        <f>(Table413429[[#This Row],[time]]-2)*2</f>
        <v>0</v>
      </c>
      <c r="R434">
        <v>79.101699999999994</v>
      </c>
      <c r="S434">
        <v>4.52579E-3</v>
      </c>
      <c r="T434">
        <f>Table413429[[#This Row],[CFNM]]/Table413429[[#This Row],[CAREA]]</f>
        <v>5.7214825977191392E-5</v>
      </c>
      <c r="U434">
        <v>2</v>
      </c>
      <c r="V434">
        <f>(Table514430[[#This Row],[time]]-2)*2</f>
        <v>0</v>
      </c>
      <c r="W434">
        <v>83.227800000000002</v>
      </c>
      <c r="X434">
        <v>3.5062700000000002</v>
      </c>
      <c r="Y434">
        <f>Table514430[[#This Row],[CFNM]]/Table514430[[#This Row],[CAREA]]</f>
        <v>4.2128591648463616E-2</v>
      </c>
      <c r="Z434">
        <v>2</v>
      </c>
      <c r="AA434">
        <f>(Table615431[[#This Row],[time]]-2)*2</f>
        <v>0</v>
      </c>
      <c r="AB434">
        <v>83.949600000000004</v>
      </c>
      <c r="AC434">
        <v>6.2740499999999999</v>
      </c>
      <c r="AD434">
        <f>Table615431[[#This Row],[CFNM]]/Table615431[[#This Row],[CAREA]]</f>
        <v>7.4735912976357233E-2</v>
      </c>
      <c r="AE434">
        <v>2</v>
      </c>
      <c r="AF434">
        <f>(Table716432[[#This Row],[time]]-2)*2</f>
        <v>0</v>
      </c>
      <c r="AG434">
        <v>78.459999999999994</v>
      </c>
      <c r="AH434">
        <v>14.7075</v>
      </c>
      <c r="AI434">
        <f>Table716432[[#This Row],[CFNM]]/Table716432[[#This Row],[CAREA]]</f>
        <v>0.18745220494519502</v>
      </c>
      <c r="AJ434">
        <v>2</v>
      </c>
      <c r="AK434">
        <f>(Table817433[[#This Row],[time]]-2)*2</f>
        <v>0</v>
      </c>
      <c r="AL434">
        <v>83.006</v>
      </c>
      <c r="AM434">
        <v>14.6487</v>
      </c>
      <c r="AN434">
        <f>Table817433[[#This Row],[CFNM]]/Table817433[[#This Row],[CAREA]]</f>
        <v>0.17647760402862445</v>
      </c>
    </row>
    <row r="435" spans="1:40">
      <c r="A435">
        <v>2.0512600000000001</v>
      </c>
      <c r="B435">
        <f>(Table110426[[#This Row],[time]]-2)*2</f>
        <v>0.10252000000000017</v>
      </c>
      <c r="C435">
        <v>92.284099999999995</v>
      </c>
      <c r="D435">
        <v>9.6004100000000001</v>
      </c>
      <c r="E435">
        <f>Table110426[[#This Row],[CFNM]]/Table110426[[#This Row],[CAREA]]</f>
        <v>0.10403103026415168</v>
      </c>
      <c r="F435">
        <v>2.0512600000000001</v>
      </c>
      <c r="G435">
        <f>(Table211427[[#This Row],[time]]-2)*2</f>
        <v>0.10252000000000017</v>
      </c>
      <c r="H435">
        <v>94.852500000000006</v>
      </c>
      <c r="I435">
        <v>2.5501800000000001</v>
      </c>
      <c r="J435">
        <f>Table211427[[#This Row],[CFNM]]/Table211427[[#This Row],[CAREA]]</f>
        <v>2.6885743654621649E-2</v>
      </c>
      <c r="K435">
        <v>2.0512600000000001</v>
      </c>
      <c r="L435">
        <f>(Table312428[[#This Row],[time]]-2)*2</f>
        <v>0.10252000000000017</v>
      </c>
      <c r="M435">
        <v>89.691999999999993</v>
      </c>
      <c r="N435">
        <v>2.3462900000000002</v>
      </c>
      <c r="O435">
        <f>Table312428[[#This Row],[CFNM]]/Table312428[[#This Row],[CAREA]]</f>
        <v>2.6159412210676542E-2</v>
      </c>
      <c r="P435">
        <v>2.0512600000000001</v>
      </c>
      <c r="Q435">
        <f>(Table413429[[#This Row],[time]]-2)*2</f>
        <v>0.10252000000000017</v>
      </c>
      <c r="R435">
        <v>84.870199999999997</v>
      </c>
      <c r="S435">
        <v>3.58562</v>
      </c>
      <c r="T435">
        <f>Table413429[[#This Row],[CFNM]]/Table413429[[#This Row],[CAREA]]</f>
        <v>4.2248280315116495E-2</v>
      </c>
      <c r="U435">
        <v>2.0512600000000001</v>
      </c>
      <c r="V435">
        <f>(Table514430[[#This Row],[time]]-2)*2</f>
        <v>0.10252000000000017</v>
      </c>
      <c r="W435">
        <v>82.968999999999994</v>
      </c>
      <c r="X435">
        <v>5.3409000000000004</v>
      </c>
      <c r="Y435">
        <f>Table514430[[#This Row],[CFNM]]/Table514430[[#This Row],[CAREA]]</f>
        <v>6.4372235413226633E-2</v>
      </c>
      <c r="Z435">
        <v>2.0512600000000001</v>
      </c>
      <c r="AA435">
        <f>(Table615431[[#This Row],[time]]-2)*2</f>
        <v>0.10252000000000017</v>
      </c>
      <c r="AB435">
        <v>88.4983</v>
      </c>
      <c r="AC435">
        <v>9.6381099999999993</v>
      </c>
      <c r="AD435">
        <f>Table615431[[#This Row],[CFNM]]/Table615431[[#This Row],[CAREA]]</f>
        <v>0.10890728974454876</v>
      </c>
      <c r="AE435">
        <v>2.0512600000000001</v>
      </c>
      <c r="AF435">
        <f>(Table716432[[#This Row],[time]]-2)*2</f>
        <v>0.10252000000000017</v>
      </c>
      <c r="AG435">
        <v>78.735200000000006</v>
      </c>
      <c r="AH435">
        <v>18.525500000000001</v>
      </c>
      <c r="AI435">
        <f>Table716432[[#This Row],[CFNM]]/Table716432[[#This Row],[CAREA]]</f>
        <v>0.23528866377427121</v>
      </c>
      <c r="AJ435">
        <v>2.0512600000000001</v>
      </c>
      <c r="AK435">
        <f>(Table817433[[#This Row],[time]]-2)*2</f>
        <v>0.10252000000000017</v>
      </c>
      <c r="AL435">
        <v>83.362200000000001</v>
      </c>
      <c r="AM435">
        <v>17.5547</v>
      </c>
      <c r="AN435">
        <f>Table817433[[#This Row],[CFNM]]/Table817433[[#This Row],[CAREA]]</f>
        <v>0.21058345389157196</v>
      </c>
    </row>
    <row r="436" spans="1:40">
      <c r="A436">
        <v>2.1153300000000002</v>
      </c>
      <c r="B436">
        <f>(Table110426[[#This Row],[time]]-2)*2</f>
        <v>0.23066000000000031</v>
      </c>
      <c r="C436">
        <v>92.336299999999994</v>
      </c>
      <c r="D436">
        <v>9.0370000000000008</v>
      </c>
      <c r="E436">
        <f>Table110426[[#This Row],[CFNM]]/Table110426[[#This Row],[CAREA]]</f>
        <v>9.7870501633702034E-2</v>
      </c>
      <c r="F436">
        <v>2.1153300000000002</v>
      </c>
      <c r="G436">
        <f>(Table211427[[#This Row],[time]]-2)*2</f>
        <v>0.23066000000000031</v>
      </c>
      <c r="H436">
        <v>94.988299999999995</v>
      </c>
      <c r="I436">
        <v>2.74512</v>
      </c>
      <c r="J436">
        <f>Table211427[[#This Row],[CFNM]]/Table211427[[#This Row],[CAREA]]</f>
        <v>2.8899559208870988E-2</v>
      </c>
      <c r="K436">
        <v>2.1153300000000002</v>
      </c>
      <c r="L436">
        <f>(Table312428[[#This Row],[time]]-2)*2</f>
        <v>0.23066000000000031</v>
      </c>
      <c r="M436">
        <v>89.280600000000007</v>
      </c>
      <c r="N436">
        <v>1.32314</v>
      </c>
      <c r="O436">
        <f>Table312428[[#This Row],[CFNM]]/Table312428[[#This Row],[CAREA]]</f>
        <v>1.482001689056749E-2</v>
      </c>
      <c r="P436">
        <v>2.1153300000000002</v>
      </c>
      <c r="Q436">
        <f>(Table413429[[#This Row],[time]]-2)*2</f>
        <v>0.23066000000000031</v>
      </c>
      <c r="R436">
        <v>84.941599999999994</v>
      </c>
      <c r="S436">
        <v>2.7288600000000001</v>
      </c>
      <c r="T436">
        <f>Table413429[[#This Row],[CFNM]]/Table413429[[#This Row],[CAREA]]</f>
        <v>3.2126307957467251E-2</v>
      </c>
      <c r="U436">
        <v>2.1153300000000002</v>
      </c>
      <c r="V436">
        <f>(Table514430[[#This Row],[time]]-2)*2</f>
        <v>0.23066000000000031</v>
      </c>
      <c r="W436">
        <v>83.091300000000004</v>
      </c>
      <c r="X436">
        <v>2.1560000000000001</v>
      </c>
      <c r="Y436">
        <f>Table514430[[#This Row],[CFNM]]/Table514430[[#This Row],[CAREA]]</f>
        <v>2.5947361516789363E-2</v>
      </c>
      <c r="Z436">
        <v>2.1153300000000002</v>
      </c>
      <c r="AA436">
        <f>(Table615431[[#This Row],[time]]-2)*2</f>
        <v>0.23066000000000031</v>
      </c>
      <c r="AB436">
        <v>87.577799999999996</v>
      </c>
      <c r="AC436">
        <v>5.5789600000000004</v>
      </c>
      <c r="AD436">
        <f>Table615431[[#This Row],[CFNM]]/Table615431[[#This Row],[CAREA]]</f>
        <v>6.3702901876959692E-2</v>
      </c>
      <c r="AE436">
        <v>2.1153300000000002</v>
      </c>
      <c r="AF436">
        <f>(Table716432[[#This Row],[time]]-2)*2</f>
        <v>0.23066000000000031</v>
      </c>
      <c r="AG436">
        <v>78.486599999999996</v>
      </c>
      <c r="AH436">
        <v>17.517499999999998</v>
      </c>
      <c r="AI436">
        <f>Table716432[[#This Row],[CFNM]]/Table716432[[#This Row],[CAREA]]</f>
        <v>0.22319096508193753</v>
      </c>
      <c r="AJ436">
        <v>2.1153300000000002</v>
      </c>
      <c r="AK436">
        <f>(Table817433[[#This Row],[time]]-2)*2</f>
        <v>0.23066000000000031</v>
      </c>
      <c r="AL436">
        <v>83.539000000000001</v>
      </c>
      <c r="AM436">
        <v>16.326000000000001</v>
      </c>
      <c r="AN436">
        <f>Table817433[[#This Row],[CFNM]]/Table817433[[#This Row],[CAREA]]</f>
        <v>0.19542967955086846</v>
      </c>
    </row>
    <row r="437" spans="1:40">
      <c r="A437">
        <v>2.16533</v>
      </c>
      <c r="B437">
        <f>(Table110426[[#This Row],[time]]-2)*2</f>
        <v>0.33065999999999995</v>
      </c>
      <c r="C437">
        <v>92.313599999999994</v>
      </c>
      <c r="D437">
        <v>8.2545300000000008</v>
      </c>
      <c r="E437">
        <f>Table110426[[#This Row],[CFNM]]/Table110426[[#This Row],[CAREA]]</f>
        <v>8.941835222545759E-2</v>
      </c>
      <c r="F437">
        <v>2.16533</v>
      </c>
      <c r="G437">
        <f>(Table211427[[#This Row],[time]]-2)*2</f>
        <v>0.33065999999999995</v>
      </c>
      <c r="H437">
        <v>95.609499999999997</v>
      </c>
      <c r="I437">
        <v>2.4077899999999999</v>
      </c>
      <c r="J437">
        <f>Table211427[[#This Row],[CFNM]]/Table211427[[#This Row],[CAREA]]</f>
        <v>2.5183585313174946E-2</v>
      </c>
      <c r="K437">
        <v>2.16533</v>
      </c>
      <c r="L437">
        <f>(Table312428[[#This Row],[time]]-2)*2</f>
        <v>0.33065999999999995</v>
      </c>
      <c r="M437">
        <v>88.695700000000002</v>
      </c>
      <c r="N437">
        <v>0.53746000000000005</v>
      </c>
      <c r="O437">
        <f>Table312428[[#This Row],[CFNM]]/Table312428[[#This Row],[CAREA]]</f>
        <v>6.0595947717871331E-3</v>
      </c>
      <c r="P437">
        <v>2.16533</v>
      </c>
      <c r="Q437">
        <f>(Table413429[[#This Row],[time]]-2)*2</f>
        <v>0.33065999999999995</v>
      </c>
      <c r="R437">
        <v>84.637699999999995</v>
      </c>
      <c r="S437">
        <v>1.79097</v>
      </c>
      <c r="T437">
        <f>Table413429[[#This Row],[CFNM]]/Table413429[[#This Row],[CAREA]]</f>
        <v>2.1160428508808723E-2</v>
      </c>
      <c r="U437">
        <v>2.16533</v>
      </c>
      <c r="V437">
        <f>(Table514430[[#This Row],[time]]-2)*2</f>
        <v>0.33065999999999995</v>
      </c>
      <c r="W437">
        <v>82.282499999999999</v>
      </c>
      <c r="X437">
        <v>1.47265</v>
      </c>
      <c r="Y437">
        <f>Table514430[[#This Row],[CFNM]]/Table514430[[#This Row],[CAREA]]</f>
        <v>1.789748731504269E-2</v>
      </c>
      <c r="Z437">
        <v>2.16533</v>
      </c>
      <c r="AA437">
        <f>(Table615431[[#This Row],[time]]-2)*2</f>
        <v>0.33065999999999995</v>
      </c>
      <c r="AB437">
        <v>86.735600000000005</v>
      </c>
      <c r="AC437">
        <v>4.4394600000000004</v>
      </c>
      <c r="AD437">
        <f>Table615431[[#This Row],[CFNM]]/Table615431[[#This Row],[CAREA]]</f>
        <v>5.1183827632483088E-2</v>
      </c>
      <c r="AE437">
        <v>2.16533</v>
      </c>
      <c r="AF437">
        <f>(Table716432[[#This Row],[time]]-2)*2</f>
        <v>0.33065999999999995</v>
      </c>
      <c r="AG437">
        <v>78.340400000000002</v>
      </c>
      <c r="AH437">
        <v>17.123000000000001</v>
      </c>
      <c r="AI437">
        <f>Table716432[[#This Row],[CFNM]]/Table716432[[#This Row],[CAREA]]</f>
        <v>0.21857177139764414</v>
      </c>
      <c r="AJ437">
        <v>2.16533</v>
      </c>
      <c r="AK437">
        <f>(Table817433[[#This Row],[time]]-2)*2</f>
        <v>0.33065999999999995</v>
      </c>
      <c r="AL437">
        <v>83.642099999999999</v>
      </c>
      <c r="AM437">
        <v>15.7752</v>
      </c>
      <c r="AN437">
        <f>Table817433[[#This Row],[CFNM]]/Table817433[[#This Row],[CAREA]]</f>
        <v>0.18860358599317809</v>
      </c>
    </row>
    <row r="438" spans="1:40">
      <c r="A438">
        <v>2.2246999999999999</v>
      </c>
      <c r="B438">
        <f>(Table110426[[#This Row],[time]]-2)*2</f>
        <v>0.4493999999999998</v>
      </c>
      <c r="C438">
        <v>92.188100000000006</v>
      </c>
      <c r="D438">
        <v>6.6036099999999998</v>
      </c>
      <c r="E438">
        <f>Table110426[[#This Row],[CFNM]]/Table110426[[#This Row],[CAREA]]</f>
        <v>7.163191344652943E-2</v>
      </c>
      <c r="F438">
        <v>2.2246999999999999</v>
      </c>
      <c r="G438">
        <f>(Table211427[[#This Row],[time]]-2)*2</f>
        <v>0.4493999999999998</v>
      </c>
      <c r="H438">
        <v>95.326599999999999</v>
      </c>
      <c r="I438">
        <v>1.37351</v>
      </c>
      <c r="J438">
        <f>Table211427[[#This Row],[CFNM]]/Table211427[[#This Row],[CAREA]]</f>
        <v>1.4408465213277301E-2</v>
      </c>
      <c r="K438">
        <v>2.2246999999999999</v>
      </c>
      <c r="L438">
        <f>(Table312428[[#This Row],[time]]-2)*2</f>
        <v>0.4493999999999998</v>
      </c>
      <c r="M438">
        <v>87.071100000000001</v>
      </c>
      <c r="N438">
        <v>4.3204799999999998E-3</v>
      </c>
      <c r="O438">
        <f>Table312428[[#This Row],[CFNM]]/Table312428[[#This Row],[CAREA]]</f>
        <v>4.9620138025131183E-5</v>
      </c>
      <c r="P438">
        <v>2.2246999999999999</v>
      </c>
      <c r="Q438">
        <f>(Table413429[[#This Row],[time]]-2)*2</f>
        <v>0.4493999999999998</v>
      </c>
      <c r="R438">
        <v>83.484399999999994</v>
      </c>
      <c r="S438">
        <v>4.5513199999999997E-2</v>
      </c>
      <c r="T438">
        <f>Table413429[[#This Row],[CFNM]]/Table413429[[#This Row],[CAREA]]</f>
        <v>5.4517011561441419E-4</v>
      </c>
      <c r="U438">
        <v>2.2246999999999999</v>
      </c>
      <c r="V438">
        <f>(Table514430[[#This Row],[time]]-2)*2</f>
        <v>0.4493999999999998</v>
      </c>
      <c r="W438">
        <v>80.742800000000003</v>
      </c>
      <c r="X438">
        <v>0.94593300000000002</v>
      </c>
      <c r="Y438">
        <f>Table514430[[#This Row],[CFNM]]/Table514430[[#This Row],[CAREA]]</f>
        <v>1.1715385148892532E-2</v>
      </c>
      <c r="Z438">
        <v>2.2246999999999999</v>
      </c>
      <c r="AA438">
        <f>(Table615431[[#This Row],[time]]-2)*2</f>
        <v>0.4493999999999998</v>
      </c>
      <c r="AB438">
        <v>85.639200000000002</v>
      </c>
      <c r="AC438">
        <v>2.8195100000000002</v>
      </c>
      <c r="AD438">
        <f>Table615431[[#This Row],[CFNM]]/Table615431[[#This Row],[CAREA]]</f>
        <v>3.2923123989948531E-2</v>
      </c>
      <c r="AE438">
        <v>2.2246999999999999</v>
      </c>
      <c r="AF438">
        <f>(Table716432[[#This Row],[time]]-2)*2</f>
        <v>0.4493999999999998</v>
      </c>
      <c r="AG438">
        <v>78.062399999999997</v>
      </c>
      <c r="AH438">
        <v>16.3504</v>
      </c>
      <c r="AI438">
        <f>Table716432[[#This Row],[CFNM]]/Table716432[[#This Row],[CAREA]]</f>
        <v>0.20945295046014473</v>
      </c>
      <c r="AJ438">
        <v>2.2246999999999999</v>
      </c>
      <c r="AK438">
        <f>(Table817433[[#This Row],[time]]-2)*2</f>
        <v>0.4493999999999998</v>
      </c>
      <c r="AL438">
        <v>83.829099999999997</v>
      </c>
      <c r="AM438">
        <v>14.577400000000001</v>
      </c>
      <c r="AN438">
        <f>Table817433[[#This Row],[CFNM]]/Table817433[[#This Row],[CAREA]]</f>
        <v>0.17389426821950851</v>
      </c>
    </row>
    <row r="439" spans="1:40">
      <c r="A439">
        <v>2.2668900000000001</v>
      </c>
      <c r="B439">
        <f>(Table110426[[#This Row],[time]]-2)*2</f>
        <v>0.53378000000000014</v>
      </c>
      <c r="C439">
        <v>91.412700000000001</v>
      </c>
      <c r="D439">
        <v>4.9395300000000004</v>
      </c>
      <c r="E439">
        <f>Table110426[[#This Row],[CFNM]]/Table110426[[#This Row],[CAREA]]</f>
        <v>5.4035489598272451E-2</v>
      </c>
      <c r="F439">
        <v>2.2668900000000001</v>
      </c>
      <c r="G439">
        <f>(Table211427[[#This Row],[time]]-2)*2</f>
        <v>0.53378000000000014</v>
      </c>
      <c r="H439">
        <v>95.141199999999998</v>
      </c>
      <c r="I439">
        <v>0.47673300000000002</v>
      </c>
      <c r="J439">
        <f>Table211427[[#This Row],[CFNM]]/Table211427[[#This Row],[CAREA]]</f>
        <v>5.0107944823062989E-3</v>
      </c>
      <c r="K439">
        <v>2.2668900000000001</v>
      </c>
      <c r="L439">
        <f>(Table312428[[#This Row],[time]]-2)*2</f>
        <v>0.53378000000000014</v>
      </c>
      <c r="M439">
        <v>86.605199999999996</v>
      </c>
      <c r="N439">
        <v>4.0775999999999998E-3</v>
      </c>
      <c r="O439">
        <f>Table312428[[#This Row],[CFNM]]/Table312428[[#This Row],[CAREA]]</f>
        <v>4.7082623214310454E-5</v>
      </c>
      <c r="P439">
        <v>2.2668900000000001</v>
      </c>
      <c r="Q439">
        <f>(Table413429[[#This Row],[time]]-2)*2</f>
        <v>0.53378000000000014</v>
      </c>
      <c r="R439">
        <v>82.864900000000006</v>
      </c>
      <c r="S439">
        <v>5.2676800000000003E-3</v>
      </c>
      <c r="T439">
        <f>Table413429[[#This Row],[CFNM]]/Table413429[[#This Row],[CAREA]]</f>
        <v>6.35694968557254E-5</v>
      </c>
      <c r="U439">
        <v>2.2668900000000001</v>
      </c>
      <c r="V439">
        <f>(Table514430[[#This Row],[time]]-2)*2</f>
        <v>0.53378000000000014</v>
      </c>
      <c r="W439">
        <v>80.419499999999999</v>
      </c>
      <c r="X439">
        <v>0.670547</v>
      </c>
      <c r="Y439">
        <f>Table514430[[#This Row],[CFNM]]/Table514430[[#This Row],[CAREA]]</f>
        <v>8.3381145120275564E-3</v>
      </c>
      <c r="Z439">
        <v>2.2668900000000001</v>
      </c>
      <c r="AA439">
        <f>(Table615431[[#This Row],[time]]-2)*2</f>
        <v>0.53378000000000014</v>
      </c>
      <c r="AB439">
        <v>85.219099999999997</v>
      </c>
      <c r="AC439">
        <v>1.9686399999999999</v>
      </c>
      <c r="AD439">
        <f>Table615431[[#This Row],[CFNM]]/Table615431[[#This Row],[CAREA]]</f>
        <v>2.3100924557992283E-2</v>
      </c>
      <c r="AE439">
        <v>2.2668900000000001</v>
      </c>
      <c r="AF439">
        <f>(Table716432[[#This Row],[time]]-2)*2</f>
        <v>0.53378000000000014</v>
      </c>
      <c r="AG439">
        <v>77.915400000000005</v>
      </c>
      <c r="AH439">
        <v>15.8466</v>
      </c>
      <c r="AI439">
        <f>Table716432[[#This Row],[CFNM]]/Table716432[[#This Row],[CAREA]]</f>
        <v>0.20338212984852802</v>
      </c>
      <c r="AJ439">
        <v>2.2668900000000001</v>
      </c>
      <c r="AK439">
        <f>(Table817433[[#This Row],[time]]-2)*2</f>
        <v>0.53378000000000014</v>
      </c>
      <c r="AL439">
        <v>84.157700000000006</v>
      </c>
      <c r="AM439">
        <v>13.897399999999999</v>
      </c>
      <c r="AN439">
        <f>Table817433[[#This Row],[CFNM]]/Table817433[[#This Row],[CAREA]]</f>
        <v>0.16513521638542877</v>
      </c>
    </row>
    <row r="440" spans="1:40">
      <c r="A440">
        <v>2.3262700000000001</v>
      </c>
      <c r="B440">
        <f>(Table110426[[#This Row],[time]]-2)*2</f>
        <v>0.65254000000000012</v>
      </c>
      <c r="C440">
        <v>90.698300000000003</v>
      </c>
      <c r="D440">
        <v>3.4800800000000001</v>
      </c>
      <c r="E440">
        <f>Table110426[[#This Row],[CFNM]]/Table110426[[#This Row],[CAREA]]</f>
        <v>3.8369848166944692E-2</v>
      </c>
      <c r="F440">
        <v>2.3262700000000001</v>
      </c>
      <c r="G440">
        <f>(Table211427[[#This Row],[time]]-2)*2</f>
        <v>0.65254000000000012</v>
      </c>
      <c r="H440">
        <v>94.809600000000003</v>
      </c>
      <c r="I440">
        <v>1.13093E-2</v>
      </c>
      <c r="J440">
        <f>Table211427[[#This Row],[CFNM]]/Table211427[[#This Row],[CAREA]]</f>
        <v>1.1928433407587416E-4</v>
      </c>
      <c r="K440">
        <v>2.3262700000000001</v>
      </c>
      <c r="L440">
        <f>(Table312428[[#This Row],[time]]-2)*2</f>
        <v>0.65254000000000012</v>
      </c>
      <c r="M440">
        <v>86.425299999999993</v>
      </c>
      <c r="N440">
        <v>3.9298099999999997E-3</v>
      </c>
      <c r="O440">
        <f>Table312428[[#This Row],[CFNM]]/Table312428[[#This Row],[CAREA]]</f>
        <v>4.5470597151528546E-5</v>
      </c>
      <c r="P440">
        <v>2.3262700000000001</v>
      </c>
      <c r="Q440">
        <f>(Table413429[[#This Row],[time]]-2)*2</f>
        <v>0.65254000000000012</v>
      </c>
      <c r="R440">
        <v>82.638300000000001</v>
      </c>
      <c r="S440">
        <v>5.0241699999999997E-3</v>
      </c>
      <c r="T440">
        <f>Table413429[[#This Row],[CFNM]]/Table413429[[#This Row],[CAREA]]</f>
        <v>6.0797112234883822E-5</v>
      </c>
      <c r="U440">
        <v>2.3262700000000001</v>
      </c>
      <c r="V440">
        <f>(Table514430[[#This Row],[time]]-2)*2</f>
        <v>0.65254000000000012</v>
      </c>
      <c r="W440">
        <v>79.882800000000003</v>
      </c>
      <c r="X440">
        <v>0.55522800000000005</v>
      </c>
      <c r="Y440">
        <f>Table514430[[#This Row],[CFNM]]/Table514430[[#This Row],[CAREA]]</f>
        <v>6.9505325301566796E-3</v>
      </c>
      <c r="Z440">
        <v>2.3262700000000001</v>
      </c>
      <c r="AA440">
        <f>(Table615431[[#This Row],[time]]-2)*2</f>
        <v>0.65254000000000012</v>
      </c>
      <c r="AB440">
        <v>83.995900000000006</v>
      </c>
      <c r="AC440">
        <v>1.4464600000000001</v>
      </c>
      <c r="AD440">
        <f>Table615431[[#This Row],[CFNM]]/Table615431[[#This Row],[CAREA]]</f>
        <v>1.722060243416643E-2</v>
      </c>
      <c r="AE440">
        <v>2.3262700000000001</v>
      </c>
      <c r="AF440">
        <f>(Table716432[[#This Row],[time]]-2)*2</f>
        <v>0.65254000000000012</v>
      </c>
      <c r="AG440">
        <v>77.683999999999997</v>
      </c>
      <c r="AH440">
        <v>15.3409</v>
      </c>
      <c r="AI440">
        <f>Table716432[[#This Row],[CFNM]]/Table716432[[#This Row],[CAREA]]</f>
        <v>0.19747824519849647</v>
      </c>
      <c r="AJ440">
        <v>2.3262700000000001</v>
      </c>
      <c r="AK440">
        <f>(Table817433[[#This Row],[time]]-2)*2</f>
        <v>0.65254000000000012</v>
      </c>
      <c r="AL440">
        <v>84.265500000000003</v>
      </c>
      <c r="AM440">
        <v>13.2278</v>
      </c>
      <c r="AN440">
        <f>Table817433[[#This Row],[CFNM]]/Table817433[[#This Row],[CAREA]]</f>
        <v>0.15697764802914596</v>
      </c>
    </row>
    <row r="441" spans="1:40">
      <c r="A441">
        <v>2.3684599999999998</v>
      </c>
      <c r="B441">
        <f>(Table110426[[#This Row],[time]]-2)*2</f>
        <v>0.73691999999999958</v>
      </c>
      <c r="C441">
        <v>90.188699999999997</v>
      </c>
      <c r="D441">
        <v>2.7871199999999998</v>
      </c>
      <c r="E441">
        <f>Table110426[[#This Row],[CFNM]]/Table110426[[#This Row],[CAREA]]</f>
        <v>3.0903206277504831E-2</v>
      </c>
      <c r="F441">
        <v>2.3684599999999998</v>
      </c>
      <c r="G441">
        <f>(Table211427[[#This Row],[time]]-2)*2</f>
        <v>0.73691999999999958</v>
      </c>
      <c r="H441">
        <v>93.798000000000002</v>
      </c>
      <c r="I441">
        <v>5.3749399999999999E-3</v>
      </c>
      <c r="J441">
        <f>Table211427[[#This Row],[CFNM]]/Table211427[[#This Row],[CAREA]]</f>
        <v>5.7303354016077097E-5</v>
      </c>
      <c r="K441">
        <v>2.3684599999999998</v>
      </c>
      <c r="L441">
        <f>(Table312428[[#This Row],[time]]-2)*2</f>
        <v>0.73691999999999958</v>
      </c>
      <c r="M441">
        <v>86.269000000000005</v>
      </c>
      <c r="N441">
        <v>3.8063400000000001E-3</v>
      </c>
      <c r="O441">
        <f>Table312428[[#This Row],[CFNM]]/Table312428[[#This Row],[CAREA]]</f>
        <v>4.412175868504329E-5</v>
      </c>
      <c r="P441">
        <v>2.3684599999999998</v>
      </c>
      <c r="Q441">
        <f>(Table413429[[#This Row],[time]]-2)*2</f>
        <v>0.73691999999999958</v>
      </c>
      <c r="R441">
        <v>82.528099999999995</v>
      </c>
      <c r="S441">
        <v>4.9478899999999999E-3</v>
      </c>
      <c r="T441">
        <f>Table413429[[#This Row],[CFNM]]/Table413429[[#This Row],[CAREA]]</f>
        <v>5.9954003545459068E-5</v>
      </c>
      <c r="U441">
        <v>2.3684599999999998</v>
      </c>
      <c r="V441">
        <f>(Table514430[[#This Row],[time]]-2)*2</f>
        <v>0.73691999999999958</v>
      </c>
      <c r="W441">
        <v>79.469499999999996</v>
      </c>
      <c r="X441">
        <v>0.460088</v>
      </c>
      <c r="Y441">
        <f>Table514430[[#This Row],[CFNM]]/Table514430[[#This Row],[CAREA]]</f>
        <v>5.7894915659466844E-3</v>
      </c>
      <c r="Z441">
        <v>2.3684599999999998</v>
      </c>
      <c r="AA441">
        <f>(Table615431[[#This Row],[time]]-2)*2</f>
        <v>0.73691999999999958</v>
      </c>
      <c r="AB441">
        <v>83.258099999999999</v>
      </c>
      <c r="AC441">
        <v>1.16675</v>
      </c>
      <c r="AD441">
        <f>Table615431[[#This Row],[CFNM]]/Table615431[[#This Row],[CAREA]]</f>
        <v>1.4013651524596405E-2</v>
      </c>
      <c r="AE441">
        <v>2.3684599999999998</v>
      </c>
      <c r="AF441">
        <f>(Table716432[[#This Row],[time]]-2)*2</f>
        <v>0.73691999999999958</v>
      </c>
      <c r="AG441">
        <v>77.575699999999998</v>
      </c>
      <c r="AH441">
        <v>15.0059</v>
      </c>
      <c r="AI441">
        <f>Table716432[[#This Row],[CFNM]]/Table716432[[#This Row],[CAREA]]</f>
        <v>0.19343557325296454</v>
      </c>
      <c r="AJ441">
        <v>2.3684599999999998</v>
      </c>
      <c r="AK441">
        <f>(Table817433[[#This Row],[time]]-2)*2</f>
        <v>0.73691999999999958</v>
      </c>
      <c r="AL441">
        <v>84.260499999999993</v>
      </c>
      <c r="AM441">
        <v>12.819800000000001</v>
      </c>
      <c r="AN441">
        <f>Table817433[[#This Row],[CFNM]]/Table817433[[#This Row],[CAREA]]</f>
        <v>0.15214483654856073</v>
      </c>
    </row>
    <row r="442" spans="1:40">
      <c r="A442">
        <v>2.4278300000000002</v>
      </c>
      <c r="B442">
        <f>(Table110426[[#This Row],[time]]-2)*2</f>
        <v>0.85566000000000031</v>
      </c>
      <c r="C442">
        <v>89.281899999999993</v>
      </c>
      <c r="D442">
        <v>2.0396100000000001</v>
      </c>
      <c r="E442">
        <f>Table110426[[#This Row],[CFNM]]/Table110426[[#This Row],[CAREA]]</f>
        <v>2.2844607921650415E-2</v>
      </c>
      <c r="F442">
        <v>2.4278300000000002</v>
      </c>
      <c r="G442">
        <f>(Table211427[[#This Row],[time]]-2)*2</f>
        <v>0.85566000000000031</v>
      </c>
      <c r="H442">
        <v>93.118799999999993</v>
      </c>
      <c r="I442">
        <v>4.9667499999999998E-3</v>
      </c>
      <c r="J442">
        <f>Table211427[[#This Row],[CFNM]]/Table211427[[#This Row],[CAREA]]</f>
        <v>5.3337779266914954E-5</v>
      </c>
      <c r="K442">
        <v>2.4278300000000002</v>
      </c>
      <c r="L442">
        <f>(Table312428[[#This Row],[time]]-2)*2</f>
        <v>0.85566000000000031</v>
      </c>
      <c r="M442">
        <v>85.855400000000003</v>
      </c>
      <c r="N442">
        <v>3.66549E-3</v>
      </c>
      <c r="O442">
        <f>Table312428[[#This Row],[CFNM]]/Table312428[[#This Row],[CAREA]]</f>
        <v>4.2693761836762742E-5</v>
      </c>
      <c r="P442">
        <v>2.4278300000000002</v>
      </c>
      <c r="Q442">
        <f>(Table413429[[#This Row],[time]]-2)*2</f>
        <v>0.85566000000000031</v>
      </c>
      <c r="R442">
        <v>82.264200000000002</v>
      </c>
      <c r="S442">
        <v>4.8816199999999997E-3</v>
      </c>
      <c r="T442">
        <f>Table413429[[#This Row],[CFNM]]/Table413429[[#This Row],[CAREA]]</f>
        <v>5.9340758191290985E-5</v>
      </c>
      <c r="U442">
        <v>2.4278300000000002</v>
      </c>
      <c r="V442">
        <f>(Table514430[[#This Row],[time]]-2)*2</f>
        <v>0.85566000000000031</v>
      </c>
      <c r="W442">
        <v>79.056700000000006</v>
      </c>
      <c r="X442">
        <v>0.32351600000000003</v>
      </c>
      <c r="Y442">
        <f>Table514430[[#This Row],[CFNM]]/Table514430[[#This Row],[CAREA]]</f>
        <v>4.0922021789424551E-3</v>
      </c>
      <c r="Z442">
        <v>2.4278300000000002</v>
      </c>
      <c r="AA442">
        <f>(Table615431[[#This Row],[time]]-2)*2</f>
        <v>0.85566000000000031</v>
      </c>
      <c r="AB442">
        <v>82.211600000000004</v>
      </c>
      <c r="AC442">
        <v>0.69911000000000001</v>
      </c>
      <c r="AD442">
        <f>Table615431[[#This Row],[CFNM]]/Table615431[[#This Row],[CAREA]]</f>
        <v>8.5037877866383817E-3</v>
      </c>
      <c r="AE442">
        <v>2.4278300000000002</v>
      </c>
      <c r="AF442">
        <f>(Table716432[[#This Row],[time]]-2)*2</f>
        <v>0.85566000000000031</v>
      </c>
      <c r="AG442">
        <v>77.587100000000007</v>
      </c>
      <c r="AH442">
        <v>14.450100000000001</v>
      </c>
      <c r="AI442">
        <f>Table716432[[#This Row],[CFNM]]/Table716432[[#This Row],[CAREA]]</f>
        <v>0.1862435894626813</v>
      </c>
      <c r="AJ442">
        <v>2.4278300000000002</v>
      </c>
      <c r="AK442">
        <f>(Table817433[[#This Row],[time]]-2)*2</f>
        <v>0.85566000000000031</v>
      </c>
      <c r="AL442">
        <v>83.941299999999998</v>
      </c>
      <c r="AM442">
        <v>12.1668</v>
      </c>
      <c r="AN442">
        <f>Table817433[[#This Row],[CFNM]]/Table817433[[#This Row],[CAREA]]</f>
        <v>0.14494414549214749</v>
      </c>
    </row>
    <row r="443" spans="1:40">
      <c r="A443">
        <v>2.4542000000000002</v>
      </c>
      <c r="B443">
        <f>(Table110426[[#This Row],[time]]-2)*2</f>
        <v>0.90840000000000032</v>
      </c>
      <c r="C443">
        <v>88.628600000000006</v>
      </c>
      <c r="D443">
        <v>1.9108400000000001</v>
      </c>
      <c r="E443">
        <f>Table110426[[#This Row],[CFNM]]/Table110426[[#This Row],[CAREA]]</f>
        <v>2.1560083313964116E-2</v>
      </c>
      <c r="F443">
        <v>2.4542000000000002</v>
      </c>
      <c r="G443">
        <f>(Table211427[[#This Row],[time]]-2)*2</f>
        <v>0.90840000000000032</v>
      </c>
      <c r="H443">
        <v>92.897499999999994</v>
      </c>
      <c r="I443">
        <v>4.92436E-3</v>
      </c>
      <c r="J443">
        <f>Table211427[[#This Row],[CFNM]]/Table211427[[#This Row],[CAREA]]</f>
        <v>5.300853090772088E-5</v>
      </c>
      <c r="K443">
        <v>2.4542000000000002</v>
      </c>
      <c r="L443">
        <f>(Table312428[[#This Row],[time]]-2)*2</f>
        <v>0.90840000000000032</v>
      </c>
      <c r="M443">
        <v>85.355400000000003</v>
      </c>
      <c r="N443">
        <v>3.6115499999999998E-3</v>
      </c>
      <c r="O443">
        <f>Table312428[[#This Row],[CFNM]]/Table312428[[#This Row],[CAREA]]</f>
        <v>4.2311909967031958E-5</v>
      </c>
      <c r="P443">
        <v>2.4542000000000002</v>
      </c>
      <c r="Q443">
        <f>(Table413429[[#This Row],[time]]-2)*2</f>
        <v>0.90840000000000032</v>
      </c>
      <c r="R443">
        <v>81.8476</v>
      </c>
      <c r="S443">
        <v>4.8505199999999997E-3</v>
      </c>
      <c r="T443">
        <f>Table413429[[#This Row],[CFNM]]/Table413429[[#This Row],[CAREA]]</f>
        <v>5.9262825055346765E-5</v>
      </c>
      <c r="U443">
        <v>2.4542000000000002</v>
      </c>
      <c r="V443">
        <f>(Table514430[[#This Row],[time]]-2)*2</f>
        <v>0.90840000000000032</v>
      </c>
      <c r="W443">
        <v>78.409000000000006</v>
      </c>
      <c r="X443">
        <v>0.23591100000000001</v>
      </c>
      <c r="Y443">
        <f>Table514430[[#This Row],[CFNM]]/Table514430[[#This Row],[CAREA]]</f>
        <v>3.0087234883750587E-3</v>
      </c>
      <c r="Z443">
        <v>2.4542000000000002</v>
      </c>
      <c r="AA443">
        <f>(Table615431[[#This Row],[time]]-2)*2</f>
        <v>0.90840000000000032</v>
      </c>
      <c r="AB443">
        <v>81.2423</v>
      </c>
      <c r="AC443">
        <v>0.35140900000000003</v>
      </c>
      <c r="AD443">
        <f>Table615431[[#This Row],[CFNM]]/Table615431[[#This Row],[CAREA]]</f>
        <v>4.3254437651322033E-3</v>
      </c>
      <c r="AE443">
        <v>2.4542000000000002</v>
      </c>
      <c r="AF443">
        <f>(Table716432[[#This Row],[time]]-2)*2</f>
        <v>0.90840000000000032</v>
      </c>
      <c r="AG443">
        <v>77.642700000000005</v>
      </c>
      <c r="AH443">
        <v>14.0176</v>
      </c>
      <c r="AI443">
        <f>Table716432[[#This Row],[CFNM]]/Table716432[[#This Row],[CAREA]]</f>
        <v>0.18053983181934682</v>
      </c>
      <c r="AJ443">
        <v>2.4542000000000002</v>
      </c>
      <c r="AK443">
        <f>(Table817433[[#This Row],[time]]-2)*2</f>
        <v>0.90840000000000032</v>
      </c>
      <c r="AL443">
        <v>83.936899999999994</v>
      </c>
      <c r="AM443">
        <v>11.552</v>
      </c>
      <c r="AN443">
        <f>Table817433[[#This Row],[CFNM]]/Table817433[[#This Row],[CAREA]]</f>
        <v>0.13762719376102764</v>
      </c>
    </row>
    <row r="444" spans="1:40">
      <c r="A444">
        <v>2.5061499999999999</v>
      </c>
      <c r="B444">
        <f>(Table110426[[#This Row],[time]]-2)*2</f>
        <v>1.0122999999999998</v>
      </c>
      <c r="C444">
        <v>88.080299999999994</v>
      </c>
      <c r="D444">
        <v>1.9521299999999999</v>
      </c>
      <c r="E444">
        <f>Table110426[[#This Row],[CFNM]]/Table110426[[#This Row],[CAREA]]</f>
        <v>2.2163071651663313E-2</v>
      </c>
      <c r="F444">
        <v>2.5061499999999999</v>
      </c>
      <c r="G444">
        <f>(Table211427[[#This Row],[time]]-2)*2</f>
        <v>1.0122999999999998</v>
      </c>
      <c r="H444">
        <v>92.731099999999998</v>
      </c>
      <c r="I444">
        <v>5.00937E-3</v>
      </c>
      <c r="J444">
        <f>Table211427[[#This Row],[CFNM]]/Table211427[[#This Row],[CAREA]]</f>
        <v>5.4020387982025448E-5</v>
      </c>
      <c r="K444">
        <v>2.5061499999999999</v>
      </c>
      <c r="L444">
        <f>(Table312428[[#This Row],[time]]-2)*2</f>
        <v>1.0122999999999998</v>
      </c>
      <c r="M444">
        <v>84.763400000000004</v>
      </c>
      <c r="N444">
        <v>3.5436899999999999E-3</v>
      </c>
      <c r="O444">
        <f>Table312428[[#This Row],[CFNM]]/Table312428[[#This Row],[CAREA]]</f>
        <v>4.1806841160217732E-5</v>
      </c>
      <c r="P444">
        <v>2.5061499999999999</v>
      </c>
      <c r="Q444">
        <f>(Table413429[[#This Row],[time]]-2)*2</f>
        <v>1.0122999999999998</v>
      </c>
      <c r="R444">
        <v>81.407300000000006</v>
      </c>
      <c r="S444">
        <v>4.8065499999999997E-3</v>
      </c>
      <c r="T444">
        <f>Table413429[[#This Row],[CFNM]]/Table413429[[#This Row],[CAREA]]</f>
        <v>5.904323076677398E-5</v>
      </c>
      <c r="U444">
        <v>2.5061499999999999</v>
      </c>
      <c r="V444">
        <f>(Table514430[[#This Row],[time]]-2)*2</f>
        <v>1.0122999999999998</v>
      </c>
      <c r="W444">
        <v>77.535300000000007</v>
      </c>
      <c r="X444">
        <v>0.12199</v>
      </c>
      <c r="Y444">
        <f>Table514430[[#This Row],[CFNM]]/Table514430[[#This Row],[CAREA]]</f>
        <v>1.5733478815455669E-3</v>
      </c>
      <c r="Z444">
        <v>2.5061499999999999</v>
      </c>
      <c r="AA444">
        <f>(Table615431[[#This Row],[time]]-2)*2</f>
        <v>1.0122999999999998</v>
      </c>
      <c r="AB444">
        <v>79.264300000000006</v>
      </c>
      <c r="AC444">
        <v>0.101688</v>
      </c>
      <c r="AD444">
        <f>Table615431[[#This Row],[CFNM]]/Table615431[[#This Row],[CAREA]]</f>
        <v>1.2828978493470578E-3</v>
      </c>
      <c r="AE444">
        <v>2.5061499999999999</v>
      </c>
      <c r="AF444">
        <f>(Table716432[[#This Row],[time]]-2)*2</f>
        <v>1.0122999999999998</v>
      </c>
      <c r="AG444">
        <v>77.799000000000007</v>
      </c>
      <c r="AH444">
        <v>13.5899</v>
      </c>
      <c r="AI444">
        <f>Table716432[[#This Row],[CFNM]]/Table716432[[#This Row],[CAREA]]</f>
        <v>0.1746796231314027</v>
      </c>
      <c r="AJ444">
        <v>2.5061499999999999</v>
      </c>
      <c r="AK444">
        <f>(Table817433[[#This Row],[time]]-2)*2</f>
        <v>1.0122999999999998</v>
      </c>
      <c r="AL444">
        <v>83.833699999999993</v>
      </c>
      <c r="AM444">
        <v>10.9206</v>
      </c>
      <c r="AN444">
        <f>Table817433[[#This Row],[CFNM]]/Table817433[[#This Row],[CAREA]]</f>
        <v>0.13026503661415398</v>
      </c>
    </row>
    <row r="445" spans="1:40">
      <c r="A445">
        <v>2.5507599999999999</v>
      </c>
      <c r="B445">
        <f>(Table110426[[#This Row],[time]]-2)*2</f>
        <v>1.1015199999999998</v>
      </c>
      <c r="C445">
        <v>87.747</v>
      </c>
      <c r="D445">
        <v>1.9809600000000001</v>
      </c>
      <c r="E445">
        <f>Table110426[[#This Row],[CFNM]]/Table110426[[#This Row],[CAREA]]</f>
        <v>2.2575814557762659E-2</v>
      </c>
      <c r="F445">
        <v>2.5507599999999999</v>
      </c>
      <c r="G445">
        <f>(Table211427[[#This Row],[time]]-2)*2</f>
        <v>1.1015199999999998</v>
      </c>
      <c r="H445">
        <v>92.609899999999996</v>
      </c>
      <c r="I445">
        <v>5.0595800000000002E-3</v>
      </c>
      <c r="J445">
        <f>Table211427[[#This Row],[CFNM]]/Table211427[[#This Row],[CAREA]]</f>
        <v>5.4633251952545033E-5</v>
      </c>
      <c r="K445">
        <v>2.5507599999999999</v>
      </c>
      <c r="L445">
        <f>(Table312428[[#This Row],[time]]-2)*2</f>
        <v>1.1015199999999998</v>
      </c>
      <c r="M445">
        <v>84.451899999999995</v>
      </c>
      <c r="N445">
        <v>3.50651E-3</v>
      </c>
      <c r="O445">
        <f>Table312428[[#This Row],[CFNM]]/Table312428[[#This Row],[CAREA]]</f>
        <v>4.1520794677206793E-5</v>
      </c>
      <c r="P445">
        <v>2.5507599999999999</v>
      </c>
      <c r="Q445">
        <f>(Table413429[[#This Row],[time]]-2)*2</f>
        <v>1.1015199999999998</v>
      </c>
      <c r="R445">
        <v>80.776499999999999</v>
      </c>
      <c r="S445">
        <v>4.7866200000000001E-3</v>
      </c>
      <c r="T445">
        <f>Table413429[[#This Row],[CFNM]]/Table413429[[#This Row],[CAREA]]</f>
        <v>5.9257581103414979E-5</v>
      </c>
      <c r="U445">
        <v>2.5507599999999999</v>
      </c>
      <c r="V445">
        <f>(Table514430[[#This Row],[time]]-2)*2</f>
        <v>1.1015199999999998</v>
      </c>
      <c r="W445">
        <v>77.019199999999998</v>
      </c>
      <c r="X445">
        <v>6.2420099999999999E-2</v>
      </c>
      <c r="Y445">
        <f>Table514430[[#This Row],[CFNM]]/Table514430[[#This Row],[CAREA]]</f>
        <v>8.1044856347508155E-4</v>
      </c>
      <c r="Z445">
        <v>2.5507599999999999</v>
      </c>
      <c r="AA445">
        <f>(Table615431[[#This Row],[time]]-2)*2</f>
        <v>1.1015199999999998</v>
      </c>
      <c r="AB445">
        <v>78.156700000000001</v>
      </c>
      <c r="AC445">
        <v>4.1875799999999998E-3</v>
      </c>
      <c r="AD445">
        <f>Table615431[[#This Row],[CFNM]]/Table615431[[#This Row],[CAREA]]</f>
        <v>5.3579283669858114E-5</v>
      </c>
      <c r="AE445">
        <v>2.5507599999999999</v>
      </c>
      <c r="AF445">
        <f>(Table716432[[#This Row],[time]]-2)*2</f>
        <v>1.1015199999999998</v>
      </c>
      <c r="AG445">
        <v>77.898300000000006</v>
      </c>
      <c r="AH445">
        <v>13.38</v>
      </c>
      <c r="AI445">
        <f>Table716432[[#This Row],[CFNM]]/Table716432[[#This Row],[CAREA]]</f>
        <v>0.17176241330041861</v>
      </c>
      <c r="AJ445">
        <v>2.5507599999999999</v>
      </c>
      <c r="AK445">
        <f>(Table817433[[#This Row],[time]]-2)*2</f>
        <v>1.1015199999999998</v>
      </c>
      <c r="AL445">
        <v>83.774199999999993</v>
      </c>
      <c r="AM445">
        <v>10.6313</v>
      </c>
      <c r="AN445">
        <f>Table817433[[#This Row],[CFNM]]/Table817433[[#This Row],[CAREA]]</f>
        <v>0.12690422588338654</v>
      </c>
    </row>
    <row r="446" spans="1:40">
      <c r="A446">
        <v>2.60453</v>
      </c>
      <c r="B446">
        <f>(Table110426[[#This Row],[time]]-2)*2</f>
        <v>1.20906</v>
      </c>
      <c r="C446">
        <v>87.304299999999998</v>
      </c>
      <c r="D446">
        <v>2.03477</v>
      </c>
      <c r="E446">
        <f>Table110426[[#This Row],[CFNM]]/Table110426[[#This Row],[CAREA]]</f>
        <v>2.3306641253638138E-2</v>
      </c>
      <c r="F446">
        <v>2.60453</v>
      </c>
      <c r="G446">
        <f>(Table211427[[#This Row],[time]]-2)*2</f>
        <v>1.20906</v>
      </c>
      <c r="H446">
        <v>92.187100000000001</v>
      </c>
      <c r="I446">
        <v>5.16929E-3</v>
      </c>
      <c r="J446">
        <f>Table211427[[#This Row],[CFNM]]/Table211427[[#This Row],[CAREA]]</f>
        <v>5.6073897540979158E-5</v>
      </c>
      <c r="K446">
        <v>2.60453</v>
      </c>
      <c r="L446">
        <f>(Table312428[[#This Row],[time]]-2)*2</f>
        <v>1.20906</v>
      </c>
      <c r="M446">
        <v>83.894099999999995</v>
      </c>
      <c r="N446">
        <v>3.4244800000000001E-3</v>
      </c>
      <c r="O446">
        <f>Table312428[[#This Row],[CFNM]]/Table312428[[#This Row],[CAREA]]</f>
        <v>4.0819080245213913E-5</v>
      </c>
      <c r="P446">
        <v>2.60453</v>
      </c>
      <c r="Q446">
        <f>(Table413429[[#This Row],[time]]-2)*2</f>
        <v>1.20906</v>
      </c>
      <c r="R446">
        <v>80.366299999999995</v>
      </c>
      <c r="S446">
        <v>4.7449700000000003E-3</v>
      </c>
      <c r="T446">
        <f>Table413429[[#This Row],[CFNM]]/Table413429[[#This Row],[CAREA]]</f>
        <v>5.9041787415869595E-5</v>
      </c>
      <c r="U446">
        <v>2.60453</v>
      </c>
      <c r="V446">
        <f>(Table514430[[#This Row],[time]]-2)*2</f>
        <v>1.20906</v>
      </c>
      <c r="W446">
        <v>76.4452</v>
      </c>
      <c r="X446">
        <v>5.3330299999999999E-3</v>
      </c>
      <c r="Y446">
        <f>Table514430[[#This Row],[CFNM]]/Table514430[[#This Row],[CAREA]]</f>
        <v>6.9762784321317759E-5</v>
      </c>
      <c r="Z446">
        <v>2.60453</v>
      </c>
      <c r="AA446">
        <f>(Table615431[[#This Row],[time]]-2)*2</f>
        <v>1.20906</v>
      </c>
      <c r="AB446">
        <v>76.714799999999997</v>
      </c>
      <c r="AC446">
        <v>3.8043700000000001E-3</v>
      </c>
      <c r="AD446">
        <f>Table615431[[#This Row],[CFNM]]/Table615431[[#This Row],[CAREA]]</f>
        <v>4.9591082815832147E-5</v>
      </c>
      <c r="AE446">
        <v>2.60453</v>
      </c>
      <c r="AF446">
        <f>(Table716432[[#This Row],[time]]-2)*2</f>
        <v>1.20906</v>
      </c>
      <c r="AG446">
        <v>78.003200000000007</v>
      </c>
      <c r="AH446">
        <v>12.9444</v>
      </c>
      <c r="AI446">
        <f>Table716432[[#This Row],[CFNM]]/Table716432[[#This Row],[CAREA]]</f>
        <v>0.16594703807023301</v>
      </c>
      <c r="AJ446">
        <v>2.60453</v>
      </c>
      <c r="AK446">
        <f>(Table817433[[#This Row],[time]]-2)*2</f>
        <v>1.20906</v>
      </c>
      <c r="AL446">
        <v>83.691299999999998</v>
      </c>
      <c r="AM446">
        <v>10.010899999999999</v>
      </c>
      <c r="AN446">
        <f>Table817433[[#This Row],[CFNM]]/Table817433[[#This Row],[CAREA]]</f>
        <v>0.11961697332936637</v>
      </c>
    </row>
    <row r="447" spans="1:40">
      <c r="A447">
        <v>2.65273</v>
      </c>
      <c r="B447">
        <f>(Table110426[[#This Row],[time]]-2)*2</f>
        <v>1.3054600000000001</v>
      </c>
      <c r="C447">
        <v>86.322599999999994</v>
      </c>
      <c r="D447">
        <v>2.0544199999999999</v>
      </c>
      <c r="E447">
        <f>Table110426[[#This Row],[CFNM]]/Table110426[[#This Row],[CAREA]]</f>
        <v>2.3799329491929113E-2</v>
      </c>
      <c r="F447">
        <v>2.65273</v>
      </c>
      <c r="G447">
        <f>(Table211427[[#This Row],[time]]-2)*2</f>
        <v>1.3054600000000001</v>
      </c>
      <c r="H447">
        <v>91.948300000000003</v>
      </c>
      <c r="I447">
        <v>5.2726600000000002E-3</v>
      </c>
      <c r="J447">
        <f>Table211427[[#This Row],[CFNM]]/Table211427[[#This Row],[CAREA]]</f>
        <v>5.7343746431418522E-5</v>
      </c>
      <c r="K447">
        <v>2.65273</v>
      </c>
      <c r="L447">
        <f>(Table312428[[#This Row],[time]]-2)*2</f>
        <v>1.3054600000000001</v>
      </c>
      <c r="M447">
        <v>83.325699999999998</v>
      </c>
      <c r="N447">
        <v>3.3551599999999998E-3</v>
      </c>
      <c r="O447">
        <f>Table312428[[#This Row],[CFNM]]/Table312428[[#This Row],[CAREA]]</f>
        <v>4.0265608329723002E-5</v>
      </c>
      <c r="P447">
        <v>2.65273</v>
      </c>
      <c r="Q447">
        <f>(Table413429[[#This Row],[time]]-2)*2</f>
        <v>1.3054600000000001</v>
      </c>
      <c r="R447">
        <v>79.953800000000001</v>
      </c>
      <c r="S447">
        <v>4.69609E-3</v>
      </c>
      <c r="T447">
        <f>Table413429[[#This Row],[CFNM]]/Table413429[[#This Row],[CAREA]]</f>
        <v>5.8735044488191931E-5</v>
      </c>
      <c r="U447">
        <v>2.65273</v>
      </c>
      <c r="V447">
        <f>(Table514430[[#This Row],[time]]-2)*2</f>
        <v>1.3054600000000001</v>
      </c>
      <c r="W447">
        <v>74.717200000000005</v>
      </c>
      <c r="X447">
        <v>4.68951E-3</v>
      </c>
      <c r="Y447">
        <f>Table514430[[#This Row],[CFNM]]/Table514430[[#This Row],[CAREA]]</f>
        <v>6.2763460086834091E-5</v>
      </c>
      <c r="Z447">
        <v>2.65273</v>
      </c>
      <c r="AA447">
        <f>(Table615431[[#This Row],[time]]-2)*2</f>
        <v>1.3054600000000001</v>
      </c>
      <c r="AB447">
        <v>76.456000000000003</v>
      </c>
      <c r="AC447">
        <v>3.6294500000000002E-3</v>
      </c>
      <c r="AD447">
        <f>Table615431[[#This Row],[CFNM]]/Table615431[[#This Row],[CAREA]]</f>
        <v>4.7471094485717278E-5</v>
      </c>
      <c r="AE447">
        <v>2.65273</v>
      </c>
      <c r="AF447">
        <f>(Table716432[[#This Row],[time]]-2)*2</f>
        <v>1.3054600000000001</v>
      </c>
      <c r="AG447">
        <v>78.05</v>
      </c>
      <c r="AH447">
        <v>12.4519</v>
      </c>
      <c r="AI447">
        <f>Table716432[[#This Row],[CFNM]]/Table716432[[#This Row],[CAREA]]</f>
        <v>0.15953747597693788</v>
      </c>
      <c r="AJ447">
        <v>2.65273</v>
      </c>
      <c r="AK447">
        <f>(Table817433[[#This Row],[time]]-2)*2</f>
        <v>1.3054600000000001</v>
      </c>
      <c r="AL447">
        <v>83.59</v>
      </c>
      <c r="AM447">
        <v>9.4085599999999996</v>
      </c>
      <c r="AN447">
        <f>Table817433[[#This Row],[CFNM]]/Table817433[[#This Row],[CAREA]]</f>
        <v>0.11255604737408779</v>
      </c>
    </row>
    <row r="448" spans="1:40">
      <c r="A448">
        <v>2.7006199999999998</v>
      </c>
      <c r="B448">
        <f>(Table110426[[#This Row],[time]]-2)*2</f>
        <v>1.4012399999999996</v>
      </c>
      <c r="C448">
        <v>85.070599999999999</v>
      </c>
      <c r="D448">
        <v>2.1137700000000001</v>
      </c>
      <c r="E448">
        <f>Table110426[[#This Row],[CFNM]]/Table110426[[#This Row],[CAREA]]</f>
        <v>2.4847244523960102E-2</v>
      </c>
      <c r="F448">
        <v>2.7006199999999998</v>
      </c>
      <c r="G448">
        <f>(Table211427[[#This Row],[time]]-2)*2</f>
        <v>1.4012399999999996</v>
      </c>
      <c r="H448">
        <v>91.7072</v>
      </c>
      <c r="I448">
        <v>5.3791999999999998E-3</v>
      </c>
      <c r="J448">
        <f>Table211427[[#This Row],[CFNM]]/Table211427[[#This Row],[CAREA]]</f>
        <v>5.8656245093078837E-5</v>
      </c>
      <c r="K448">
        <v>2.7006199999999998</v>
      </c>
      <c r="L448">
        <f>(Table312428[[#This Row],[time]]-2)*2</f>
        <v>1.4012399999999996</v>
      </c>
      <c r="M448">
        <v>82.764600000000002</v>
      </c>
      <c r="N448">
        <v>3.2764299999999999E-3</v>
      </c>
      <c r="O448">
        <f>Table312428[[#This Row],[CFNM]]/Table312428[[#This Row],[CAREA]]</f>
        <v>3.9587335648332742E-5</v>
      </c>
      <c r="P448">
        <v>2.7006199999999998</v>
      </c>
      <c r="Q448">
        <f>(Table413429[[#This Row],[time]]-2)*2</f>
        <v>1.4012399999999996</v>
      </c>
      <c r="R448">
        <v>79.484200000000001</v>
      </c>
      <c r="S448">
        <v>4.6305000000000001E-3</v>
      </c>
      <c r="T448">
        <f>Table413429[[#This Row],[CFNM]]/Table413429[[#This Row],[CAREA]]</f>
        <v>5.8256861112019749E-5</v>
      </c>
      <c r="U448">
        <v>2.7006199999999998</v>
      </c>
      <c r="V448">
        <f>(Table514430[[#This Row],[time]]-2)*2</f>
        <v>1.4012399999999996</v>
      </c>
      <c r="W448">
        <v>73.651899999999998</v>
      </c>
      <c r="X448">
        <v>4.2643500000000001E-3</v>
      </c>
      <c r="Y448">
        <f>Table514430[[#This Row],[CFNM]]/Table514430[[#This Row],[CAREA]]</f>
        <v>5.7898710012912091E-5</v>
      </c>
      <c r="Z448">
        <v>2.7006199999999998</v>
      </c>
      <c r="AA448">
        <f>(Table615431[[#This Row],[time]]-2)*2</f>
        <v>1.4012399999999996</v>
      </c>
      <c r="AB448">
        <v>76.048000000000002</v>
      </c>
      <c r="AC448">
        <v>3.4550599999999998E-3</v>
      </c>
      <c r="AD448">
        <f>Table615431[[#This Row],[CFNM]]/Table615431[[#This Row],[CAREA]]</f>
        <v>4.5432621502209128E-5</v>
      </c>
      <c r="AE448">
        <v>2.7006199999999998</v>
      </c>
      <c r="AF448">
        <f>(Table716432[[#This Row],[time]]-2)*2</f>
        <v>1.4012399999999996</v>
      </c>
      <c r="AG448">
        <v>78.158699999999996</v>
      </c>
      <c r="AH448">
        <v>11.8354</v>
      </c>
      <c r="AI448">
        <f>Table716432[[#This Row],[CFNM]]/Table716432[[#This Row],[CAREA]]</f>
        <v>0.15142780010414708</v>
      </c>
      <c r="AJ448">
        <v>2.7006199999999998</v>
      </c>
      <c r="AK448">
        <f>(Table817433[[#This Row],[time]]-2)*2</f>
        <v>1.4012399999999996</v>
      </c>
      <c r="AL448">
        <v>83.476699999999994</v>
      </c>
      <c r="AM448">
        <v>8.8798300000000001</v>
      </c>
      <c r="AN448">
        <f>Table817433[[#This Row],[CFNM]]/Table817433[[#This Row],[CAREA]]</f>
        <v>0.10637495253166453</v>
      </c>
    </row>
    <row r="449" spans="1:40">
      <c r="A449">
        <v>2.75176</v>
      </c>
      <c r="B449">
        <f>(Table110426[[#This Row],[time]]-2)*2</f>
        <v>1.50352</v>
      </c>
      <c r="C449">
        <v>84.678799999999995</v>
      </c>
      <c r="D449">
        <v>2.1677200000000001</v>
      </c>
      <c r="E449">
        <f>Table110426[[#This Row],[CFNM]]/Table110426[[#This Row],[CAREA]]</f>
        <v>2.5599323561505363E-2</v>
      </c>
      <c r="F449">
        <v>2.75176</v>
      </c>
      <c r="G449">
        <f>(Table211427[[#This Row],[time]]-2)*2</f>
        <v>1.50352</v>
      </c>
      <c r="H449">
        <v>91.1541</v>
      </c>
      <c r="I449">
        <v>5.4782299999999997E-3</v>
      </c>
      <c r="J449">
        <f>Table211427[[#This Row],[CFNM]]/Table211427[[#This Row],[CAREA]]</f>
        <v>6.0098558375322663E-5</v>
      </c>
      <c r="K449">
        <v>2.75176</v>
      </c>
      <c r="L449">
        <f>(Table312428[[#This Row],[time]]-2)*2</f>
        <v>1.50352</v>
      </c>
      <c r="M449">
        <v>82.286600000000007</v>
      </c>
      <c r="N449">
        <v>3.1982899999999999E-3</v>
      </c>
      <c r="O449">
        <f>Table312428[[#This Row],[CFNM]]/Table312428[[#This Row],[CAREA]]</f>
        <v>3.8867689271400202E-5</v>
      </c>
      <c r="P449">
        <v>2.75176</v>
      </c>
      <c r="Q449">
        <f>(Table413429[[#This Row],[time]]-2)*2</f>
        <v>1.50352</v>
      </c>
      <c r="R449">
        <v>79.045000000000002</v>
      </c>
      <c r="S449">
        <v>4.5581700000000003E-3</v>
      </c>
      <c r="T449">
        <f>Table413429[[#This Row],[CFNM]]/Table413429[[#This Row],[CAREA]]</f>
        <v>5.7665506989689418E-5</v>
      </c>
      <c r="U449">
        <v>2.75176</v>
      </c>
      <c r="V449">
        <f>(Table514430[[#This Row],[time]]-2)*2</f>
        <v>1.50352</v>
      </c>
      <c r="W449">
        <v>73.105999999999995</v>
      </c>
      <c r="X449">
        <v>4.1600300000000003E-3</v>
      </c>
      <c r="Y449">
        <f>Table514430[[#This Row],[CFNM]]/Table514430[[#This Row],[CAREA]]</f>
        <v>5.6904084480070044E-5</v>
      </c>
      <c r="Z449">
        <v>2.75176</v>
      </c>
      <c r="AA449">
        <f>(Table615431[[#This Row],[time]]-2)*2</f>
        <v>1.50352</v>
      </c>
      <c r="AB449">
        <v>75.624099999999999</v>
      </c>
      <c r="AC449">
        <v>3.2978299999999999E-3</v>
      </c>
      <c r="AD449">
        <f>Table615431[[#This Row],[CFNM]]/Table615431[[#This Row],[CAREA]]</f>
        <v>4.360818839496933E-5</v>
      </c>
      <c r="AE449">
        <v>2.75176</v>
      </c>
      <c r="AF449">
        <f>(Table716432[[#This Row],[time]]-2)*2</f>
        <v>1.50352</v>
      </c>
      <c r="AG449">
        <v>78.189899999999994</v>
      </c>
      <c r="AH449">
        <v>11.190300000000001</v>
      </c>
      <c r="AI449">
        <f>Table716432[[#This Row],[CFNM]]/Table716432[[#This Row],[CAREA]]</f>
        <v>0.14311694988738957</v>
      </c>
      <c r="AJ449">
        <v>2.75176</v>
      </c>
      <c r="AK449">
        <f>(Table817433[[#This Row],[time]]-2)*2</f>
        <v>1.50352</v>
      </c>
      <c r="AL449">
        <v>83.387299999999996</v>
      </c>
      <c r="AM449">
        <v>8.3783999999999992</v>
      </c>
      <c r="AN449">
        <f>Table817433[[#This Row],[CFNM]]/Table817433[[#This Row],[CAREA]]</f>
        <v>0.10047573191601118</v>
      </c>
    </row>
    <row r="450" spans="1:40">
      <c r="A450">
        <v>2.80444</v>
      </c>
      <c r="B450">
        <f>(Table110426[[#This Row],[time]]-2)*2</f>
        <v>1.6088800000000001</v>
      </c>
      <c r="C450">
        <v>84.006699999999995</v>
      </c>
      <c r="D450">
        <v>2.2303700000000002</v>
      </c>
      <c r="E450">
        <f>Table110426[[#This Row],[CFNM]]/Table110426[[#This Row],[CAREA]]</f>
        <v>2.6549906138438963E-2</v>
      </c>
      <c r="F450">
        <v>2.80444</v>
      </c>
      <c r="G450">
        <f>(Table211427[[#This Row],[time]]-2)*2</f>
        <v>1.6088800000000001</v>
      </c>
      <c r="H450">
        <v>90.593800000000002</v>
      </c>
      <c r="I450">
        <v>5.5765800000000003E-3</v>
      </c>
      <c r="J450">
        <f>Table211427[[#This Row],[CFNM]]/Table211427[[#This Row],[CAREA]]</f>
        <v>6.1555868061611283E-5</v>
      </c>
      <c r="K450">
        <v>2.80444</v>
      </c>
      <c r="L450">
        <f>(Table312428[[#This Row],[time]]-2)*2</f>
        <v>1.6088800000000001</v>
      </c>
      <c r="M450">
        <v>80.767499999999998</v>
      </c>
      <c r="N450">
        <v>3.10341E-3</v>
      </c>
      <c r="O450">
        <f>Table312428[[#This Row],[CFNM]]/Table312428[[#This Row],[CAREA]]</f>
        <v>3.8423994799888571E-5</v>
      </c>
      <c r="P450">
        <v>2.80444</v>
      </c>
      <c r="Q450">
        <f>(Table413429[[#This Row],[time]]-2)*2</f>
        <v>1.6088800000000001</v>
      </c>
      <c r="R450">
        <v>78.575699999999998</v>
      </c>
      <c r="S450">
        <v>4.4875799999999997E-3</v>
      </c>
      <c r="T450">
        <f>Table413429[[#This Row],[CFNM]]/Table413429[[#This Row],[CAREA]]</f>
        <v>5.7111549753931556E-5</v>
      </c>
      <c r="U450">
        <v>2.80444</v>
      </c>
      <c r="V450">
        <f>(Table514430[[#This Row],[time]]-2)*2</f>
        <v>1.6088800000000001</v>
      </c>
      <c r="W450">
        <v>72.427999999999997</v>
      </c>
      <c r="X450">
        <v>4.0431299999999998E-3</v>
      </c>
      <c r="Y450">
        <f>Table514430[[#This Row],[CFNM]]/Table514430[[#This Row],[CAREA]]</f>
        <v>5.5822748108466338E-5</v>
      </c>
      <c r="Z450">
        <v>2.80444</v>
      </c>
      <c r="AA450">
        <f>(Table615431[[#This Row],[time]]-2)*2</f>
        <v>1.6088800000000001</v>
      </c>
      <c r="AB450">
        <v>73.7273</v>
      </c>
      <c r="AC450">
        <v>3.1338E-3</v>
      </c>
      <c r="AD450">
        <f>Table615431[[#This Row],[CFNM]]/Table615431[[#This Row],[CAREA]]</f>
        <v>4.2505286372890368E-5</v>
      </c>
      <c r="AE450">
        <v>2.80444</v>
      </c>
      <c r="AF450">
        <f>(Table716432[[#This Row],[time]]-2)*2</f>
        <v>1.6088800000000001</v>
      </c>
      <c r="AG450">
        <v>78.207800000000006</v>
      </c>
      <c r="AH450">
        <v>10.4412</v>
      </c>
      <c r="AI450">
        <f>Table716432[[#This Row],[CFNM]]/Table716432[[#This Row],[CAREA]]</f>
        <v>0.1335058651438859</v>
      </c>
      <c r="AJ450">
        <v>2.80444</v>
      </c>
      <c r="AK450">
        <f>(Table817433[[#This Row],[time]]-2)*2</f>
        <v>1.6088800000000001</v>
      </c>
      <c r="AL450">
        <v>83.278999999999996</v>
      </c>
      <c r="AM450">
        <v>7.83277</v>
      </c>
      <c r="AN450">
        <f>Table817433[[#This Row],[CFNM]]/Table817433[[#This Row],[CAREA]]</f>
        <v>9.4054563575451194E-2</v>
      </c>
    </row>
    <row r="451" spans="1:40">
      <c r="A451">
        <v>2.8583699999999999</v>
      </c>
      <c r="B451">
        <f>(Table110426[[#This Row],[time]]-2)*2</f>
        <v>1.7167399999999997</v>
      </c>
      <c r="C451">
        <v>83.444900000000004</v>
      </c>
      <c r="D451">
        <v>2.26389</v>
      </c>
      <c r="E451">
        <f>Table110426[[#This Row],[CFNM]]/Table110426[[#This Row],[CAREA]]</f>
        <v>2.7130357876874438E-2</v>
      </c>
      <c r="F451">
        <v>2.8583699999999999</v>
      </c>
      <c r="G451">
        <f>(Table211427[[#This Row],[time]]-2)*2</f>
        <v>1.7167399999999997</v>
      </c>
      <c r="H451">
        <v>90.317499999999995</v>
      </c>
      <c r="I451">
        <v>5.6619599999999997E-3</v>
      </c>
      <c r="J451">
        <f>Table211427[[#This Row],[CFNM]]/Table211427[[#This Row],[CAREA]]</f>
        <v>6.2689511999335678E-5</v>
      </c>
      <c r="K451">
        <v>2.8583699999999999</v>
      </c>
      <c r="L451">
        <f>(Table312428[[#This Row],[time]]-2)*2</f>
        <v>1.7167399999999997</v>
      </c>
      <c r="M451">
        <v>80.312700000000007</v>
      </c>
      <c r="N451">
        <v>3.0092500000000002E-3</v>
      </c>
      <c r="O451">
        <f>Table312428[[#This Row],[CFNM]]/Table312428[[#This Row],[CAREA]]</f>
        <v>3.746916739195669E-5</v>
      </c>
      <c r="P451">
        <v>2.8583699999999999</v>
      </c>
      <c r="Q451">
        <f>(Table413429[[#This Row],[time]]-2)*2</f>
        <v>1.7167399999999997</v>
      </c>
      <c r="R451">
        <v>78.144900000000007</v>
      </c>
      <c r="S451">
        <v>4.4286500000000001E-3</v>
      </c>
      <c r="T451">
        <f>Table413429[[#This Row],[CFNM]]/Table413429[[#This Row],[CAREA]]</f>
        <v>5.6672284435708536E-5</v>
      </c>
      <c r="U451">
        <v>2.8583699999999999</v>
      </c>
      <c r="V451">
        <f>(Table514430[[#This Row],[time]]-2)*2</f>
        <v>1.7167399999999997</v>
      </c>
      <c r="W451">
        <v>71.6845</v>
      </c>
      <c r="X451">
        <v>3.9367500000000001E-3</v>
      </c>
      <c r="Y451">
        <f>Table514430[[#This Row],[CFNM]]/Table514430[[#This Row],[CAREA]]</f>
        <v>5.4917729774218977E-5</v>
      </c>
      <c r="Z451">
        <v>2.8583699999999999</v>
      </c>
      <c r="AA451">
        <f>(Table615431[[#This Row],[time]]-2)*2</f>
        <v>1.7167399999999997</v>
      </c>
      <c r="AB451">
        <v>73.388300000000001</v>
      </c>
      <c r="AC451">
        <v>2.9872599999999998E-3</v>
      </c>
      <c r="AD451">
        <f>Table615431[[#This Row],[CFNM]]/Table615431[[#This Row],[CAREA]]</f>
        <v>4.0704853498445932E-5</v>
      </c>
      <c r="AE451">
        <v>2.8583699999999999</v>
      </c>
      <c r="AF451">
        <f>(Table716432[[#This Row],[time]]-2)*2</f>
        <v>1.7167399999999997</v>
      </c>
      <c r="AG451">
        <v>78.234700000000004</v>
      </c>
      <c r="AH451">
        <v>9.69651</v>
      </c>
      <c r="AI451">
        <f>Table716432[[#This Row],[CFNM]]/Table716432[[#This Row],[CAREA]]</f>
        <v>0.12394129459178599</v>
      </c>
      <c r="AJ451">
        <v>2.8583699999999999</v>
      </c>
      <c r="AK451">
        <f>(Table817433[[#This Row],[time]]-2)*2</f>
        <v>1.7167399999999997</v>
      </c>
      <c r="AL451">
        <v>83.154700000000005</v>
      </c>
      <c r="AM451">
        <v>7.3036300000000001</v>
      </c>
      <c r="AN451">
        <f>Table817433[[#This Row],[CFNM]]/Table817433[[#This Row],[CAREA]]</f>
        <v>8.7831836324344867E-2</v>
      </c>
    </row>
    <row r="452" spans="1:40">
      <c r="A452">
        <v>2.9134199999999999</v>
      </c>
      <c r="B452">
        <f>(Table110426[[#This Row],[time]]-2)*2</f>
        <v>1.8268399999999998</v>
      </c>
      <c r="C452">
        <v>82.626999999999995</v>
      </c>
      <c r="D452">
        <v>2.3197299999999998</v>
      </c>
      <c r="E452">
        <f>Table110426[[#This Row],[CFNM]]/Table110426[[#This Row],[CAREA]]</f>
        <v>2.8074721338061409E-2</v>
      </c>
      <c r="F452">
        <v>2.9134199999999999</v>
      </c>
      <c r="G452">
        <f>(Table211427[[#This Row],[time]]-2)*2</f>
        <v>1.8268399999999998</v>
      </c>
      <c r="H452">
        <v>89.701400000000007</v>
      </c>
      <c r="I452">
        <v>5.73115E-3</v>
      </c>
      <c r="J452">
        <f>Table211427[[#This Row],[CFNM]]/Table211427[[#This Row],[CAREA]]</f>
        <v>6.3891421984495214E-5</v>
      </c>
      <c r="K452">
        <v>2.9134199999999999</v>
      </c>
      <c r="L452">
        <f>(Table312428[[#This Row],[time]]-2)*2</f>
        <v>1.8268399999999998</v>
      </c>
      <c r="M452">
        <v>79.879300000000001</v>
      </c>
      <c r="N452">
        <v>2.9206499999999999E-3</v>
      </c>
      <c r="O452">
        <f>Table312428[[#This Row],[CFNM]]/Table312428[[#This Row],[CAREA]]</f>
        <v>3.656328986358168E-5</v>
      </c>
      <c r="P452">
        <v>2.9134199999999999</v>
      </c>
      <c r="Q452">
        <f>(Table413429[[#This Row],[time]]-2)*2</f>
        <v>1.8268399999999998</v>
      </c>
      <c r="R452">
        <v>77.712400000000002</v>
      </c>
      <c r="S452">
        <v>4.3674999999999999E-3</v>
      </c>
      <c r="T452">
        <f>Table413429[[#This Row],[CFNM]]/Table413429[[#This Row],[CAREA]]</f>
        <v>5.6200812225590764E-5</v>
      </c>
      <c r="U452">
        <v>2.9134199999999999</v>
      </c>
      <c r="V452">
        <f>(Table514430[[#This Row],[time]]-2)*2</f>
        <v>1.8268399999999998</v>
      </c>
      <c r="W452">
        <v>70.716999999999999</v>
      </c>
      <c r="X452">
        <v>3.8405800000000001E-3</v>
      </c>
      <c r="Y452">
        <f>Table514430[[#This Row],[CFNM]]/Table514430[[#This Row],[CAREA]]</f>
        <v>5.4309147729683105E-5</v>
      </c>
      <c r="Z452">
        <v>2.9134199999999999</v>
      </c>
      <c r="AA452">
        <f>(Table615431[[#This Row],[time]]-2)*2</f>
        <v>1.8268399999999998</v>
      </c>
      <c r="AB452">
        <v>72.4011</v>
      </c>
      <c r="AC452">
        <v>2.8586200000000001E-3</v>
      </c>
      <c r="AD452">
        <f>Table615431[[#This Row],[CFNM]]/Table615431[[#This Row],[CAREA]]</f>
        <v>3.9483101776077991E-5</v>
      </c>
      <c r="AE452">
        <v>2.9134199999999999</v>
      </c>
      <c r="AF452">
        <f>(Table716432[[#This Row],[time]]-2)*2</f>
        <v>1.8268399999999998</v>
      </c>
      <c r="AG452">
        <v>78.241799999999998</v>
      </c>
      <c r="AH452">
        <v>9.0820100000000004</v>
      </c>
      <c r="AI452">
        <f>Table716432[[#This Row],[CFNM]]/Table716432[[#This Row],[CAREA]]</f>
        <v>0.11607618945371911</v>
      </c>
      <c r="AJ452">
        <v>2.9134199999999999</v>
      </c>
      <c r="AK452">
        <f>(Table817433[[#This Row],[time]]-2)*2</f>
        <v>1.8268399999999998</v>
      </c>
      <c r="AL452">
        <v>83.025400000000005</v>
      </c>
      <c r="AM452">
        <v>6.8212200000000003</v>
      </c>
      <c r="AN452">
        <f>Table817433[[#This Row],[CFNM]]/Table817433[[#This Row],[CAREA]]</f>
        <v>8.2158231095544251E-2</v>
      </c>
    </row>
    <row r="453" spans="1:40">
      <c r="A453">
        <v>2.9619599999999999</v>
      </c>
      <c r="B453">
        <f>(Table110426[[#This Row],[time]]-2)*2</f>
        <v>1.9239199999999999</v>
      </c>
      <c r="C453">
        <v>81.599699999999999</v>
      </c>
      <c r="D453">
        <v>2.3627400000000001</v>
      </c>
      <c r="E453">
        <f>Table110426[[#This Row],[CFNM]]/Table110426[[#This Row],[CAREA]]</f>
        <v>2.8955253511961442E-2</v>
      </c>
      <c r="F453">
        <v>2.9619599999999999</v>
      </c>
      <c r="G453">
        <f>(Table211427[[#This Row],[time]]-2)*2</f>
        <v>1.9239199999999999</v>
      </c>
      <c r="H453">
        <v>89.364800000000002</v>
      </c>
      <c r="I453">
        <v>5.7997400000000003E-3</v>
      </c>
      <c r="J453">
        <f>Table211427[[#This Row],[CFNM]]/Table211427[[#This Row],[CAREA]]</f>
        <v>6.4899602528064744E-5</v>
      </c>
      <c r="K453">
        <v>2.9619599999999999</v>
      </c>
      <c r="L453">
        <f>(Table312428[[#This Row],[time]]-2)*2</f>
        <v>1.9239199999999999</v>
      </c>
      <c r="M453">
        <v>79.475800000000007</v>
      </c>
      <c r="N453">
        <v>2.8253800000000002E-3</v>
      </c>
      <c r="O453">
        <f>Table312428[[#This Row],[CFNM]]/Table312428[[#This Row],[CAREA]]</f>
        <v>3.5550192637255618E-5</v>
      </c>
      <c r="P453">
        <v>2.9619599999999999</v>
      </c>
      <c r="Q453">
        <f>(Table413429[[#This Row],[time]]-2)*2</f>
        <v>1.9239199999999999</v>
      </c>
      <c r="R453">
        <v>77.279300000000006</v>
      </c>
      <c r="S453">
        <v>4.2969499999999999E-3</v>
      </c>
      <c r="T453">
        <f>Table413429[[#This Row],[CFNM]]/Table413429[[#This Row],[CAREA]]</f>
        <v>5.5602858721546386E-5</v>
      </c>
      <c r="U453">
        <v>2.9619599999999999</v>
      </c>
      <c r="V453">
        <f>(Table514430[[#This Row],[time]]-2)*2</f>
        <v>1.9239199999999999</v>
      </c>
      <c r="W453">
        <v>70.266800000000003</v>
      </c>
      <c r="X453">
        <v>3.7340099999999998E-3</v>
      </c>
      <c r="Y453">
        <f>Table514430[[#This Row],[CFNM]]/Table514430[[#This Row],[CAREA]]</f>
        <v>5.3140458936510549E-5</v>
      </c>
      <c r="Z453">
        <v>2.9619599999999999</v>
      </c>
      <c r="AA453">
        <f>(Table615431[[#This Row],[time]]-2)*2</f>
        <v>1.9239199999999999</v>
      </c>
      <c r="AB453">
        <v>70.699399999999997</v>
      </c>
      <c r="AC453">
        <v>2.72324E-3</v>
      </c>
      <c r="AD453">
        <f>Table615431[[#This Row],[CFNM]]/Table615431[[#This Row],[CAREA]]</f>
        <v>3.8518573000619527E-5</v>
      </c>
      <c r="AE453">
        <v>2.9619599999999999</v>
      </c>
      <c r="AF453">
        <f>(Table716432[[#This Row],[time]]-2)*2</f>
        <v>1.9239199999999999</v>
      </c>
      <c r="AG453">
        <v>78.150400000000005</v>
      </c>
      <c r="AH453">
        <v>8.4167199999999998</v>
      </c>
      <c r="AI453">
        <f>Table716432[[#This Row],[CFNM]]/Table716432[[#This Row],[CAREA]]</f>
        <v>0.10769900090082711</v>
      </c>
      <c r="AJ453">
        <v>2.9619599999999999</v>
      </c>
      <c r="AK453">
        <f>(Table817433[[#This Row],[time]]-2)*2</f>
        <v>1.9239199999999999</v>
      </c>
      <c r="AL453">
        <v>82.907799999999995</v>
      </c>
      <c r="AM453">
        <v>6.2453799999999999</v>
      </c>
      <c r="AN453">
        <f>Table817433[[#This Row],[CFNM]]/Table817433[[#This Row],[CAREA]]</f>
        <v>7.5329221134802754E-2</v>
      </c>
    </row>
    <row r="454" spans="1:40">
      <c r="A454">
        <v>3</v>
      </c>
      <c r="B454">
        <f>(Table110426[[#This Row],[time]]-2)*2</f>
        <v>2</v>
      </c>
      <c r="C454">
        <v>80.891599999999997</v>
      </c>
      <c r="D454">
        <v>2.3790100000000001</v>
      </c>
      <c r="E454">
        <f>Table110426[[#This Row],[CFNM]]/Table110426[[#This Row],[CAREA]]</f>
        <v>2.9409852197261523E-2</v>
      </c>
      <c r="F454">
        <v>3</v>
      </c>
      <c r="G454">
        <f>(Table211427[[#This Row],[time]]-2)*2</f>
        <v>2</v>
      </c>
      <c r="H454">
        <v>88.776899999999998</v>
      </c>
      <c r="I454">
        <v>5.8590600000000001E-3</v>
      </c>
      <c r="J454">
        <f>Table211427[[#This Row],[CFNM]]/Table211427[[#This Row],[CAREA]]</f>
        <v>6.5997573693156672E-5</v>
      </c>
      <c r="K454">
        <v>3</v>
      </c>
      <c r="L454">
        <f>(Table312428[[#This Row],[time]]-2)*2</f>
        <v>2</v>
      </c>
      <c r="M454">
        <v>78.644499999999994</v>
      </c>
      <c r="N454">
        <v>2.7241100000000001E-3</v>
      </c>
      <c r="O454">
        <f>Table312428[[#This Row],[CFNM]]/Table312428[[#This Row],[CAREA]]</f>
        <v>3.4638277311191503E-5</v>
      </c>
      <c r="P454">
        <v>3</v>
      </c>
      <c r="Q454">
        <f>(Table413429[[#This Row],[time]]-2)*2</f>
        <v>2</v>
      </c>
      <c r="R454">
        <v>76.901899999999998</v>
      </c>
      <c r="S454">
        <v>4.2188700000000004E-3</v>
      </c>
      <c r="T454">
        <f>Table413429[[#This Row],[CFNM]]/Table413429[[#This Row],[CAREA]]</f>
        <v>5.4860413071718649E-5</v>
      </c>
      <c r="U454">
        <v>3</v>
      </c>
      <c r="V454">
        <f>(Table514430[[#This Row],[time]]-2)*2</f>
        <v>2</v>
      </c>
      <c r="W454">
        <v>69.798900000000003</v>
      </c>
      <c r="X454">
        <v>3.6228100000000002E-3</v>
      </c>
      <c r="Y454">
        <f>Table514430[[#This Row],[CFNM]]/Table514430[[#This Row],[CAREA]]</f>
        <v>5.1903540027135098E-5</v>
      </c>
      <c r="Z454">
        <v>3</v>
      </c>
      <c r="AA454">
        <f>(Table615431[[#This Row],[time]]-2)*2</f>
        <v>2</v>
      </c>
      <c r="AB454">
        <v>70.259100000000004</v>
      </c>
      <c r="AC454">
        <v>2.5868499999999999E-3</v>
      </c>
      <c r="AD454">
        <f>Table615431[[#This Row],[CFNM]]/Table615431[[#This Row],[CAREA]]</f>
        <v>3.6818718144695843E-5</v>
      </c>
      <c r="AE454">
        <v>3</v>
      </c>
      <c r="AF454">
        <f>(Table716432[[#This Row],[time]]-2)*2</f>
        <v>2</v>
      </c>
      <c r="AG454">
        <v>77.994399999999999</v>
      </c>
      <c r="AH454">
        <v>7.67075</v>
      </c>
      <c r="AI454">
        <f>Table716432[[#This Row],[CFNM]]/Table716432[[#This Row],[CAREA]]</f>
        <v>9.8350009744289341E-2</v>
      </c>
      <c r="AJ454">
        <v>3</v>
      </c>
      <c r="AK454">
        <f>(Table817433[[#This Row],[time]]-2)*2</f>
        <v>2</v>
      </c>
      <c r="AL454">
        <v>82.813100000000006</v>
      </c>
      <c r="AM454">
        <v>5.6662800000000004</v>
      </c>
      <c r="AN454">
        <f>Table817433[[#This Row],[CFNM]]/Table817433[[#This Row],[CAREA]]</f>
        <v>6.8422508033149351E-2</v>
      </c>
    </row>
    <row r="457" spans="1:40">
      <c r="A457" s="1" t="s">
        <v>53</v>
      </c>
    </row>
    <row r="458" spans="1:40">
      <c r="A458" t="s">
        <v>54</v>
      </c>
      <c r="F458" t="s">
        <v>2</v>
      </c>
    </row>
    <row r="459" spans="1:40">
      <c r="F459" t="s">
        <v>4</v>
      </c>
      <c r="G459" t="s">
        <v>5</v>
      </c>
    </row>
    <row r="462" spans="1:40">
      <c r="A462" t="s">
        <v>7</v>
      </c>
      <c r="F462" t="s">
        <v>8</v>
      </c>
      <c r="K462" t="s">
        <v>9</v>
      </c>
      <c r="P462" t="s">
        <v>26</v>
      </c>
      <c r="U462" t="s">
        <v>11</v>
      </c>
      <c r="Z462" t="s">
        <v>12</v>
      </c>
      <c r="AE462" t="s">
        <v>13</v>
      </c>
      <c r="AJ462" t="s">
        <v>14</v>
      </c>
    </row>
    <row r="463" spans="1:40">
      <c r="A463" t="s">
        <v>15</v>
      </c>
      <c r="B463" t="s">
        <v>16</v>
      </c>
      <c r="C463" t="s">
        <v>20</v>
      </c>
      <c r="D463" t="s">
        <v>18</v>
      </c>
      <c r="E463" t="s">
        <v>19</v>
      </c>
      <c r="F463" t="s">
        <v>15</v>
      </c>
      <c r="G463" t="s">
        <v>16</v>
      </c>
      <c r="H463" t="s">
        <v>20</v>
      </c>
      <c r="I463" t="s">
        <v>18</v>
      </c>
      <c r="J463" t="s">
        <v>19</v>
      </c>
      <c r="K463" t="s">
        <v>15</v>
      </c>
      <c r="L463" t="s">
        <v>16</v>
      </c>
      <c r="M463" t="s">
        <v>20</v>
      </c>
      <c r="N463" t="s">
        <v>18</v>
      </c>
      <c r="O463" t="s">
        <v>19</v>
      </c>
      <c r="P463" t="s">
        <v>15</v>
      </c>
      <c r="Q463" t="s">
        <v>16</v>
      </c>
      <c r="R463" t="s">
        <v>20</v>
      </c>
      <c r="S463" t="s">
        <v>18</v>
      </c>
      <c r="T463" t="s">
        <v>19</v>
      </c>
      <c r="U463" t="s">
        <v>15</v>
      </c>
      <c r="V463" t="s">
        <v>16</v>
      </c>
      <c r="W463" t="s">
        <v>20</v>
      </c>
      <c r="X463" t="s">
        <v>18</v>
      </c>
      <c r="Y463" t="s">
        <v>19</v>
      </c>
      <c r="Z463" t="s">
        <v>15</v>
      </c>
      <c r="AA463" t="s">
        <v>16</v>
      </c>
      <c r="AB463" t="s">
        <v>20</v>
      </c>
      <c r="AC463" t="s">
        <v>18</v>
      </c>
      <c r="AD463" t="s">
        <v>19</v>
      </c>
      <c r="AE463" t="s">
        <v>15</v>
      </c>
      <c r="AF463" t="s">
        <v>16</v>
      </c>
      <c r="AG463" t="s">
        <v>20</v>
      </c>
      <c r="AH463" t="s">
        <v>18</v>
      </c>
      <c r="AI463" t="s">
        <v>19</v>
      </c>
      <c r="AJ463" t="s">
        <v>15</v>
      </c>
      <c r="AK463" t="s">
        <v>16</v>
      </c>
      <c r="AL463" t="s">
        <v>20</v>
      </c>
      <c r="AM463" t="s">
        <v>18</v>
      </c>
      <c r="AN463" t="s">
        <v>19</v>
      </c>
    </row>
    <row r="464" spans="1:40">
      <c r="A464">
        <v>2</v>
      </c>
      <c r="B464">
        <f>-(Table1434[[#This Row],[time]]-2)*2</f>
        <v>0</v>
      </c>
      <c r="C464">
        <v>90.688999999999993</v>
      </c>
      <c r="D464">
        <v>10.0715</v>
      </c>
      <c r="E464" s="2">
        <f>Table1434[[#This Row],[CFNM]]/Table1434[[#This Row],[CAREA]]</f>
        <v>0.11105536503875885</v>
      </c>
      <c r="F464">
        <v>2</v>
      </c>
      <c r="G464">
        <f>-(Table2435[[#This Row],[time]]-2)*2</f>
        <v>0</v>
      </c>
      <c r="H464">
        <v>95.948400000000007</v>
      </c>
      <c r="I464">
        <v>3.4775999999999998</v>
      </c>
      <c r="J464" s="2">
        <f>Table2435[[#This Row],[CFNM]]/Table2435[[#This Row],[CAREA]]</f>
        <v>3.6244481408757204E-2</v>
      </c>
      <c r="K464">
        <v>2</v>
      </c>
      <c r="L464">
        <f>-(Table3436[[#This Row],[time]]-2)*2</f>
        <v>0</v>
      </c>
      <c r="M464">
        <v>88.963399999999993</v>
      </c>
      <c r="N464">
        <v>3.5141100000000001</v>
      </c>
      <c r="O464">
        <f>Table3436[[#This Row],[CFNM]]/Table3436[[#This Row],[CAREA]]</f>
        <v>3.9500626100171535E-2</v>
      </c>
      <c r="P464">
        <v>2</v>
      </c>
      <c r="Q464">
        <f>-(Table4437[[#This Row],[time]]-2)*2</f>
        <v>0</v>
      </c>
      <c r="R464">
        <v>86.444900000000004</v>
      </c>
      <c r="S464">
        <v>6.4569700000000001</v>
      </c>
      <c r="T464">
        <f>Table4437[[#This Row],[CFNM]]/Table4437[[#This Row],[CAREA]]</f>
        <v>7.4694632071990369E-2</v>
      </c>
      <c r="U464">
        <v>2</v>
      </c>
      <c r="V464">
        <f>-(Table5438[[#This Row],[time]]-2)*2</f>
        <v>0</v>
      </c>
      <c r="W464">
        <v>82.746600000000001</v>
      </c>
      <c r="X464">
        <v>8.9821000000000009</v>
      </c>
      <c r="Y464">
        <f>Table5438[[#This Row],[CFNM]]/Table5438[[#This Row],[CAREA]]</f>
        <v>0.10854947514459809</v>
      </c>
      <c r="Z464">
        <v>2</v>
      </c>
      <c r="AA464">
        <f>-(Table6439[[#This Row],[time]]-2)*2</f>
        <v>0</v>
      </c>
      <c r="AB464">
        <v>88.940399999999997</v>
      </c>
      <c r="AC464">
        <v>15.745900000000001</v>
      </c>
      <c r="AD464">
        <f>Table6439[[#This Row],[CFNM]]/Table6439[[#This Row],[CAREA]]</f>
        <v>0.17703878102639523</v>
      </c>
      <c r="AE464">
        <v>2</v>
      </c>
      <c r="AF464">
        <f>-(Table7440[[#This Row],[time]]-2)*2</f>
        <v>0</v>
      </c>
      <c r="AG464">
        <v>78.945400000000006</v>
      </c>
      <c r="AH464">
        <v>19.654699999999998</v>
      </c>
      <c r="AI464">
        <f>Table7440[[#This Row],[CFNM]]/Table7440[[#This Row],[CAREA]]</f>
        <v>0.24896574087913922</v>
      </c>
      <c r="AJ464">
        <v>2</v>
      </c>
      <c r="AK464">
        <f>-(Table8441[[#This Row],[time]]-2)*2</f>
        <v>0</v>
      </c>
      <c r="AL464">
        <v>83.134900000000002</v>
      </c>
      <c r="AM464">
        <v>19.291699999999999</v>
      </c>
      <c r="AN464">
        <f>Table8441[[#This Row],[CFNM]]/Table8441[[#This Row],[CAREA]]</f>
        <v>0.23205296451911289</v>
      </c>
    </row>
    <row r="465" spans="1:40">
      <c r="A465">
        <v>2.0512600000000001</v>
      </c>
      <c r="B465">
        <f>-(Table1434[[#This Row],[time]]-2)*2</f>
        <v>-0.10252000000000017</v>
      </c>
      <c r="C465">
        <v>90.617000000000004</v>
      </c>
      <c r="D465">
        <v>10.263500000000001</v>
      </c>
      <c r="E465">
        <f>Table1434[[#This Row],[CFNM]]/Table1434[[#This Row],[CAREA]]</f>
        <v>0.11326241213017425</v>
      </c>
      <c r="F465">
        <v>2.0512600000000001</v>
      </c>
      <c r="G465">
        <f>-(Table2435[[#This Row],[time]]-2)*2</f>
        <v>-0.10252000000000017</v>
      </c>
      <c r="H465">
        <v>95.911900000000003</v>
      </c>
      <c r="I465">
        <v>3.5764499999999999</v>
      </c>
      <c r="J465">
        <f>Table2435[[#This Row],[CFNM]]/Table2435[[#This Row],[CAREA]]</f>
        <v>3.728890784146701E-2</v>
      </c>
      <c r="K465">
        <v>2.0512600000000001</v>
      </c>
      <c r="L465">
        <f>-(Table3436[[#This Row],[time]]-2)*2</f>
        <v>-0.10252000000000017</v>
      </c>
      <c r="M465">
        <v>88.865600000000001</v>
      </c>
      <c r="N465">
        <v>3.90625</v>
      </c>
      <c r="O465">
        <f>Table3436[[#This Row],[CFNM]]/Table3436[[#This Row],[CAREA]]</f>
        <v>4.3956829189247586E-2</v>
      </c>
      <c r="P465">
        <v>2.0512600000000001</v>
      </c>
      <c r="Q465">
        <f>-(Table4437[[#This Row],[time]]-2)*2</f>
        <v>-0.10252000000000017</v>
      </c>
      <c r="R465">
        <v>86.475999999999999</v>
      </c>
      <c r="S465">
        <v>6.9468800000000002</v>
      </c>
      <c r="T465">
        <f>Table4437[[#This Row],[CFNM]]/Table4437[[#This Row],[CAREA]]</f>
        <v>8.033304038114622E-2</v>
      </c>
      <c r="U465">
        <v>2.0512600000000001</v>
      </c>
      <c r="V465">
        <f>-(Table5438[[#This Row],[time]]-2)*2</f>
        <v>-0.10252000000000017</v>
      </c>
      <c r="W465">
        <v>82.668800000000005</v>
      </c>
      <c r="X465">
        <v>10.0474</v>
      </c>
      <c r="Y465">
        <f>Table5438[[#This Row],[CFNM]]/Table5438[[#This Row],[CAREA]]</f>
        <v>0.12153799256793373</v>
      </c>
      <c r="Z465">
        <v>2.0512600000000001</v>
      </c>
      <c r="AA465">
        <f>-(Table6439[[#This Row],[time]]-2)*2</f>
        <v>-0.10252000000000017</v>
      </c>
      <c r="AB465">
        <v>88.992599999999996</v>
      </c>
      <c r="AC465">
        <v>17.114000000000001</v>
      </c>
      <c r="AD465">
        <f>Table6439[[#This Row],[CFNM]]/Table6439[[#This Row],[CAREA]]</f>
        <v>0.19230812449574461</v>
      </c>
      <c r="AE465">
        <v>2.0512600000000001</v>
      </c>
      <c r="AF465">
        <f>-(Table7440[[#This Row],[time]]-2)*2</f>
        <v>-0.10252000000000017</v>
      </c>
      <c r="AG465">
        <v>79.066400000000002</v>
      </c>
      <c r="AH465">
        <v>20.8919</v>
      </c>
      <c r="AI465">
        <f>Table7440[[#This Row],[CFNM]]/Table7440[[#This Row],[CAREA]]</f>
        <v>0.26423234142442303</v>
      </c>
      <c r="AJ465">
        <v>2.0512600000000001</v>
      </c>
      <c r="AK465">
        <f>-(Table8441[[#This Row],[time]]-2)*2</f>
        <v>-0.10252000000000017</v>
      </c>
      <c r="AL465">
        <v>83.0685</v>
      </c>
      <c r="AM465">
        <v>20.745100000000001</v>
      </c>
      <c r="AN465">
        <f>Table8441[[#This Row],[CFNM]]/Table8441[[#This Row],[CAREA]]</f>
        <v>0.24973485737674331</v>
      </c>
    </row>
    <row r="466" spans="1:40">
      <c r="A466">
        <v>2.1153300000000002</v>
      </c>
      <c r="B466">
        <f>-(Table1434[[#This Row],[time]]-2)*2</f>
        <v>-0.23066000000000031</v>
      </c>
      <c r="C466">
        <v>90.290300000000002</v>
      </c>
      <c r="D466">
        <v>10.775</v>
      </c>
      <c r="E466">
        <f>Table1434[[#This Row],[CFNM]]/Table1434[[#This Row],[CAREA]]</f>
        <v>0.11933729315330661</v>
      </c>
      <c r="F466">
        <v>2.1153300000000002</v>
      </c>
      <c r="G466">
        <f>-(Table2435[[#This Row],[time]]-2)*2</f>
        <v>-0.23066000000000031</v>
      </c>
      <c r="H466">
        <v>95.853399999999993</v>
      </c>
      <c r="I466">
        <v>3.7044299999999999</v>
      </c>
      <c r="J466">
        <f>Table2435[[#This Row],[CFNM]]/Table2435[[#This Row],[CAREA]]</f>
        <v>3.8646829429107368E-2</v>
      </c>
      <c r="K466">
        <v>2.1153300000000002</v>
      </c>
      <c r="L466">
        <f>-(Table3436[[#This Row],[time]]-2)*2</f>
        <v>-0.23066000000000031</v>
      </c>
      <c r="M466">
        <v>88.764499999999998</v>
      </c>
      <c r="N466">
        <v>4.8876200000000001</v>
      </c>
      <c r="O466">
        <f>Table3436[[#This Row],[CFNM]]/Table3436[[#This Row],[CAREA]]</f>
        <v>5.5062778475629334E-2</v>
      </c>
      <c r="P466">
        <v>2.1153300000000002</v>
      </c>
      <c r="Q466">
        <f>-(Table4437[[#This Row],[time]]-2)*2</f>
        <v>-0.23066000000000031</v>
      </c>
      <c r="R466">
        <v>86.559899999999999</v>
      </c>
      <c r="S466">
        <v>8.0506499999999992</v>
      </c>
      <c r="T466">
        <f>Table4437[[#This Row],[CFNM]]/Table4437[[#This Row],[CAREA]]</f>
        <v>9.3006692475384095E-2</v>
      </c>
      <c r="U466">
        <v>2.1153300000000002</v>
      </c>
      <c r="V466">
        <f>-(Table5438[[#This Row],[time]]-2)*2</f>
        <v>-0.23066000000000031</v>
      </c>
      <c r="W466">
        <v>82.4512</v>
      </c>
      <c r="X466">
        <v>12.878500000000001</v>
      </c>
      <c r="Y466">
        <f>Table5438[[#This Row],[CFNM]]/Table5438[[#This Row],[CAREA]]</f>
        <v>0.15619542226189553</v>
      </c>
      <c r="Z466">
        <v>2.1153300000000002</v>
      </c>
      <c r="AA466">
        <f>-(Table6439[[#This Row],[time]]-2)*2</f>
        <v>-0.23066000000000031</v>
      </c>
      <c r="AB466">
        <v>88.994299999999996</v>
      </c>
      <c r="AC466">
        <v>20.510200000000001</v>
      </c>
      <c r="AD466">
        <f>Table6439[[#This Row],[CFNM]]/Table6439[[#This Row],[CAREA]]</f>
        <v>0.2304664456038196</v>
      </c>
      <c r="AE466">
        <v>2.1153300000000002</v>
      </c>
      <c r="AF466">
        <f>-(Table7440[[#This Row],[time]]-2)*2</f>
        <v>-0.23066000000000031</v>
      </c>
      <c r="AG466">
        <v>79.264700000000005</v>
      </c>
      <c r="AH466">
        <v>22.5167</v>
      </c>
      <c r="AI466">
        <f>Table7440[[#This Row],[CFNM]]/Table7440[[#This Row],[CAREA]]</f>
        <v>0.2840697056823529</v>
      </c>
      <c r="AJ466">
        <v>2.1153300000000002</v>
      </c>
      <c r="AK466">
        <f>-(Table8441[[#This Row],[time]]-2)*2</f>
        <v>-0.23066000000000031</v>
      </c>
      <c r="AL466">
        <v>82.922899999999998</v>
      </c>
      <c r="AM466">
        <v>22.7865</v>
      </c>
      <c r="AN466">
        <f>Table8441[[#This Row],[CFNM]]/Table8441[[#This Row],[CAREA]]</f>
        <v>0.27479140261616514</v>
      </c>
    </row>
    <row r="467" spans="1:40">
      <c r="A467">
        <v>2.16533</v>
      </c>
      <c r="B467">
        <f>-(Table1434[[#This Row],[time]]-2)*2</f>
        <v>-0.33065999999999995</v>
      </c>
      <c r="C467">
        <v>89.801699999999997</v>
      </c>
      <c r="D467">
        <v>11.3972</v>
      </c>
      <c r="E467">
        <f>Table1434[[#This Row],[CFNM]]/Table1434[[#This Row],[CAREA]]</f>
        <v>0.1269151920286587</v>
      </c>
      <c r="F467">
        <v>2.16533</v>
      </c>
      <c r="G467">
        <f>-(Table2435[[#This Row],[time]]-2)*2</f>
        <v>-0.33065999999999995</v>
      </c>
      <c r="H467">
        <v>95.470299999999995</v>
      </c>
      <c r="I467">
        <v>3.97621</v>
      </c>
      <c r="J467">
        <f>Table2435[[#This Row],[CFNM]]/Table2435[[#This Row],[CAREA]]</f>
        <v>4.1648659321275837E-2</v>
      </c>
      <c r="K467">
        <v>2.16533</v>
      </c>
      <c r="L467">
        <f>-(Table3436[[#This Row],[time]]-2)*2</f>
        <v>-0.33065999999999995</v>
      </c>
      <c r="M467">
        <v>88.770099999999999</v>
      </c>
      <c r="N467">
        <v>6.0577800000000002</v>
      </c>
      <c r="O467">
        <f>Table3436[[#This Row],[CFNM]]/Table3436[[#This Row],[CAREA]]</f>
        <v>6.8241220861528826E-2</v>
      </c>
      <c r="P467">
        <v>2.16533</v>
      </c>
      <c r="Q467">
        <f>-(Table4437[[#This Row],[time]]-2)*2</f>
        <v>-0.33065999999999995</v>
      </c>
      <c r="R467">
        <v>86.704099999999997</v>
      </c>
      <c r="S467">
        <v>9.3811699999999991</v>
      </c>
      <c r="T467">
        <f>Table4437[[#This Row],[CFNM]]/Table4437[[#This Row],[CAREA]]</f>
        <v>0.10819753621801044</v>
      </c>
      <c r="U467">
        <v>2.16533</v>
      </c>
      <c r="V467">
        <f>-(Table5438[[#This Row],[time]]-2)*2</f>
        <v>-0.33065999999999995</v>
      </c>
      <c r="W467">
        <v>82.13</v>
      </c>
      <c r="X467">
        <v>16.146699999999999</v>
      </c>
      <c r="Y467">
        <f>Table5438[[#This Row],[CFNM]]/Table5438[[#This Row],[CAREA]]</f>
        <v>0.19659929380250821</v>
      </c>
      <c r="Z467">
        <v>2.16533</v>
      </c>
      <c r="AA467">
        <f>-(Table6439[[#This Row],[time]]-2)*2</f>
        <v>-0.33065999999999995</v>
      </c>
      <c r="AB467">
        <v>88.963399999999993</v>
      </c>
      <c r="AC467">
        <v>24.259599999999999</v>
      </c>
      <c r="AD467">
        <f>Table6439[[#This Row],[CFNM]]/Table6439[[#This Row],[CAREA]]</f>
        <v>0.27269191600141185</v>
      </c>
      <c r="AE467">
        <v>2.16533</v>
      </c>
      <c r="AF467">
        <f>-(Table7440[[#This Row],[time]]-2)*2</f>
        <v>-0.33065999999999995</v>
      </c>
      <c r="AG467">
        <v>79.580799999999996</v>
      </c>
      <c r="AH467">
        <v>24.754000000000001</v>
      </c>
      <c r="AI467">
        <f>Table7440[[#This Row],[CFNM]]/Table7440[[#This Row],[CAREA]]</f>
        <v>0.31105492782178618</v>
      </c>
      <c r="AJ467">
        <v>2.16533</v>
      </c>
      <c r="AK467">
        <f>-(Table8441[[#This Row],[time]]-2)*2</f>
        <v>-0.33065999999999995</v>
      </c>
      <c r="AL467">
        <v>82.693899999999999</v>
      </c>
      <c r="AM467">
        <v>25.8018</v>
      </c>
      <c r="AN467">
        <f>Table8441[[#This Row],[CFNM]]/Table8441[[#This Row],[CAREA]]</f>
        <v>0.31201575932444836</v>
      </c>
    </row>
    <row r="468" spans="1:40">
      <c r="A468">
        <v>2.2246999999999999</v>
      </c>
      <c r="B468">
        <f>-(Table1434[[#This Row],[time]]-2)*2</f>
        <v>-0.4493999999999998</v>
      </c>
      <c r="C468">
        <v>89.563299999999998</v>
      </c>
      <c r="D468">
        <v>11.715999999999999</v>
      </c>
      <c r="E468">
        <f>Table1434[[#This Row],[CFNM]]/Table1434[[#This Row],[CAREA]]</f>
        <v>0.13081250914157919</v>
      </c>
      <c r="F468">
        <v>2.2246999999999999</v>
      </c>
      <c r="G468">
        <f>-(Table2435[[#This Row],[time]]-2)*2</f>
        <v>-0.4493999999999998</v>
      </c>
      <c r="H468">
        <v>94.998699999999999</v>
      </c>
      <c r="I468">
        <v>4.1317300000000001</v>
      </c>
      <c r="J468">
        <f>Table2435[[#This Row],[CFNM]]/Table2435[[#This Row],[CAREA]]</f>
        <v>4.3492489897230174E-2</v>
      </c>
      <c r="K468">
        <v>2.2246999999999999</v>
      </c>
      <c r="L468">
        <f>-(Table3436[[#This Row],[time]]-2)*2</f>
        <v>-0.4493999999999998</v>
      </c>
      <c r="M468">
        <v>88.796099999999996</v>
      </c>
      <c r="N468">
        <v>6.6470900000000004</v>
      </c>
      <c r="O468">
        <f>Table3436[[#This Row],[CFNM]]/Table3436[[#This Row],[CAREA]]</f>
        <v>7.4857904795368274E-2</v>
      </c>
      <c r="P468">
        <v>2.2246999999999999</v>
      </c>
      <c r="Q468">
        <f>-(Table4437[[#This Row],[time]]-2)*2</f>
        <v>-0.4493999999999998</v>
      </c>
      <c r="R468">
        <v>86.7624</v>
      </c>
      <c r="S468">
        <v>10.055300000000001</v>
      </c>
      <c r="T468">
        <f>Table4437[[#This Row],[CFNM]]/Table4437[[#This Row],[CAREA]]</f>
        <v>0.11589467326860484</v>
      </c>
      <c r="U468">
        <v>2.2246999999999999</v>
      </c>
      <c r="V468">
        <f>-(Table5438[[#This Row],[time]]-2)*2</f>
        <v>-0.4493999999999998</v>
      </c>
      <c r="W468">
        <v>81.96</v>
      </c>
      <c r="X468">
        <v>17.738199999999999</v>
      </c>
      <c r="Y468">
        <f>Table5438[[#This Row],[CFNM]]/Table5438[[#This Row],[CAREA]]</f>
        <v>0.21642508540751587</v>
      </c>
      <c r="Z468">
        <v>2.2246999999999999</v>
      </c>
      <c r="AA468">
        <f>-(Table6439[[#This Row],[time]]-2)*2</f>
        <v>-0.4493999999999998</v>
      </c>
      <c r="AB468">
        <v>88.9054</v>
      </c>
      <c r="AC468">
        <v>26.141400000000001</v>
      </c>
      <c r="AD468">
        <f>Table6439[[#This Row],[CFNM]]/Table6439[[#This Row],[CAREA]]</f>
        <v>0.29403613278833457</v>
      </c>
      <c r="AE468">
        <v>2.2246999999999999</v>
      </c>
      <c r="AF468">
        <f>-(Table7440[[#This Row],[time]]-2)*2</f>
        <v>-0.4493999999999998</v>
      </c>
      <c r="AG468">
        <v>79.715199999999996</v>
      </c>
      <c r="AH468">
        <v>26.138999999999999</v>
      </c>
      <c r="AI468">
        <f>Table7440[[#This Row],[CFNM]]/Table7440[[#This Row],[CAREA]]</f>
        <v>0.32790484123479591</v>
      </c>
      <c r="AJ468">
        <v>2.2246999999999999</v>
      </c>
      <c r="AK468">
        <f>-(Table8441[[#This Row],[time]]-2)*2</f>
        <v>-0.4493999999999998</v>
      </c>
      <c r="AL468">
        <v>82.563100000000006</v>
      </c>
      <c r="AM468">
        <v>27.622599999999998</v>
      </c>
      <c r="AN468">
        <f>Table8441[[#This Row],[CFNM]]/Table8441[[#This Row],[CAREA]]</f>
        <v>0.33456350355061759</v>
      </c>
    </row>
    <row r="469" spans="1:40">
      <c r="A469">
        <v>2.2668900000000001</v>
      </c>
      <c r="B469">
        <f>-(Table1434[[#This Row],[time]]-2)*2</f>
        <v>-0.53378000000000014</v>
      </c>
      <c r="C469">
        <v>89.080699999999993</v>
      </c>
      <c r="D469">
        <v>12.6564</v>
      </c>
      <c r="E469">
        <f>Table1434[[#This Row],[CFNM]]/Table1434[[#This Row],[CAREA]]</f>
        <v>0.14207791362214262</v>
      </c>
      <c r="F469">
        <v>2.2668900000000001</v>
      </c>
      <c r="G469">
        <f>-(Table2435[[#This Row],[time]]-2)*2</f>
        <v>-0.53378000000000014</v>
      </c>
      <c r="H469">
        <v>94.601600000000005</v>
      </c>
      <c r="I469">
        <v>4.58439</v>
      </c>
      <c r="J469">
        <f>Table2435[[#This Row],[CFNM]]/Table2435[[#This Row],[CAREA]]</f>
        <v>4.8459962622196665E-2</v>
      </c>
      <c r="K469">
        <v>2.2668900000000001</v>
      </c>
      <c r="L469">
        <f>-(Table3436[[#This Row],[time]]-2)*2</f>
        <v>-0.53378000000000014</v>
      </c>
      <c r="M469">
        <v>88.606999999999999</v>
      </c>
      <c r="N469">
        <v>7.8401199999999998</v>
      </c>
      <c r="O469">
        <f>Table3436[[#This Row],[CFNM]]/Table3436[[#This Row],[CAREA]]</f>
        <v>8.8481948378796249E-2</v>
      </c>
      <c r="P469">
        <v>2.2668900000000001</v>
      </c>
      <c r="Q469">
        <f>-(Table4437[[#This Row],[time]]-2)*2</f>
        <v>-0.53378000000000014</v>
      </c>
      <c r="R469">
        <v>86.872</v>
      </c>
      <c r="S469">
        <v>11.6206</v>
      </c>
      <c r="T469">
        <f>Table4437[[#This Row],[CFNM]]/Table4437[[#This Row],[CAREA]]</f>
        <v>0.1337669214476471</v>
      </c>
      <c r="U469">
        <v>2.2668900000000001</v>
      </c>
      <c r="V469">
        <f>-(Table5438[[#This Row],[time]]-2)*2</f>
        <v>-0.53378000000000014</v>
      </c>
      <c r="W469">
        <v>81.496399999999994</v>
      </c>
      <c r="X469">
        <v>21.081199999999999</v>
      </c>
      <c r="Y469">
        <f>Table5438[[#This Row],[CFNM]]/Table5438[[#This Row],[CAREA]]</f>
        <v>0.25867645687416868</v>
      </c>
      <c r="Z469">
        <v>2.2668900000000001</v>
      </c>
      <c r="AA469">
        <f>-(Table6439[[#This Row],[time]]-2)*2</f>
        <v>-0.53378000000000014</v>
      </c>
      <c r="AB469">
        <v>89.406899999999993</v>
      </c>
      <c r="AC469">
        <v>30.3903</v>
      </c>
      <c r="AD469">
        <f>Table6439[[#This Row],[CFNM]]/Table6439[[#This Row],[CAREA]]</f>
        <v>0.33991000694577267</v>
      </c>
      <c r="AE469">
        <v>2.2668900000000001</v>
      </c>
      <c r="AF469">
        <f>-(Table7440[[#This Row],[time]]-2)*2</f>
        <v>-0.53378000000000014</v>
      </c>
      <c r="AG469">
        <v>79.779600000000002</v>
      </c>
      <c r="AH469">
        <v>29.261600000000001</v>
      </c>
      <c r="AI469">
        <f>Table7440[[#This Row],[CFNM]]/Table7440[[#This Row],[CAREA]]</f>
        <v>0.3667804802230144</v>
      </c>
      <c r="AJ469">
        <v>2.2668900000000001</v>
      </c>
      <c r="AK469">
        <f>-(Table8441[[#This Row],[time]]-2)*2</f>
        <v>-0.53378000000000014</v>
      </c>
      <c r="AL469">
        <v>82.278499999999994</v>
      </c>
      <c r="AM469">
        <v>31.473500000000001</v>
      </c>
      <c r="AN469">
        <f>Table8441[[#This Row],[CFNM]]/Table8441[[#This Row],[CAREA]]</f>
        <v>0.38252398864831033</v>
      </c>
    </row>
    <row r="470" spans="1:40">
      <c r="A470">
        <v>2.3262700000000001</v>
      </c>
      <c r="B470">
        <f>-(Table1434[[#This Row],[time]]-2)*2</f>
        <v>-0.65254000000000012</v>
      </c>
      <c r="C470">
        <v>88.756399999999999</v>
      </c>
      <c r="D470">
        <v>13.8142</v>
      </c>
      <c r="E470">
        <f>Table1434[[#This Row],[CFNM]]/Table1434[[#This Row],[CAREA]]</f>
        <v>0.15564173400453377</v>
      </c>
      <c r="F470">
        <v>2.3262700000000001</v>
      </c>
      <c r="G470">
        <f>-(Table2435[[#This Row],[time]]-2)*2</f>
        <v>-0.65254000000000012</v>
      </c>
      <c r="H470">
        <v>94.312399999999997</v>
      </c>
      <c r="I470">
        <v>5.3697600000000003</v>
      </c>
      <c r="J470">
        <f>Table2435[[#This Row],[CFNM]]/Table2435[[#This Row],[CAREA]]</f>
        <v>5.6935885419096541E-2</v>
      </c>
      <c r="K470">
        <v>2.3262700000000001</v>
      </c>
      <c r="L470">
        <f>-(Table3436[[#This Row],[time]]-2)*2</f>
        <v>-0.65254000000000012</v>
      </c>
      <c r="M470">
        <v>88.422899999999998</v>
      </c>
      <c r="N470">
        <v>9.1282399999999999</v>
      </c>
      <c r="O470">
        <f>Table3436[[#This Row],[CFNM]]/Table3436[[#This Row],[CAREA]]</f>
        <v>0.1032338907681155</v>
      </c>
      <c r="P470">
        <v>2.3262700000000001</v>
      </c>
      <c r="Q470">
        <f>-(Table4437[[#This Row],[time]]-2)*2</f>
        <v>-0.65254000000000012</v>
      </c>
      <c r="R470">
        <v>86.985100000000003</v>
      </c>
      <c r="S470">
        <v>13.3789</v>
      </c>
      <c r="T470">
        <f>Table4437[[#This Row],[CFNM]]/Table4437[[#This Row],[CAREA]]</f>
        <v>0.15380680139472161</v>
      </c>
      <c r="U470">
        <v>2.3262700000000001</v>
      </c>
      <c r="V470">
        <f>-(Table5438[[#This Row],[time]]-2)*2</f>
        <v>-0.65254000000000012</v>
      </c>
      <c r="W470">
        <v>81.454499999999996</v>
      </c>
      <c r="X470">
        <v>24.564900000000002</v>
      </c>
      <c r="Y470">
        <f>Table5438[[#This Row],[CFNM]]/Table5438[[#This Row],[CAREA]]</f>
        <v>0.30157818168425321</v>
      </c>
      <c r="Z470">
        <v>2.3262700000000001</v>
      </c>
      <c r="AA470">
        <f>-(Table6439[[#This Row],[time]]-2)*2</f>
        <v>-0.65254000000000012</v>
      </c>
      <c r="AB470">
        <v>88.876800000000003</v>
      </c>
      <c r="AC470">
        <v>34.854399999999998</v>
      </c>
      <c r="AD470">
        <f>Table6439[[#This Row],[CFNM]]/Table6439[[#This Row],[CAREA]]</f>
        <v>0.39216533448549001</v>
      </c>
      <c r="AE470">
        <v>2.3262700000000001</v>
      </c>
      <c r="AF470">
        <f>-(Table7440[[#This Row],[time]]-2)*2</f>
        <v>-0.65254000000000012</v>
      </c>
      <c r="AG470">
        <v>80.142499999999998</v>
      </c>
      <c r="AH470">
        <v>32.677500000000002</v>
      </c>
      <c r="AI470">
        <f>Table7440[[#This Row],[CFNM]]/Table7440[[#This Row],[CAREA]]</f>
        <v>0.40774245874535986</v>
      </c>
      <c r="AJ470">
        <v>2.3262700000000001</v>
      </c>
      <c r="AK470">
        <f>-(Table8441[[#This Row],[time]]-2)*2</f>
        <v>-0.65254000000000012</v>
      </c>
      <c r="AL470">
        <v>81.870099999999994</v>
      </c>
      <c r="AM470">
        <v>35.189100000000003</v>
      </c>
      <c r="AN470">
        <f>Table8441[[#This Row],[CFNM]]/Table8441[[#This Row],[CAREA]]</f>
        <v>0.42981625770580478</v>
      </c>
    </row>
    <row r="471" spans="1:40">
      <c r="A471">
        <v>2.3684599999999998</v>
      </c>
      <c r="B471">
        <f>-(Table1434[[#This Row],[time]]-2)*2</f>
        <v>-0.73691999999999958</v>
      </c>
      <c r="C471">
        <v>88.507199999999997</v>
      </c>
      <c r="D471">
        <v>15.0322</v>
      </c>
      <c r="E471">
        <f>Table1434[[#This Row],[CFNM]]/Table1434[[#This Row],[CAREA]]</f>
        <v>0.16984154961404269</v>
      </c>
      <c r="F471">
        <v>2.3684599999999998</v>
      </c>
      <c r="G471">
        <f>-(Table2435[[#This Row],[time]]-2)*2</f>
        <v>-0.73691999999999958</v>
      </c>
      <c r="H471">
        <v>93.956400000000002</v>
      </c>
      <c r="I471">
        <v>6.3129799999999996</v>
      </c>
      <c r="J471">
        <f>Table2435[[#This Row],[CFNM]]/Table2435[[#This Row],[CAREA]]</f>
        <v>6.7190526669817063E-2</v>
      </c>
      <c r="K471">
        <v>2.3684599999999998</v>
      </c>
      <c r="L471">
        <f>-(Table3436[[#This Row],[time]]-2)*2</f>
        <v>-0.73691999999999958</v>
      </c>
      <c r="M471">
        <v>88.493399999999994</v>
      </c>
      <c r="N471">
        <v>10.4223</v>
      </c>
      <c r="O471">
        <f>Table3436[[#This Row],[CFNM]]/Table3436[[#This Row],[CAREA]]</f>
        <v>0.11777488490667101</v>
      </c>
      <c r="P471">
        <v>2.3684599999999998</v>
      </c>
      <c r="Q471">
        <f>-(Table4437[[#This Row],[time]]-2)*2</f>
        <v>-0.73691999999999958</v>
      </c>
      <c r="R471">
        <v>87.061499999999995</v>
      </c>
      <c r="S471">
        <v>15.157500000000001</v>
      </c>
      <c r="T471">
        <f>Table4437[[#This Row],[CFNM]]/Table4437[[#This Row],[CAREA]]</f>
        <v>0.174101066487483</v>
      </c>
      <c r="U471">
        <v>2.3684599999999998</v>
      </c>
      <c r="V471">
        <f>-(Table5438[[#This Row],[time]]-2)*2</f>
        <v>-0.73691999999999958</v>
      </c>
      <c r="W471">
        <v>80.874300000000005</v>
      </c>
      <c r="X471">
        <v>27.6662</v>
      </c>
      <c r="Y471">
        <f>Table5438[[#This Row],[CFNM]]/Table5438[[#This Row],[CAREA]]</f>
        <v>0.34208889597807957</v>
      </c>
      <c r="Z471">
        <v>2.3684599999999998</v>
      </c>
      <c r="AA471">
        <f>-(Table6439[[#This Row],[time]]-2)*2</f>
        <v>-0.73691999999999958</v>
      </c>
      <c r="AB471">
        <v>88.892200000000003</v>
      </c>
      <c r="AC471">
        <v>38.980800000000002</v>
      </c>
      <c r="AD471">
        <f>Table6439[[#This Row],[CFNM]]/Table6439[[#This Row],[CAREA]]</f>
        <v>0.43851766521697066</v>
      </c>
      <c r="AE471">
        <v>2.3684599999999998</v>
      </c>
      <c r="AF471">
        <f>-(Table7440[[#This Row],[time]]-2)*2</f>
        <v>-0.73691999999999958</v>
      </c>
      <c r="AG471">
        <v>80.174300000000002</v>
      </c>
      <c r="AH471">
        <v>36.122700000000002</v>
      </c>
      <c r="AI471">
        <f>Table7440[[#This Row],[CFNM]]/Table7440[[#This Row],[CAREA]]</f>
        <v>0.4505521095912281</v>
      </c>
      <c r="AJ471">
        <v>2.3684599999999998</v>
      </c>
      <c r="AK471">
        <f>-(Table8441[[#This Row],[time]]-2)*2</f>
        <v>-0.73691999999999958</v>
      </c>
      <c r="AL471">
        <v>81.642099999999999</v>
      </c>
      <c r="AM471">
        <v>38.590899999999998</v>
      </c>
      <c r="AN471">
        <f>Table8441[[#This Row],[CFNM]]/Table8441[[#This Row],[CAREA]]</f>
        <v>0.4726838236645064</v>
      </c>
    </row>
    <row r="472" spans="1:40">
      <c r="A472">
        <v>2.4278300000000002</v>
      </c>
      <c r="B472">
        <f>-(Table1434[[#This Row],[time]]-2)*2</f>
        <v>-0.85566000000000031</v>
      </c>
      <c r="C472">
        <v>88.191699999999997</v>
      </c>
      <c r="D472">
        <v>16.484000000000002</v>
      </c>
      <c r="E472">
        <f>Table1434[[#This Row],[CFNM]]/Table1434[[#This Row],[CAREA]]</f>
        <v>0.18691101316790584</v>
      </c>
      <c r="F472">
        <v>2.4278300000000002</v>
      </c>
      <c r="G472">
        <f>-(Table2435[[#This Row],[time]]-2)*2</f>
        <v>-0.85566000000000031</v>
      </c>
      <c r="H472">
        <v>93.667299999999997</v>
      </c>
      <c r="I472">
        <v>7.4162100000000004</v>
      </c>
      <c r="J472">
        <f>Table2435[[#This Row],[CFNM]]/Table2435[[#This Row],[CAREA]]</f>
        <v>7.9176083862778163E-2</v>
      </c>
      <c r="K472">
        <v>2.4278300000000002</v>
      </c>
      <c r="L472">
        <f>-(Table3436[[#This Row],[time]]-2)*2</f>
        <v>-0.85566000000000031</v>
      </c>
      <c r="M472">
        <v>88.159300000000002</v>
      </c>
      <c r="N472">
        <v>12.0487</v>
      </c>
      <c r="O472">
        <f>Table3436[[#This Row],[CFNM]]/Table3436[[#This Row],[CAREA]]</f>
        <v>0.13666964234062656</v>
      </c>
      <c r="P472">
        <v>2.4278300000000002</v>
      </c>
      <c r="Q472">
        <f>-(Table4437[[#This Row],[time]]-2)*2</f>
        <v>-0.85566000000000031</v>
      </c>
      <c r="R472">
        <v>87.143199999999993</v>
      </c>
      <c r="S472">
        <v>17.229900000000001</v>
      </c>
      <c r="T472">
        <f>Table4437[[#This Row],[CFNM]]/Table4437[[#This Row],[CAREA]]</f>
        <v>0.1977193860220878</v>
      </c>
      <c r="U472">
        <v>2.4278300000000002</v>
      </c>
      <c r="V472">
        <f>-(Table5438[[#This Row],[time]]-2)*2</f>
        <v>-0.85566000000000031</v>
      </c>
      <c r="W472">
        <v>79.658000000000001</v>
      </c>
      <c r="X472">
        <v>30.923300000000001</v>
      </c>
      <c r="Y472">
        <f>Table5438[[#This Row],[CFNM]]/Table5438[[#This Row],[CAREA]]</f>
        <v>0.38820080845615007</v>
      </c>
      <c r="Z472">
        <v>2.4278300000000002</v>
      </c>
      <c r="AA472">
        <f>-(Table6439[[#This Row],[time]]-2)*2</f>
        <v>-0.85566000000000031</v>
      </c>
      <c r="AB472">
        <v>88.188800000000001</v>
      </c>
      <c r="AC472">
        <v>43.414400000000001</v>
      </c>
      <c r="AD472">
        <f>Table6439[[#This Row],[CFNM]]/Table6439[[#This Row],[CAREA]]</f>
        <v>0.49228927029282632</v>
      </c>
      <c r="AE472">
        <v>2.4278300000000002</v>
      </c>
      <c r="AF472">
        <f>-(Table7440[[#This Row],[time]]-2)*2</f>
        <v>-0.85566000000000031</v>
      </c>
      <c r="AG472">
        <v>80.040700000000001</v>
      </c>
      <c r="AH472">
        <v>40.422400000000003</v>
      </c>
      <c r="AI472">
        <f>Table7440[[#This Row],[CFNM]]/Table7440[[#This Row],[CAREA]]</f>
        <v>0.50502306951338505</v>
      </c>
      <c r="AJ472">
        <v>2.4278300000000002</v>
      </c>
      <c r="AK472">
        <f>-(Table8441[[#This Row],[time]]-2)*2</f>
        <v>-0.85566000000000031</v>
      </c>
      <c r="AL472">
        <v>81.420199999999994</v>
      </c>
      <c r="AM472">
        <v>42.842500000000001</v>
      </c>
      <c r="AN472">
        <f>Table8441[[#This Row],[CFNM]]/Table8441[[#This Row],[CAREA]]</f>
        <v>0.5261900609431075</v>
      </c>
    </row>
    <row r="473" spans="1:40">
      <c r="A473">
        <v>2.4542000000000002</v>
      </c>
      <c r="B473">
        <f>-(Table1434[[#This Row],[time]]-2)*2</f>
        <v>-0.90840000000000032</v>
      </c>
      <c r="C473">
        <v>87.995599999999996</v>
      </c>
      <c r="D473">
        <v>17.5794</v>
      </c>
      <c r="E473">
        <f>Table1434[[#This Row],[CFNM]]/Table1434[[#This Row],[CAREA]]</f>
        <v>0.19977589788580338</v>
      </c>
      <c r="F473">
        <v>2.4542000000000002</v>
      </c>
      <c r="G473">
        <f>-(Table2435[[#This Row],[time]]-2)*2</f>
        <v>-0.90840000000000032</v>
      </c>
      <c r="H473">
        <v>93.101500000000001</v>
      </c>
      <c r="I473">
        <v>8.2437699999999996</v>
      </c>
      <c r="J473">
        <f>Table2435[[#This Row],[CFNM]]/Table2435[[#This Row],[CAREA]]</f>
        <v>8.8546049204362973E-2</v>
      </c>
      <c r="K473">
        <v>2.4542000000000002</v>
      </c>
      <c r="L473">
        <f>-(Table3436[[#This Row],[time]]-2)*2</f>
        <v>-0.90840000000000032</v>
      </c>
      <c r="M473">
        <v>88.240899999999996</v>
      </c>
      <c r="N473">
        <v>13.329000000000001</v>
      </c>
      <c r="O473">
        <f>Table3436[[#This Row],[CFNM]]/Table3436[[#This Row],[CAREA]]</f>
        <v>0.15105240313732068</v>
      </c>
      <c r="P473">
        <v>2.4542000000000002</v>
      </c>
      <c r="Q473">
        <f>-(Table4437[[#This Row],[time]]-2)*2</f>
        <v>-0.90840000000000032</v>
      </c>
      <c r="R473">
        <v>87.218599999999995</v>
      </c>
      <c r="S473">
        <v>18.8537</v>
      </c>
      <c r="T473">
        <f>Table4437[[#This Row],[CFNM]]/Table4437[[#This Row],[CAREA]]</f>
        <v>0.21616604715049315</v>
      </c>
      <c r="U473">
        <v>2.4542000000000002</v>
      </c>
      <c r="V473">
        <f>-(Table5438[[#This Row],[time]]-2)*2</f>
        <v>-0.90840000000000032</v>
      </c>
      <c r="W473">
        <v>79.099299999999999</v>
      </c>
      <c r="X473">
        <v>33.1526</v>
      </c>
      <c r="Y473">
        <f>Table5438[[#This Row],[CFNM]]/Table5438[[#This Row],[CAREA]]</f>
        <v>0.41912633866544963</v>
      </c>
      <c r="Z473">
        <v>2.4542000000000002</v>
      </c>
      <c r="AA473">
        <f>-(Table6439[[#This Row],[time]]-2)*2</f>
        <v>-0.90840000000000032</v>
      </c>
      <c r="AB473">
        <v>87.585800000000006</v>
      </c>
      <c r="AC473">
        <v>46.623800000000003</v>
      </c>
      <c r="AD473">
        <f>Table6439[[#This Row],[CFNM]]/Table6439[[#This Row],[CAREA]]</f>
        <v>0.53232144936736325</v>
      </c>
      <c r="AE473">
        <v>2.4542000000000002</v>
      </c>
      <c r="AF473">
        <f>-(Table7440[[#This Row],[time]]-2)*2</f>
        <v>-0.90840000000000032</v>
      </c>
      <c r="AG473">
        <v>79.830699999999993</v>
      </c>
      <c r="AH473">
        <v>43.691000000000003</v>
      </c>
      <c r="AI473">
        <f>Table7440[[#This Row],[CFNM]]/Table7440[[#This Row],[CAREA]]</f>
        <v>0.54729571455592907</v>
      </c>
      <c r="AJ473">
        <v>2.4542000000000002</v>
      </c>
      <c r="AK473">
        <f>-(Table8441[[#This Row],[time]]-2)*2</f>
        <v>-0.90840000000000032</v>
      </c>
      <c r="AL473">
        <v>80.492099999999994</v>
      </c>
      <c r="AM473">
        <v>46.054299999999998</v>
      </c>
      <c r="AN473">
        <f>Table8441[[#This Row],[CFNM]]/Table8441[[#This Row],[CAREA]]</f>
        <v>0.57215925538034174</v>
      </c>
    </row>
    <row r="474" spans="1:40">
      <c r="A474">
        <v>2.5061499999999999</v>
      </c>
      <c r="B474">
        <f>-(Table1434[[#This Row],[time]]-2)*2</f>
        <v>-1.0122999999999998</v>
      </c>
      <c r="C474">
        <v>87.708500000000001</v>
      </c>
      <c r="D474">
        <v>18.553799999999999</v>
      </c>
      <c r="E474">
        <f>Table1434[[#This Row],[CFNM]]/Table1434[[#This Row],[CAREA]]</f>
        <v>0.21153936049527697</v>
      </c>
      <c r="F474">
        <v>2.5061499999999999</v>
      </c>
      <c r="G474">
        <f>-(Table2435[[#This Row],[time]]-2)*2</f>
        <v>-1.0122999999999998</v>
      </c>
      <c r="H474">
        <v>92.964100000000002</v>
      </c>
      <c r="I474">
        <v>9.0214700000000008</v>
      </c>
      <c r="J474">
        <f>Table2435[[#This Row],[CFNM]]/Table2435[[#This Row],[CAREA]]</f>
        <v>9.7042514260881355E-2</v>
      </c>
      <c r="K474">
        <v>2.5061499999999999</v>
      </c>
      <c r="L474">
        <f>-(Table3436[[#This Row],[time]]-2)*2</f>
        <v>-1.0122999999999998</v>
      </c>
      <c r="M474">
        <v>88.346800000000002</v>
      </c>
      <c r="N474">
        <v>14.5214</v>
      </c>
      <c r="O474">
        <f>Table3436[[#This Row],[CFNM]]/Table3436[[#This Row],[CAREA]]</f>
        <v>0.16436814915763784</v>
      </c>
      <c r="P474">
        <v>2.5061499999999999</v>
      </c>
      <c r="Q474">
        <f>-(Table4437[[#This Row],[time]]-2)*2</f>
        <v>-1.0122999999999998</v>
      </c>
      <c r="R474">
        <v>87.307100000000005</v>
      </c>
      <c r="S474">
        <v>20.378900000000002</v>
      </c>
      <c r="T474">
        <f>Table4437[[#This Row],[CFNM]]/Table4437[[#This Row],[CAREA]]</f>
        <v>0.23341629718545229</v>
      </c>
      <c r="U474">
        <v>2.5061499999999999</v>
      </c>
      <c r="V474">
        <f>-(Table5438[[#This Row],[time]]-2)*2</f>
        <v>-1.0122999999999998</v>
      </c>
      <c r="W474">
        <v>78.378</v>
      </c>
      <c r="X474">
        <v>35.212000000000003</v>
      </c>
      <c r="Y474">
        <f>Table5438[[#This Row],[CFNM]]/Table5438[[#This Row],[CAREA]]</f>
        <v>0.44925872055934069</v>
      </c>
      <c r="Z474">
        <v>2.5061499999999999</v>
      </c>
      <c r="AA474">
        <f>-(Table6439[[#This Row],[time]]-2)*2</f>
        <v>-1.0122999999999998</v>
      </c>
      <c r="AB474">
        <v>86.998500000000007</v>
      </c>
      <c r="AC474">
        <v>49.503799999999998</v>
      </c>
      <c r="AD474">
        <f>Table6439[[#This Row],[CFNM]]/Table6439[[#This Row],[CAREA]]</f>
        <v>0.56901900607481737</v>
      </c>
      <c r="AE474">
        <v>2.5061499999999999</v>
      </c>
      <c r="AF474">
        <f>-(Table7440[[#This Row],[time]]-2)*2</f>
        <v>-1.0122999999999998</v>
      </c>
      <c r="AG474">
        <v>79.501300000000001</v>
      </c>
      <c r="AH474">
        <v>46.682600000000001</v>
      </c>
      <c r="AI474">
        <f>Table7440[[#This Row],[CFNM]]/Table7440[[#This Row],[CAREA]]</f>
        <v>0.58719291382656635</v>
      </c>
      <c r="AJ474">
        <v>2.5061499999999999</v>
      </c>
      <c r="AK474">
        <f>-(Table8441[[#This Row],[time]]-2)*2</f>
        <v>-1.0122999999999998</v>
      </c>
      <c r="AL474">
        <v>80.289699999999996</v>
      </c>
      <c r="AM474">
        <v>49.0304</v>
      </c>
      <c r="AN474">
        <f>Table8441[[#This Row],[CFNM]]/Table8441[[#This Row],[CAREA]]</f>
        <v>0.61066861627332025</v>
      </c>
    </row>
    <row r="475" spans="1:40">
      <c r="A475">
        <v>2.5507599999999999</v>
      </c>
      <c r="B475">
        <f>-(Table1434[[#This Row],[time]]-2)*2</f>
        <v>-1.1015199999999998</v>
      </c>
      <c r="C475">
        <v>87.224199999999996</v>
      </c>
      <c r="D475">
        <v>19.668399999999998</v>
      </c>
      <c r="E475">
        <f>Table1434[[#This Row],[CFNM]]/Table1434[[#This Row],[CAREA]]</f>
        <v>0.22549246654024915</v>
      </c>
      <c r="F475">
        <v>2.5507599999999999</v>
      </c>
      <c r="G475">
        <f>-(Table2435[[#This Row],[time]]-2)*2</f>
        <v>-1.1015199999999998</v>
      </c>
      <c r="H475">
        <v>92.763099999999994</v>
      </c>
      <c r="I475">
        <v>10.038600000000001</v>
      </c>
      <c r="J475">
        <f>Table2435[[#This Row],[CFNM]]/Table2435[[#This Row],[CAREA]]</f>
        <v>0.1082175994549557</v>
      </c>
      <c r="K475">
        <v>2.5507599999999999</v>
      </c>
      <c r="L475">
        <f>-(Table3436[[#This Row],[time]]-2)*2</f>
        <v>-1.1015199999999998</v>
      </c>
      <c r="M475">
        <v>88.527600000000007</v>
      </c>
      <c r="N475">
        <v>16.003499999999999</v>
      </c>
      <c r="O475">
        <f>Table3436[[#This Row],[CFNM]]/Table3436[[#This Row],[CAREA]]</f>
        <v>0.1807741314573082</v>
      </c>
      <c r="P475">
        <v>2.5507599999999999</v>
      </c>
      <c r="Q475">
        <f>-(Table4437[[#This Row],[time]]-2)*2</f>
        <v>-1.1015199999999998</v>
      </c>
      <c r="R475">
        <v>87.431799999999996</v>
      </c>
      <c r="S475">
        <v>22.3155</v>
      </c>
      <c r="T475">
        <f>Table4437[[#This Row],[CFNM]]/Table4437[[#This Row],[CAREA]]</f>
        <v>0.25523322177971863</v>
      </c>
      <c r="U475">
        <v>2.5507599999999999</v>
      </c>
      <c r="V475">
        <f>-(Table5438[[#This Row],[time]]-2)*2</f>
        <v>-1.1015199999999998</v>
      </c>
      <c r="W475">
        <v>77.630799999999994</v>
      </c>
      <c r="X475">
        <v>37.773800000000001</v>
      </c>
      <c r="Y475">
        <f>Table5438[[#This Row],[CFNM]]/Table5438[[#This Row],[CAREA]]</f>
        <v>0.48658264503264176</v>
      </c>
      <c r="Z475">
        <v>2.5507599999999999</v>
      </c>
      <c r="AA475">
        <f>-(Table6439[[#This Row],[time]]-2)*2</f>
        <v>-1.1015199999999998</v>
      </c>
      <c r="AB475">
        <v>86.194999999999993</v>
      </c>
      <c r="AC475">
        <v>53.015099999999997</v>
      </c>
      <c r="AD475">
        <f>Table6439[[#This Row],[CFNM]]/Table6439[[#This Row],[CAREA]]</f>
        <v>0.61506003828528333</v>
      </c>
      <c r="AE475">
        <v>2.5507599999999999</v>
      </c>
      <c r="AF475">
        <f>-(Table7440[[#This Row],[time]]-2)*2</f>
        <v>-1.1015199999999998</v>
      </c>
      <c r="AG475">
        <v>78.798400000000001</v>
      </c>
      <c r="AH475">
        <v>50.521099999999997</v>
      </c>
      <c r="AI475">
        <f>Table7440[[#This Row],[CFNM]]/Table7440[[#This Row],[CAREA]]</f>
        <v>0.64114372880667625</v>
      </c>
      <c r="AJ475">
        <v>2.5507599999999999</v>
      </c>
      <c r="AK475">
        <f>-(Table8441[[#This Row],[time]]-2)*2</f>
        <v>-1.1015199999999998</v>
      </c>
      <c r="AL475">
        <v>79.955100000000002</v>
      </c>
      <c r="AM475">
        <v>52.622700000000002</v>
      </c>
      <c r="AN475">
        <f>Table8441[[#This Row],[CFNM]]/Table8441[[#This Row],[CAREA]]</f>
        <v>0.65815313844895451</v>
      </c>
    </row>
    <row r="476" spans="1:40">
      <c r="A476">
        <v>2.60453</v>
      </c>
      <c r="B476">
        <f>-(Table1434[[#This Row],[time]]-2)*2</f>
        <v>-1.20906</v>
      </c>
      <c r="C476">
        <v>87.0535</v>
      </c>
      <c r="D476">
        <v>20.835599999999999</v>
      </c>
      <c r="E476">
        <f>Table1434[[#This Row],[CFNM]]/Table1434[[#This Row],[CAREA]]</f>
        <v>0.23934247330664477</v>
      </c>
      <c r="F476">
        <v>2.60453</v>
      </c>
      <c r="G476">
        <f>-(Table2435[[#This Row],[time]]-2)*2</f>
        <v>-1.20906</v>
      </c>
      <c r="H476">
        <v>92.470600000000005</v>
      </c>
      <c r="I476">
        <v>11.1435</v>
      </c>
      <c r="J476">
        <f>Table2435[[#This Row],[CFNM]]/Table2435[[#This Row],[CAREA]]</f>
        <v>0.12050857245438008</v>
      </c>
      <c r="K476">
        <v>2.60453</v>
      </c>
      <c r="L476">
        <f>-(Table3436[[#This Row],[time]]-2)*2</f>
        <v>-1.20906</v>
      </c>
      <c r="M476">
        <v>88.769099999999995</v>
      </c>
      <c r="N476">
        <v>17.7117</v>
      </c>
      <c r="O476">
        <f>Table3436[[#This Row],[CFNM]]/Table3436[[#This Row],[CAREA]]</f>
        <v>0.19952551056617676</v>
      </c>
      <c r="P476">
        <v>2.60453</v>
      </c>
      <c r="Q476">
        <f>-(Table4437[[#This Row],[time]]-2)*2</f>
        <v>-1.20906</v>
      </c>
      <c r="R476">
        <v>87.582300000000004</v>
      </c>
      <c r="S476">
        <v>24.4557</v>
      </c>
      <c r="T476">
        <f>Table4437[[#This Row],[CFNM]]/Table4437[[#This Row],[CAREA]]</f>
        <v>0.27923107751223708</v>
      </c>
      <c r="U476">
        <v>2.60453</v>
      </c>
      <c r="V476">
        <f>-(Table5438[[#This Row],[time]]-2)*2</f>
        <v>-1.20906</v>
      </c>
      <c r="W476">
        <v>76.635900000000007</v>
      </c>
      <c r="X476">
        <v>40.6126</v>
      </c>
      <c r="Y476">
        <f>Table5438[[#This Row],[CFNM]]/Table5438[[#This Row],[CAREA]]</f>
        <v>0.52994223333972712</v>
      </c>
      <c r="Z476">
        <v>2.60453</v>
      </c>
      <c r="AA476">
        <f>-(Table6439[[#This Row],[time]]-2)*2</f>
        <v>-1.20906</v>
      </c>
      <c r="AB476">
        <v>84.654799999999994</v>
      </c>
      <c r="AC476">
        <v>56.842300000000002</v>
      </c>
      <c r="AD476">
        <f>Table6439[[#This Row],[CFNM]]/Table6439[[#This Row],[CAREA]]</f>
        <v>0.67145985815334752</v>
      </c>
      <c r="AE476">
        <v>2.60453</v>
      </c>
      <c r="AF476">
        <f>-(Table7440[[#This Row],[time]]-2)*2</f>
        <v>-1.20906</v>
      </c>
      <c r="AG476">
        <v>77.863500000000002</v>
      </c>
      <c r="AH476">
        <v>54.984900000000003</v>
      </c>
      <c r="AI476">
        <f>Table7440[[#This Row],[CFNM]]/Table7440[[#This Row],[CAREA]]</f>
        <v>0.70617041360843014</v>
      </c>
      <c r="AJ476">
        <v>2.60453</v>
      </c>
      <c r="AK476">
        <f>-(Table8441[[#This Row],[time]]-2)*2</f>
        <v>-1.20906</v>
      </c>
      <c r="AL476">
        <v>79.704499999999996</v>
      </c>
      <c r="AM476">
        <v>56.761600000000001</v>
      </c>
      <c r="AN476">
        <f>Table8441[[#This Row],[CFNM]]/Table8441[[#This Row],[CAREA]]</f>
        <v>0.71215050593128371</v>
      </c>
    </row>
    <row r="477" spans="1:40">
      <c r="A477">
        <v>2.65273</v>
      </c>
      <c r="B477">
        <f>-(Table1434[[#This Row],[time]]-2)*2</f>
        <v>-1.3054600000000001</v>
      </c>
      <c r="C477">
        <v>86.7256</v>
      </c>
      <c r="D477">
        <v>21.8733</v>
      </c>
      <c r="E477">
        <f>Table1434[[#This Row],[CFNM]]/Table1434[[#This Row],[CAREA]]</f>
        <v>0.25221272611547224</v>
      </c>
      <c r="F477">
        <v>2.65273</v>
      </c>
      <c r="G477">
        <f>-(Table2435[[#This Row],[time]]-2)*2</f>
        <v>-1.3054600000000001</v>
      </c>
      <c r="H477">
        <v>92.180300000000003</v>
      </c>
      <c r="I477">
        <v>12.218500000000001</v>
      </c>
      <c r="J477">
        <f>Table2435[[#This Row],[CFNM]]/Table2435[[#This Row],[CAREA]]</f>
        <v>0.13255001339765654</v>
      </c>
      <c r="K477">
        <v>2.65273</v>
      </c>
      <c r="L477">
        <f>-(Table3436[[#This Row],[time]]-2)*2</f>
        <v>-1.3054600000000001</v>
      </c>
      <c r="M477">
        <v>88.985399999999998</v>
      </c>
      <c r="N477">
        <v>19.322199999999999</v>
      </c>
      <c r="O477">
        <f>Table3436[[#This Row],[CFNM]]/Table3436[[#This Row],[CAREA]]</f>
        <v>0.21713899134015241</v>
      </c>
      <c r="P477">
        <v>2.65273</v>
      </c>
      <c r="Q477">
        <f>-(Table4437[[#This Row],[time]]-2)*2</f>
        <v>-1.3054600000000001</v>
      </c>
      <c r="R477">
        <v>88.066500000000005</v>
      </c>
      <c r="S477">
        <v>26.561199999999999</v>
      </c>
      <c r="T477">
        <f>Table4437[[#This Row],[CFNM]]/Table4437[[#This Row],[CAREA]]</f>
        <v>0.30160390159708855</v>
      </c>
      <c r="U477">
        <v>2.65273</v>
      </c>
      <c r="V477">
        <f>-(Table5438[[#This Row],[time]]-2)*2</f>
        <v>-1.3054600000000001</v>
      </c>
      <c r="W477">
        <v>75.665800000000004</v>
      </c>
      <c r="X477">
        <v>43.593899999999998</v>
      </c>
      <c r="Y477">
        <f>Table5438[[#This Row],[CFNM]]/Table5438[[#This Row],[CAREA]]</f>
        <v>0.57613743593538946</v>
      </c>
      <c r="Z477">
        <v>2.65273</v>
      </c>
      <c r="AA477">
        <f>-(Table6439[[#This Row],[time]]-2)*2</f>
        <v>-1.3054600000000001</v>
      </c>
      <c r="AB477">
        <v>83.941800000000001</v>
      </c>
      <c r="AC477">
        <v>60.781999999999996</v>
      </c>
      <c r="AD477">
        <f>Table6439[[#This Row],[CFNM]]/Table6439[[#This Row],[CAREA]]</f>
        <v>0.7240969338279617</v>
      </c>
      <c r="AE477">
        <v>2.65273</v>
      </c>
      <c r="AF477">
        <f>-(Table7440[[#This Row],[time]]-2)*2</f>
        <v>-1.3054600000000001</v>
      </c>
      <c r="AG477">
        <v>77.071700000000007</v>
      </c>
      <c r="AH477">
        <v>59.144799999999996</v>
      </c>
      <c r="AI477">
        <f>Table7440[[#This Row],[CFNM]]/Table7440[[#This Row],[CAREA]]</f>
        <v>0.76739970702605487</v>
      </c>
      <c r="AJ477">
        <v>2.65273</v>
      </c>
      <c r="AK477">
        <f>-(Table8441[[#This Row],[time]]-2)*2</f>
        <v>-1.3054600000000001</v>
      </c>
      <c r="AL477">
        <v>78.154600000000002</v>
      </c>
      <c r="AM477">
        <v>60.776000000000003</v>
      </c>
      <c r="AN477">
        <f>Table8441[[#This Row],[CFNM]]/Table8441[[#This Row],[CAREA]]</f>
        <v>0.77763816845073741</v>
      </c>
    </row>
    <row r="478" spans="1:40">
      <c r="A478">
        <v>2.7006199999999998</v>
      </c>
      <c r="B478">
        <f>-(Table1434[[#This Row],[time]]-2)*2</f>
        <v>-1.4012399999999996</v>
      </c>
      <c r="C478">
        <v>86.361400000000003</v>
      </c>
      <c r="D478">
        <v>22.409099999999999</v>
      </c>
      <c r="E478">
        <f>Table1434[[#This Row],[CFNM]]/Table1434[[#This Row],[CAREA]]</f>
        <v>0.2594805086531714</v>
      </c>
      <c r="F478">
        <v>2.7006199999999998</v>
      </c>
      <c r="G478">
        <f>-(Table2435[[#This Row],[time]]-2)*2</f>
        <v>-1.4012399999999996</v>
      </c>
      <c r="H478">
        <v>92.031199999999998</v>
      </c>
      <c r="I478">
        <v>12.8527</v>
      </c>
      <c r="J478">
        <f>Table2435[[#This Row],[CFNM]]/Table2435[[#This Row],[CAREA]]</f>
        <v>0.13965589930371439</v>
      </c>
      <c r="K478">
        <v>2.7006199999999998</v>
      </c>
      <c r="L478">
        <f>-(Table3436[[#This Row],[time]]-2)*2</f>
        <v>-1.4012399999999996</v>
      </c>
      <c r="M478">
        <v>89.131799999999998</v>
      </c>
      <c r="N478">
        <v>20.194199999999999</v>
      </c>
      <c r="O478">
        <f>Table3436[[#This Row],[CFNM]]/Table3436[[#This Row],[CAREA]]</f>
        <v>0.22656560284881488</v>
      </c>
      <c r="P478">
        <v>2.7006199999999998</v>
      </c>
      <c r="Q478">
        <f>-(Table4437[[#This Row],[time]]-2)*2</f>
        <v>-1.4012399999999996</v>
      </c>
      <c r="R478">
        <v>88.172700000000006</v>
      </c>
      <c r="S478">
        <v>27.7773</v>
      </c>
      <c r="T478">
        <f>Table4437[[#This Row],[CFNM]]/Table4437[[#This Row],[CAREA]]</f>
        <v>0.31503288432814236</v>
      </c>
      <c r="U478">
        <v>2.7006199999999998</v>
      </c>
      <c r="V478">
        <f>-(Table5438[[#This Row],[time]]-2)*2</f>
        <v>-1.4012399999999996</v>
      </c>
      <c r="W478">
        <v>75.151700000000005</v>
      </c>
      <c r="X478">
        <v>45.314399999999999</v>
      </c>
      <c r="Y478">
        <f>Table5438[[#This Row],[CFNM]]/Table5438[[#This Row],[CAREA]]</f>
        <v>0.60297238785017504</v>
      </c>
      <c r="Z478">
        <v>2.7006199999999998</v>
      </c>
      <c r="AA478">
        <f>-(Table6439[[#This Row],[time]]-2)*2</f>
        <v>-1.4012399999999996</v>
      </c>
      <c r="AB478">
        <v>83.576899999999995</v>
      </c>
      <c r="AC478">
        <v>63.0807</v>
      </c>
      <c r="AD478">
        <f>Table6439[[#This Row],[CFNM]]/Table6439[[#This Row],[CAREA]]</f>
        <v>0.75476238051423306</v>
      </c>
      <c r="AE478">
        <v>2.7006199999999998</v>
      </c>
      <c r="AF478">
        <f>-(Table7440[[#This Row],[time]]-2)*2</f>
        <v>-1.4012399999999996</v>
      </c>
      <c r="AG478">
        <v>76.610699999999994</v>
      </c>
      <c r="AH478">
        <v>61.398299999999999</v>
      </c>
      <c r="AI478">
        <f>Table7440[[#This Row],[CFNM]]/Table7440[[#This Row],[CAREA]]</f>
        <v>0.80143243698334576</v>
      </c>
      <c r="AJ478">
        <v>2.7006199999999998</v>
      </c>
      <c r="AK478">
        <f>-(Table8441[[#This Row],[time]]-2)*2</f>
        <v>-1.4012399999999996</v>
      </c>
      <c r="AL478">
        <v>78.054299999999998</v>
      </c>
      <c r="AM478">
        <v>63.073900000000002</v>
      </c>
      <c r="AN478">
        <f>Table8441[[#This Row],[CFNM]]/Table8441[[#This Row],[CAREA]]</f>
        <v>0.80807719754068652</v>
      </c>
    </row>
    <row r="479" spans="1:40">
      <c r="A479">
        <v>2.75176</v>
      </c>
      <c r="B479">
        <f>-(Table1434[[#This Row],[time]]-2)*2</f>
        <v>-1.50352</v>
      </c>
      <c r="C479">
        <v>86.166200000000003</v>
      </c>
      <c r="D479">
        <v>23.4102</v>
      </c>
      <c r="E479">
        <f>Table1434[[#This Row],[CFNM]]/Table1434[[#This Row],[CAREA]]</f>
        <v>0.27168657779964767</v>
      </c>
      <c r="F479">
        <v>2.75176</v>
      </c>
      <c r="G479">
        <f>-(Table2435[[#This Row],[time]]-2)*2</f>
        <v>-1.50352</v>
      </c>
      <c r="H479">
        <v>91.817800000000005</v>
      </c>
      <c r="I479">
        <v>14.1256</v>
      </c>
      <c r="J479">
        <f>Table2435[[#This Row],[CFNM]]/Table2435[[#This Row],[CAREA]]</f>
        <v>0.15384380806336026</v>
      </c>
      <c r="K479">
        <v>2.75176</v>
      </c>
      <c r="L479">
        <f>-(Table3436[[#This Row],[time]]-2)*2</f>
        <v>-1.50352</v>
      </c>
      <c r="M479">
        <v>89.324399999999997</v>
      </c>
      <c r="N479">
        <v>21.917899999999999</v>
      </c>
      <c r="O479">
        <f>Table3436[[#This Row],[CFNM]]/Table3436[[#This Row],[CAREA]]</f>
        <v>0.24537416428209985</v>
      </c>
      <c r="P479">
        <v>2.75176</v>
      </c>
      <c r="Q479">
        <f>-(Table4437[[#This Row],[time]]-2)*2</f>
        <v>-1.50352</v>
      </c>
      <c r="R479">
        <v>88.334900000000005</v>
      </c>
      <c r="S479">
        <v>30.1693</v>
      </c>
      <c r="T479">
        <f>Table4437[[#This Row],[CFNM]]/Table4437[[#This Row],[CAREA]]</f>
        <v>0.34153318790195042</v>
      </c>
      <c r="U479">
        <v>2.75176</v>
      </c>
      <c r="V479">
        <f>-(Table5438[[#This Row],[time]]-2)*2</f>
        <v>-1.50352</v>
      </c>
      <c r="W479">
        <v>74.066599999999994</v>
      </c>
      <c r="X479">
        <v>48.657400000000003</v>
      </c>
      <c r="Y479">
        <f>Table5438[[#This Row],[CFNM]]/Table5438[[#This Row],[CAREA]]</f>
        <v>0.65694118536560353</v>
      </c>
      <c r="Z479">
        <v>2.75176</v>
      </c>
      <c r="AA479">
        <f>-(Table6439[[#This Row],[time]]-2)*2</f>
        <v>-1.50352</v>
      </c>
      <c r="AB479">
        <v>82.803799999999995</v>
      </c>
      <c r="AC479">
        <v>67.645600000000002</v>
      </c>
      <c r="AD479">
        <f>Table6439[[#This Row],[CFNM]]/Table6439[[#This Row],[CAREA]]</f>
        <v>0.81693835307075291</v>
      </c>
      <c r="AE479">
        <v>2.75176</v>
      </c>
      <c r="AF479">
        <f>-(Table7440[[#This Row],[time]]-2)*2</f>
        <v>-1.50352</v>
      </c>
      <c r="AG479">
        <v>75.758799999999994</v>
      </c>
      <c r="AH479">
        <v>65.781499999999994</v>
      </c>
      <c r="AI479">
        <f>Table7440[[#This Row],[CFNM]]/Table7440[[#This Row],[CAREA]]</f>
        <v>0.8683017682434252</v>
      </c>
      <c r="AJ479">
        <v>2.75176</v>
      </c>
      <c r="AK479">
        <f>-(Table8441[[#This Row],[time]]-2)*2</f>
        <v>-1.50352</v>
      </c>
      <c r="AL479">
        <v>77.788200000000003</v>
      </c>
      <c r="AM479">
        <v>67.546899999999994</v>
      </c>
      <c r="AN479">
        <f>Table8441[[#This Row],[CFNM]]/Table8441[[#This Row],[CAREA]]</f>
        <v>0.86834378478998087</v>
      </c>
    </row>
    <row r="480" spans="1:40">
      <c r="A480">
        <v>2.80444</v>
      </c>
      <c r="B480">
        <f>-(Table1434[[#This Row],[time]]-2)*2</f>
        <v>-1.6088800000000001</v>
      </c>
      <c r="C480">
        <v>86.008799999999994</v>
      </c>
      <c r="D480">
        <v>24.2622</v>
      </c>
      <c r="E480">
        <f>Table1434[[#This Row],[CFNM]]/Table1434[[#This Row],[CAREA]]</f>
        <v>0.28208973965454698</v>
      </c>
      <c r="F480">
        <v>2.80444</v>
      </c>
      <c r="G480">
        <f>-(Table2435[[#This Row],[time]]-2)*2</f>
        <v>-1.6088800000000001</v>
      </c>
      <c r="H480">
        <v>91.676400000000001</v>
      </c>
      <c r="I480">
        <v>15.151300000000001</v>
      </c>
      <c r="J480">
        <f>Table2435[[#This Row],[CFNM]]/Table2435[[#This Row],[CAREA]]</f>
        <v>0.16526936048972254</v>
      </c>
      <c r="K480">
        <v>2.80444</v>
      </c>
      <c r="L480">
        <f>-(Table3436[[#This Row],[time]]-2)*2</f>
        <v>-1.6088800000000001</v>
      </c>
      <c r="M480">
        <v>89.431299999999993</v>
      </c>
      <c r="N480">
        <v>23.5581</v>
      </c>
      <c r="O480">
        <f>Table3436[[#This Row],[CFNM]]/Table3436[[#This Row],[CAREA]]</f>
        <v>0.26342119593475666</v>
      </c>
      <c r="P480">
        <v>2.80444</v>
      </c>
      <c r="Q480">
        <f>-(Table4437[[#This Row],[time]]-2)*2</f>
        <v>-1.6088800000000001</v>
      </c>
      <c r="R480">
        <v>88.454800000000006</v>
      </c>
      <c r="S480">
        <v>32.285499999999999</v>
      </c>
      <c r="T480">
        <f>Table4437[[#This Row],[CFNM]]/Table4437[[#This Row],[CAREA]]</f>
        <v>0.36499432478508792</v>
      </c>
      <c r="U480">
        <v>2.80444</v>
      </c>
      <c r="V480">
        <f>-(Table5438[[#This Row],[time]]-2)*2</f>
        <v>-1.6088800000000001</v>
      </c>
      <c r="W480">
        <v>73.1982</v>
      </c>
      <c r="X480">
        <v>51.635100000000001</v>
      </c>
      <c r="Y480">
        <f>Table5438[[#This Row],[CFNM]]/Table5438[[#This Row],[CAREA]]</f>
        <v>0.70541488725132584</v>
      </c>
      <c r="Z480">
        <v>2.80444</v>
      </c>
      <c r="AA480">
        <f>-(Table6439[[#This Row],[time]]-2)*2</f>
        <v>-1.6088800000000001</v>
      </c>
      <c r="AB480">
        <v>82.062200000000004</v>
      </c>
      <c r="AC480">
        <v>71.673000000000002</v>
      </c>
      <c r="AD480">
        <f>Table6439[[#This Row],[CFNM]]/Table6439[[#This Row],[CAREA]]</f>
        <v>0.87339847091596368</v>
      </c>
      <c r="AE480">
        <v>2.80444</v>
      </c>
      <c r="AF480">
        <f>-(Table7440[[#This Row],[time]]-2)*2</f>
        <v>-1.6088800000000001</v>
      </c>
      <c r="AG480">
        <v>74.986099999999993</v>
      </c>
      <c r="AH480">
        <v>69.736599999999996</v>
      </c>
      <c r="AI480">
        <f>Table7440[[#This Row],[CFNM]]/Table7440[[#This Row],[CAREA]]</f>
        <v>0.92999369216428118</v>
      </c>
      <c r="AJ480">
        <v>2.80444</v>
      </c>
      <c r="AK480">
        <f>-(Table8441[[#This Row],[time]]-2)*2</f>
        <v>-1.6088800000000001</v>
      </c>
      <c r="AL480">
        <v>77.531599999999997</v>
      </c>
      <c r="AM480">
        <v>71.464399999999998</v>
      </c>
      <c r="AN480">
        <f>Table8441[[#This Row],[CFNM]]/Table8441[[#This Row],[CAREA]]</f>
        <v>0.92174545604630886</v>
      </c>
    </row>
    <row r="481" spans="1:40">
      <c r="A481">
        <v>2.8583699999999999</v>
      </c>
      <c r="B481">
        <f>-(Table1434[[#This Row],[time]]-2)*2</f>
        <v>-1.7167399999999997</v>
      </c>
      <c r="C481">
        <v>85.915199999999999</v>
      </c>
      <c r="D481">
        <v>24.8886</v>
      </c>
      <c r="E481">
        <f>Table1434[[#This Row],[CFNM]]/Table1434[[#This Row],[CAREA]]</f>
        <v>0.28968797139505004</v>
      </c>
      <c r="F481">
        <v>2.8583699999999999</v>
      </c>
      <c r="G481">
        <f>-(Table2435[[#This Row],[time]]-2)*2</f>
        <v>-1.7167399999999997</v>
      </c>
      <c r="H481">
        <v>91.594200000000001</v>
      </c>
      <c r="I481">
        <v>15.862399999999999</v>
      </c>
      <c r="J481">
        <f>Table2435[[#This Row],[CFNM]]/Table2435[[#This Row],[CAREA]]</f>
        <v>0.17318127130320476</v>
      </c>
      <c r="K481">
        <v>2.8583699999999999</v>
      </c>
      <c r="L481">
        <f>-(Table3436[[#This Row],[time]]-2)*2</f>
        <v>-1.7167399999999997</v>
      </c>
      <c r="M481">
        <v>89.4679</v>
      </c>
      <c r="N481">
        <v>24.824200000000001</v>
      </c>
      <c r="O481">
        <f>Table3436[[#This Row],[CFNM]]/Table3436[[#This Row],[CAREA]]</f>
        <v>0.27746487846479018</v>
      </c>
      <c r="P481">
        <v>2.8583699999999999</v>
      </c>
      <c r="Q481">
        <f>-(Table4437[[#This Row],[time]]-2)*2</f>
        <v>-1.7167399999999997</v>
      </c>
      <c r="R481">
        <v>88.514799999999994</v>
      </c>
      <c r="S481">
        <v>33.887599999999999</v>
      </c>
      <c r="T481">
        <f>Table4437[[#This Row],[CFNM]]/Table4437[[#This Row],[CAREA]]</f>
        <v>0.38284671038063695</v>
      </c>
      <c r="U481">
        <v>2.8583699999999999</v>
      </c>
      <c r="V481">
        <f>-(Table5438[[#This Row],[time]]-2)*2</f>
        <v>-1.7167399999999997</v>
      </c>
      <c r="W481">
        <v>71.872900000000001</v>
      </c>
      <c r="X481">
        <v>53.874200000000002</v>
      </c>
      <c r="Y481">
        <f>Table5438[[#This Row],[CFNM]]/Table5438[[#This Row],[CAREA]]</f>
        <v>0.74957598761146416</v>
      </c>
      <c r="Z481">
        <v>2.8583699999999999</v>
      </c>
      <c r="AA481">
        <f>-(Table6439[[#This Row],[time]]-2)*2</f>
        <v>-1.7167399999999997</v>
      </c>
      <c r="AB481">
        <v>81.475800000000007</v>
      </c>
      <c r="AC481">
        <v>74.709699999999998</v>
      </c>
      <c r="AD481">
        <f>Table6439[[#This Row],[CFNM]]/Table6439[[#This Row],[CAREA]]</f>
        <v>0.91695570954811112</v>
      </c>
      <c r="AE481">
        <v>2.8583699999999999</v>
      </c>
      <c r="AF481">
        <f>-(Table7440[[#This Row],[time]]-2)*2</f>
        <v>-1.7167399999999997</v>
      </c>
      <c r="AG481">
        <v>74.468299999999999</v>
      </c>
      <c r="AH481">
        <v>72.668300000000002</v>
      </c>
      <c r="AI481">
        <f>Table7440[[#This Row],[CFNM]]/Table7440[[#This Row],[CAREA]]</f>
        <v>0.97582864118020696</v>
      </c>
      <c r="AJ481">
        <v>2.8583699999999999</v>
      </c>
      <c r="AK481">
        <f>-(Table8441[[#This Row],[time]]-2)*2</f>
        <v>-1.7167399999999997</v>
      </c>
      <c r="AL481">
        <v>77.367400000000004</v>
      </c>
      <c r="AM481">
        <v>74.354299999999995</v>
      </c>
      <c r="AN481">
        <f>Table8441[[#This Row],[CFNM]]/Table8441[[#This Row],[CAREA]]</f>
        <v>0.96105465609546126</v>
      </c>
    </row>
    <row r="482" spans="1:40">
      <c r="A482">
        <v>2.9134199999999999</v>
      </c>
      <c r="B482">
        <f>-(Table1434[[#This Row],[time]]-2)*2</f>
        <v>-1.8268399999999998</v>
      </c>
      <c r="C482">
        <v>85.823700000000002</v>
      </c>
      <c r="D482">
        <v>25.678100000000001</v>
      </c>
      <c r="E482">
        <f>Table1434[[#This Row],[CFNM]]/Table1434[[#This Row],[CAREA]]</f>
        <v>0.2991959097545317</v>
      </c>
      <c r="F482">
        <v>2.9134199999999999</v>
      </c>
      <c r="G482">
        <f>-(Table2435[[#This Row],[time]]-2)*2</f>
        <v>-1.8268399999999998</v>
      </c>
      <c r="H482">
        <v>91.509699999999995</v>
      </c>
      <c r="I482">
        <v>16.738099999999999</v>
      </c>
      <c r="J482">
        <f>Table2435[[#This Row],[CFNM]]/Table2435[[#This Row],[CAREA]]</f>
        <v>0.18291066411538887</v>
      </c>
      <c r="K482">
        <v>2.9134199999999999</v>
      </c>
      <c r="L482">
        <f>-(Table3436[[#This Row],[time]]-2)*2</f>
        <v>-1.8268399999999998</v>
      </c>
      <c r="M482">
        <v>89.700800000000001</v>
      </c>
      <c r="N482">
        <v>26.523700000000002</v>
      </c>
      <c r="O482">
        <f>Table3436[[#This Row],[CFNM]]/Table3436[[#This Row],[CAREA]]</f>
        <v>0.29569078536646276</v>
      </c>
      <c r="P482">
        <v>2.9134199999999999</v>
      </c>
      <c r="Q482">
        <f>-(Table4437[[#This Row],[time]]-2)*2</f>
        <v>-1.8268399999999998</v>
      </c>
      <c r="R482">
        <v>88.577299999999994</v>
      </c>
      <c r="S482">
        <v>36.048699999999997</v>
      </c>
      <c r="T482">
        <f>Table4437[[#This Row],[CFNM]]/Table4437[[#This Row],[CAREA]]</f>
        <v>0.40697447314379642</v>
      </c>
      <c r="U482">
        <v>2.9134199999999999</v>
      </c>
      <c r="V482">
        <f>-(Table5438[[#This Row],[time]]-2)*2</f>
        <v>-1.8268399999999998</v>
      </c>
      <c r="W482">
        <v>70.859300000000005</v>
      </c>
      <c r="X482">
        <v>56.875599999999999</v>
      </c>
      <c r="Y482">
        <f>Table5438[[#This Row],[CFNM]]/Table5438[[#This Row],[CAREA]]</f>
        <v>0.80265540303107696</v>
      </c>
      <c r="Z482">
        <v>2.9134199999999999</v>
      </c>
      <c r="AA482">
        <f>-(Table6439[[#This Row],[time]]-2)*2</f>
        <v>-1.8268399999999998</v>
      </c>
      <c r="AB482">
        <v>80.676599999999993</v>
      </c>
      <c r="AC482">
        <v>78.664100000000005</v>
      </c>
      <c r="AD482">
        <f>Table6439[[#This Row],[CFNM]]/Table6439[[#This Row],[CAREA]]</f>
        <v>0.9750547246661363</v>
      </c>
      <c r="AE482">
        <v>2.9134199999999999</v>
      </c>
      <c r="AF482">
        <f>-(Table7440[[#This Row],[time]]-2)*2</f>
        <v>-1.8268399999999998</v>
      </c>
      <c r="AG482">
        <v>73.901700000000005</v>
      </c>
      <c r="AH482">
        <v>76.426400000000001</v>
      </c>
      <c r="AI482">
        <f>Table7440[[#This Row],[CFNM]]/Table7440[[#This Row],[CAREA]]</f>
        <v>1.0341629488902149</v>
      </c>
      <c r="AJ482">
        <v>2.9134199999999999</v>
      </c>
      <c r="AK482">
        <f>-(Table8441[[#This Row],[time]]-2)*2</f>
        <v>-1.8268399999999998</v>
      </c>
      <c r="AL482">
        <v>77.150199999999998</v>
      </c>
      <c r="AM482">
        <v>78.070899999999995</v>
      </c>
      <c r="AN482">
        <f>Table8441[[#This Row],[CFNM]]/Table8441[[#This Row],[CAREA]]</f>
        <v>1.0119338640729383</v>
      </c>
    </row>
    <row r="483" spans="1:40">
      <c r="A483">
        <v>2.9619599999999999</v>
      </c>
      <c r="B483">
        <f>-(Table1434[[#This Row],[time]]-2)*2</f>
        <v>-1.9239199999999999</v>
      </c>
      <c r="C483">
        <v>85.758099999999999</v>
      </c>
      <c r="D483">
        <v>26.407299999999999</v>
      </c>
      <c r="E483">
        <f>Table1434[[#This Row],[CFNM]]/Table1434[[#This Row],[CAREA]]</f>
        <v>0.30792776425783686</v>
      </c>
      <c r="F483">
        <v>2.9619599999999999</v>
      </c>
      <c r="G483">
        <f>-(Table2435[[#This Row],[time]]-2)*2</f>
        <v>-1.9239199999999999</v>
      </c>
      <c r="H483">
        <v>91.441199999999995</v>
      </c>
      <c r="I483">
        <v>17.549299999999999</v>
      </c>
      <c r="J483">
        <f>Table2435[[#This Row],[CFNM]]/Table2435[[#This Row],[CAREA]]</f>
        <v>0.19191895994365779</v>
      </c>
      <c r="K483">
        <v>2.9619599999999999</v>
      </c>
      <c r="L483">
        <f>-(Table3436[[#This Row],[time]]-2)*2</f>
        <v>-1.9239199999999999</v>
      </c>
      <c r="M483">
        <v>89.581400000000002</v>
      </c>
      <c r="N483">
        <v>28.2254</v>
      </c>
      <c r="O483">
        <f>Table3436[[#This Row],[CFNM]]/Table3436[[#This Row],[CAREA]]</f>
        <v>0.31508103244646768</v>
      </c>
      <c r="P483">
        <v>2.9619599999999999</v>
      </c>
      <c r="Q483">
        <f>-(Table4437[[#This Row],[time]]-2)*2</f>
        <v>-1.9239199999999999</v>
      </c>
      <c r="R483">
        <v>88.412899999999993</v>
      </c>
      <c r="S483">
        <v>38.253</v>
      </c>
      <c r="T483">
        <f>Table4437[[#This Row],[CFNM]]/Table4437[[#This Row],[CAREA]]</f>
        <v>0.43266310685431653</v>
      </c>
      <c r="U483">
        <v>2.9619599999999999</v>
      </c>
      <c r="V483">
        <f>-(Table5438[[#This Row],[time]]-2)*2</f>
        <v>-1.9239199999999999</v>
      </c>
      <c r="W483">
        <v>69.876800000000003</v>
      </c>
      <c r="X483">
        <v>59.783099999999997</v>
      </c>
      <c r="Y483">
        <f>Table5438[[#This Row],[CFNM]]/Table5438[[#This Row],[CAREA]]</f>
        <v>0.85555005380898952</v>
      </c>
      <c r="Z483">
        <v>2.9619599999999999</v>
      </c>
      <c r="AA483">
        <f>-(Table6439[[#This Row],[time]]-2)*2</f>
        <v>-1.9239199999999999</v>
      </c>
      <c r="AB483">
        <v>79.178399999999996</v>
      </c>
      <c r="AC483">
        <v>82.558700000000002</v>
      </c>
      <c r="AD483">
        <f>Table6439[[#This Row],[CFNM]]/Table6439[[#This Row],[CAREA]]</f>
        <v>1.0426921988825235</v>
      </c>
      <c r="AE483">
        <v>2.9619599999999999</v>
      </c>
      <c r="AF483">
        <f>-(Table7440[[#This Row],[time]]-2)*2</f>
        <v>-1.9239199999999999</v>
      </c>
      <c r="AG483">
        <v>73.305700000000002</v>
      </c>
      <c r="AH483">
        <v>79.910899999999998</v>
      </c>
      <c r="AI483">
        <f>Table7440[[#This Row],[CFNM]]/Table7440[[#This Row],[CAREA]]</f>
        <v>1.0901048622412717</v>
      </c>
      <c r="AJ483">
        <v>2.9619599999999999</v>
      </c>
      <c r="AK483">
        <f>-(Table8441[[#This Row],[time]]-2)*2</f>
        <v>-1.9239199999999999</v>
      </c>
      <c r="AL483">
        <v>76.8874</v>
      </c>
      <c r="AM483">
        <v>81.804599999999994</v>
      </c>
      <c r="AN483">
        <f>Table8441[[#This Row],[CFNM]]/Table8441[[#This Row],[CAREA]]</f>
        <v>1.0639532615226941</v>
      </c>
    </row>
    <row r="484" spans="1:40">
      <c r="A484">
        <v>3</v>
      </c>
      <c r="B484">
        <f>-(Table1434[[#This Row],[time]]-2)*2</f>
        <v>-2</v>
      </c>
      <c r="C484">
        <v>85.716800000000006</v>
      </c>
      <c r="D484">
        <v>27.0717</v>
      </c>
      <c r="E484">
        <f>Table1434[[#This Row],[CFNM]]/Table1434[[#This Row],[CAREA]]</f>
        <v>0.31582723573441845</v>
      </c>
      <c r="F484">
        <v>3</v>
      </c>
      <c r="G484">
        <f>-(Table2435[[#This Row],[time]]-2)*2</f>
        <v>-2</v>
      </c>
      <c r="H484">
        <v>91.389300000000006</v>
      </c>
      <c r="I484">
        <v>18.376000000000001</v>
      </c>
      <c r="J484">
        <f>Table2435[[#This Row],[CFNM]]/Table2435[[#This Row],[CAREA]]</f>
        <v>0.20107386750965375</v>
      </c>
      <c r="K484">
        <v>3</v>
      </c>
      <c r="L484">
        <f>-(Table3436[[#This Row],[time]]-2)*2</f>
        <v>-2</v>
      </c>
      <c r="M484">
        <v>89.471599999999995</v>
      </c>
      <c r="N484">
        <v>29.934899999999999</v>
      </c>
      <c r="O484">
        <f>Table3436[[#This Row],[CFNM]]/Table3436[[#This Row],[CAREA]]</f>
        <v>0.33457432302540696</v>
      </c>
      <c r="P484">
        <v>3</v>
      </c>
      <c r="Q484">
        <f>-(Table4437[[#This Row],[time]]-2)*2</f>
        <v>-2</v>
      </c>
      <c r="R484">
        <v>88.330299999999994</v>
      </c>
      <c r="S484">
        <v>40.628799999999998</v>
      </c>
      <c r="T484">
        <f>Table4437[[#This Row],[CFNM]]/Table4437[[#This Row],[CAREA]]</f>
        <v>0.45996447425175735</v>
      </c>
      <c r="U484">
        <v>3</v>
      </c>
      <c r="V484">
        <f>-(Table5438[[#This Row],[time]]-2)*2</f>
        <v>-2</v>
      </c>
      <c r="W484">
        <v>68.900099999999995</v>
      </c>
      <c r="X484">
        <v>62.643300000000004</v>
      </c>
      <c r="Y484">
        <f>Table5438[[#This Row],[CFNM]]/Table5438[[#This Row],[CAREA]]</f>
        <v>0.90919026242342182</v>
      </c>
      <c r="Z484">
        <v>3</v>
      </c>
      <c r="AA484">
        <f>-(Table6439[[#This Row],[time]]-2)*2</f>
        <v>-2</v>
      </c>
      <c r="AB484">
        <v>77.582099999999997</v>
      </c>
      <c r="AC484">
        <v>86.550299999999993</v>
      </c>
      <c r="AD484">
        <f>Table6439[[#This Row],[CFNM]]/Table6439[[#This Row],[CAREA]]</f>
        <v>1.1155962522282845</v>
      </c>
      <c r="AE484">
        <v>3</v>
      </c>
      <c r="AF484">
        <f>-(Table7440[[#This Row],[time]]-2)*2</f>
        <v>-2</v>
      </c>
      <c r="AG484">
        <v>72.788200000000003</v>
      </c>
      <c r="AH484">
        <v>83.358000000000004</v>
      </c>
      <c r="AI484">
        <f>Table7440[[#This Row],[CFNM]]/Table7440[[#This Row],[CAREA]]</f>
        <v>1.1452130977273789</v>
      </c>
      <c r="AJ484">
        <v>3</v>
      </c>
      <c r="AK484">
        <f>-(Table8441[[#This Row],[time]]-2)*2</f>
        <v>-2</v>
      </c>
      <c r="AL484">
        <v>76.634500000000003</v>
      </c>
      <c r="AM484">
        <v>85.569699999999997</v>
      </c>
      <c r="AN484">
        <f>Table8441[[#This Row],[CFNM]]/Table8441[[#This Row],[CAREA]]</f>
        <v>1.1165950061656302</v>
      </c>
    </row>
    <row r="486" spans="1:40">
      <c r="A486" t="s">
        <v>55</v>
      </c>
      <c r="E486" t="s">
        <v>2</v>
      </c>
    </row>
    <row r="487" spans="1:40">
      <c r="A487" t="s">
        <v>56</v>
      </c>
      <c r="E487" t="s">
        <v>4</v>
      </c>
      <c r="F487" t="s">
        <v>5</v>
      </c>
    </row>
    <row r="489" spans="1:40">
      <c r="A489" t="s">
        <v>7</v>
      </c>
      <c r="F489" t="s">
        <v>8</v>
      </c>
      <c r="K489" t="s">
        <v>9</v>
      </c>
      <c r="P489" t="s">
        <v>26</v>
      </c>
      <c r="U489" t="s">
        <v>11</v>
      </c>
      <c r="Z489" t="s">
        <v>12</v>
      </c>
      <c r="AE489" t="s">
        <v>13</v>
      </c>
      <c r="AJ489" t="s">
        <v>14</v>
      </c>
    </row>
    <row r="490" spans="1:40">
      <c r="A490" t="s">
        <v>15</v>
      </c>
      <c r="B490" t="s">
        <v>16</v>
      </c>
      <c r="C490" t="s">
        <v>20</v>
      </c>
      <c r="D490" t="s">
        <v>18</v>
      </c>
      <c r="E490" t="s">
        <v>19</v>
      </c>
      <c r="F490" t="s">
        <v>15</v>
      </c>
      <c r="G490" t="s">
        <v>16</v>
      </c>
      <c r="H490" t="s">
        <v>20</v>
      </c>
      <c r="I490" t="s">
        <v>18</v>
      </c>
      <c r="J490" t="s">
        <v>19</v>
      </c>
      <c r="K490" t="s">
        <v>15</v>
      </c>
      <c r="L490" t="s">
        <v>16</v>
      </c>
      <c r="M490" t="s">
        <v>20</v>
      </c>
      <c r="N490" t="s">
        <v>18</v>
      </c>
      <c r="O490" t="s">
        <v>19</v>
      </c>
      <c r="P490" t="s">
        <v>15</v>
      </c>
      <c r="Q490" t="s">
        <v>16</v>
      </c>
      <c r="R490" t="s">
        <v>20</v>
      </c>
      <c r="S490" t="s">
        <v>18</v>
      </c>
      <c r="T490" t="s">
        <v>19</v>
      </c>
      <c r="U490" t="s">
        <v>15</v>
      </c>
      <c r="V490" t="s">
        <v>16</v>
      </c>
      <c r="W490" t="s">
        <v>20</v>
      </c>
      <c r="X490" t="s">
        <v>18</v>
      </c>
      <c r="Y490" t="s">
        <v>19</v>
      </c>
      <c r="Z490" t="s">
        <v>15</v>
      </c>
      <c r="AA490" t="s">
        <v>16</v>
      </c>
      <c r="AB490" t="s">
        <v>20</v>
      </c>
      <c r="AC490" t="s">
        <v>18</v>
      </c>
      <c r="AD490" t="s">
        <v>19</v>
      </c>
      <c r="AE490" t="s">
        <v>15</v>
      </c>
      <c r="AF490" t="s">
        <v>16</v>
      </c>
      <c r="AG490" t="s">
        <v>20</v>
      </c>
      <c r="AH490" t="s">
        <v>18</v>
      </c>
      <c r="AI490" t="s">
        <v>19</v>
      </c>
      <c r="AJ490" t="s">
        <v>15</v>
      </c>
      <c r="AK490" t="s">
        <v>16</v>
      </c>
      <c r="AL490" t="s">
        <v>20</v>
      </c>
      <c r="AM490" t="s">
        <v>18</v>
      </c>
      <c r="AN490" t="s">
        <v>19</v>
      </c>
    </row>
    <row r="491" spans="1:40">
      <c r="A491">
        <v>2</v>
      </c>
      <c r="B491">
        <f>(Table110442[[#This Row],[time]]-2)*2</f>
        <v>0</v>
      </c>
      <c r="C491">
        <v>90.688999999999993</v>
      </c>
      <c r="D491">
        <v>10.0715</v>
      </c>
      <c r="E491" s="2">
        <f>Table110442[[#This Row],[CFNM]]/Table110442[[#This Row],[CAREA]]</f>
        <v>0.11105536503875885</v>
      </c>
      <c r="F491">
        <v>2</v>
      </c>
      <c r="G491">
        <f>(Table211443[[#This Row],[time]]-2)*2</f>
        <v>0</v>
      </c>
      <c r="H491">
        <v>95.948400000000007</v>
      </c>
      <c r="I491">
        <v>3.4775999999999998</v>
      </c>
      <c r="J491" s="2">
        <f>Table211443[[#This Row],[CFNM]]/Table211443[[#This Row],[CAREA]]</f>
        <v>3.6244481408757204E-2</v>
      </c>
      <c r="K491">
        <v>2</v>
      </c>
      <c r="L491">
        <f>(Table312444[[#This Row],[time]]-2)*2</f>
        <v>0</v>
      </c>
      <c r="M491">
        <v>88.963399999999993</v>
      </c>
      <c r="N491">
        <v>3.5141100000000001</v>
      </c>
      <c r="O491">
        <f>Table312444[[#This Row],[CFNM]]/Table312444[[#This Row],[CAREA]]</f>
        <v>3.9500626100171535E-2</v>
      </c>
      <c r="P491">
        <v>2</v>
      </c>
      <c r="Q491">
        <f>(Table413445[[#This Row],[time]]-2)*2</f>
        <v>0</v>
      </c>
      <c r="R491">
        <v>86.444900000000004</v>
      </c>
      <c r="S491">
        <v>6.4569700000000001</v>
      </c>
      <c r="T491">
        <f>Table413445[[#This Row],[CFNM]]/Table413445[[#This Row],[CAREA]]</f>
        <v>7.4694632071990369E-2</v>
      </c>
      <c r="U491">
        <v>2</v>
      </c>
      <c r="V491">
        <f>(Table514446[[#This Row],[time]]-2)*2</f>
        <v>0</v>
      </c>
      <c r="W491">
        <v>82.746600000000001</v>
      </c>
      <c r="X491">
        <v>8.9821000000000009</v>
      </c>
      <c r="Y491">
        <f>Table514446[[#This Row],[CFNM]]/Table514446[[#This Row],[CAREA]]</f>
        <v>0.10854947514459809</v>
      </c>
      <c r="Z491">
        <v>2</v>
      </c>
      <c r="AA491">
        <f>(Table615447[[#This Row],[time]]-2)*2</f>
        <v>0</v>
      </c>
      <c r="AB491">
        <v>88.940399999999997</v>
      </c>
      <c r="AC491">
        <v>15.745900000000001</v>
      </c>
      <c r="AD491">
        <f>Table615447[[#This Row],[CFNM]]/Table615447[[#This Row],[CAREA]]</f>
        <v>0.17703878102639523</v>
      </c>
      <c r="AE491">
        <v>2</v>
      </c>
      <c r="AF491">
        <f>(Table716448[[#This Row],[time]]-2)*2</f>
        <v>0</v>
      </c>
      <c r="AG491">
        <v>78.945400000000006</v>
      </c>
      <c r="AH491">
        <v>19.654699999999998</v>
      </c>
      <c r="AI491">
        <f>Table716448[[#This Row],[CFNM]]/Table716448[[#This Row],[CAREA]]</f>
        <v>0.24896574087913922</v>
      </c>
      <c r="AJ491">
        <v>2</v>
      </c>
      <c r="AK491">
        <f>(Table817449[[#This Row],[time]]-2)*2</f>
        <v>0</v>
      </c>
      <c r="AL491">
        <v>83.134900000000002</v>
      </c>
      <c r="AM491">
        <v>19.291699999999999</v>
      </c>
      <c r="AN491">
        <f>Table817449[[#This Row],[CFNM]]/Table817449[[#This Row],[CAREA]]</f>
        <v>0.23205296451911289</v>
      </c>
    </row>
    <row r="492" spans="1:40">
      <c r="A492">
        <v>2.0512600000000001</v>
      </c>
      <c r="B492">
        <f>(Table110442[[#This Row],[time]]-2)*2</f>
        <v>0.10252000000000017</v>
      </c>
      <c r="C492">
        <v>90.727500000000006</v>
      </c>
      <c r="D492">
        <v>9.9720499999999994</v>
      </c>
      <c r="E492">
        <f>Table110442[[#This Row],[CFNM]]/Table110442[[#This Row],[CAREA]]</f>
        <v>0.10991209941858862</v>
      </c>
      <c r="F492">
        <v>2.0512600000000001</v>
      </c>
      <c r="G492">
        <f>(Table211443[[#This Row],[time]]-2)*2</f>
        <v>0.10252000000000017</v>
      </c>
      <c r="H492">
        <v>96.020499999999998</v>
      </c>
      <c r="I492">
        <v>3.4780199999999999</v>
      </c>
      <c r="J492">
        <f>Table211443[[#This Row],[CFNM]]/Table211443[[#This Row],[CAREA]]</f>
        <v>3.622164017058857E-2</v>
      </c>
      <c r="K492">
        <v>2.0512600000000001</v>
      </c>
      <c r="L492">
        <f>(Table312444[[#This Row],[time]]-2)*2</f>
        <v>0.10252000000000017</v>
      </c>
      <c r="M492">
        <v>89.022199999999998</v>
      </c>
      <c r="N492">
        <v>3.1541299999999999</v>
      </c>
      <c r="O492">
        <f>Table312444[[#This Row],[CFNM]]/Table312444[[#This Row],[CAREA]]</f>
        <v>3.5430825120026238E-2</v>
      </c>
      <c r="P492">
        <v>2.0512600000000001</v>
      </c>
      <c r="Q492">
        <f>(Table413445[[#This Row],[time]]-2)*2</f>
        <v>0.10252000000000017</v>
      </c>
      <c r="R492">
        <v>86.503200000000007</v>
      </c>
      <c r="S492">
        <v>6.1180500000000002</v>
      </c>
      <c r="T492">
        <f>Table413445[[#This Row],[CFNM]]/Table413445[[#This Row],[CAREA]]</f>
        <v>7.0726285270371503E-2</v>
      </c>
      <c r="U492">
        <v>2.0512600000000001</v>
      </c>
      <c r="V492">
        <f>(Table514446[[#This Row],[time]]-2)*2</f>
        <v>0.10252000000000017</v>
      </c>
      <c r="W492">
        <v>82.742500000000007</v>
      </c>
      <c r="X492">
        <v>7.7717700000000001</v>
      </c>
      <c r="Y492">
        <f>Table514446[[#This Row],[CFNM]]/Table514446[[#This Row],[CAREA]]</f>
        <v>9.3927183732664579E-2</v>
      </c>
      <c r="Z492">
        <v>2.0512600000000001</v>
      </c>
      <c r="AA492">
        <f>(Table615447[[#This Row],[time]]-2)*2</f>
        <v>0.10252000000000017</v>
      </c>
      <c r="AB492">
        <v>88.884600000000006</v>
      </c>
      <c r="AC492">
        <v>14.3345</v>
      </c>
      <c r="AD492">
        <f>Table615447[[#This Row],[CFNM]]/Table615447[[#This Row],[CAREA]]</f>
        <v>0.16127090632122998</v>
      </c>
      <c r="AE492">
        <v>2.0512600000000001</v>
      </c>
      <c r="AF492">
        <f>(Table716448[[#This Row],[time]]-2)*2</f>
        <v>0.10252000000000017</v>
      </c>
      <c r="AG492">
        <v>78.820400000000006</v>
      </c>
      <c r="AH492">
        <v>18.556999999999999</v>
      </c>
      <c r="AI492">
        <f>Table716448[[#This Row],[CFNM]]/Table716448[[#This Row],[CAREA]]</f>
        <v>0.23543397394583124</v>
      </c>
      <c r="AJ492">
        <v>2.0512600000000001</v>
      </c>
      <c r="AK492">
        <f>(Table817449[[#This Row],[time]]-2)*2</f>
        <v>0.10252000000000017</v>
      </c>
      <c r="AL492">
        <v>83.210999999999999</v>
      </c>
      <c r="AM492">
        <v>17.966200000000001</v>
      </c>
      <c r="AN492">
        <f>Table817449[[#This Row],[CFNM]]/Table817449[[#This Row],[CAREA]]</f>
        <v>0.21591135787335811</v>
      </c>
    </row>
    <row r="493" spans="1:40">
      <c r="A493">
        <v>2.1153300000000002</v>
      </c>
      <c r="B493">
        <f>(Table110442[[#This Row],[time]]-2)*2</f>
        <v>0.23066000000000031</v>
      </c>
      <c r="C493">
        <v>91.055499999999995</v>
      </c>
      <c r="D493">
        <v>9.4766300000000001</v>
      </c>
      <c r="E493">
        <f>Table110442[[#This Row],[CFNM]]/Table110442[[#This Row],[CAREA]]</f>
        <v>0.10407531670245071</v>
      </c>
      <c r="F493">
        <v>2.1153300000000002</v>
      </c>
      <c r="G493">
        <f>(Table211443[[#This Row],[time]]-2)*2</f>
        <v>0.23066000000000031</v>
      </c>
      <c r="H493">
        <v>96.183099999999996</v>
      </c>
      <c r="I493">
        <v>3.4123399999999999</v>
      </c>
      <c r="J493">
        <f>Table211443[[#This Row],[CFNM]]/Table211443[[#This Row],[CAREA]]</f>
        <v>3.5477542312526839E-2</v>
      </c>
      <c r="K493">
        <v>2.1153300000000002</v>
      </c>
      <c r="L493">
        <f>(Table312444[[#This Row],[time]]-2)*2</f>
        <v>0.23066000000000031</v>
      </c>
      <c r="M493">
        <v>89.073599999999999</v>
      </c>
      <c r="N493">
        <v>2.2034699999999998</v>
      </c>
      <c r="O493">
        <f>Table312444[[#This Row],[CFNM]]/Table312444[[#This Row],[CAREA]]</f>
        <v>2.4737632699250955E-2</v>
      </c>
      <c r="P493">
        <v>2.1153300000000002</v>
      </c>
      <c r="Q493">
        <f>(Table413445[[#This Row],[time]]-2)*2</f>
        <v>0.23066000000000031</v>
      </c>
      <c r="R493">
        <v>86.449600000000004</v>
      </c>
      <c r="S493">
        <v>5.07674</v>
      </c>
      <c r="T493">
        <f>Table413445[[#This Row],[CFNM]]/Table413445[[#This Row],[CAREA]]</f>
        <v>5.8724852399548402E-2</v>
      </c>
      <c r="U493">
        <v>2.1153300000000002</v>
      </c>
      <c r="V493">
        <f>(Table514446[[#This Row],[time]]-2)*2</f>
        <v>0.23066000000000031</v>
      </c>
      <c r="W493">
        <v>82.739699999999999</v>
      </c>
      <c r="X493">
        <v>4.6779500000000001</v>
      </c>
      <c r="Y493">
        <f>Table514446[[#This Row],[CFNM]]/Table514446[[#This Row],[CAREA]]</f>
        <v>5.6538155202399819E-2</v>
      </c>
      <c r="Z493">
        <v>2.1153300000000002</v>
      </c>
      <c r="AA493">
        <f>(Table615447[[#This Row],[time]]-2)*2</f>
        <v>0.23066000000000031</v>
      </c>
      <c r="AB493">
        <v>88.637200000000007</v>
      </c>
      <c r="AC493">
        <v>10.5359</v>
      </c>
      <c r="AD493">
        <f>Table615447[[#This Row],[CFNM]]/Table615447[[#This Row],[CAREA]]</f>
        <v>0.11886544250043998</v>
      </c>
      <c r="AE493">
        <v>2.1153300000000002</v>
      </c>
      <c r="AF493">
        <f>(Table716448[[#This Row],[time]]-2)*2</f>
        <v>0.23066000000000031</v>
      </c>
      <c r="AG493">
        <v>78.593800000000002</v>
      </c>
      <c r="AH493">
        <v>17.309899999999999</v>
      </c>
      <c r="AI493">
        <f>Table716448[[#This Row],[CFNM]]/Table716448[[#This Row],[CAREA]]</f>
        <v>0.22024510839277398</v>
      </c>
      <c r="AJ493">
        <v>2.1153300000000002</v>
      </c>
      <c r="AK493">
        <f>(Table817449[[#This Row],[time]]-2)*2</f>
        <v>0.23066000000000031</v>
      </c>
      <c r="AL493">
        <v>83.376199999999997</v>
      </c>
      <c r="AM493">
        <v>16.43</v>
      </c>
      <c r="AN493">
        <f>Table817449[[#This Row],[CFNM]]/Table817449[[#This Row],[CAREA]]</f>
        <v>0.19705863303916465</v>
      </c>
    </row>
    <row r="494" spans="1:40">
      <c r="A494">
        <v>2.16533</v>
      </c>
      <c r="B494">
        <f>(Table110442[[#This Row],[time]]-2)*2</f>
        <v>0.33065999999999995</v>
      </c>
      <c r="C494">
        <v>91.428799999999995</v>
      </c>
      <c r="D494">
        <v>8.9895499999999995</v>
      </c>
      <c r="E494">
        <f>Table110442[[#This Row],[CFNM]]/Table110442[[#This Row],[CAREA]]</f>
        <v>9.8322957317606707E-2</v>
      </c>
      <c r="F494">
        <v>2.16533</v>
      </c>
      <c r="G494">
        <f>(Table211443[[#This Row],[time]]-2)*2</f>
        <v>0.33065999999999995</v>
      </c>
      <c r="H494">
        <v>96.195400000000006</v>
      </c>
      <c r="I494">
        <v>3.3254700000000001</v>
      </c>
      <c r="J494">
        <f>Table211443[[#This Row],[CFNM]]/Table211443[[#This Row],[CAREA]]</f>
        <v>3.4569948251163773E-2</v>
      </c>
      <c r="K494">
        <v>2.16533</v>
      </c>
      <c r="L494">
        <f>(Table312444[[#This Row],[time]]-2)*2</f>
        <v>0.33065999999999995</v>
      </c>
      <c r="M494">
        <v>89.046999999999997</v>
      </c>
      <c r="N494">
        <v>1.4220299999999999</v>
      </c>
      <c r="O494">
        <f>Table312444[[#This Row],[CFNM]]/Table312444[[#This Row],[CAREA]]</f>
        <v>1.59694318730558E-2</v>
      </c>
      <c r="P494">
        <v>2.16533</v>
      </c>
      <c r="Q494">
        <f>(Table413445[[#This Row],[time]]-2)*2</f>
        <v>0.33065999999999995</v>
      </c>
      <c r="R494">
        <v>86.325599999999994</v>
      </c>
      <c r="S494">
        <v>3.9375800000000001</v>
      </c>
      <c r="T494">
        <f>Table413445[[#This Row],[CFNM]]/Table413445[[#This Row],[CAREA]]</f>
        <v>4.5613120557517123E-2</v>
      </c>
      <c r="U494">
        <v>2.16533</v>
      </c>
      <c r="V494">
        <f>(Table514446[[#This Row],[time]]-2)*2</f>
        <v>0.33065999999999995</v>
      </c>
      <c r="W494">
        <v>82.294700000000006</v>
      </c>
      <c r="X494">
        <v>2.4706000000000001</v>
      </c>
      <c r="Y494">
        <f>Table514446[[#This Row],[CFNM]]/Table514446[[#This Row],[CAREA]]</f>
        <v>3.0021374401996724E-2</v>
      </c>
      <c r="Z494">
        <v>2.16533</v>
      </c>
      <c r="AA494">
        <f>(Table615447[[#This Row],[time]]-2)*2</f>
        <v>0.33065999999999995</v>
      </c>
      <c r="AB494">
        <v>88.264499999999998</v>
      </c>
      <c r="AC494">
        <v>6.9101800000000004</v>
      </c>
      <c r="AD494">
        <f>Table615447[[#This Row],[CFNM]]/Table615447[[#This Row],[CAREA]]</f>
        <v>7.8289459522231486E-2</v>
      </c>
      <c r="AE494">
        <v>2.16533</v>
      </c>
      <c r="AF494">
        <f>(Table716448[[#This Row],[time]]-2)*2</f>
        <v>0.33065999999999995</v>
      </c>
      <c r="AG494">
        <v>78.415999999999997</v>
      </c>
      <c r="AH494">
        <v>16.447500000000002</v>
      </c>
      <c r="AI494">
        <f>Table716448[[#This Row],[CFNM]]/Table716448[[#This Row],[CAREA]]</f>
        <v>0.20974673536013061</v>
      </c>
      <c r="AJ494">
        <v>2.16533</v>
      </c>
      <c r="AK494">
        <f>(Table817449[[#This Row],[time]]-2)*2</f>
        <v>0.33065999999999995</v>
      </c>
      <c r="AL494">
        <v>83.512100000000004</v>
      </c>
      <c r="AM494">
        <v>15.323</v>
      </c>
      <c r="AN494">
        <f>Table817449[[#This Row],[CFNM]]/Table817449[[#This Row],[CAREA]]</f>
        <v>0.18348239356931509</v>
      </c>
    </row>
    <row r="495" spans="1:40">
      <c r="A495">
        <v>2.2246999999999999</v>
      </c>
      <c r="B495">
        <f>(Table110442[[#This Row],[time]]-2)*2</f>
        <v>0.4493999999999998</v>
      </c>
      <c r="C495">
        <v>91.625799999999998</v>
      </c>
      <c r="D495">
        <v>8.13035</v>
      </c>
      <c r="E495">
        <f>Table110442[[#This Row],[CFNM]]/Table110442[[#This Row],[CAREA]]</f>
        <v>8.8734286631058062E-2</v>
      </c>
      <c r="F495">
        <v>2.2246999999999999</v>
      </c>
      <c r="G495">
        <f>(Table211443[[#This Row],[time]]-2)*2</f>
        <v>0.4493999999999998</v>
      </c>
      <c r="H495">
        <v>96.266400000000004</v>
      </c>
      <c r="I495">
        <v>3.1183800000000002</v>
      </c>
      <c r="J495">
        <f>Table211443[[#This Row],[CFNM]]/Table211443[[#This Row],[CAREA]]</f>
        <v>3.2393233776270847E-2</v>
      </c>
      <c r="K495">
        <v>2.2246999999999999</v>
      </c>
      <c r="L495">
        <f>(Table312444[[#This Row],[time]]-2)*2</f>
        <v>0.4493999999999998</v>
      </c>
      <c r="M495">
        <v>88.704800000000006</v>
      </c>
      <c r="N495">
        <v>0.43518600000000002</v>
      </c>
      <c r="O495">
        <f>Table312444[[#This Row],[CFNM]]/Table312444[[#This Row],[CAREA]]</f>
        <v>4.9060028318647919E-3</v>
      </c>
      <c r="P495">
        <v>2.2246999999999999</v>
      </c>
      <c r="Q495">
        <f>(Table413445[[#This Row],[time]]-2)*2</f>
        <v>0.4493999999999998</v>
      </c>
      <c r="R495">
        <v>85.957300000000004</v>
      </c>
      <c r="S495">
        <v>2.1719400000000002</v>
      </c>
      <c r="T495">
        <f>Table413445[[#This Row],[CFNM]]/Table413445[[#This Row],[CAREA]]</f>
        <v>2.5267661967046429E-2</v>
      </c>
      <c r="U495">
        <v>2.2246999999999999</v>
      </c>
      <c r="V495">
        <f>(Table514446[[#This Row],[time]]-2)*2</f>
        <v>0.4493999999999998</v>
      </c>
      <c r="W495">
        <v>81.678899999999999</v>
      </c>
      <c r="X495">
        <v>1.2656099999999999</v>
      </c>
      <c r="Y495">
        <f>Table514446[[#This Row],[CFNM]]/Table514446[[#This Row],[CAREA]]</f>
        <v>1.5494944226721956E-2</v>
      </c>
      <c r="Z495">
        <v>2.2246999999999999</v>
      </c>
      <c r="AA495">
        <f>(Table615447[[#This Row],[time]]-2)*2</f>
        <v>0.4493999999999998</v>
      </c>
      <c r="AB495">
        <v>87.790899999999993</v>
      </c>
      <c r="AC495">
        <v>4.6157000000000004</v>
      </c>
      <c r="AD495">
        <f>Table615447[[#This Row],[CFNM]]/Table615447[[#This Row],[CAREA]]</f>
        <v>5.2576064261785682E-2</v>
      </c>
      <c r="AE495">
        <v>2.2246999999999999</v>
      </c>
      <c r="AF495">
        <f>(Table716448[[#This Row],[time]]-2)*2</f>
        <v>0.4493999999999998</v>
      </c>
      <c r="AG495">
        <v>78.214600000000004</v>
      </c>
      <c r="AH495">
        <v>15.733700000000001</v>
      </c>
      <c r="AI495">
        <f>Table716448[[#This Row],[CFNM]]/Table716448[[#This Row],[CAREA]]</f>
        <v>0.20116065287043594</v>
      </c>
      <c r="AJ495">
        <v>2.2246999999999999</v>
      </c>
      <c r="AK495">
        <f>(Table817449[[#This Row],[time]]-2)*2</f>
        <v>0.4493999999999998</v>
      </c>
      <c r="AL495">
        <v>83.659700000000001</v>
      </c>
      <c r="AM495">
        <v>14.3766</v>
      </c>
      <c r="AN495">
        <f>Table817449[[#This Row],[CFNM]]/Table817449[[#This Row],[CAREA]]</f>
        <v>0.17184618161432566</v>
      </c>
    </row>
    <row r="496" spans="1:40">
      <c r="A496">
        <v>2.2668900000000001</v>
      </c>
      <c r="B496">
        <f>(Table110442[[#This Row],[time]]-2)*2</f>
        <v>0.53378000000000014</v>
      </c>
      <c r="C496">
        <v>91.88</v>
      </c>
      <c r="D496">
        <v>7.1069300000000002</v>
      </c>
      <c r="E496">
        <f>Table110442[[#This Row],[CFNM]]/Table110442[[#This Row],[CAREA]]</f>
        <v>7.7350130605137138E-2</v>
      </c>
      <c r="F496">
        <v>2.2668900000000001</v>
      </c>
      <c r="G496">
        <f>(Table211443[[#This Row],[time]]-2)*2</f>
        <v>0.53378000000000014</v>
      </c>
      <c r="H496">
        <v>96.504000000000005</v>
      </c>
      <c r="I496">
        <v>2.6339399999999999</v>
      </c>
      <c r="J496">
        <f>Table211443[[#This Row],[CFNM]]/Table211443[[#This Row],[CAREA]]</f>
        <v>2.7293583685650335E-2</v>
      </c>
      <c r="K496">
        <v>2.2668900000000001</v>
      </c>
      <c r="L496">
        <f>(Table312444[[#This Row],[time]]-2)*2</f>
        <v>0.53378000000000014</v>
      </c>
      <c r="M496">
        <v>87.8733</v>
      </c>
      <c r="N496">
        <v>4.4630299999999998E-3</v>
      </c>
      <c r="O496">
        <f>Table312444[[#This Row],[CFNM]]/Table312444[[#This Row],[CAREA]]</f>
        <v>5.0789375157186537E-5</v>
      </c>
      <c r="P496">
        <v>2.2668900000000001</v>
      </c>
      <c r="Q496">
        <f>(Table413445[[#This Row],[time]]-2)*2</f>
        <v>0.53378000000000014</v>
      </c>
      <c r="R496">
        <v>85.065799999999996</v>
      </c>
      <c r="S496">
        <v>0.49460900000000002</v>
      </c>
      <c r="T496">
        <f>Table413445[[#This Row],[CFNM]]/Table413445[[#This Row],[CAREA]]</f>
        <v>5.8144283601635448E-3</v>
      </c>
      <c r="U496">
        <v>2.2668900000000001</v>
      </c>
      <c r="V496">
        <f>(Table514446[[#This Row],[time]]-2)*2</f>
        <v>0.53378000000000014</v>
      </c>
      <c r="W496">
        <v>80.722200000000001</v>
      </c>
      <c r="X496">
        <v>0.82396800000000003</v>
      </c>
      <c r="Y496">
        <f>Table514446[[#This Row],[CFNM]]/Table514446[[#This Row],[CAREA]]</f>
        <v>1.0207452225038466E-2</v>
      </c>
      <c r="Z496">
        <v>2.2668900000000001</v>
      </c>
      <c r="AA496">
        <f>(Table615447[[#This Row],[time]]-2)*2</f>
        <v>0.53378000000000014</v>
      </c>
      <c r="AB496">
        <v>87.032799999999995</v>
      </c>
      <c r="AC496">
        <v>3.1156199999999998</v>
      </c>
      <c r="AD496">
        <f>Table615447[[#This Row],[CFNM]]/Table615447[[#This Row],[CAREA]]</f>
        <v>3.5798227794578599E-2</v>
      </c>
      <c r="AE496">
        <v>2.2668900000000001</v>
      </c>
      <c r="AF496">
        <f>(Table716448[[#This Row],[time]]-2)*2</f>
        <v>0.53378000000000014</v>
      </c>
      <c r="AG496">
        <v>78.007300000000001</v>
      </c>
      <c r="AH496">
        <v>15.045500000000001</v>
      </c>
      <c r="AI496">
        <f>Table716448[[#This Row],[CFNM]]/Table716448[[#This Row],[CAREA]]</f>
        <v>0.19287297470877726</v>
      </c>
      <c r="AJ496">
        <v>2.2668900000000001</v>
      </c>
      <c r="AK496">
        <f>(Table817449[[#This Row],[time]]-2)*2</f>
        <v>0.53378000000000014</v>
      </c>
      <c r="AL496">
        <v>83.989500000000007</v>
      </c>
      <c r="AM496">
        <v>13.3505</v>
      </c>
      <c r="AN496">
        <f>Table817449[[#This Row],[CFNM]]/Table817449[[#This Row],[CAREA]]</f>
        <v>0.15895439310866238</v>
      </c>
    </row>
    <row r="497" spans="1:40">
      <c r="A497">
        <v>2.3262700000000001</v>
      </c>
      <c r="B497">
        <f>(Table110442[[#This Row],[time]]-2)*2</f>
        <v>0.65254000000000012</v>
      </c>
      <c r="C497">
        <v>91.9071</v>
      </c>
      <c r="D497">
        <v>6.2518099999999999</v>
      </c>
      <c r="E497">
        <f>Table110442[[#This Row],[CFNM]]/Table110442[[#This Row],[CAREA]]</f>
        <v>6.8023145110660654E-2</v>
      </c>
      <c r="F497">
        <v>2.3262700000000001</v>
      </c>
      <c r="G497">
        <f>(Table211443[[#This Row],[time]]-2)*2</f>
        <v>0.65254000000000012</v>
      </c>
      <c r="H497">
        <v>96.470299999999995</v>
      </c>
      <c r="I497">
        <v>2.1842299999999999</v>
      </c>
      <c r="J497">
        <f>Table211443[[#This Row],[CFNM]]/Table211443[[#This Row],[CAREA]]</f>
        <v>2.2641476184898358E-2</v>
      </c>
      <c r="K497">
        <v>2.3262700000000001</v>
      </c>
      <c r="L497">
        <f>(Table312444[[#This Row],[time]]-2)*2</f>
        <v>0.65254000000000012</v>
      </c>
      <c r="M497">
        <v>86.886499999999998</v>
      </c>
      <c r="N497">
        <v>3.9335000000000004E-3</v>
      </c>
      <c r="O497">
        <f>Table312444[[#This Row],[CFNM]]/Table312444[[#This Row],[CAREA]]</f>
        <v>4.5271705040483854E-5</v>
      </c>
      <c r="P497">
        <v>2.3262700000000001</v>
      </c>
      <c r="Q497">
        <f>(Table413445[[#This Row],[time]]-2)*2</f>
        <v>0.65254000000000012</v>
      </c>
      <c r="R497">
        <v>83.6952</v>
      </c>
      <c r="S497">
        <v>5.4230399999999996E-3</v>
      </c>
      <c r="T497">
        <f>Table413445[[#This Row],[CFNM]]/Table413445[[#This Row],[CAREA]]</f>
        <v>6.4795113698276602E-5</v>
      </c>
      <c r="U497">
        <v>2.3262700000000001</v>
      </c>
      <c r="V497">
        <f>(Table514446[[#This Row],[time]]-2)*2</f>
        <v>0.65254000000000012</v>
      </c>
      <c r="W497">
        <v>80.558899999999994</v>
      </c>
      <c r="X497">
        <v>0.61626400000000003</v>
      </c>
      <c r="Y497">
        <f>Table514446[[#This Row],[CFNM]]/Table514446[[#This Row],[CAREA]]</f>
        <v>7.6498561921774016E-3</v>
      </c>
      <c r="Z497">
        <v>2.3262700000000001</v>
      </c>
      <c r="AA497">
        <f>(Table615447[[#This Row],[time]]-2)*2</f>
        <v>0.65254000000000012</v>
      </c>
      <c r="AB497">
        <v>86.120800000000003</v>
      </c>
      <c r="AC497">
        <v>2.3716499999999998</v>
      </c>
      <c r="AD497">
        <f>Table615447[[#This Row],[CFNM]]/Table615447[[#This Row],[CAREA]]</f>
        <v>2.7538643393930383E-2</v>
      </c>
      <c r="AE497">
        <v>2.3262700000000001</v>
      </c>
      <c r="AF497">
        <f>(Table716448[[#This Row],[time]]-2)*2</f>
        <v>0.65254000000000012</v>
      </c>
      <c r="AG497">
        <v>77.892899999999997</v>
      </c>
      <c r="AH497">
        <v>14.526899999999999</v>
      </c>
      <c r="AI497">
        <f>Table716448[[#This Row],[CFNM]]/Table716448[[#This Row],[CAREA]]</f>
        <v>0.18649838432000862</v>
      </c>
      <c r="AJ497">
        <v>2.3262700000000001</v>
      </c>
      <c r="AK497">
        <f>(Table817449[[#This Row],[time]]-2)*2</f>
        <v>0.65254000000000012</v>
      </c>
      <c r="AL497">
        <v>84.119799999999998</v>
      </c>
      <c r="AM497">
        <v>12.6828</v>
      </c>
      <c r="AN497">
        <f>Table817449[[#This Row],[CFNM]]/Table817449[[#This Row],[CAREA]]</f>
        <v>0.15077068656844167</v>
      </c>
    </row>
    <row r="498" spans="1:40">
      <c r="A498">
        <v>2.3684599999999998</v>
      </c>
      <c r="B498">
        <f>(Table110442[[#This Row],[time]]-2)*2</f>
        <v>0.73691999999999958</v>
      </c>
      <c r="C498">
        <v>91.842699999999994</v>
      </c>
      <c r="D498">
        <v>4.7046700000000001</v>
      </c>
      <c r="E498">
        <f>Table110442[[#This Row],[CFNM]]/Table110442[[#This Row],[CAREA]]</f>
        <v>5.1225301520970101E-2</v>
      </c>
      <c r="F498">
        <v>2.3684599999999998</v>
      </c>
      <c r="G498">
        <f>(Table211443[[#This Row],[time]]-2)*2</f>
        <v>0.73691999999999958</v>
      </c>
      <c r="H498">
        <v>96.356399999999994</v>
      </c>
      <c r="I498">
        <v>1.2233099999999999</v>
      </c>
      <c r="J498">
        <f>Table211443[[#This Row],[CFNM]]/Table211443[[#This Row],[CAREA]]</f>
        <v>1.2695679788784138E-2</v>
      </c>
      <c r="K498">
        <v>2.3684599999999998</v>
      </c>
      <c r="L498">
        <f>(Table312444[[#This Row],[time]]-2)*2</f>
        <v>0.73691999999999958</v>
      </c>
      <c r="M498">
        <v>86.641400000000004</v>
      </c>
      <c r="N498">
        <v>3.6537100000000001E-3</v>
      </c>
      <c r="O498">
        <f>Table312444[[#This Row],[CFNM]]/Table312444[[#This Row],[CAREA]]</f>
        <v>4.2170486626485721E-5</v>
      </c>
      <c r="P498">
        <v>2.3684599999999998</v>
      </c>
      <c r="Q498">
        <f>(Table413445[[#This Row],[time]]-2)*2</f>
        <v>0.73691999999999958</v>
      </c>
      <c r="R498">
        <v>83.268799999999999</v>
      </c>
      <c r="S498">
        <v>4.9971800000000004E-3</v>
      </c>
      <c r="T498">
        <f>Table413445[[#This Row],[CFNM]]/Table413445[[#This Row],[CAREA]]</f>
        <v>6.0012633783602023E-5</v>
      </c>
      <c r="U498">
        <v>2.3684599999999998</v>
      </c>
      <c r="V498">
        <f>(Table514446[[#This Row],[time]]-2)*2</f>
        <v>0.73691999999999958</v>
      </c>
      <c r="W498">
        <v>80.027900000000002</v>
      </c>
      <c r="X498">
        <v>0.44694699999999998</v>
      </c>
      <c r="Y498">
        <f>Table514446[[#This Row],[CFNM]]/Table514446[[#This Row],[CAREA]]</f>
        <v>5.584889769692819E-3</v>
      </c>
      <c r="Z498">
        <v>2.3684599999999998</v>
      </c>
      <c r="AA498">
        <f>(Table615447[[#This Row],[time]]-2)*2</f>
        <v>0.73691999999999958</v>
      </c>
      <c r="AB498">
        <v>84.387900000000002</v>
      </c>
      <c r="AC498">
        <v>1.6424700000000001</v>
      </c>
      <c r="AD498">
        <f>Table615447[[#This Row],[CFNM]]/Table615447[[#This Row],[CAREA]]</f>
        <v>1.9463335383390273E-2</v>
      </c>
      <c r="AE498">
        <v>2.3684599999999998</v>
      </c>
      <c r="AF498">
        <f>(Table716448[[#This Row],[time]]-2)*2</f>
        <v>0.73691999999999958</v>
      </c>
      <c r="AG498">
        <v>77.651600000000002</v>
      </c>
      <c r="AH498">
        <v>13.983700000000001</v>
      </c>
      <c r="AI498">
        <f>Table716448[[#This Row],[CFNM]]/Table716448[[#This Row],[CAREA]]</f>
        <v>0.18008257395855334</v>
      </c>
      <c r="AJ498">
        <v>2.3684599999999998</v>
      </c>
      <c r="AK498">
        <f>(Table817449[[#This Row],[time]]-2)*2</f>
        <v>0.73691999999999958</v>
      </c>
      <c r="AL498">
        <v>84.254000000000005</v>
      </c>
      <c r="AM498">
        <v>11.998900000000001</v>
      </c>
      <c r="AN498">
        <f>Table817449[[#This Row],[CFNM]]/Table817449[[#This Row],[CAREA]]</f>
        <v>0.14241341657369383</v>
      </c>
    </row>
    <row r="499" spans="1:40">
      <c r="A499">
        <v>2.4278300000000002</v>
      </c>
      <c r="B499">
        <f>(Table110442[[#This Row],[time]]-2)*2</f>
        <v>0.85566000000000031</v>
      </c>
      <c r="C499">
        <v>91.618600000000001</v>
      </c>
      <c r="D499">
        <v>3.1607599999999998</v>
      </c>
      <c r="E499">
        <f>Table110442[[#This Row],[CFNM]]/Table110442[[#This Row],[CAREA]]</f>
        <v>3.4499108259676524E-2</v>
      </c>
      <c r="F499">
        <v>2.4278300000000002</v>
      </c>
      <c r="G499">
        <f>(Table211443[[#This Row],[time]]-2)*2</f>
        <v>0.85566000000000031</v>
      </c>
      <c r="H499">
        <v>96.049199999999999</v>
      </c>
      <c r="I499">
        <v>0.30643500000000001</v>
      </c>
      <c r="J499">
        <f>Table211443[[#This Row],[CFNM]]/Table211443[[#This Row],[CAREA]]</f>
        <v>3.1903961719618695E-3</v>
      </c>
      <c r="K499">
        <v>2.4278300000000002</v>
      </c>
      <c r="L499">
        <f>(Table312444[[#This Row],[time]]-2)*2</f>
        <v>0.85566000000000031</v>
      </c>
      <c r="M499">
        <v>85.588999999999999</v>
      </c>
      <c r="N499">
        <v>3.4041900000000001E-3</v>
      </c>
      <c r="O499">
        <f>Table312444[[#This Row],[CFNM]]/Table312444[[#This Row],[CAREA]]</f>
        <v>3.9773685870847889E-5</v>
      </c>
      <c r="P499">
        <v>2.4278300000000002</v>
      </c>
      <c r="Q499">
        <f>(Table413445[[#This Row],[time]]-2)*2</f>
        <v>0.85566000000000031</v>
      </c>
      <c r="R499">
        <v>82.6233</v>
      </c>
      <c r="S499">
        <v>4.6130499999999996E-3</v>
      </c>
      <c r="T499">
        <f>Table413445[[#This Row],[CFNM]]/Table413445[[#This Row],[CAREA]]</f>
        <v>5.5832313645182407E-5</v>
      </c>
      <c r="U499">
        <v>2.4278300000000002</v>
      </c>
      <c r="V499">
        <f>(Table514446[[#This Row],[time]]-2)*2</f>
        <v>0.85566000000000031</v>
      </c>
      <c r="W499">
        <v>79.408900000000003</v>
      </c>
      <c r="X499">
        <v>0.289076</v>
      </c>
      <c r="Y499">
        <f>Table514446[[#This Row],[CFNM]]/Table514446[[#This Row],[CAREA]]</f>
        <v>3.6403476184659403E-3</v>
      </c>
      <c r="Z499">
        <v>2.4278300000000002</v>
      </c>
      <c r="AA499">
        <f>(Table615447[[#This Row],[time]]-2)*2</f>
        <v>0.85566000000000031</v>
      </c>
      <c r="AB499">
        <v>83.8352</v>
      </c>
      <c r="AC499">
        <v>1.0354399999999999</v>
      </c>
      <c r="AD499">
        <f>Table615447[[#This Row],[CFNM]]/Table615447[[#This Row],[CAREA]]</f>
        <v>1.2350897952172833E-2</v>
      </c>
      <c r="AE499">
        <v>2.4278300000000002</v>
      </c>
      <c r="AF499">
        <f>(Table716448[[#This Row],[time]]-2)*2</f>
        <v>0.85566000000000031</v>
      </c>
      <c r="AG499">
        <v>77.4786</v>
      </c>
      <c r="AH499">
        <v>13.337999999999999</v>
      </c>
      <c r="AI499">
        <f>Table716448[[#This Row],[CFNM]]/Table716448[[#This Row],[CAREA]]</f>
        <v>0.17215076162966289</v>
      </c>
      <c r="AJ499">
        <v>2.4278300000000002</v>
      </c>
      <c r="AK499">
        <f>(Table817449[[#This Row],[time]]-2)*2</f>
        <v>0.85566000000000031</v>
      </c>
      <c r="AL499">
        <v>84.025899999999993</v>
      </c>
      <c r="AM499">
        <v>11.2277</v>
      </c>
      <c r="AN499">
        <f>Table817449[[#This Row],[CFNM]]/Table817449[[#This Row],[CAREA]]</f>
        <v>0.13362189515375619</v>
      </c>
    </row>
    <row r="500" spans="1:40">
      <c r="A500">
        <v>2.4542000000000002</v>
      </c>
      <c r="B500">
        <f>(Table110442[[#This Row],[time]]-2)*2</f>
        <v>0.90840000000000032</v>
      </c>
      <c r="C500">
        <v>91.442700000000002</v>
      </c>
      <c r="D500">
        <v>2.5732699999999999</v>
      </c>
      <c r="E500">
        <f>Table110442[[#This Row],[CFNM]]/Table110442[[#This Row],[CAREA]]</f>
        <v>2.8140791993237293E-2</v>
      </c>
      <c r="F500">
        <v>2.4542000000000002</v>
      </c>
      <c r="G500">
        <f>(Table211443[[#This Row],[time]]-2)*2</f>
        <v>0.90840000000000032</v>
      </c>
      <c r="H500">
        <v>95.889799999999994</v>
      </c>
      <c r="I500">
        <v>5.0264799999999998E-2</v>
      </c>
      <c r="J500">
        <f>Table211443[[#This Row],[CFNM]]/Table211443[[#This Row],[CAREA]]</f>
        <v>5.2419339700364377E-4</v>
      </c>
      <c r="K500">
        <v>2.4542000000000002</v>
      </c>
      <c r="L500">
        <f>(Table312444[[#This Row],[time]]-2)*2</f>
        <v>0.90840000000000032</v>
      </c>
      <c r="M500">
        <v>85.530900000000003</v>
      </c>
      <c r="N500">
        <v>3.30744E-3</v>
      </c>
      <c r="O500">
        <f>Table312444[[#This Row],[CFNM]]/Table312444[[#This Row],[CAREA]]</f>
        <v>3.8669533466852329E-5</v>
      </c>
      <c r="P500">
        <v>2.4542000000000002</v>
      </c>
      <c r="Q500">
        <f>(Table413445[[#This Row],[time]]-2)*2</f>
        <v>0.90840000000000032</v>
      </c>
      <c r="R500">
        <v>82.547399999999996</v>
      </c>
      <c r="S500">
        <v>4.4738900000000003E-3</v>
      </c>
      <c r="T500">
        <f>Table413445[[#This Row],[CFNM]]/Table413445[[#This Row],[CAREA]]</f>
        <v>5.4197830579763878E-5</v>
      </c>
      <c r="U500">
        <v>2.4542000000000002</v>
      </c>
      <c r="V500">
        <f>(Table514446[[#This Row],[time]]-2)*2</f>
        <v>0.90840000000000032</v>
      </c>
      <c r="W500">
        <v>79.2376</v>
      </c>
      <c r="X500">
        <v>0.23768500000000001</v>
      </c>
      <c r="Y500">
        <f>Table514446[[#This Row],[CFNM]]/Table514446[[#This Row],[CAREA]]</f>
        <v>2.9996491564610742E-3</v>
      </c>
      <c r="Z500">
        <v>2.4542000000000002</v>
      </c>
      <c r="AA500">
        <f>(Table615447[[#This Row],[time]]-2)*2</f>
        <v>0.90840000000000032</v>
      </c>
      <c r="AB500">
        <v>82.464299999999994</v>
      </c>
      <c r="AC500">
        <v>0.79175200000000001</v>
      </c>
      <c r="AD500">
        <f>Table615447[[#This Row],[CFNM]]/Table615447[[#This Row],[CAREA]]</f>
        <v>9.6011486182505656E-3</v>
      </c>
      <c r="AE500">
        <v>2.4542000000000002</v>
      </c>
      <c r="AF500">
        <f>(Table716448[[#This Row],[time]]-2)*2</f>
        <v>0.90840000000000032</v>
      </c>
      <c r="AG500">
        <v>77.497600000000006</v>
      </c>
      <c r="AH500">
        <v>13.033300000000001</v>
      </c>
      <c r="AI500">
        <f>Table716448[[#This Row],[CFNM]]/Table716448[[#This Row],[CAREA]]</f>
        <v>0.16817682095961681</v>
      </c>
      <c r="AJ500">
        <v>2.4542000000000002</v>
      </c>
      <c r="AK500">
        <f>(Table817449[[#This Row],[time]]-2)*2</f>
        <v>0.90840000000000032</v>
      </c>
      <c r="AL500">
        <v>83.992199999999997</v>
      </c>
      <c r="AM500">
        <v>10.8734</v>
      </c>
      <c r="AN500">
        <f>Table817449[[#This Row],[CFNM]]/Table817449[[#This Row],[CAREA]]</f>
        <v>0.12945725912644271</v>
      </c>
    </row>
    <row r="501" spans="1:40">
      <c r="A501">
        <v>2.5061499999999999</v>
      </c>
      <c r="B501">
        <f>(Table110442[[#This Row],[time]]-2)*2</f>
        <v>1.0122999999999998</v>
      </c>
      <c r="C501">
        <v>90.872900000000001</v>
      </c>
      <c r="D501">
        <v>1.4057200000000001</v>
      </c>
      <c r="E501">
        <f>Table110442[[#This Row],[CFNM]]/Table110442[[#This Row],[CAREA]]</f>
        <v>1.5469078240047363E-2</v>
      </c>
      <c r="F501">
        <v>2.5061499999999999</v>
      </c>
      <c r="G501">
        <f>(Table211443[[#This Row],[time]]-2)*2</f>
        <v>1.0122999999999998</v>
      </c>
      <c r="H501">
        <v>95.498500000000007</v>
      </c>
      <c r="I501">
        <v>4.97139E-3</v>
      </c>
      <c r="J501">
        <f>Table211443[[#This Row],[CFNM]]/Table211443[[#This Row],[CAREA]]</f>
        <v>5.2057257443834195E-5</v>
      </c>
      <c r="K501">
        <v>2.5061499999999999</v>
      </c>
      <c r="L501">
        <f>(Table312444[[#This Row],[time]]-2)*2</f>
        <v>1.0122999999999998</v>
      </c>
      <c r="M501">
        <v>83.752399999999994</v>
      </c>
      <c r="N501">
        <v>3.0795800000000002E-3</v>
      </c>
      <c r="O501">
        <f>Table312444[[#This Row],[CFNM]]/Table312444[[#This Row],[CAREA]]</f>
        <v>3.6770050768694392E-5</v>
      </c>
      <c r="P501">
        <v>2.5061499999999999</v>
      </c>
      <c r="Q501">
        <f>(Table413445[[#This Row],[time]]-2)*2</f>
        <v>1.0122999999999998</v>
      </c>
      <c r="R501">
        <v>82.445599999999999</v>
      </c>
      <c r="S501">
        <v>4.2711499999999996E-3</v>
      </c>
      <c r="T501">
        <f>Table413445[[#This Row],[CFNM]]/Table413445[[#This Row],[CAREA]]</f>
        <v>5.1805675499966031E-5</v>
      </c>
      <c r="U501">
        <v>2.5061499999999999</v>
      </c>
      <c r="V501">
        <f>(Table514446[[#This Row],[time]]-2)*2</f>
        <v>1.0122999999999998</v>
      </c>
      <c r="W501">
        <v>78.870999999999995</v>
      </c>
      <c r="X501">
        <v>0.120715</v>
      </c>
      <c r="Y501">
        <f>Table514446[[#This Row],[CFNM]]/Table514446[[#This Row],[CAREA]]</f>
        <v>1.5305372063242511E-3</v>
      </c>
      <c r="Z501">
        <v>2.5061499999999999</v>
      </c>
      <c r="AA501">
        <f>(Table615447[[#This Row],[time]]-2)*2</f>
        <v>1.0122999999999998</v>
      </c>
      <c r="AB501">
        <v>82.120599999999996</v>
      </c>
      <c r="AC501">
        <v>0.418238</v>
      </c>
      <c r="AD501">
        <f>Table615447[[#This Row],[CFNM]]/Table615447[[#This Row],[CAREA]]</f>
        <v>5.0929730177324568E-3</v>
      </c>
      <c r="AE501">
        <v>2.5061499999999999</v>
      </c>
      <c r="AF501">
        <f>(Table716448[[#This Row],[time]]-2)*2</f>
        <v>1.0122999999999998</v>
      </c>
      <c r="AG501">
        <v>77.541700000000006</v>
      </c>
      <c r="AH501">
        <v>12.3492</v>
      </c>
      <c r="AI501">
        <f>Table716448[[#This Row],[CFNM]]/Table716448[[#This Row],[CAREA]]</f>
        <v>0.15925882460663099</v>
      </c>
      <c r="AJ501">
        <v>2.5061499999999999</v>
      </c>
      <c r="AK501">
        <f>(Table817449[[#This Row],[time]]-2)*2</f>
        <v>1.0122999999999998</v>
      </c>
      <c r="AL501">
        <v>83.953400000000002</v>
      </c>
      <c r="AM501">
        <v>10.0665</v>
      </c>
      <c r="AN501">
        <f>Table817449[[#This Row],[CFNM]]/Table817449[[#This Row],[CAREA]]</f>
        <v>0.11990580488699683</v>
      </c>
    </row>
    <row r="502" spans="1:40">
      <c r="A502">
        <v>2.5507599999999999</v>
      </c>
      <c r="B502">
        <f>(Table110442[[#This Row],[time]]-2)*2</f>
        <v>1.1015199999999998</v>
      </c>
      <c r="C502">
        <v>90.159599999999998</v>
      </c>
      <c r="D502">
        <v>0.64506399999999997</v>
      </c>
      <c r="E502">
        <f>Table110442[[#This Row],[CFNM]]/Table110442[[#This Row],[CAREA]]</f>
        <v>7.1546901272853914E-3</v>
      </c>
      <c r="F502">
        <v>2.5507599999999999</v>
      </c>
      <c r="G502">
        <f>(Table211443[[#This Row],[time]]-2)*2</f>
        <v>1.1015199999999998</v>
      </c>
      <c r="H502">
        <v>94.349000000000004</v>
      </c>
      <c r="I502">
        <v>4.4524500000000002E-3</v>
      </c>
      <c r="J502">
        <f>Table211443[[#This Row],[CFNM]]/Table211443[[#This Row],[CAREA]]</f>
        <v>4.7191279186848827E-5</v>
      </c>
      <c r="K502">
        <v>2.5507599999999999</v>
      </c>
      <c r="L502">
        <f>(Table312444[[#This Row],[time]]-2)*2</f>
        <v>1.1015199999999998</v>
      </c>
      <c r="M502">
        <v>82.3215</v>
      </c>
      <c r="N502">
        <v>2.8545900000000002E-3</v>
      </c>
      <c r="O502">
        <f>Table312444[[#This Row],[CFNM]]/Table312444[[#This Row],[CAREA]]</f>
        <v>3.4676117417685538E-5</v>
      </c>
      <c r="P502">
        <v>2.5507599999999999</v>
      </c>
      <c r="Q502">
        <f>(Table413445[[#This Row],[time]]-2)*2</f>
        <v>1.1015199999999998</v>
      </c>
      <c r="R502">
        <v>82.344800000000006</v>
      </c>
      <c r="S502">
        <v>4.0949599999999999E-3</v>
      </c>
      <c r="T502">
        <f>Table413445[[#This Row],[CFNM]]/Table413445[[#This Row],[CAREA]]</f>
        <v>4.9729430395119058E-5</v>
      </c>
      <c r="U502">
        <v>2.5507599999999999</v>
      </c>
      <c r="V502">
        <f>(Table514446[[#This Row],[time]]-2)*2</f>
        <v>1.1015199999999998</v>
      </c>
      <c r="W502">
        <v>78.422200000000004</v>
      </c>
      <c r="X502">
        <v>5.5957699999999999E-3</v>
      </c>
      <c r="Y502">
        <f>Table514446[[#This Row],[CFNM]]/Table514446[[#This Row],[CAREA]]</f>
        <v>7.1354412398530007E-5</v>
      </c>
      <c r="Z502">
        <v>2.5507599999999999</v>
      </c>
      <c r="AA502">
        <f>(Table615447[[#This Row],[time]]-2)*2</f>
        <v>1.1015199999999998</v>
      </c>
      <c r="AB502">
        <v>80.683000000000007</v>
      </c>
      <c r="AC502">
        <v>0.20589399999999999</v>
      </c>
      <c r="AD502">
        <f>Table615447[[#This Row],[CFNM]]/Table615447[[#This Row],[CAREA]]</f>
        <v>2.5518882540312084E-3</v>
      </c>
      <c r="AE502">
        <v>2.5507599999999999</v>
      </c>
      <c r="AF502">
        <f>(Table716448[[#This Row],[time]]-2)*2</f>
        <v>1.1015199999999998</v>
      </c>
      <c r="AG502">
        <v>77.575400000000002</v>
      </c>
      <c r="AH502">
        <v>11.636200000000001</v>
      </c>
      <c r="AI502">
        <f>Table716448[[#This Row],[CFNM]]/Table716448[[#This Row],[CAREA]]</f>
        <v>0.14999858202471403</v>
      </c>
      <c r="AJ502">
        <v>2.5507599999999999</v>
      </c>
      <c r="AK502">
        <f>(Table817449[[#This Row],[time]]-2)*2</f>
        <v>1.1015199999999998</v>
      </c>
      <c r="AL502">
        <v>83.9358</v>
      </c>
      <c r="AM502">
        <v>9.2489699999999999</v>
      </c>
      <c r="AN502">
        <f>Table817449[[#This Row],[CFNM]]/Table817449[[#This Row],[CAREA]]</f>
        <v>0.11019100312381606</v>
      </c>
    </row>
    <row r="503" spans="1:40">
      <c r="A503">
        <v>2.60453</v>
      </c>
      <c r="B503">
        <f>(Table110442[[#This Row],[time]]-2)*2</f>
        <v>1.20906</v>
      </c>
      <c r="C503">
        <v>89.579099999999997</v>
      </c>
      <c r="D503">
        <v>0.122493</v>
      </c>
      <c r="E503">
        <f>Table110442[[#This Row],[CFNM]]/Table110442[[#This Row],[CAREA]]</f>
        <v>1.3674283398694563E-3</v>
      </c>
      <c r="F503">
        <v>2.60453</v>
      </c>
      <c r="G503">
        <f>(Table211443[[#This Row],[time]]-2)*2</f>
        <v>1.20906</v>
      </c>
      <c r="H503">
        <v>93.775499999999994</v>
      </c>
      <c r="I503">
        <v>4.0545900000000003E-3</v>
      </c>
      <c r="J503">
        <f>Table211443[[#This Row],[CFNM]]/Table211443[[#This Row],[CAREA]]</f>
        <v>4.3237199481740974E-5</v>
      </c>
      <c r="K503">
        <v>2.60453</v>
      </c>
      <c r="L503">
        <f>(Table312444[[#This Row],[time]]-2)*2</f>
        <v>1.20906</v>
      </c>
      <c r="M503">
        <v>82.220600000000005</v>
      </c>
      <c r="N503">
        <v>2.70272E-3</v>
      </c>
      <c r="O503">
        <f>Table312444[[#This Row],[CFNM]]/Table312444[[#This Row],[CAREA]]</f>
        <v>3.2871567466060813E-5</v>
      </c>
      <c r="P503">
        <v>2.60453</v>
      </c>
      <c r="Q503">
        <f>(Table413445[[#This Row],[time]]-2)*2</f>
        <v>1.20906</v>
      </c>
      <c r="R503">
        <v>82.277600000000007</v>
      </c>
      <c r="S503">
        <v>3.9705499999999998E-3</v>
      </c>
      <c r="T503">
        <f>Table413445[[#This Row],[CFNM]]/Table413445[[#This Row],[CAREA]]</f>
        <v>4.8257970577654179E-5</v>
      </c>
      <c r="U503">
        <v>2.60453</v>
      </c>
      <c r="V503">
        <f>(Table514446[[#This Row],[time]]-2)*2</f>
        <v>1.20906</v>
      </c>
      <c r="W503">
        <v>77.870199999999997</v>
      </c>
      <c r="X503">
        <v>5.0566400000000003E-3</v>
      </c>
      <c r="Y503">
        <f>Table514446[[#This Row],[CFNM]]/Table514446[[#This Row],[CAREA]]</f>
        <v>6.493677940983843E-5</v>
      </c>
      <c r="Z503">
        <v>2.60453</v>
      </c>
      <c r="AA503">
        <f>(Table615447[[#This Row],[time]]-2)*2</f>
        <v>1.20906</v>
      </c>
      <c r="AB503">
        <v>80.281899999999993</v>
      </c>
      <c r="AC503">
        <v>7.15972E-2</v>
      </c>
      <c r="AD503">
        <f>Table615447[[#This Row],[CFNM]]/Table615447[[#This Row],[CAREA]]</f>
        <v>8.9182244067467266E-4</v>
      </c>
      <c r="AE503">
        <v>2.60453</v>
      </c>
      <c r="AF503">
        <f>(Table716448[[#This Row],[time]]-2)*2</f>
        <v>1.20906</v>
      </c>
      <c r="AG503">
        <v>77.677499999999995</v>
      </c>
      <c r="AH503">
        <v>11.121</v>
      </c>
      <c r="AI503">
        <f>Table716448[[#This Row],[CFNM]]/Table716448[[#This Row],[CAREA]]</f>
        <v>0.14316887129477648</v>
      </c>
      <c r="AJ503">
        <v>2.60453</v>
      </c>
      <c r="AK503">
        <f>(Table817449[[#This Row],[time]]-2)*2</f>
        <v>1.20906</v>
      </c>
      <c r="AL503">
        <v>83.856899999999996</v>
      </c>
      <c r="AM503">
        <v>8.6609099999999994</v>
      </c>
      <c r="AN503">
        <f>Table817449[[#This Row],[CFNM]]/Table817449[[#This Row],[CAREA]]</f>
        <v>0.10328201972646257</v>
      </c>
    </row>
    <row r="504" spans="1:40">
      <c r="A504">
        <v>2.65273</v>
      </c>
      <c r="B504">
        <f>(Table110442[[#This Row],[time]]-2)*2</f>
        <v>1.3054600000000001</v>
      </c>
      <c r="C504">
        <v>89.435100000000006</v>
      </c>
      <c r="D504">
        <v>4.1243800000000004E-3</v>
      </c>
      <c r="E504">
        <f>Table110442[[#This Row],[CFNM]]/Table110442[[#This Row],[CAREA]]</f>
        <v>4.6115898567788266E-5</v>
      </c>
      <c r="F504">
        <v>2.65273</v>
      </c>
      <c r="G504">
        <f>(Table211443[[#This Row],[time]]-2)*2</f>
        <v>1.3054600000000001</v>
      </c>
      <c r="H504">
        <v>92.010599999999997</v>
      </c>
      <c r="I504">
        <v>3.6821900000000001E-3</v>
      </c>
      <c r="J504">
        <f>Table211443[[#This Row],[CFNM]]/Table211443[[#This Row],[CAREA]]</f>
        <v>4.0019193440755741E-5</v>
      </c>
      <c r="K504">
        <v>2.65273</v>
      </c>
      <c r="L504">
        <f>(Table312444[[#This Row],[time]]-2)*2</f>
        <v>1.3054600000000001</v>
      </c>
      <c r="M504">
        <v>78.446700000000007</v>
      </c>
      <c r="N504">
        <v>2.5740099999999998E-3</v>
      </c>
      <c r="O504">
        <f>Table312444[[#This Row],[CFNM]]/Table312444[[#This Row],[CAREA]]</f>
        <v>3.2812215172849838E-5</v>
      </c>
      <c r="P504">
        <v>2.65273</v>
      </c>
      <c r="Q504">
        <f>(Table413445[[#This Row],[time]]-2)*2</f>
        <v>1.3054600000000001</v>
      </c>
      <c r="R504">
        <v>82.218999999999994</v>
      </c>
      <c r="S504">
        <v>3.8570700000000002E-3</v>
      </c>
      <c r="T504">
        <f>Table413445[[#This Row],[CFNM]]/Table413445[[#This Row],[CAREA]]</f>
        <v>4.6912149259903435E-5</v>
      </c>
      <c r="U504">
        <v>2.65273</v>
      </c>
      <c r="V504">
        <f>(Table514446[[#This Row],[time]]-2)*2</f>
        <v>1.3054600000000001</v>
      </c>
      <c r="W504">
        <v>77.405799999999999</v>
      </c>
      <c r="X504">
        <v>4.5797399999999997E-3</v>
      </c>
      <c r="Y504">
        <f>Table514446[[#This Row],[CFNM]]/Table514446[[#This Row],[CAREA]]</f>
        <v>5.9165333863870666E-5</v>
      </c>
      <c r="Z504">
        <v>2.65273</v>
      </c>
      <c r="AA504">
        <f>(Table615447[[#This Row],[time]]-2)*2</f>
        <v>1.3054600000000001</v>
      </c>
      <c r="AB504">
        <v>78.504599999999996</v>
      </c>
      <c r="AC504">
        <v>4.1039400000000004E-3</v>
      </c>
      <c r="AD504">
        <f>Table615447[[#This Row],[CFNM]]/Table615447[[#This Row],[CAREA]]</f>
        <v>5.2276427113825182E-5</v>
      </c>
      <c r="AE504">
        <v>2.65273</v>
      </c>
      <c r="AF504">
        <f>(Table716448[[#This Row],[time]]-2)*2</f>
        <v>1.3054600000000001</v>
      </c>
      <c r="AG504">
        <v>77.725499999999997</v>
      </c>
      <c r="AH504">
        <v>10.627000000000001</v>
      </c>
      <c r="AI504">
        <f>Table716448[[#This Row],[CFNM]]/Table716448[[#This Row],[CAREA]]</f>
        <v>0.13672475571080278</v>
      </c>
      <c r="AJ504">
        <v>2.65273</v>
      </c>
      <c r="AK504">
        <f>(Table817449[[#This Row],[time]]-2)*2</f>
        <v>1.3054600000000001</v>
      </c>
      <c r="AL504">
        <v>83.787899999999993</v>
      </c>
      <c r="AM504">
        <v>8.1312899999999999</v>
      </c>
      <c r="AN504">
        <f>Table817449[[#This Row],[CFNM]]/Table817449[[#This Row],[CAREA]]</f>
        <v>9.70461128635519E-2</v>
      </c>
    </row>
    <row r="505" spans="1:40">
      <c r="A505">
        <v>2.7006199999999998</v>
      </c>
      <c r="B505">
        <f>(Table110442[[#This Row],[time]]-2)*2</f>
        <v>1.4012399999999996</v>
      </c>
      <c r="C505">
        <v>87.016000000000005</v>
      </c>
      <c r="D505">
        <v>3.7983600000000002E-3</v>
      </c>
      <c r="E505">
        <f>Table110442[[#This Row],[CFNM]]/Table110442[[#This Row],[CAREA]]</f>
        <v>4.3651282522754438E-5</v>
      </c>
      <c r="F505">
        <v>2.7006199999999998</v>
      </c>
      <c r="G505">
        <f>(Table211443[[#This Row],[time]]-2)*2</f>
        <v>1.4012399999999996</v>
      </c>
      <c r="H505">
        <v>91.018600000000006</v>
      </c>
      <c r="I505">
        <v>3.2594E-3</v>
      </c>
      <c r="J505">
        <f>Table211443[[#This Row],[CFNM]]/Table211443[[#This Row],[CAREA]]</f>
        <v>3.5810262957241706E-5</v>
      </c>
      <c r="K505">
        <v>2.7006199999999998</v>
      </c>
      <c r="L505">
        <f>(Table312444[[#This Row],[time]]-2)*2</f>
        <v>1.4012399999999996</v>
      </c>
      <c r="M505">
        <v>77.082300000000004</v>
      </c>
      <c r="N505">
        <v>2.42129E-3</v>
      </c>
      <c r="O505">
        <f>Table312444[[#This Row],[CFNM]]/Table312444[[#This Row],[CAREA]]</f>
        <v>3.1411750816983924E-5</v>
      </c>
      <c r="P505">
        <v>2.7006199999999998</v>
      </c>
      <c r="Q505">
        <f>(Table413445[[#This Row],[time]]-2)*2</f>
        <v>1.4012399999999996</v>
      </c>
      <c r="R505">
        <v>82.124799999999993</v>
      </c>
      <c r="S505">
        <v>3.7076000000000001E-3</v>
      </c>
      <c r="T505">
        <f>Table413445[[#This Row],[CFNM]]/Table413445[[#This Row],[CAREA]]</f>
        <v>4.5145924251870332E-5</v>
      </c>
      <c r="U505">
        <v>2.7006199999999998</v>
      </c>
      <c r="V505">
        <f>(Table514446[[#This Row],[time]]-2)*2</f>
        <v>1.4012399999999996</v>
      </c>
      <c r="W505">
        <v>76.979900000000001</v>
      </c>
      <c r="X505">
        <v>4.3575999999999997E-3</v>
      </c>
      <c r="Y505">
        <f>Table514446[[#This Row],[CFNM]]/Table514446[[#This Row],[CAREA]]</f>
        <v>5.6606984420608492E-5</v>
      </c>
      <c r="Z505">
        <v>2.7006199999999998</v>
      </c>
      <c r="AA505">
        <f>(Table615447[[#This Row],[time]]-2)*2</f>
        <v>1.4012399999999996</v>
      </c>
      <c r="AB505">
        <v>78.1952</v>
      </c>
      <c r="AC505">
        <v>3.8065299999999998E-3</v>
      </c>
      <c r="AD505">
        <f>Table615447[[#This Row],[CFNM]]/Table615447[[#This Row],[CAREA]]</f>
        <v>4.8679842240955967E-5</v>
      </c>
      <c r="AE505">
        <v>2.7006199999999998</v>
      </c>
      <c r="AF505">
        <f>(Table716448[[#This Row],[time]]-2)*2</f>
        <v>1.4012399999999996</v>
      </c>
      <c r="AG505">
        <v>77.760099999999994</v>
      </c>
      <c r="AH505">
        <v>9.9771199999999993</v>
      </c>
      <c r="AI505">
        <f>Table716448[[#This Row],[CFNM]]/Table716448[[#This Row],[CAREA]]</f>
        <v>0.12830641935902859</v>
      </c>
      <c r="AJ505">
        <v>2.7006199999999998</v>
      </c>
      <c r="AK505">
        <f>(Table817449[[#This Row],[time]]-2)*2</f>
        <v>1.4012399999999996</v>
      </c>
      <c r="AL505">
        <v>83.707700000000003</v>
      </c>
      <c r="AM505">
        <v>7.5093500000000004</v>
      </c>
      <c r="AN505">
        <f>Table817449[[#This Row],[CFNM]]/Table817449[[#This Row],[CAREA]]</f>
        <v>8.9709190432899252E-2</v>
      </c>
    </row>
    <row r="506" spans="1:40">
      <c r="A506">
        <v>2.75176</v>
      </c>
      <c r="B506">
        <f>(Table110442[[#This Row],[time]]-2)*2</f>
        <v>1.50352</v>
      </c>
      <c r="C506">
        <v>85.662999999999997</v>
      </c>
      <c r="D506">
        <v>3.50411E-3</v>
      </c>
      <c r="E506">
        <f>Table110442[[#This Row],[CFNM]]/Table110442[[#This Row],[CAREA]]</f>
        <v>4.0905758612236325E-5</v>
      </c>
      <c r="F506">
        <v>2.75176</v>
      </c>
      <c r="G506">
        <f>(Table211443[[#This Row],[time]]-2)*2</f>
        <v>1.50352</v>
      </c>
      <c r="H506">
        <v>89.379900000000006</v>
      </c>
      <c r="I506">
        <v>2.9934499999999999E-3</v>
      </c>
      <c r="J506">
        <f>Table211443[[#This Row],[CFNM]]/Table211443[[#This Row],[CAREA]]</f>
        <v>3.3491310686183359E-5</v>
      </c>
      <c r="K506">
        <v>2.75176</v>
      </c>
      <c r="L506">
        <f>(Table312444[[#This Row],[time]]-2)*2</f>
        <v>1.50352</v>
      </c>
      <c r="M506">
        <v>76.301900000000003</v>
      </c>
      <c r="N506">
        <v>2.2548899999999998E-3</v>
      </c>
      <c r="O506">
        <f>Table312444[[#This Row],[CFNM]]/Table312444[[#This Row],[CAREA]]</f>
        <v>2.9552212985521981E-5</v>
      </c>
      <c r="P506">
        <v>2.75176</v>
      </c>
      <c r="Q506">
        <f>(Table413445[[#This Row],[time]]-2)*2</f>
        <v>1.50352</v>
      </c>
      <c r="R506">
        <v>81.913300000000007</v>
      </c>
      <c r="S506">
        <v>3.4684400000000002E-3</v>
      </c>
      <c r="T506">
        <f>Table413445[[#This Row],[CFNM]]/Table413445[[#This Row],[CAREA]]</f>
        <v>4.2342818565483261E-5</v>
      </c>
      <c r="U506">
        <v>2.75176</v>
      </c>
      <c r="V506">
        <f>(Table514446[[#This Row],[time]]-2)*2</f>
        <v>1.50352</v>
      </c>
      <c r="W506">
        <v>75.179000000000002</v>
      </c>
      <c r="X506">
        <v>4.2498500000000003E-3</v>
      </c>
      <c r="Y506">
        <f>Table514446[[#This Row],[CFNM]]/Table514446[[#This Row],[CAREA]]</f>
        <v>5.6529748999055588E-5</v>
      </c>
      <c r="Z506">
        <v>2.75176</v>
      </c>
      <c r="AA506">
        <f>(Table615447[[#This Row],[time]]-2)*2</f>
        <v>1.50352</v>
      </c>
      <c r="AB506">
        <v>76.61</v>
      </c>
      <c r="AC506">
        <v>3.52549E-3</v>
      </c>
      <c r="AD506">
        <f>Table615447[[#This Row],[CFNM]]/Table615447[[#This Row],[CAREA]]</f>
        <v>4.6018665970499937E-5</v>
      </c>
      <c r="AE506">
        <v>2.75176</v>
      </c>
      <c r="AF506">
        <f>(Table716448[[#This Row],[time]]-2)*2</f>
        <v>1.50352</v>
      </c>
      <c r="AG506">
        <v>77.799400000000006</v>
      </c>
      <c r="AH506">
        <v>8.9707799999999995</v>
      </c>
      <c r="AI506">
        <f>Table716448[[#This Row],[CFNM]]/Table716448[[#This Row],[CAREA]]</f>
        <v>0.115306544780551</v>
      </c>
      <c r="AJ506">
        <v>2.75176</v>
      </c>
      <c r="AK506">
        <f>(Table817449[[#This Row],[time]]-2)*2</f>
        <v>1.50352</v>
      </c>
      <c r="AL506">
        <v>83.556600000000003</v>
      </c>
      <c r="AM506">
        <v>6.6336199999999996</v>
      </c>
      <c r="AN506">
        <f>Table817449[[#This Row],[CFNM]]/Table817449[[#This Row],[CAREA]]</f>
        <v>7.9390736339200005E-2</v>
      </c>
    </row>
    <row r="507" spans="1:40">
      <c r="A507">
        <v>2.80444</v>
      </c>
      <c r="B507">
        <f>(Table110442[[#This Row],[time]]-2)*2</f>
        <v>1.6088800000000001</v>
      </c>
      <c r="C507">
        <v>84.7727</v>
      </c>
      <c r="D507">
        <v>3.4076699999999998E-3</v>
      </c>
      <c r="E507">
        <f>Table110442[[#This Row],[CFNM]]/Table110442[[#This Row],[CAREA]]</f>
        <v>4.0197728749939539E-5</v>
      </c>
      <c r="F507">
        <v>2.80444</v>
      </c>
      <c r="G507">
        <f>(Table211443[[#This Row],[time]]-2)*2</f>
        <v>1.6088800000000001</v>
      </c>
      <c r="H507">
        <v>89.303100000000001</v>
      </c>
      <c r="I507">
        <v>2.9378E-3</v>
      </c>
      <c r="J507">
        <f>Table211443[[#This Row],[CFNM]]/Table211443[[#This Row],[CAREA]]</f>
        <v>3.2896954305057718E-5</v>
      </c>
      <c r="K507">
        <v>2.80444</v>
      </c>
      <c r="L507">
        <f>(Table312444[[#This Row],[time]]-2)*2</f>
        <v>1.6088800000000001</v>
      </c>
      <c r="M507">
        <v>76.214500000000001</v>
      </c>
      <c r="N507">
        <v>2.2019299999999999E-3</v>
      </c>
      <c r="O507">
        <f>Table312444[[#This Row],[CFNM]]/Table312444[[#This Row],[CAREA]]</f>
        <v>2.8891221486724965E-5</v>
      </c>
      <c r="P507">
        <v>2.80444</v>
      </c>
      <c r="Q507">
        <f>(Table413445[[#This Row],[time]]-2)*2</f>
        <v>1.6088800000000001</v>
      </c>
      <c r="R507">
        <v>81.319900000000004</v>
      </c>
      <c r="S507">
        <v>3.3899099999999999E-3</v>
      </c>
      <c r="T507">
        <f>Table413445[[#This Row],[CFNM]]/Table413445[[#This Row],[CAREA]]</f>
        <v>4.1686106352811547E-5</v>
      </c>
      <c r="U507">
        <v>2.80444</v>
      </c>
      <c r="V507">
        <f>(Table514446[[#This Row],[time]]-2)*2</f>
        <v>1.6088800000000001</v>
      </c>
      <c r="W507">
        <v>74.606899999999996</v>
      </c>
      <c r="X507">
        <v>4.2054299999999996E-3</v>
      </c>
      <c r="Y507">
        <f>Table514446[[#This Row],[CFNM]]/Table514446[[#This Row],[CAREA]]</f>
        <v>5.6367842652623281E-5</v>
      </c>
      <c r="Z507">
        <v>2.80444</v>
      </c>
      <c r="AA507">
        <f>(Table615447[[#This Row],[time]]-2)*2</f>
        <v>1.6088800000000001</v>
      </c>
      <c r="AB507">
        <v>75.834299999999999</v>
      </c>
      <c r="AC507">
        <v>3.4231800000000001E-3</v>
      </c>
      <c r="AD507">
        <f>Table615447[[#This Row],[CFNM]]/Table615447[[#This Row],[CAREA]]</f>
        <v>4.5140259750535051E-5</v>
      </c>
      <c r="AE507">
        <v>2.80444</v>
      </c>
      <c r="AF507">
        <f>(Table716448[[#This Row],[time]]-2)*2</f>
        <v>1.6088800000000001</v>
      </c>
      <c r="AG507">
        <v>77.832300000000004</v>
      </c>
      <c r="AH507">
        <v>8.5642800000000001</v>
      </c>
      <c r="AI507">
        <f>Table716448[[#This Row],[CFNM]]/Table716448[[#This Row],[CAREA]]</f>
        <v>0.11003503686772714</v>
      </c>
      <c r="AJ507">
        <v>2.80444</v>
      </c>
      <c r="AK507">
        <f>(Table817449[[#This Row],[time]]-2)*2</f>
        <v>1.6088800000000001</v>
      </c>
      <c r="AL507">
        <v>83.48</v>
      </c>
      <c r="AM507">
        <v>6.3071200000000003</v>
      </c>
      <c r="AN507">
        <f>Table817449[[#This Row],[CFNM]]/Table817449[[#This Row],[CAREA]]</f>
        <v>7.5552467656923819E-2</v>
      </c>
    </row>
    <row r="508" spans="1:40">
      <c r="A508">
        <v>2.8583699999999999</v>
      </c>
      <c r="B508">
        <f>(Table110442[[#This Row],[time]]-2)*2</f>
        <v>1.7167399999999997</v>
      </c>
      <c r="C508">
        <v>83.537400000000005</v>
      </c>
      <c r="D508">
        <v>3.2821E-3</v>
      </c>
      <c r="E508">
        <f>Table110442[[#This Row],[CFNM]]/Table110442[[#This Row],[CAREA]]</f>
        <v>3.9288989123434533E-5</v>
      </c>
      <c r="F508">
        <v>2.8583699999999999</v>
      </c>
      <c r="G508">
        <f>(Table211443[[#This Row],[time]]-2)*2</f>
        <v>1.7167399999999997</v>
      </c>
      <c r="H508">
        <v>88.491799999999998</v>
      </c>
      <c r="I508">
        <v>2.8937099999999999E-3</v>
      </c>
      <c r="J508">
        <f>Table211443[[#This Row],[CFNM]]/Table211443[[#This Row],[CAREA]]</f>
        <v>3.2700317995565693E-5</v>
      </c>
      <c r="K508">
        <v>2.8583699999999999</v>
      </c>
      <c r="L508">
        <f>(Table312444[[#This Row],[time]]-2)*2</f>
        <v>1.7167399999999997</v>
      </c>
      <c r="M508">
        <v>75.822500000000005</v>
      </c>
      <c r="N508">
        <v>2.1265500000000001E-3</v>
      </c>
      <c r="O508">
        <f>Table312444[[#This Row],[CFNM]]/Table312444[[#This Row],[CAREA]]</f>
        <v>2.8046424214448216E-5</v>
      </c>
      <c r="P508">
        <v>2.8583699999999999</v>
      </c>
      <c r="Q508">
        <f>(Table413445[[#This Row],[time]]-2)*2</f>
        <v>1.7167399999999997</v>
      </c>
      <c r="R508">
        <v>81.088300000000004</v>
      </c>
      <c r="S508">
        <v>3.2889199999999999E-3</v>
      </c>
      <c r="T508">
        <f>Table413445[[#This Row],[CFNM]]/Table413445[[#This Row],[CAREA]]</f>
        <v>4.055973549821614E-5</v>
      </c>
      <c r="U508">
        <v>2.8583699999999999</v>
      </c>
      <c r="V508">
        <f>(Table514446[[#This Row],[time]]-2)*2</f>
        <v>1.7167399999999997</v>
      </c>
      <c r="W508">
        <v>73.864999999999995</v>
      </c>
      <c r="X508">
        <v>4.1250499999999999E-3</v>
      </c>
      <c r="Y508">
        <f>Table514446[[#This Row],[CFNM]]/Table514446[[#This Row],[CAREA]]</f>
        <v>5.5845799769850408E-5</v>
      </c>
      <c r="Z508">
        <v>2.8583699999999999</v>
      </c>
      <c r="AA508">
        <f>(Table615447[[#This Row],[time]]-2)*2</f>
        <v>1.7167399999999997</v>
      </c>
      <c r="AB508">
        <v>75.180700000000002</v>
      </c>
      <c r="AC508">
        <v>3.24808E-3</v>
      </c>
      <c r="AD508">
        <f>Table615447[[#This Row],[CFNM]]/Table615447[[#This Row],[CAREA]]</f>
        <v>4.3203641360083104E-5</v>
      </c>
      <c r="AE508">
        <v>2.8583699999999999</v>
      </c>
      <c r="AF508">
        <f>(Table716448[[#This Row],[time]]-2)*2</f>
        <v>1.7167399999999997</v>
      </c>
      <c r="AG508">
        <v>77.885800000000003</v>
      </c>
      <c r="AH508">
        <v>7.8693499999999998</v>
      </c>
      <c r="AI508">
        <f>Table716448[[#This Row],[CFNM]]/Table716448[[#This Row],[CAREA]]</f>
        <v>0.10103703114046463</v>
      </c>
      <c r="AJ508">
        <v>2.8583699999999999</v>
      </c>
      <c r="AK508">
        <f>(Table817449[[#This Row],[time]]-2)*2</f>
        <v>1.7167399999999997</v>
      </c>
      <c r="AL508">
        <v>83.3459</v>
      </c>
      <c r="AM508">
        <v>5.7684600000000001</v>
      </c>
      <c r="AN508">
        <f>Table817449[[#This Row],[CFNM]]/Table817449[[#This Row],[CAREA]]</f>
        <v>6.9211082968688317E-2</v>
      </c>
    </row>
    <row r="509" spans="1:40">
      <c r="A509">
        <v>2.9134199999999999</v>
      </c>
      <c r="B509">
        <f>(Table110442[[#This Row],[time]]-2)*2</f>
        <v>1.8268399999999998</v>
      </c>
      <c r="C509">
        <v>83.240099999999998</v>
      </c>
      <c r="D509">
        <v>3.1502600000000002E-3</v>
      </c>
      <c r="E509">
        <f>Table110442[[#This Row],[CFNM]]/Table110442[[#This Row],[CAREA]]</f>
        <v>3.7845461502328812E-5</v>
      </c>
      <c r="F509">
        <v>2.9134199999999999</v>
      </c>
      <c r="G509">
        <f>(Table211443[[#This Row],[time]]-2)*2</f>
        <v>1.8268399999999998</v>
      </c>
      <c r="H509">
        <v>88.435699999999997</v>
      </c>
      <c r="I509">
        <v>2.8591200000000002E-3</v>
      </c>
      <c r="J509">
        <f>Table211443[[#This Row],[CFNM]]/Table211443[[#This Row],[CAREA]]</f>
        <v>3.2329930107411373E-5</v>
      </c>
      <c r="K509">
        <v>2.9134199999999999</v>
      </c>
      <c r="L509">
        <f>(Table312444[[#This Row],[time]]-2)*2</f>
        <v>1.8268399999999998</v>
      </c>
      <c r="M509">
        <v>74.131</v>
      </c>
      <c r="N509">
        <v>2.04697E-3</v>
      </c>
      <c r="O509">
        <f>Table312444[[#This Row],[CFNM]]/Table312444[[#This Row],[CAREA]]</f>
        <v>2.7612874505942182E-5</v>
      </c>
      <c r="P509">
        <v>2.9134199999999999</v>
      </c>
      <c r="Q509">
        <f>(Table413445[[#This Row],[time]]-2)*2</f>
        <v>1.8268399999999998</v>
      </c>
      <c r="R509">
        <v>80.804900000000004</v>
      </c>
      <c r="S509">
        <v>3.1939300000000002E-3</v>
      </c>
      <c r="T509">
        <f>Table413445[[#This Row],[CFNM]]/Table413445[[#This Row],[CAREA]]</f>
        <v>3.952643960947913E-5</v>
      </c>
      <c r="U509">
        <v>2.9134199999999999</v>
      </c>
      <c r="V509">
        <f>(Table514446[[#This Row],[time]]-2)*2</f>
        <v>1.8268399999999998</v>
      </c>
      <c r="W509">
        <v>73.349599999999995</v>
      </c>
      <c r="X509">
        <v>4.0325300000000003E-3</v>
      </c>
      <c r="Y509">
        <f>Table514446[[#This Row],[CFNM]]/Table514446[[#This Row],[CAREA]]</f>
        <v>5.4976850589505606E-5</v>
      </c>
      <c r="Z509">
        <v>2.9134199999999999</v>
      </c>
      <c r="AA509">
        <f>(Table615447[[#This Row],[time]]-2)*2</f>
        <v>1.8268399999999998</v>
      </c>
      <c r="AB509">
        <v>73.974100000000007</v>
      </c>
      <c r="AC509">
        <v>3.0661099999999999E-3</v>
      </c>
      <c r="AD509">
        <f>Table615447[[#This Row],[CFNM]]/Table615447[[#This Row],[CAREA]]</f>
        <v>4.1448425867972702E-5</v>
      </c>
      <c r="AE509">
        <v>2.9134199999999999</v>
      </c>
      <c r="AF509">
        <f>(Table716448[[#This Row],[time]]-2)*2</f>
        <v>1.8268399999999998</v>
      </c>
      <c r="AG509">
        <v>77.864800000000002</v>
      </c>
      <c r="AH509">
        <v>7.1373699999999998</v>
      </c>
      <c r="AI509">
        <f>Table716448[[#This Row],[CFNM]]/Table716448[[#This Row],[CAREA]]</f>
        <v>9.1663627210241336E-2</v>
      </c>
      <c r="AJ509">
        <v>2.9134199999999999</v>
      </c>
      <c r="AK509">
        <f>(Table817449[[#This Row],[time]]-2)*2</f>
        <v>1.8268399999999998</v>
      </c>
      <c r="AL509">
        <v>83.221199999999996</v>
      </c>
      <c r="AM509">
        <v>5.2235500000000004</v>
      </c>
      <c r="AN509">
        <f>Table817449[[#This Row],[CFNM]]/Table817449[[#This Row],[CAREA]]</f>
        <v>6.2767059355068183E-2</v>
      </c>
    </row>
    <row r="510" spans="1:40">
      <c r="A510">
        <v>2.9619599999999999</v>
      </c>
      <c r="B510">
        <f>(Table110442[[#This Row],[time]]-2)*2</f>
        <v>1.9239199999999999</v>
      </c>
      <c r="C510">
        <v>82.364800000000002</v>
      </c>
      <c r="D510">
        <v>3.02667E-3</v>
      </c>
      <c r="E510">
        <f>Table110442[[#This Row],[CFNM]]/Table110442[[#This Row],[CAREA]]</f>
        <v>3.6747129841874197E-5</v>
      </c>
      <c r="F510">
        <v>2.9619599999999999</v>
      </c>
      <c r="G510">
        <f>(Table211443[[#This Row],[time]]-2)*2</f>
        <v>1.9239199999999999</v>
      </c>
      <c r="H510">
        <v>88.4148</v>
      </c>
      <c r="I510">
        <v>2.83658E-3</v>
      </c>
      <c r="J510">
        <f>Table211443[[#This Row],[CFNM]]/Table211443[[#This Row],[CAREA]]</f>
        <v>3.2082637748431256E-5</v>
      </c>
      <c r="K510">
        <v>2.9619599999999999</v>
      </c>
      <c r="L510">
        <f>(Table312444[[#This Row],[time]]-2)*2</f>
        <v>1.9239199999999999</v>
      </c>
      <c r="M510">
        <v>71.369100000000003</v>
      </c>
      <c r="N510">
        <v>1.9690100000000002E-3</v>
      </c>
      <c r="O510">
        <f>Table312444[[#This Row],[CFNM]]/Table312444[[#This Row],[CAREA]]</f>
        <v>2.7589110693563463E-5</v>
      </c>
      <c r="P510">
        <v>2.9619599999999999</v>
      </c>
      <c r="Q510">
        <f>(Table413445[[#This Row],[time]]-2)*2</f>
        <v>1.9239199999999999</v>
      </c>
      <c r="R510">
        <v>80.502200000000002</v>
      </c>
      <c r="S510">
        <v>3.1095699999999999E-3</v>
      </c>
      <c r="T510">
        <f>Table413445[[#This Row],[CFNM]]/Table413445[[#This Row],[CAREA]]</f>
        <v>3.8627143109132422E-5</v>
      </c>
      <c r="U510">
        <v>2.9619599999999999</v>
      </c>
      <c r="V510">
        <f>(Table514446[[#This Row],[time]]-2)*2</f>
        <v>1.9239199999999999</v>
      </c>
      <c r="W510">
        <v>72.874499999999998</v>
      </c>
      <c r="X510">
        <v>3.9397E-3</v>
      </c>
      <c r="Y510">
        <f>Table514446[[#This Row],[CFNM]]/Table514446[[#This Row],[CAREA]]</f>
        <v>5.4061434383769361E-5</v>
      </c>
      <c r="Z510">
        <v>2.9619599999999999</v>
      </c>
      <c r="AA510">
        <f>(Table615447[[#This Row],[time]]-2)*2</f>
        <v>1.9239199999999999</v>
      </c>
      <c r="AB510">
        <v>71.477999999999994</v>
      </c>
      <c r="AC510">
        <v>2.9130900000000001E-3</v>
      </c>
      <c r="AD510">
        <f>Table615447[[#This Row],[CFNM]]/Table615447[[#This Row],[CAREA]]</f>
        <v>4.075505750020986E-5</v>
      </c>
      <c r="AE510">
        <v>2.9619599999999999</v>
      </c>
      <c r="AF510">
        <f>(Table716448[[#This Row],[time]]-2)*2</f>
        <v>1.9239199999999999</v>
      </c>
      <c r="AG510">
        <v>77.879900000000006</v>
      </c>
      <c r="AH510">
        <v>6.4183700000000004</v>
      </c>
      <c r="AI510">
        <f>Table716448[[#This Row],[CFNM]]/Table716448[[#This Row],[CAREA]]</f>
        <v>8.2413690823948157E-2</v>
      </c>
      <c r="AJ510">
        <v>2.9619599999999999</v>
      </c>
      <c r="AK510">
        <f>(Table817449[[#This Row],[time]]-2)*2</f>
        <v>1.9239199999999999</v>
      </c>
      <c r="AL510">
        <v>83.111000000000004</v>
      </c>
      <c r="AM510">
        <v>4.7340900000000001</v>
      </c>
      <c r="AN510">
        <f>Table817449[[#This Row],[CFNM]]/Table817449[[#This Row],[CAREA]]</f>
        <v>5.6961052086968028E-2</v>
      </c>
    </row>
    <row r="511" spans="1:40">
      <c r="A511">
        <v>3</v>
      </c>
      <c r="B511">
        <f>(Table110442[[#This Row],[time]]-2)*2</f>
        <v>2</v>
      </c>
      <c r="C511">
        <v>80.684600000000003</v>
      </c>
      <c r="D511">
        <v>2.9146300000000001E-3</v>
      </c>
      <c r="E511">
        <f>Table110442[[#This Row],[CFNM]]/Table110442[[#This Row],[CAREA]]</f>
        <v>3.6123746043235015E-5</v>
      </c>
      <c r="F511">
        <v>3</v>
      </c>
      <c r="G511">
        <f>(Table211443[[#This Row],[time]]-2)*2</f>
        <v>2</v>
      </c>
      <c r="H511">
        <v>88.469899999999996</v>
      </c>
      <c r="I511">
        <v>2.8274699999999999E-3</v>
      </c>
      <c r="J511">
        <f>Table211443[[#This Row],[CFNM]]/Table211443[[#This Row],[CAREA]]</f>
        <v>3.1959683462963108E-5</v>
      </c>
      <c r="K511">
        <v>3</v>
      </c>
      <c r="L511">
        <f>(Table312444[[#This Row],[time]]-2)*2</f>
        <v>2</v>
      </c>
      <c r="M511">
        <v>70.311199999999999</v>
      </c>
      <c r="N511">
        <v>1.9012600000000001E-3</v>
      </c>
      <c r="O511">
        <f>Table312444[[#This Row],[CFNM]]/Table312444[[#This Row],[CAREA]]</f>
        <v>2.7040642173650856E-5</v>
      </c>
      <c r="P511">
        <v>3</v>
      </c>
      <c r="Q511">
        <f>(Table413445[[#This Row],[time]]-2)*2</f>
        <v>2</v>
      </c>
      <c r="R511">
        <v>79.561499999999995</v>
      </c>
      <c r="S511">
        <v>3.0376999999999999E-3</v>
      </c>
      <c r="T511">
        <f>Table413445[[#This Row],[CFNM]]/Table413445[[#This Row],[CAREA]]</f>
        <v>3.8180527013693811E-5</v>
      </c>
      <c r="U511">
        <v>3</v>
      </c>
      <c r="V511">
        <f>(Table514446[[#This Row],[time]]-2)*2</f>
        <v>2</v>
      </c>
      <c r="W511">
        <v>71.597700000000003</v>
      </c>
      <c r="X511">
        <v>3.85068E-3</v>
      </c>
      <c r="Y511">
        <f>Table514446[[#This Row],[CFNM]]/Table514446[[#This Row],[CAREA]]</f>
        <v>5.3782174567060115E-5</v>
      </c>
      <c r="Z511">
        <v>3</v>
      </c>
      <c r="AA511">
        <f>(Table615447[[#This Row],[time]]-2)*2</f>
        <v>2</v>
      </c>
      <c r="AB511">
        <v>71.1477</v>
      </c>
      <c r="AC511">
        <v>2.77035E-3</v>
      </c>
      <c r="AD511">
        <f>Table615447[[#This Row],[CFNM]]/Table615447[[#This Row],[CAREA]]</f>
        <v>3.8938012050986889E-5</v>
      </c>
      <c r="AE511">
        <v>3</v>
      </c>
      <c r="AF511">
        <f>(Table716448[[#This Row],[time]]-2)*2</f>
        <v>2</v>
      </c>
      <c r="AG511">
        <v>77.871499999999997</v>
      </c>
      <c r="AH511">
        <v>5.7913199999999998</v>
      </c>
      <c r="AI511">
        <f>Table716448[[#This Row],[CFNM]]/Table716448[[#This Row],[CAREA]]</f>
        <v>7.4370212465407759E-2</v>
      </c>
      <c r="AJ511">
        <v>3</v>
      </c>
      <c r="AK511">
        <f>(Table817449[[#This Row],[time]]-2)*2</f>
        <v>2</v>
      </c>
      <c r="AL511">
        <v>83.003299999999996</v>
      </c>
      <c r="AM511">
        <v>4.3181000000000003</v>
      </c>
      <c r="AN511">
        <f>Table817449[[#This Row],[CFNM]]/Table817449[[#This Row],[CAREA]]</f>
        <v>5.2023232811225582E-2</v>
      </c>
    </row>
    <row r="514" spans="1:40">
      <c r="A514" s="1" t="s">
        <v>57</v>
      </c>
    </row>
    <row r="515" spans="1:40">
      <c r="A515" t="s">
        <v>58</v>
      </c>
      <c r="F515" t="s">
        <v>2</v>
      </c>
    </row>
    <row r="516" spans="1:40">
      <c r="F516" t="s">
        <v>4</v>
      </c>
      <c r="G516" t="s">
        <v>5</v>
      </c>
    </row>
    <row r="519" spans="1:40">
      <c r="A519" t="s">
        <v>7</v>
      </c>
      <c r="F519" t="s">
        <v>8</v>
      </c>
      <c r="K519" t="s">
        <v>9</v>
      </c>
      <c r="P519" t="s">
        <v>26</v>
      </c>
      <c r="U519" t="s">
        <v>11</v>
      </c>
      <c r="Z519" t="s">
        <v>12</v>
      </c>
      <c r="AE519" t="s">
        <v>13</v>
      </c>
      <c r="AJ519" t="s">
        <v>14</v>
      </c>
    </row>
    <row r="520" spans="1:40">
      <c r="A520" t="s">
        <v>15</v>
      </c>
      <c r="B520" t="s">
        <v>16</v>
      </c>
      <c r="C520" t="s">
        <v>20</v>
      </c>
      <c r="D520" t="s">
        <v>18</v>
      </c>
      <c r="E520" t="s">
        <v>19</v>
      </c>
      <c r="F520" t="s">
        <v>15</v>
      </c>
      <c r="G520" t="s">
        <v>16</v>
      </c>
      <c r="H520" t="s">
        <v>20</v>
      </c>
      <c r="I520" t="s">
        <v>18</v>
      </c>
      <c r="J520" t="s">
        <v>19</v>
      </c>
      <c r="K520" t="s">
        <v>15</v>
      </c>
      <c r="L520" t="s">
        <v>16</v>
      </c>
      <c r="M520" t="s">
        <v>20</v>
      </c>
      <c r="N520" t="s">
        <v>18</v>
      </c>
      <c r="O520" t="s">
        <v>19</v>
      </c>
      <c r="P520" t="s">
        <v>15</v>
      </c>
      <c r="Q520" t="s">
        <v>16</v>
      </c>
      <c r="R520" t="s">
        <v>20</v>
      </c>
      <c r="S520" t="s">
        <v>18</v>
      </c>
      <c r="T520" t="s">
        <v>19</v>
      </c>
      <c r="U520" t="s">
        <v>15</v>
      </c>
      <c r="V520" t="s">
        <v>16</v>
      </c>
      <c r="W520" t="s">
        <v>20</v>
      </c>
      <c r="X520" t="s">
        <v>18</v>
      </c>
      <c r="Y520" t="s">
        <v>19</v>
      </c>
      <c r="Z520" t="s">
        <v>15</v>
      </c>
      <c r="AA520" t="s">
        <v>16</v>
      </c>
      <c r="AB520" t="s">
        <v>20</v>
      </c>
      <c r="AC520" t="s">
        <v>18</v>
      </c>
      <c r="AD520" t="s">
        <v>19</v>
      </c>
      <c r="AE520" t="s">
        <v>15</v>
      </c>
      <c r="AF520" t="s">
        <v>16</v>
      </c>
      <c r="AG520" t="s">
        <v>20</v>
      </c>
      <c r="AH520" t="s">
        <v>18</v>
      </c>
      <c r="AI520" t="s">
        <v>19</v>
      </c>
      <c r="AJ520" t="s">
        <v>15</v>
      </c>
      <c r="AK520" t="s">
        <v>16</v>
      </c>
      <c r="AL520" t="s">
        <v>20</v>
      </c>
      <c r="AM520" t="s">
        <v>18</v>
      </c>
      <c r="AN520" t="s">
        <v>19</v>
      </c>
    </row>
    <row r="521" spans="1:40">
      <c r="A521">
        <v>2</v>
      </c>
      <c r="B521">
        <f>-(Table1450[[#This Row],[time]]-2)*2</f>
        <v>0</v>
      </c>
      <c r="C521">
        <v>80.561000000000007</v>
      </c>
      <c r="D521">
        <v>6.2275299999999998</v>
      </c>
      <c r="E521" s="2">
        <f>Table1450[[#This Row],[CFNM]]/Table1450[[#This Row],[CAREA]]</f>
        <v>7.7302044413549972E-2</v>
      </c>
      <c r="F521">
        <v>2</v>
      </c>
      <c r="G521">
        <f>-(Table2451[[#This Row],[time]]-2)*2</f>
        <v>0</v>
      </c>
      <c r="H521">
        <v>87.831800000000001</v>
      </c>
      <c r="I521">
        <v>4.7580499999999998E-3</v>
      </c>
      <c r="J521" s="2">
        <f>Table2451[[#This Row],[CFNM]]/Table2451[[#This Row],[CAREA]]</f>
        <v>5.4172292950844676E-5</v>
      </c>
      <c r="K521">
        <v>2</v>
      </c>
      <c r="L521">
        <f>-(Table3452[[#This Row],[time]]-2)*2</f>
        <v>0</v>
      </c>
      <c r="M521">
        <v>85.166600000000003</v>
      </c>
      <c r="N521">
        <v>0.66283899999999996</v>
      </c>
      <c r="O521">
        <f>Table3452[[#This Row],[CFNM]]/Table3452[[#This Row],[CAREA]]</f>
        <v>7.7828514934258257E-3</v>
      </c>
      <c r="P521">
        <v>2</v>
      </c>
      <c r="Q521">
        <f>-(Table4453[[#This Row],[time]]-2)*2</f>
        <v>0</v>
      </c>
      <c r="R521">
        <v>79.101699999999994</v>
      </c>
      <c r="S521">
        <v>6.07223E-2</v>
      </c>
      <c r="T521">
        <f>Table4453[[#This Row],[CFNM]]/Table4453[[#This Row],[CAREA]]</f>
        <v>7.6764848290239028E-4</v>
      </c>
      <c r="U521">
        <v>2</v>
      </c>
      <c r="V521">
        <f>-(Table5454[[#This Row],[time]]-2)*2</f>
        <v>0</v>
      </c>
      <c r="W521">
        <v>83.227800000000002</v>
      </c>
      <c r="X521">
        <v>5.1279199999999996</v>
      </c>
      <c r="Y521">
        <f>Table5454[[#This Row],[CFNM]]/Table5454[[#This Row],[CAREA]]</f>
        <v>6.1613066787780037E-2</v>
      </c>
      <c r="Z521">
        <v>2</v>
      </c>
      <c r="AA521">
        <f>-(Table6455[[#This Row],[time]]-2)*2</f>
        <v>0</v>
      </c>
      <c r="AB521">
        <v>83.949600000000004</v>
      </c>
      <c r="AC521">
        <v>6.9678800000000001</v>
      </c>
      <c r="AD521">
        <f>Table6455[[#This Row],[CFNM]]/Table6455[[#This Row],[CAREA]]</f>
        <v>8.3000752832651972E-2</v>
      </c>
      <c r="AE521">
        <v>2</v>
      </c>
      <c r="AF521">
        <f>-(Table7456[[#This Row],[time]]-2)*2</f>
        <v>0</v>
      </c>
      <c r="AG521">
        <v>78.459999999999994</v>
      </c>
      <c r="AH521">
        <v>17.726099999999999</v>
      </c>
      <c r="AI521">
        <f>Table7456[[#This Row],[CFNM]]/Table7456[[#This Row],[CAREA]]</f>
        <v>0.22592531226102472</v>
      </c>
      <c r="AJ521">
        <v>2</v>
      </c>
      <c r="AK521">
        <f>-(Table8457[[#This Row],[time]]-2)*2</f>
        <v>0</v>
      </c>
      <c r="AL521">
        <v>83.006</v>
      </c>
      <c r="AM521">
        <v>16.678599999999999</v>
      </c>
      <c r="AN521">
        <f>Table8457[[#This Row],[CFNM]]/Table8457[[#This Row],[CAREA]]</f>
        <v>0.20093246271353876</v>
      </c>
    </row>
    <row r="522" spans="1:40">
      <c r="A522">
        <v>2.0512600000000001</v>
      </c>
      <c r="B522">
        <f>-(Table1450[[#This Row],[time]]-2)*2</f>
        <v>-0.10252000000000017</v>
      </c>
      <c r="C522">
        <v>90.037300000000002</v>
      </c>
      <c r="D522">
        <v>10.11</v>
      </c>
      <c r="E522">
        <f>Table1450[[#This Row],[CFNM]]/Table1450[[#This Row],[CAREA]]</f>
        <v>0.11228679669425892</v>
      </c>
      <c r="F522">
        <v>2.0512600000000001</v>
      </c>
      <c r="G522">
        <f>-(Table2451[[#This Row],[time]]-2)*2</f>
        <v>-0.10252000000000017</v>
      </c>
      <c r="H522">
        <v>94.670100000000005</v>
      </c>
      <c r="I522">
        <v>2.46088</v>
      </c>
      <c r="J522">
        <f>Table2451[[#This Row],[CFNM]]/Table2451[[#This Row],[CAREA]]</f>
        <v>2.5994268517726293E-2</v>
      </c>
      <c r="K522">
        <v>2.0512600000000001</v>
      </c>
      <c r="L522">
        <f>-(Table3452[[#This Row],[time]]-2)*2</f>
        <v>-0.10252000000000017</v>
      </c>
      <c r="M522">
        <v>89.579599999999999</v>
      </c>
      <c r="N522">
        <v>3.67841</v>
      </c>
      <c r="O522">
        <f>Table3452[[#This Row],[CFNM]]/Table3452[[#This Row],[CAREA]]</f>
        <v>4.1063032208225977E-2</v>
      </c>
      <c r="P522">
        <v>2.0512600000000001</v>
      </c>
      <c r="Q522">
        <f>-(Table4453[[#This Row],[time]]-2)*2</f>
        <v>-0.10252000000000017</v>
      </c>
      <c r="R522">
        <v>84.689700000000002</v>
      </c>
      <c r="S522">
        <v>4.80192</v>
      </c>
      <c r="T522">
        <f>Table4453[[#This Row],[CFNM]]/Table4453[[#This Row],[CAREA]]</f>
        <v>5.6700165427436867E-2</v>
      </c>
      <c r="U522">
        <v>2.0512600000000001</v>
      </c>
      <c r="V522">
        <f>-(Table5454[[#This Row],[time]]-2)*2</f>
        <v>-0.10252000000000017</v>
      </c>
      <c r="W522">
        <v>82.364000000000004</v>
      </c>
      <c r="X522">
        <v>9.9621099999999991</v>
      </c>
      <c r="Y522">
        <f>Table5454[[#This Row],[CFNM]]/Table5454[[#This Row],[CAREA]]</f>
        <v>0.12095223641396725</v>
      </c>
      <c r="Z522">
        <v>2.0512600000000001</v>
      </c>
      <c r="AA522">
        <f>-(Table6455[[#This Row],[time]]-2)*2</f>
        <v>-0.10252000000000017</v>
      </c>
      <c r="AB522">
        <v>87.5779</v>
      </c>
      <c r="AC522">
        <v>14.643599999999999</v>
      </c>
      <c r="AD522">
        <f>Table6455[[#This Row],[CFNM]]/Table6455[[#This Row],[CAREA]]</f>
        <v>0.16720656695353509</v>
      </c>
      <c r="AE522">
        <v>2.0512600000000001</v>
      </c>
      <c r="AF522">
        <f>-(Table7456[[#This Row],[time]]-2)*2</f>
        <v>-0.10252000000000017</v>
      </c>
      <c r="AG522">
        <v>79.376199999999997</v>
      </c>
      <c r="AH522">
        <v>20.706700000000001</v>
      </c>
      <c r="AI522">
        <f>Table7456[[#This Row],[CFNM]]/Table7456[[#This Row],[CAREA]]</f>
        <v>0.26086786719444877</v>
      </c>
      <c r="AJ522">
        <v>2.0512600000000001</v>
      </c>
      <c r="AK522">
        <f>-(Table8457[[#This Row],[time]]-2)*2</f>
        <v>-0.10252000000000017</v>
      </c>
      <c r="AL522">
        <v>83.147199999999998</v>
      </c>
      <c r="AM522">
        <v>20.236699999999999</v>
      </c>
      <c r="AN522">
        <f>Table8457[[#This Row],[CFNM]]/Table8457[[#This Row],[CAREA]]</f>
        <v>0.24338402255277386</v>
      </c>
    </row>
    <row r="523" spans="1:40">
      <c r="A523">
        <v>2.1153300000000002</v>
      </c>
      <c r="B523">
        <f>-(Table1450[[#This Row],[time]]-2)*2</f>
        <v>-0.23066000000000031</v>
      </c>
      <c r="C523">
        <v>86.687200000000004</v>
      </c>
      <c r="D523">
        <v>11.9085</v>
      </c>
      <c r="E523">
        <f>Table1450[[#This Row],[CFNM]]/Table1450[[#This Row],[CAREA]]</f>
        <v>0.13737322234424459</v>
      </c>
      <c r="F523">
        <v>2.1153300000000002</v>
      </c>
      <c r="G523">
        <f>-(Table2451[[#This Row],[time]]-2)*2</f>
        <v>-0.23066000000000031</v>
      </c>
      <c r="H523">
        <v>93.600999999999999</v>
      </c>
      <c r="I523">
        <v>3.7966700000000002</v>
      </c>
      <c r="J523">
        <f>Table2451[[#This Row],[CFNM]]/Table2451[[#This Row],[CAREA]]</f>
        <v>4.0562280317517976E-2</v>
      </c>
      <c r="K523">
        <v>2.1153300000000002</v>
      </c>
      <c r="L523">
        <f>-(Table3452[[#This Row],[time]]-2)*2</f>
        <v>-0.23066000000000031</v>
      </c>
      <c r="M523">
        <v>89.123199999999997</v>
      </c>
      <c r="N523">
        <v>6.2973400000000002</v>
      </c>
      <c r="O523">
        <f>Table3452[[#This Row],[CFNM]]/Table3452[[#This Row],[CAREA]]</f>
        <v>7.0658818354816702E-2</v>
      </c>
      <c r="P523">
        <v>2.1153300000000002</v>
      </c>
      <c r="Q523">
        <f>-(Table4453[[#This Row],[time]]-2)*2</f>
        <v>-0.23066000000000031</v>
      </c>
      <c r="R523">
        <v>83.279700000000005</v>
      </c>
      <c r="S523">
        <v>8.7166999999999994</v>
      </c>
      <c r="T523">
        <f>Table4453[[#This Row],[CFNM]]/Table4453[[#This Row],[CAREA]]</f>
        <v>0.10466776417302175</v>
      </c>
      <c r="U523">
        <v>2.1153300000000002</v>
      </c>
      <c r="V523">
        <f>-(Table5454[[#This Row],[time]]-2)*2</f>
        <v>-0.23066000000000031</v>
      </c>
      <c r="W523">
        <v>82.218699999999998</v>
      </c>
      <c r="X523">
        <v>16.410900000000002</v>
      </c>
      <c r="Y523">
        <f>Table5454[[#This Row],[CFNM]]/Table5454[[#This Row],[CAREA]]</f>
        <v>0.19960057748419766</v>
      </c>
      <c r="Z523">
        <v>2.1153300000000002</v>
      </c>
      <c r="AA523">
        <f>-(Table6455[[#This Row],[time]]-2)*2</f>
        <v>-0.23066000000000031</v>
      </c>
      <c r="AB523">
        <v>86.147599999999997</v>
      </c>
      <c r="AC523">
        <v>22.8002</v>
      </c>
      <c r="AD523">
        <f>Table6455[[#This Row],[CFNM]]/Table6455[[#This Row],[CAREA]]</f>
        <v>0.26466436673801708</v>
      </c>
      <c r="AE523">
        <v>2.1153300000000002</v>
      </c>
      <c r="AF523">
        <f>-(Table7456[[#This Row],[time]]-2)*2</f>
        <v>-0.23066000000000031</v>
      </c>
      <c r="AG523">
        <v>79.673199999999994</v>
      </c>
      <c r="AH523">
        <v>22.8535</v>
      </c>
      <c r="AI523">
        <f>Table7456[[#This Row],[CFNM]]/Table7456[[#This Row],[CAREA]]</f>
        <v>0.28684049341560275</v>
      </c>
      <c r="AJ523">
        <v>2.1153300000000002</v>
      </c>
      <c r="AK523">
        <f>-(Table8457[[#This Row],[time]]-2)*2</f>
        <v>-0.23066000000000031</v>
      </c>
      <c r="AL523">
        <v>83.0471</v>
      </c>
      <c r="AM523">
        <v>23.3779</v>
      </c>
      <c r="AN523">
        <f>Table8457[[#This Row],[CFNM]]/Table8457[[#This Row],[CAREA]]</f>
        <v>0.28150170204618824</v>
      </c>
    </row>
    <row r="524" spans="1:40">
      <c r="A524">
        <v>2.16533</v>
      </c>
      <c r="B524">
        <f>-(Table1450[[#This Row],[time]]-2)*2</f>
        <v>-0.33065999999999995</v>
      </c>
      <c r="C524">
        <v>83.707700000000003</v>
      </c>
      <c r="D524">
        <v>12.650499999999999</v>
      </c>
      <c r="E524">
        <f>Table1450[[#This Row],[CFNM]]/Table1450[[#This Row],[CAREA]]</f>
        <v>0.15112707672054063</v>
      </c>
      <c r="F524">
        <v>2.16533</v>
      </c>
      <c r="G524">
        <f>-(Table2451[[#This Row],[time]]-2)*2</f>
        <v>-0.33065999999999995</v>
      </c>
      <c r="H524">
        <v>92.483199999999997</v>
      </c>
      <c r="I524">
        <v>4.3252199999999998</v>
      </c>
      <c r="J524">
        <f>Table2451[[#This Row],[CFNM]]/Table2451[[#This Row],[CAREA]]</f>
        <v>4.6767629147780355E-2</v>
      </c>
      <c r="K524">
        <v>2.16533</v>
      </c>
      <c r="L524">
        <f>-(Table3452[[#This Row],[time]]-2)*2</f>
        <v>-0.33065999999999995</v>
      </c>
      <c r="M524">
        <v>87.289599999999993</v>
      </c>
      <c r="N524">
        <v>7.5899200000000002</v>
      </c>
      <c r="O524">
        <f>Table3452[[#This Row],[CFNM]]/Table3452[[#This Row],[CAREA]]</f>
        <v>8.6951022802258235E-2</v>
      </c>
      <c r="P524">
        <v>2.16533</v>
      </c>
      <c r="Q524">
        <f>-(Table4453[[#This Row],[time]]-2)*2</f>
        <v>-0.33065999999999995</v>
      </c>
      <c r="R524">
        <v>81.519099999999995</v>
      </c>
      <c r="S524">
        <v>10.4367</v>
      </c>
      <c r="T524">
        <f>Table4453[[#This Row],[CFNM]]/Table4453[[#This Row],[CAREA]]</f>
        <v>0.12802766468226465</v>
      </c>
      <c r="U524">
        <v>2.16533</v>
      </c>
      <c r="V524">
        <f>-(Table5454[[#This Row],[time]]-2)*2</f>
        <v>-0.33065999999999995</v>
      </c>
      <c r="W524">
        <v>83.185500000000005</v>
      </c>
      <c r="X524">
        <v>19.571999999999999</v>
      </c>
      <c r="Y524">
        <f>Table5454[[#This Row],[CFNM]]/Table5454[[#This Row],[CAREA]]</f>
        <v>0.23528138918441313</v>
      </c>
      <c r="Z524">
        <v>2.16533</v>
      </c>
      <c r="AA524">
        <f>-(Table6455[[#This Row],[time]]-2)*2</f>
        <v>-0.33065999999999995</v>
      </c>
      <c r="AB524">
        <v>84.518699999999995</v>
      </c>
      <c r="AC524">
        <v>26.7606</v>
      </c>
      <c r="AD524">
        <f>Table6455[[#This Row],[CFNM]]/Table6455[[#This Row],[CAREA]]</f>
        <v>0.31662342179896286</v>
      </c>
      <c r="AE524">
        <v>2.16533</v>
      </c>
      <c r="AF524">
        <f>-(Table7456[[#This Row],[time]]-2)*2</f>
        <v>-0.33065999999999995</v>
      </c>
      <c r="AG524">
        <v>80.025599999999997</v>
      </c>
      <c r="AH524">
        <v>24.713000000000001</v>
      </c>
      <c r="AI524">
        <f>Table7456[[#This Row],[CFNM]]/Table7456[[#This Row],[CAREA]]</f>
        <v>0.30881367962252082</v>
      </c>
      <c r="AJ524">
        <v>2.16533</v>
      </c>
      <c r="AK524">
        <f>-(Table8457[[#This Row],[time]]-2)*2</f>
        <v>-0.33065999999999995</v>
      </c>
      <c r="AL524">
        <v>82.878100000000003</v>
      </c>
      <c r="AM524">
        <v>25.997299999999999</v>
      </c>
      <c r="AN524">
        <f>Table8457[[#This Row],[CFNM]]/Table8457[[#This Row],[CAREA]]</f>
        <v>0.31368117753664715</v>
      </c>
    </row>
    <row r="525" spans="1:40">
      <c r="A525">
        <v>2.2246999999999999</v>
      </c>
      <c r="B525">
        <f>-(Table1450[[#This Row],[time]]-2)*2</f>
        <v>-0.4493999999999998</v>
      </c>
      <c r="C525">
        <v>81.820899999999995</v>
      </c>
      <c r="D525">
        <v>13.467499999999999</v>
      </c>
      <c r="E525">
        <f>Table1450[[#This Row],[CFNM]]/Table1450[[#This Row],[CAREA]]</f>
        <v>0.16459730948938475</v>
      </c>
      <c r="F525">
        <v>2.2246999999999999</v>
      </c>
      <c r="G525">
        <f>-(Table2451[[#This Row],[time]]-2)*2</f>
        <v>-0.4493999999999998</v>
      </c>
      <c r="H525">
        <v>91.025000000000006</v>
      </c>
      <c r="I525">
        <v>4.96448</v>
      </c>
      <c r="J525">
        <f>Table2451[[#This Row],[CFNM]]/Table2451[[#This Row],[CAREA]]</f>
        <v>5.4539741829167807E-2</v>
      </c>
      <c r="K525">
        <v>2.2246999999999999</v>
      </c>
      <c r="L525">
        <f>-(Table3452[[#This Row],[time]]-2)*2</f>
        <v>-0.4493999999999998</v>
      </c>
      <c r="M525">
        <v>79.724900000000005</v>
      </c>
      <c r="N525">
        <v>9.0475100000000008</v>
      </c>
      <c r="O525">
        <f>Table3452[[#This Row],[CFNM]]/Table3452[[#This Row],[CAREA]]</f>
        <v>0.11348411851253498</v>
      </c>
      <c r="P525">
        <v>2.2246999999999999</v>
      </c>
      <c r="Q525">
        <f>-(Table4453[[#This Row],[time]]-2)*2</f>
        <v>-0.4493999999999998</v>
      </c>
      <c r="R525">
        <v>80.6708</v>
      </c>
      <c r="S525">
        <v>12.284000000000001</v>
      </c>
      <c r="T525">
        <f>Table4453[[#This Row],[CFNM]]/Table4453[[#This Row],[CAREA]]</f>
        <v>0.15227318930765532</v>
      </c>
      <c r="U525">
        <v>2.2246999999999999</v>
      </c>
      <c r="V525">
        <f>-(Table5454[[#This Row],[time]]-2)*2</f>
        <v>-0.4493999999999998</v>
      </c>
      <c r="W525">
        <v>82.882599999999996</v>
      </c>
      <c r="X525">
        <v>23.039300000000001</v>
      </c>
      <c r="Y525">
        <f>Table5454[[#This Row],[CFNM]]/Table5454[[#This Row],[CAREA]]</f>
        <v>0.2779751117846207</v>
      </c>
      <c r="Z525">
        <v>2.2246999999999999</v>
      </c>
      <c r="AA525">
        <f>-(Table6455[[#This Row],[time]]-2)*2</f>
        <v>-0.4493999999999998</v>
      </c>
      <c r="AB525">
        <v>83.6721</v>
      </c>
      <c r="AC525">
        <v>31.349599999999999</v>
      </c>
      <c r="AD525">
        <f>Table6455[[#This Row],[CFNM]]/Table6455[[#This Row],[CAREA]]</f>
        <v>0.37467208304799327</v>
      </c>
      <c r="AE525">
        <v>2.2246999999999999</v>
      </c>
      <c r="AF525">
        <f>-(Table7456[[#This Row],[time]]-2)*2</f>
        <v>-0.4493999999999998</v>
      </c>
      <c r="AG525">
        <v>80.150899999999993</v>
      </c>
      <c r="AH525">
        <v>27.4224</v>
      </c>
      <c r="AI525">
        <f>Table7456[[#This Row],[CFNM]]/Table7456[[#This Row],[CAREA]]</f>
        <v>0.34213464851923064</v>
      </c>
      <c r="AJ525">
        <v>2.2246999999999999</v>
      </c>
      <c r="AK525">
        <f>-(Table8457[[#This Row],[time]]-2)*2</f>
        <v>-0.4493999999999998</v>
      </c>
      <c r="AL525">
        <v>82.802700000000002</v>
      </c>
      <c r="AM525">
        <v>29.363800000000001</v>
      </c>
      <c r="AN525">
        <f>Table8457[[#This Row],[CFNM]]/Table8457[[#This Row],[CAREA]]</f>
        <v>0.35462370188411729</v>
      </c>
    </row>
    <row r="526" spans="1:40">
      <c r="A526">
        <v>2.2668900000000001</v>
      </c>
      <c r="B526">
        <f>-(Table1450[[#This Row],[time]]-2)*2</f>
        <v>-0.53378000000000014</v>
      </c>
      <c r="C526">
        <v>76.625100000000003</v>
      </c>
      <c r="D526">
        <v>14.3779</v>
      </c>
      <c r="E526">
        <f>Table1450[[#This Row],[CFNM]]/Table1450[[#This Row],[CAREA]]</f>
        <v>0.18763955936109708</v>
      </c>
      <c r="F526">
        <v>2.2668900000000001</v>
      </c>
      <c r="G526">
        <f>-(Table2451[[#This Row],[time]]-2)*2</f>
        <v>-0.53378000000000014</v>
      </c>
      <c r="H526">
        <v>89.705500000000001</v>
      </c>
      <c r="I526">
        <v>5.8812899999999999</v>
      </c>
      <c r="J526">
        <f>Table2451[[#This Row],[CFNM]]/Table2451[[#This Row],[CAREA]]</f>
        <v>6.5562200756921263E-2</v>
      </c>
      <c r="K526">
        <v>2.2668900000000001</v>
      </c>
      <c r="L526">
        <f>-(Table3452[[#This Row],[time]]-2)*2</f>
        <v>-0.53378000000000014</v>
      </c>
      <c r="M526">
        <v>75.399000000000001</v>
      </c>
      <c r="N526">
        <v>10.485200000000001</v>
      </c>
      <c r="O526">
        <f>Table3452[[#This Row],[CFNM]]/Table3452[[#This Row],[CAREA]]</f>
        <v>0.13906285229247073</v>
      </c>
      <c r="P526">
        <v>2.2668900000000001</v>
      </c>
      <c r="Q526">
        <f>-(Table4453[[#This Row],[time]]-2)*2</f>
        <v>-0.53378000000000014</v>
      </c>
      <c r="R526">
        <v>79.865399999999994</v>
      </c>
      <c r="S526">
        <v>14.2338</v>
      </c>
      <c r="T526">
        <f>Table4453[[#This Row],[CFNM]]/Table4453[[#This Row],[CAREA]]</f>
        <v>0.1782223591192181</v>
      </c>
      <c r="U526">
        <v>2.2668900000000001</v>
      </c>
      <c r="V526">
        <f>-(Table5454[[#This Row],[time]]-2)*2</f>
        <v>-0.53378000000000014</v>
      </c>
      <c r="W526">
        <v>82.860799999999998</v>
      </c>
      <c r="X526">
        <v>26.336300000000001</v>
      </c>
      <c r="Y526">
        <f>Table5454[[#This Row],[CFNM]]/Table5454[[#This Row],[CAREA]]</f>
        <v>0.31783786784583301</v>
      </c>
      <c r="Z526">
        <v>2.2668900000000001</v>
      </c>
      <c r="AA526">
        <f>-(Table6455[[#This Row],[time]]-2)*2</f>
        <v>-0.53378000000000014</v>
      </c>
      <c r="AB526">
        <v>82.936099999999996</v>
      </c>
      <c r="AC526">
        <v>35.929600000000001</v>
      </c>
      <c r="AD526">
        <f>Table6455[[#This Row],[CFNM]]/Table6455[[#This Row],[CAREA]]</f>
        <v>0.43322027440402916</v>
      </c>
      <c r="AE526">
        <v>2.2668900000000001</v>
      </c>
      <c r="AF526">
        <f>-(Table7456[[#This Row],[time]]-2)*2</f>
        <v>-0.53378000000000014</v>
      </c>
      <c r="AG526">
        <v>79.885800000000003</v>
      </c>
      <c r="AH526">
        <v>30.61</v>
      </c>
      <c r="AI526">
        <f>Table7456[[#This Row],[CFNM]]/Table7456[[#This Row],[CAREA]]</f>
        <v>0.38317197799859298</v>
      </c>
      <c r="AJ526">
        <v>2.2668900000000001</v>
      </c>
      <c r="AK526">
        <f>-(Table8457[[#This Row],[time]]-2)*2</f>
        <v>-0.53378000000000014</v>
      </c>
      <c r="AL526">
        <v>82.793999999999997</v>
      </c>
      <c r="AM526">
        <v>32.8827</v>
      </c>
      <c r="AN526">
        <f>Table8457[[#This Row],[CFNM]]/Table8457[[#This Row],[CAREA]]</f>
        <v>0.3971628378868034</v>
      </c>
    </row>
    <row r="527" spans="1:40">
      <c r="A527">
        <v>2.3262700000000001</v>
      </c>
      <c r="B527">
        <f>-(Table1450[[#This Row],[time]]-2)*2</f>
        <v>-0.65254000000000012</v>
      </c>
      <c r="C527">
        <v>76.043099999999995</v>
      </c>
      <c r="D527">
        <v>15.3908</v>
      </c>
      <c r="E527">
        <f>Table1450[[#This Row],[CFNM]]/Table1450[[#This Row],[CAREA]]</f>
        <v>0.20239574662263901</v>
      </c>
      <c r="F527">
        <v>2.3262700000000001</v>
      </c>
      <c r="G527">
        <f>-(Table2451[[#This Row],[time]]-2)*2</f>
        <v>-0.65254000000000012</v>
      </c>
      <c r="H527">
        <v>88.590699999999998</v>
      </c>
      <c r="I527">
        <v>6.9241799999999998</v>
      </c>
      <c r="J527">
        <f>Table2451[[#This Row],[CFNM]]/Table2451[[#This Row],[CAREA]]</f>
        <v>7.8159219872966354E-2</v>
      </c>
      <c r="K527">
        <v>2.3262700000000001</v>
      </c>
      <c r="L527">
        <f>-(Table3452[[#This Row],[time]]-2)*2</f>
        <v>-0.65254000000000012</v>
      </c>
      <c r="M527">
        <v>71.386600000000001</v>
      </c>
      <c r="N527">
        <v>12.0807</v>
      </c>
      <c r="O527">
        <f>Table3452[[#This Row],[CFNM]]/Table3452[[#This Row],[CAREA]]</f>
        <v>0.16922923910089568</v>
      </c>
      <c r="P527">
        <v>2.3262700000000001</v>
      </c>
      <c r="Q527">
        <f>-(Table4453[[#This Row],[time]]-2)*2</f>
        <v>-0.65254000000000012</v>
      </c>
      <c r="R527">
        <v>79.268799999999999</v>
      </c>
      <c r="S527">
        <v>16.319099999999999</v>
      </c>
      <c r="T527">
        <f>Table4453[[#This Row],[CFNM]]/Table4453[[#This Row],[CAREA]]</f>
        <v>0.20587040550632782</v>
      </c>
      <c r="U527">
        <v>2.3262700000000001</v>
      </c>
      <c r="V527">
        <f>-(Table5454[[#This Row],[time]]-2)*2</f>
        <v>-0.65254000000000012</v>
      </c>
      <c r="W527">
        <v>82.6999</v>
      </c>
      <c r="X527">
        <v>29.264099999999999</v>
      </c>
      <c r="Y527">
        <f>Table5454[[#This Row],[CFNM]]/Table5454[[#This Row],[CAREA]]</f>
        <v>0.35385895267104311</v>
      </c>
      <c r="Z527">
        <v>2.3262700000000001</v>
      </c>
      <c r="AA527">
        <f>-(Table6455[[#This Row],[time]]-2)*2</f>
        <v>-0.65254000000000012</v>
      </c>
      <c r="AB527">
        <v>82.144800000000004</v>
      </c>
      <c r="AC527">
        <v>40.173200000000001</v>
      </c>
      <c r="AD527">
        <f>Table6455[[#This Row],[CFNM]]/Table6455[[#This Row],[CAREA]]</f>
        <v>0.48905347630038665</v>
      </c>
      <c r="AE527">
        <v>2.3262700000000001</v>
      </c>
      <c r="AF527">
        <f>-(Table7456[[#This Row],[time]]-2)*2</f>
        <v>-0.65254000000000012</v>
      </c>
      <c r="AG527">
        <v>79.476900000000001</v>
      </c>
      <c r="AH527">
        <v>34.380600000000001</v>
      </c>
      <c r="AI527">
        <f>Table7456[[#This Row],[CFNM]]/Table7456[[#This Row],[CAREA]]</f>
        <v>0.43258607217946349</v>
      </c>
      <c r="AJ527">
        <v>2.3262700000000001</v>
      </c>
      <c r="AK527">
        <f>-(Table8457[[#This Row],[time]]-2)*2</f>
        <v>-0.65254000000000012</v>
      </c>
      <c r="AL527">
        <v>82.822999999999993</v>
      </c>
      <c r="AM527">
        <v>36.580500000000001</v>
      </c>
      <c r="AN527">
        <f>Table8457[[#This Row],[CFNM]]/Table8457[[#This Row],[CAREA]]</f>
        <v>0.44167079192977798</v>
      </c>
    </row>
    <row r="528" spans="1:40">
      <c r="A528">
        <v>2.3684599999999998</v>
      </c>
      <c r="B528">
        <f>-(Table1450[[#This Row],[time]]-2)*2</f>
        <v>-0.73691999999999958</v>
      </c>
      <c r="C528">
        <v>73.3536</v>
      </c>
      <c r="D528">
        <v>16.45</v>
      </c>
      <c r="E528">
        <f>Table1450[[#This Row],[CFNM]]/Table1450[[#This Row],[CAREA]]</f>
        <v>0.22425620555773676</v>
      </c>
      <c r="F528">
        <v>2.3684599999999998</v>
      </c>
      <c r="G528">
        <f>-(Table2451[[#This Row],[time]]-2)*2</f>
        <v>-0.73691999999999958</v>
      </c>
      <c r="H528">
        <v>87.205100000000002</v>
      </c>
      <c r="I528">
        <v>7.8808499999999997</v>
      </c>
      <c r="J528">
        <f>Table2451[[#This Row],[CFNM]]/Table2451[[#This Row],[CAREA]]</f>
        <v>9.0371434698199984E-2</v>
      </c>
      <c r="K528">
        <v>2.3684599999999998</v>
      </c>
      <c r="L528">
        <f>-(Table3452[[#This Row],[time]]-2)*2</f>
        <v>-0.73691999999999958</v>
      </c>
      <c r="M528">
        <v>69.938900000000004</v>
      </c>
      <c r="N528">
        <v>13.7149</v>
      </c>
      <c r="O528">
        <f>Table3452[[#This Row],[CFNM]]/Table3452[[#This Row],[CAREA]]</f>
        <v>0.19609830866656466</v>
      </c>
      <c r="P528">
        <v>2.3684599999999998</v>
      </c>
      <c r="Q528">
        <f>-(Table4453[[#This Row],[time]]-2)*2</f>
        <v>-0.73691999999999958</v>
      </c>
      <c r="R528">
        <v>78.694800000000001</v>
      </c>
      <c r="S528">
        <v>18.366499999999998</v>
      </c>
      <c r="T528">
        <f>Table4453[[#This Row],[CFNM]]/Table4453[[#This Row],[CAREA]]</f>
        <v>0.23338899139460292</v>
      </c>
      <c r="U528">
        <v>2.3684599999999998</v>
      </c>
      <c r="V528">
        <f>-(Table5454[[#This Row],[time]]-2)*2</f>
        <v>-0.73691999999999958</v>
      </c>
      <c r="W528">
        <v>83.340800000000002</v>
      </c>
      <c r="X528">
        <v>31.479500000000002</v>
      </c>
      <c r="Y528">
        <f>Table5454[[#This Row],[CFNM]]/Table5454[[#This Row],[CAREA]]</f>
        <v>0.37772015627399785</v>
      </c>
      <c r="Z528">
        <v>2.3684599999999998</v>
      </c>
      <c r="AA528">
        <f>-(Table6455[[#This Row],[time]]-2)*2</f>
        <v>-0.73691999999999958</v>
      </c>
      <c r="AB528">
        <v>80.702399999999997</v>
      </c>
      <c r="AC528">
        <v>43.767899999999997</v>
      </c>
      <c r="AD528">
        <f>Table6455[[#This Row],[CFNM]]/Table6455[[#This Row],[CAREA]]</f>
        <v>0.54233703086897045</v>
      </c>
      <c r="AE528">
        <v>2.3684599999999998</v>
      </c>
      <c r="AF528">
        <f>-(Table7456[[#This Row],[time]]-2)*2</f>
        <v>-0.73691999999999958</v>
      </c>
      <c r="AG528">
        <v>78.6477</v>
      </c>
      <c r="AH528">
        <v>37.976399999999998</v>
      </c>
      <c r="AI528">
        <f>Table7456[[#This Row],[CFNM]]/Table7456[[#This Row],[CAREA]]</f>
        <v>0.48286726757425835</v>
      </c>
      <c r="AJ528">
        <v>2.3684599999999998</v>
      </c>
      <c r="AK528">
        <f>-(Table8457[[#This Row],[time]]-2)*2</f>
        <v>-0.73691999999999958</v>
      </c>
      <c r="AL528">
        <v>83.032799999999995</v>
      </c>
      <c r="AM528">
        <v>40.128300000000003</v>
      </c>
      <c r="AN528">
        <f>Table8457[[#This Row],[CFNM]]/Table8457[[#This Row],[CAREA]]</f>
        <v>0.48328251004422357</v>
      </c>
    </row>
    <row r="529" spans="1:40">
      <c r="A529">
        <v>2.4278300000000002</v>
      </c>
      <c r="B529">
        <f>-(Table1450[[#This Row],[time]]-2)*2</f>
        <v>-0.85566000000000031</v>
      </c>
      <c r="C529">
        <v>72.778199999999998</v>
      </c>
      <c r="D529">
        <v>17.481999999999999</v>
      </c>
      <c r="E529">
        <f>Table1450[[#This Row],[CFNM]]/Table1450[[#This Row],[CAREA]]</f>
        <v>0.24020929344226705</v>
      </c>
      <c r="F529">
        <v>2.4278300000000002</v>
      </c>
      <c r="G529">
        <f>-(Table2451[[#This Row],[time]]-2)*2</f>
        <v>-0.85566000000000031</v>
      </c>
      <c r="H529">
        <v>86.234899999999996</v>
      </c>
      <c r="I529">
        <v>8.8507300000000004</v>
      </c>
      <c r="J529">
        <f>Table2451[[#This Row],[CFNM]]/Table2451[[#This Row],[CAREA]]</f>
        <v>0.10263512800501885</v>
      </c>
      <c r="K529">
        <v>2.4278300000000002</v>
      </c>
      <c r="L529">
        <f>-(Table3452[[#This Row],[time]]-2)*2</f>
        <v>-0.85566000000000031</v>
      </c>
      <c r="M529">
        <v>65.924700000000001</v>
      </c>
      <c r="N529">
        <v>15.5235</v>
      </c>
      <c r="O529">
        <f>Table3452[[#This Row],[CFNM]]/Table3452[[#This Row],[CAREA]]</f>
        <v>0.23547319896791338</v>
      </c>
      <c r="P529">
        <v>2.4278300000000002</v>
      </c>
      <c r="Q529">
        <f>-(Table4453[[#This Row],[time]]-2)*2</f>
        <v>-0.85566000000000031</v>
      </c>
      <c r="R529">
        <v>78.084500000000006</v>
      </c>
      <c r="S529">
        <v>20.5015</v>
      </c>
      <c r="T529">
        <f>Table4453[[#This Row],[CFNM]]/Table4453[[#This Row],[CAREA]]</f>
        <v>0.26255530867201554</v>
      </c>
      <c r="U529">
        <v>2.4278300000000002</v>
      </c>
      <c r="V529">
        <f>-(Table5454[[#This Row],[time]]-2)*2</f>
        <v>-0.85566000000000031</v>
      </c>
      <c r="W529">
        <v>83.179400000000001</v>
      </c>
      <c r="X529">
        <v>33.742199999999997</v>
      </c>
      <c r="Y529">
        <f>Table5454[[#This Row],[CFNM]]/Table5454[[#This Row],[CAREA]]</f>
        <v>0.40565572725939353</v>
      </c>
      <c r="Z529">
        <v>2.4278300000000002</v>
      </c>
      <c r="AA529">
        <f>-(Table6455[[#This Row],[time]]-2)*2</f>
        <v>-0.85566000000000031</v>
      </c>
      <c r="AB529">
        <v>79.497200000000007</v>
      </c>
      <c r="AC529">
        <v>47.167000000000002</v>
      </c>
      <c r="AD529">
        <f>Table6455[[#This Row],[CFNM]]/Table6455[[#This Row],[CAREA]]</f>
        <v>0.59331649416583221</v>
      </c>
      <c r="AE529">
        <v>2.4278300000000002</v>
      </c>
      <c r="AF529">
        <f>-(Table7456[[#This Row],[time]]-2)*2</f>
        <v>-0.85566000000000031</v>
      </c>
      <c r="AG529">
        <v>77.924000000000007</v>
      </c>
      <c r="AH529">
        <v>41.635899999999999</v>
      </c>
      <c r="AI529">
        <f>Table7456[[#This Row],[CFNM]]/Table7456[[#This Row],[CAREA]]</f>
        <v>0.53431420358297821</v>
      </c>
      <c r="AJ529">
        <v>2.4278300000000002</v>
      </c>
      <c r="AK529">
        <f>-(Table8457[[#This Row],[time]]-2)*2</f>
        <v>-0.85566000000000031</v>
      </c>
      <c r="AL529">
        <v>83.078100000000006</v>
      </c>
      <c r="AM529">
        <v>43.728200000000001</v>
      </c>
      <c r="AN529">
        <f>Table8457[[#This Row],[CFNM]]/Table8457[[#This Row],[CAREA]]</f>
        <v>0.52635050633078995</v>
      </c>
    </row>
    <row r="530" spans="1:40">
      <c r="A530">
        <v>2.4542000000000002</v>
      </c>
      <c r="B530">
        <f>-(Table1450[[#This Row],[time]]-2)*2</f>
        <v>-0.90840000000000032</v>
      </c>
      <c r="C530">
        <v>70.937799999999996</v>
      </c>
      <c r="D530">
        <v>18.389099999999999</v>
      </c>
      <c r="E530">
        <f>Table1450[[#This Row],[CFNM]]/Table1450[[#This Row],[CAREA]]</f>
        <v>0.25922850722745844</v>
      </c>
      <c r="F530">
        <v>2.4542000000000002</v>
      </c>
      <c r="G530">
        <f>-(Table2451[[#This Row],[time]]-2)*2</f>
        <v>-0.90840000000000032</v>
      </c>
      <c r="H530">
        <v>85.167900000000003</v>
      </c>
      <c r="I530">
        <v>9.7288499999999996</v>
      </c>
      <c r="J530">
        <f>Table2451[[#This Row],[CFNM]]/Table2451[[#This Row],[CAREA]]</f>
        <v>0.11423141817515753</v>
      </c>
      <c r="K530">
        <v>2.4542000000000002</v>
      </c>
      <c r="L530">
        <f>-(Table3452[[#This Row],[time]]-2)*2</f>
        <v>-0.90840000000000032</v>
      </c>
      <c r="M530">
        <v>62.883400000000002</v>
      </c>
      <c r="N530">
        <v>17.326499999999999</v>
      </c>
      <c r="O530">
        <f>Table3452[[#This Row],[CFNM]]/Table3452[[#This Row],[CAREA]]</f>
        <v>0.2755337656678869</v>
      </c>
      <c r="P530">
        <v>2.4542000000000002</v>
      </c>
      <c r="Q530">
        <f>-(Table4453[[#This Row],[time]]-2)*2</f>
        <v>-0.90840000000000032</v>
      </c>
      <c r="R530">
        <v>77.275400000000005</v>
      </c>
      <c r="S530">
        <v>22.567399999999999</v>
      </c>
      <c r="T530">
        <f>Table4453[[#This Row],[CFNM]]/Table4453[[#This Row],[CAREA]]</f>
        <v>0.29203860478237575</v>
      </c>
      <c r="U530">
        <v>2.4542000000000002</v>
      </c>
      <c r="V530">
        <f>-(Table5454[[#This Row],[time]]-2)*2</f>
        <v>-0.90840000000000032</v>
      </c>
      <c r="W530">
        <v>82.868099999999998</v>
      </c>
      <c r="X530">
        <v>35.858199999999997</v>
      </c>
      <c r="Y530">
        <f>Table5454[[#This Row],[CFNM]]/Table5454[[#This Row],[CAREA]]</f>
        <v>0.43271415659342977</v>
      </c>
      <c r="Z530">
        <v>2.4542000000000002</v>
      </c>
      <c r="AA530">
        <f>-(Table6455[[#This Row],[time]]-2)*2</f>
        <v>-0.90840000000000032</v>
      </c>
      <c r="AB530">
        <v>78.572199999999995</v>
      </c>
      <c r="AC530">
        <v>50.208100000000002</v>
      </c>
      <c r="AD530">
        <f>Table6455[[#This Row],[CFNM]]/Table6455[[#This Row],[CAREA]]</f>
        <v>0.63900590794199486</v>
      </c>
      <c r="AE530">
        <v>2.4542000000000002</v>
      </c>
      <c r="AF530">
        <f>-(Table7456[[#This Row],[time]]-2)*2</f>
        <v>-0.90840000000000032</v>
      </c>
      <c r="AG530">
        <v>77.134399999999999</v>
      </c>
      <c r="AH530">
        <v>45.027299999999997</v>
      </c>
      <c r="AI530">
        <f>Table7456[[#This Row],[CFNM]]/Table7456[[#This Row],[CAREA]]</f>
        <v>0.58375121865211888</v>
      </c>
      <c r="AJ530">
        <v>2.4542000000000002</v>
      </c>
      <c r="AK530">
        <f>-(Table8457[[#This Row],[time]]-2)*2</f>
        <v>-0.90840000000000032</v>
      </c>
      <c r="AL530">
        <v>82.994799999999998</v>
      </c>
      <c r="AM530">
        <v>47.040799999999997</v>
      </c>
      <c r="AN530">
        <f>Table8457[[#This Row],[CFNM]]/Table8457[[#This Row],[CAREA]]</f>
        <v>0.56679213637480896</v>
      </c>
    </row>
    <row r="531" spans="1:40">
      <c r="A531">
        <v>2.5061499999999999</v>
      </c>
      <c r="B531">
        <f>-(Table1450[[#This Row],[time]]-2)*2</f>
        <v>-1.0122999999999998</v>
      </c>
      <c r="C531">
        <v>68.896699999999996</v>
      </c>
      <c r="D531">
        <v>19.2333</v>
      </c>
      <c r="E531">
        <f>Table1450[[#This Row],[CFNM]]/Table1450[[#This Row],[CAREA]]</f>
        <v>0.27916141121418009</v>
      </c>
      <c r="F531">
        <v>2.5061499999999999</v>
      </c>
      <c r="G531">
        <f>-(Table2451[[#This Row],[time]]-2)*2</f>
        <v>-1.0122999999999998</v>
      </c>
      <c r="H531">
        <v>83.812299999999993</v>
      </c>
      <c r="I531">
        <v>10.7188</v>
      </c>
      <c r="J531">
        <f>Table2451[[#This Row],[CFNM]]/Table2451[[#This Row],[CAREA]]</f>
        <v>0.12789053635325603</v>
      </c>
      <c r="K531">
        <v>2.5061499999999999</v>
      </c>
      <c r="L531">
        <f>-(Table3452[[#This Row],[time]]-2)*2</f>
        <v>-1.0122999999999998</v>
      </c>
      <c r="M531">
        <v>59.039400000000001</v>
      </c>
      <c r="N531">
        <v>19.16</v>
      </c>
      <c r="O531">
        <f>Table3452[[#This Row],[CFNM]]/Table3452[[#This Row],[CAREA]]</f>
        <v>0.32452904331683585</v>
      </c>
      <c r="P531">
        <v>2.5061499999999999</v>
      </c>
      <c r="Q531">
        <f>-(Table4453[[#This Row],[time]]-2)*2</f>
        <v>-1.0122999999999998</v>
      </c>
      <c r="R531">
        <v>76.122299999999996</v>
      </c>
      <c r="S531">
        <v>24.8583</v>
      </c>
      <c r="T531">
        <f>Table4453[[#This Row],[CFNM]]/Table4453[[#This Row],[CAREA]]</f>
        <v>0.32655739513913795</v>
      </c>
      <c r="U531">
        <v>2.5061499999999999</v>
      </c>
      <c r="V531">
        <f>-(Table5454[[#This Row],[time]]-2)*2</f>
        <v>-1.0122999999999998</v>
      </c>
      <c r="W531">
        <v>82.334500000000006</v>
      </c>
      <c r="X531">
        <v>38.377899999999997</v>
      </c>
      <c r="Y531">
        <f>Table5454[[#This Row],[CFNM]]/Table5454[[#This Row],[CAREA]]</f>
        <v>0.46612173511711363</v>
      </c>
      <c r="Z531">
        <v>2.5061499999999999</v>
      </c>
      <c r="AA531">
        <f>-(Table6455[[#This Row],[time]]-2)*2</f>
        <v>-1.0122999999999998</v>
      </c>
      <c r="AB531">
        <v>77.242999999999995</v>
      </c>
      <c r="AC531">
        <v>53.405000000000001</v>
      </c>
      <c r="AD531">
        <f>Table6455[[#This Row],[CFNM]]/Table6455[[#This Row],[CAREA]]</f>
        <v>0.69138951102365265</v>
      </c>
      <c r="AE531">
        <v>2.5061499999999999</v>
      </c>
      <c r="AF531">
        <f>-(Table7456[[#This Row],[time]]-2)*2</f>
        <v>-1.0122999999999998</v>
      </c>
      <c r="AG531">
        <v>76.076999999999998</v>
      </c>
      <c r="AH531">
        <v>48.6096</v>
      </c>
      <c r="AI531">
        <f>Table7456[[#This Row],[CFNM]]/Table7456[[#This Row],[CAREA]]</f>
        <v>0.63895264008833152</v>
      </c>
      <c r="AJ531">
        <v>2.5061499999999999</v>
      </c>
      <c r="AK531">
        <f>-(Table8457[[#This Row],[time]]-2)*2</f>
        <v>-1.0122999999999998</v>
      </c>
      <c r="AL531">
        <v>83.1096</v>
      </c>
      <c r="AM531">
        <v>50.331699999999998</v>
      </c>
      <c r="AN531">
        <f>Table8457[[#This Row],[CFNM]]/Table8457[[#This Row],[CAREA]]</f>
        <v>0.60560633187983093</v>
      </c>
    </row>
    <row r="532" spans="1:40">
      <c r="A532">
        <v>2.5507599999999999</v>
      </c>
      <c r="B532">
        <f>-(Table1450[[#This Row],[time]]-2)*2</f>
        <v>-1.1015199999999998</v>
      </c>
      <c r="C532">
        <v>67.404200000000003</v>
      </c>
      <c r="D532">
        <v>20.136900000000001</v>
      </c>
      <c r="E532">
        <f>Table1450[[#This Row],[CFNM]]/Table1450[[#This Row],[CAREA]]</f>
        <v>0.29874844594253769</v>
      </c>
      <c r="F532">
        <v>2.5507599999999999</v>
      </c>
      <c r="G532">
        <f>-(Table2451[[#This Row],[time]]-2)*2</f>
        <v>-1.1015199999999998</v>
      </c>
      <c r="H532">
        <v>83.314400000000006</v>
      </c>
      <c r="I532">
        <v>11.916499999999999</v>
      </c>
      <c r="J532">
        <f>Table2451[[#This Row],[CFNM]]/Table2451[[#This Row],[CAREA]]</f>
        <v>0.14303049652881134</v>
      </c>
      <c r="K532">
        <v>2.5507599999999999</v>
      </c>
      <c r="L532">
        <f>-(Table3452[[#This Row],[time]]-2)*2</f>
        <v>-1.1015199999999998</v>
      </c>
      <c r="M532">
        <v>57.363300000000002</v>
      </c>
      <c r="N532">
        <v>21.066500000000001</v>
      </c>
      <c r="O532">
        <f>Table3452[[#This Row],[CFNM]]/Table3452[[#This Row],[CAREA]]</f>
        <v>0.36724700287466028</v>
      </c>
      <c r="P532">
        <v>2.5507599999999999</v>
      </c>
      <c r="Q532">
        <f>-(Table4453[[#This Row],[time]]-2)*2</f>
        <v>-1.1015199999999998</v>
      </c>
      <c r="R532">
        <v>75.649600000000007</v>
      </c>
      <c r="S532">
        <v>27.5059</v>
      </c>
      <c r="T532">
        <f>Table4453[[#This Row],[CFNM]]/Table4453[[#This Row],[CAREA]]</f>
        <v>0.36359610625832783</v>
      </c>
      <c r="U532">
        <v>2.5507599999999999</v>
      </c>
      <c r="V532">
        <f>-(Table5454[[#This Row],[time]]-2)*2</f>
        <v>-1.1015199999999998</v>
      </c>
      <c r="W532">
        <v>82.011300000000006</v>
      </c>
      <c r="X532">
        <v>42.177799999999998</v>
      </c>
      <c r="Y532">
        <f>Table5454[[#This Row],[CFNM]]/Table5454[[#This Row],[CAREA]]</f>
        <v>0.51429254261303015</v>
      </c>
      <c r="Z532">
        <v>2.5507599999999999</v>
      </c>
      <c r="AA532">
        <f>-(Table6455[[#This Row],[time]]-2)*2</f>
        <v>-1.1015199999999998</v>
      </c>
      <c r="AB532">
        <v>76.848799999999997</v>
      </c>
      <c r="AC532">
        <v>57.473700000000001</v>
      </c>
      <c r="AD532">
        <f>Table6455[[#This Row],[CFNM]]/Table6455[[#This Row],[CAREA]]</f>
        <v>0.74788025317246332</v>
      </c>
      <c r="AE532">
        <v>2.5507599999999999</v>
      </c>
      <c r="AF532">
        <f>-(Table7456[[#This Row],[time]]-2)*2</f>
        <v>-1.1015199999999998</v>
      </c>
      <c r="AG532">
        <v>75.659099999999995</v>
      </c>
      <c r="AH532">
        <v>52.817599999999999</v>
      </c>
      <c r="AI532">
        <f>Table7456[[#This Row],[CFNM]]/Table7456[[#This Row],[CAREA]]</f>
        <v>0.69809976592372891</v>
      </c>
      <c r="AJ532">
        <v>2.5507599999999999</v>
      </c>
      <c r="AK532">
        <f>-(Table8457[[#This Row],[time]]-2)*2</f>
        <v>-1.1015199999999998</v>
      </c>
      <c r="AL532">
        <v>83.117900000000006</v>
      </c>
      <c r="AM532">
        <v>54.251600000000003</v>
      </c>
      <c r="AN532">
        <f>Table8457[[#This Row],[CFNM]]/Table8457[[#This Row],[CAREA]]</f>
        <v>0.65270657704297153</v>
      </c>
    </row>
    <row r="533" spans="1:40">
      <c r="A533">
        <v>2.60453</v>
      </c>
      <c r="B533">
        <f>-(Table1450[[#This Row],[time]]-2)*2</f>
        <v>-1.20906</v>
      </c>
      <c r="C533">
        <v>65.221000000000004</v>
      </c>
      <c r="D533">
        <v>20.827999999999999</v>
      </c>
      <c r="E533">
        <f>Table1450[[#This Row],[CFNM]]/Table1450[[#This Row],[CAREA]]</f>
        <v>0.31934499624354118</v>
      </c>
      <c r="F533">
        <v>2.60453</v>
      </c>
      <c r="G533">
        <f>-(Table2451[[#This Row],[time]]-2)*2</f>
        <v>-1.20906</v>
      </c>
      <c r="H533">
        <v>82.368499999999997</v>
      </c>
      <c r="I533">
        <v>12.7818</v>
      </c>
      <c r="J533">
        <f>Table2451[[#This Row],[CFNM]]/Table2451[[#This Row],[CAREA]]</f>
        <v>0.15517825382275993</v>
      </c>
      <c r="K533">
        <v>2.60453</v>
      </c>
      <c r="L533">
        <f>-(Table3452[[#This Row],[time]]-2)*2</f>
        <v>-1.20906</v>
      </c>
      <c r="M533">
        <v>55.437100000000001</v>
      </c>
      <c r="N533">
        <v>22.5137</v>
      </c>
      <c r="O533">
        <f>Table3452[[#This Row],[CFNM]]/Table3452[[#This Row],[CAREA]]</f>
        <v>0.40611251310043273</v>
      </c>
      <c r="P533">
        <v>2.60453</v>
      </c>
      <c r="Q533">
        <f>-(Table4453[[#This Row],[time]]-2)*2</f>
        <v>-1.20906</v>
      </c>
      <c r="R533">
        <v>75.135300000000001</v>
      </c>
      <c r="S533">
        <v>29.520299999999999</v>
      </c>
      <c r="T533">
        <f>Table4453[[#This Row],[CFNM]]/Table4453[[#This Row],[CAREA]]</f>
        <v>0.39289521702848063</v>
      </c>
      <c r="U533">
        <v>2.60453</v>
      </c>
      <c r="V533">
        <f>-(Table5454[[#This Row],[time]]-2)*2</f>
        <v>-1.20906</v>
      </c>
      <c r="W533">
        <v>81.364199999999997</v>
      </c>
      <c r="X533">
        <v>45.338999999999999</v>
      </c>
      <c r="Y533">
        <f>Table5454[[#This Row],[CFNM]]/Table5454[[#This Row],[CAREA]]</f>
        <v>0.55723524596812846</v>
      </c>
      <c r="Z533">
        <v>2.60453</v>
      </c>
      <c r="AA533">
        <f>-(Table6455[[#This Row],[time]]-2)*2</f>
        <v>-1.20906</v>
      </c>
      <c r="AB533">
        <v>75.754499999999993</v>
      </c>
      <c r="AC533">
        <v>60.776200000000003</v>
      </c>
      <c r="AD533">
        <f>Table6455[[#This Row],[CFNM]]/Table6455[[#This Row],[CAREA]]</f>
        <v>0.80227841250354781</v>
      </c>
      <c r="AE533">
        <v>2.60453</v>
      </c>
      <c r="AF533">
        <f>-(Table7456[[#This Row],[time]]-2)*2</f>
        <v>-1.20906</v>
      </c>
      <c r="AG533">
        <v>74.781099999999995</v>
      </c>
      <c r="AH533">
        <v>56.054900000000004</v>
      </c>
      <c r="AI533">
        <f>Table7456[[#This Row],[CFNM]]/Table7456[[#This Row],[CAREA]]</f>
        <v>0.74958645968032034</v>
      </c>
      <c r="AJ533">
        <v>2.60453</v>
      </c>
      <c r="AK533">
        <f>-(Table8457[[#This Row],[time]]-2)*2</f>
        <v>-1.20906</v>
      </c>
      <c r="AL533">
        <v>82.428200000000004</v>
      </c>
      <c r="AM533">
        <v>57.349600000000002</v>
      </c>
      <c r="AN533">
        <f>Table8457[[#This Row],[CFNM]]/Table8457[[#This Row],[CAREA]]</f>
        <v>0.69575218189891319</v>
      </c>
    </row>
    <row r="534" spans="1:40">
      <c r="A534">
        <v>2.65273</v>
      </c>
      <c r="B534">
        <f>-(Table1450[[#This Row],[time]]-2)*2</f>
        <v>-1.3054600000000001</v>
      </c>
      <c r="C534">
        <v>61.553100000000001</v>
      </c>
      <c r="D534">
        <v>21.836600000000001</v>
      </c>
      <c r="E534">
        <f>Table1450[[#This Row],[CFNM]]/Table1450[[#This Row],[CAREA]]</f>
        <v>0.35476036137903699</v>
      </c>
      <c r="F534">
        <v>2.65273</v>
      </c>
      <c r="G534">
        <f>-(Table2451[[#This Row],[time]]-2)*2</f>
        <v>-1.3054600000000001</v>
      </c>
      <c r="H534">
        <v>81.796000000000006</v>
      </c>
      <c r="I534">
        <v>14.052</v>
      </c>
      <c r="J534">
        <f>Table2451[[#This Row],[CFNM]]/Table2451[[#This Row],[CAREA]]</f>
        <v>0.17179324172331165</v>
      </c>
      <c r="K534">
        <v>2.65273</v>
      </c>
      <c r="L534">
        <f>-(Table3452[[#This Row],[time]]-2)*2</f>
        <v>-1.3054600000000001</v>
      </c>
      <c r="M534">
        <v>52.178100000000001</v>
      </c>
      <c r="N534">
        <v>24.7622</v>
      </c>
      <c r="O534">
        <f>Table3452[[#This Row],[CFNM]]/Table3452[[#This Row],[CAREA]]</f>
        <v>0.4745707490307236</v>
      </c>
      <c r="P534">
        <v>2.65273</v>
      </c>
      <c r="Q534">
        <f>-(Table4453[[#This Row],[time]]-2)*2</f>
        <v>-1.3054600000000001</v>
      </c>
      <c r="R534">
        <v>74.650800000000004</v>
      </c>
      <c r="S534">
        <v>32.6113</v>
      </c>
      <c r="T534">
        <f>Table4453[[#This Row],[CFNM]]/Table4453[[#This Row],[CAREA]]</f>
        <v>0.43685131304687957</v>
      </c>
      <c r="U534">
        <v>2.65273</v>
      </c>
      <c r="V534">
        <f>-(Table5454[[#This Row],[time]]-2)*2</f>
        <v>-1.3054600000000001</v>
      </c>
      <c r="W534">
        <v>80.601699999999994</v>
      </c>
      <c r="X534">
        <v>50.133099999999999</v>
      </c>
      <c r="Y534">
        <f>Table5454[[#This Row],[CFNM]]/Table5454[[#This Row],[CAREA]]</f>
        <v>0.62198564050137906</v>
      </c>
      <c r="Z534">
        <v>2.65273</v>
      </c>
      <c r="AA534">
        <f>-(Table6455[[#This Row],[time]]-2)*2</f>
        <v>-1.3054600000000001</v>
      </c>
      <c r="AB534">
        <v>74.703999999999994</v>
      </c>
      <c r="AC534">
        <v>66.162300000000002</v>
      </c>
      <c r="AD534">
        <f>Table6455[[#This Row],[CFNM]]/Table6455[[#This Row],[CAREA]]</f>
        <v>0.88565940244163643</v>
      </c>
      <c r="AE534">
        <v>2.65273</v>
      </c>
      <c r="AF534">
        <f>-(Table7456[[#This Row],[time]]-2)*2</f>
        <v>-1.3054600000000001</v>
      </c>
      <c r="AG534">
        <v>74.273300000000006</v>
      </c>
      <c r="AH534">
        <v>60.860199999999999</v>
      </c>
      <c r="AI534">
        <f>Table7456[[#This Row],[CFNM]]/Table7456[[#This Row],[CAREA]]</f>
        <v>0.81940885890353587</v>
      </c>
      <c r="AJ534">
        <v>2.65273</v>
      </c>
      <c r="AK534">
        <f>-(Table8457[[#This Row],[time]]-2)*2</f>
        <v>-1.3054600000000001</v>
      </c>
      <c r="AL534">
        <v>82.331299999999999</v>
      </c>
      <c r="AM534">
        <v>62.080300000000001</v>
      </c>
      <c r="AN534">
        <f>Table8457[[#This Row],[CFNM]]/Table8457[[#This Row],[CAREA]]</f>
        <v>0.7540303626931677</v>
      </c>
    </row>
    <row r="535" spans="1:40">
      <c r="A535">
        <v>2.7006199999999998</v>
      </c>
      <c r="B535">
        <f>-(Table1450[[#This Row],[time]]-2)*2</f>
        <v>-1.4012399999999996</v>
      </c>
      <c r="C535">
        <v>59.4056</v>
      </c>
      <c r="D535">
        <v>22.5198</v>
      </c>
      <c r="E535">
        <f>Table1450[[#This Row],[CFNM]]/Table1450[[#This Row],[CAREA]]</f>
        <v>0.37908547342338095</v>
      </c>
      <c r="F535">
        <v>2.7006199999999998</v>
      </c>
      <c r="G535">
        <f>-(Table2451[[#This Row],[time]]-2)*2</f>
        <v>-1.4012399999999996</v>
      </c>
      <c r="H535">
        <v>81.034099999999995</v>
      </c>
      <c r="I535">
        <v>14.9724</v>
      </c>
      <c r="J535">
        <f>Table2451[[#This Row],[CFNM]]/Table2451[[#This Row],[CAREA]]</f>
        <v>0.18476665996167047</v>
      </c>
      <c r="K535">
        <v>2.7006199999999998</v>
      </c>
      <c r="L535">
        <f>-(Table3452[[#This Row],[time]]-2)*2</f>
        <v>-1.4012399999999996</v>
      </c>
      <c r="M535">
        <v>50.680599999999998</v>
      </c>
      <c r="N535">
        <v>26.406300000000002</v>
      </c>
      <c r="O535">
        <f>Table3452[[#This Row],[CFNM]]/Table3452[[#This Row],[CAREA]]</f>
        <v>0.52103368941962014</v>
      </c>
      <c r="P535">
        <v>2.7006199999999998</v>
      </c>
      <c r="Q535">
        <f>-(Table4453[[#This Row],[time]]-2)*2</f>
        <v>-1.4012399999999996</v>
      </c>
      <c r="R535">
        <v>73.937200000000004</v>
      </c>
      <c r="S535">
        <v>34.937800000000003</v>
      </c>
      <c r="T535">
        <f>Table4453[[#This Row],[CFNM]]/Table4453[[#This Row],[CAREA]]</f>
        <v>0.47253344730392821</v>
      </c>
      <c r="U535">
        <v>2.7006199999999998</v>
      </c>
      <c r="V535">
        <f>-(Table5454[[#This Row],[time]]-2)*2</f>
        <v>-1.4012399999999996</v>
      </c>
      <c r="W535">
        <v>80.199600000000004</v>
      </c>
      <c r="X535">
        <v>53.853000000000002</v>
      </c>
      <c r="Y535">
        <f>Table5454[[#This Row],[CFNM]]/Table5454[[#This Row],[CAREA]]</f>
        <v>0.67148713958673112</v>
      </c>
      <c r="Z535">
        <v>2.7006199999999998</v>
      </c>
      <c r="AA535">
        <f>-(Table6455[[#This Row],[time]]-2)*2</f>
        <v>-1.4012399999999996</v>
      </c>
      <c r="AB535">
        <v>73.997699999999995</v>
      </c>
      <c r="AC535">
        <v>70.4435</v>
      </c>
      <c r="AD535">
        <f>Table6455[[#This Row],[CFNM]]/Table6455[[#This Row],[CAREA]]</f>
        <v>0.9519687774079465</v>
      </c>
      <c r="AE535">
        <v>2.7006199999999998</v>
      </c>
      <c r="AF535">
        <f>-(Table7456[[#This Row],[time]]-2)*2</f>
        <v>-1.4012399999999996</v>
      </c>
      <c r="AG535">
        <v>73.624799999999993</v>
      </c>
      <c r="AH535">
        <v>64.395600000000002</v>
      </c>
      <c r="AI535">
        <f>Table7456[[#This Row],[CFNM]]/Table7456[[#This Row],[CAREA]]</f>
        <v>0.87464549988590812</v>
      </c>
      <c r="AJ535">
        <v>2.7006199999999998</v>
      </c>
      <c r="AK535">
        <f>-(Table8457[[#This Row],[time]]-2)*2</f>
        <v>-1.4012399999999996</v>
      </c>
      <c r="AL535">
        <v>82.190899999999999</v>
      </c>
      <c r="AM535">
        <v>65.528700000000001</v>
      </c>
      <c r="AN535">
        <f>Table8457[[#This Row],[CFNM]]/Table8457[[#This Row],[CAREA]]</f>
        <v>0.79727439412392376</v>
      </c>
    </row>
    <row r="536" spans="1:40">
      <c r="A536">
        <v>2.75176</v>
      </c>
      <c r="B536">
        <f>-(Table1450[[#This Row],[time]]-2)*2</f>
        <v>-1.50352</v>
      </c>
      <c r="C536">
        <v>55.860500000000002</v>
      </c>
      <c r="D536">
        <v>23.1205</v>
      </c>
      <c r="E536">
        <f>Table1450[[#This Row],[CFNM]]/Table1450[[#This Row],[CAREA]]</f>
        <v>0.41389711871537133</v>
      </c>
      <c r="F536">
        <v>2.75176</v>
      </c>
      <c r="G536">
        <f>-(Table2451[[#This Row],[time]]-2)*2</f>
        <v>-1.50352</v>
      </c>
      <c r="H536">
        <v>80.2928</v>
      </c>
      <c r="I536">
        <v>15.866199999999999</v>
      </c>
      <c r="J536">
        <f>Table2451[[#This Row],[CFNM]]/Table2451[[#This Row],[CAREA]]</f>
        <v>0.19760426837773748</v>
      </c>
      <c r="K536">
        <v>2.75176</v>
      </c>
      <c r="L536">
        <f>-(Table3452[[#This Row],[time]]-2)*2</f>
        <v>-1.50352</v>
      </c>
      <c r="M536">
        <v>49.932299999999998</v>
      </c>
      <c r="N536">
        <v>27.965499999999999</v>
      </c>
      <c r="O536">
        <f>Table3452[[#This Row],[CFNM]]/Table3452[[#This Row],[CAREA]]</f>
        <v>0.56006833252223509</v>
      </c>
      <c r="P536">
        <v>2.75176</v>
      </c>
      <c r="Q536">
        <f>-(Table4453[[#This Row],[time]]-2)*2</f>
        <v>-1.50352</v>
      </c>
      <c r="R536">
        <v>73.241500000000002</v>
      </c>
      <c r="S536">
        <v>37.253</v>
      </c>
      <c r="T536">
        <f>Table4453[[#This Row],[CFNM]]/Table4453[[#This Row],[CAREA]]</f>
        <v>0.50863240102947094</v>
      </c>
      <c r="U536">
        <v>2.75176</v>
      </c>
      <c r="V536">
        <f>-(Table5454[[#This Row],[time]]-2)*2</f>
        <v>-1.50352</v>
      </c>
      <c r="W536">
        <v>79.757599999999996</v>
      </c>
      <c r="X536">
        <v>57.484499999999997</v>
      </c>
      <c r="Y536">
        <f>Table5454[[#This Row],[CFNM]]/Table5454[[#This Row],[CAREA]]</f>
        <v>0.72074009248021509</v>
      </c>
      <c r="Z536">
        <v>2.75176</v>
      </c>
      <c r="AA536">
        <f>-(Table6455[[#This Row],[time]]-2)*2</f>
        <v>-1.50352</v>
      </c>
      <c r="AB536">
        <v>73.165199999999999</v>
      </c>
      <c r="AC536">
        <v>74.704300000000003</v>
      </c>
      <c r="AD536">
        <f>Table6455[[#This Row],[CFNM]]/Table6455[[#This Row],[CAREA]]</f>
        <v>1.0210359569850147</v>
      </c>
      <c r="AE536">
        <v>2.75176</v>
      </c>
      <c r="AF536">
        <f>-(Table7456[[#This Row],[time]]-2)*2</f>
        <v>-1.50352</v>
      </c>
      <c r="AG536">
        <v>72.984099999999998</v>
      </c>
      <c r="AH536">
        <v>67.797200000000004</v>
      </c>
      <c r="AI536">
        <f>Table7456[[#This Row],[CFNM]]/Table7456[[#This Row],[CAREA]]</f>
        <v>0.92893109595103596</v>
      </c>
      <c r="AJ536">
        <v>2.75176</v>
      </c>
      <c r="AK536">
        <f>-(Table8457[[#This Row],[time]]-2)*2</f>
        <v>-1.50352</v>
      </c>
      <c r="AL536">
        <v>82.167400000000001</v>
      </c>
      <c r="AM536">
        <v>68.906899999999993</v>
      </c>
      <c r="AN536">
        <f>Table8457[[#This Row],[CFNM]]/Table8457[[#This Row],[CAREA]]</f>
        <v>0.83861604480609087</v>
      </c>
    </row>
    <row r="537" spans="1:40">
      <c r="A537">
        <v>2.80444</v>
      </c>
      <c r="B537">
        <f>-(Table1450[[#This Row],[time]]-2)*2</f>
        <v>-1.6088800000000001</v>
      </c>
      <c r="C537">
        <v>53.597499999999997</v>
      </c>
      <c r="D537">
        <v>23.751000000000001</v>
      </c>
      <c r="E537">
        <f>Table1450[[#This Row],[CFNM]]/Table1450[[#This Row],[CAREA]]</f>
        <v>0.44313634031438037</v>
      </c>
      <c r="F537">
        <v>2.80444</v>
      </c>
      <c r="G537">
        <f>-(Table2451[[#This Row],[time]]-2)*2</f>
        <v>-1.6088800000000001</v>
      </c>
      <c r="H537">
        <v>79.590599999999995</v>
      </c>
      <c r="I537">
        <v>16.8276</v>
      </c>
      <c r="J537">
        <f>Table2451[[#This Row],[CFNM]]/Table2451[[#This Row],[CAREA]]</f>
        <v>0.2114269775576513</v>
      </c>
      <c r="K537">
        <v>2.80444</v>
      </c>
      <c r="L537">
        <f>-(Table3452[[#This Row],[time]]-2)*2</f>
        <v>-1.6088800000000001</v>
      </c>
      <c r="M537">
        <v>42.014200000000002</v>
      </c>
      <c r="N537">
        <v>29.7379</v>
      </c>
      <c r="O537">
        <f>Table3452[[#This Row],[CFNM]]/Table3452[[#This Row],[CAREA]]</f>
        <v>0.70780593228003863</v>
      </c>
      <c r="P537">
        <v>2.80444</v>
      </c>
      <c r="Q537">
        <f>-(Table4453[[#This Row],[time]]-2)*2</f>
        <v>-1.6088800000000001</v>
      </c>
      <c r="R537">
        <v>72.574299999999994</v>
      </c>
      <c r="S537">
        <v>39.836199999999998</v>
      </c>
      <c r="T537">
        <f>Table4453[[#This Row],[CFNM]]/Table4453[[#This Row],[CAREA]]</f>
        <v>0.54890229736973006</v>
      </c>
      <c r="U537">
        <v>2.80444</v>
      </c>
      <c r="V537">
        <f>-(Table5454[[#This Row],[time]]-2)*2</f>
        <v>-1.6088800000000001</v>
      </c>
      <c r="W537">
        <v>79.253399999999999</v>
      </c>
      <c r="X537">
        <v>61.5824</v>
      </c>
      <c r="Y537">
        <f>Table5454[[#This Row],[CFNM]]/Table5454[[#This Row],[CAREA]]</f>
        <v>0.77703164785359369</v>
      </c>
      <c r="Z537">
        <v>2.80444</v>
      </c>
      <c r="AA537">
        <f>-(Table6455[[#This Row],[time]]-2)*2</f>
        <v>-1.6088800000000001</v>
      </c>
      <c r="AB537">
        <v>72.335099999999997</v>
      </c>
      <c r="AC537">
        <v>79.540099999999995</v>
      </c>
      <c r="AD537">
        <f>Table6455[[#This Row],[CFNM]]/Table6455[[#This Row],[CAREA]]</f>
        <v>1.0996058621609703</v>
      </c>
      <c r="AE537">
        <v>2.80444</v>
      </c>
      <c r="AF537">
        <f>-(Table7456[[#This Row],[time]]-2)*2</f>
        <v>-1.6088800000000001</v>
      </c>
      <c r="AG537">
        <v>72.372399999999999</v>
      </c>
      <c r="AH537">
        <v>71.495400000000004</v>
      </c>
      <c r="AI537">
        <f>Table7456[[#This Row],[CFNM]]/Table7456[[#This Row],[CAREA]]</f>
        <v>0.98788212080848503</v>
      </c>
      <c r="AJ537">
        <v>2.80444</v>
      </c>
      <c r="AK537">
        <f>-(Table8457[[#This Row],[time]]-2)*2</f>
        <v>-1.6088800000000001</v>
      </c>
      <c r="AL537">
        <v>82.189499999999995</v>
      </c>
      <c r="AM537">
        <v>72.528400000000005</v>
      </c>
      <c r="AN537">
        <f>Table8457[[#This Row],[CFNM]]/Table8457[[#This Row],[CAREA]]</f>
        <v>0.88245335474726105</v>
      </c>
    </row>
    <row r="538" spans="1:40">
      <c r="A538">
        <v>2.8583699999999999</v>
      </c>
      <c r="B538">
        <f>-(Table1450[[#This Row],[time]]-2)*2</f>
        <v>-1.7167399999999997</v>
      </c>
      <c r="C538">
        <v>50.826700000000002</v>
      </c>
      <c r="D538">
        <v>24.401499999999999</v>
      </c>
      <c r="E538">
        <f>Table1450[[#This Row],[CFNM]]/Table1450[[#This Row],[CAREA]]</f>
        <v>0.48009215628793522</v>
      </c>
      <c r="F538">
        <v>2.8583699999999999</v>
      </c>
      <c r="G538">
        <f>-(Table2451[[#This Row],[time]]-2)*2</f>
        <v>-1.7167399999999997</v>
      </c>
      <c r="H538">
        <v>78.874600000000001</v>
      </c>
      <c r="I538">
        <v>17.8779</v>
      </c>
      <c r="J538">
        <f>Table2451[[#This Row],[CFNM]]/Table2451[[#This Row],[CAREA]]</f>
        <v>0.22666232221779889</v>
      </c>
      <c r="K538">
        <v>2.8583699999999999</v>
      </c>
      <c r="L538">
        <f>-(Table3452[[#This Row],[time]]-2)*2</f>
        <v>-1.7167399999999997</v>
      </c>
      <c r="M538">
        <v>39.7254</v>
      </c>
      <c r="N538">
        <v>31.793700000000001</v>
      </c>
      <c r="O538">
        <f>Table3452[[#This Row],[CFNM]]/Table3452[[#This Row],[CAREA]]</f>
        <v>0.80033681221586195</v>
      </c>
      <c r="P538">
        <v>2.8583699999999999</v>
      </c>
      <c r="Q538">
        <f>-(Table4453[[#This Row],[time]]-2)*2</f>
        <v>-1.7167399999999997</v>
      </c>
      <c r="R538">
        <v>71.887600000000006</v>
      </c>
      <c r="S538">
        <v>42.85</v>
      </c>
      <c r="T538">
        <f>Table4453[[#This Row],[CFNM]]/Table4453[[#This Row],[CAREA]]</f>
        <v>0.5960694194826367</v>
      </c>
      <c r="U538">
        <v>2.8583699999999999</v>
      </c>
      <c r="V538">
        <f>-(Table5454[[#This Row],[time]]-2)*2</f>
        <v>-1.7167399999999997</v>
      </c>
      <c r="W538">
        <v>78.164500000000004</v>
      </c>
      <c r="X538">
        <v>65.962199999999996</v>
      </c>
      <c r="Y538">
        <f>Table5454[[#This Row],[CFNM]]/Table5454[[#This Row],[CAREA]]</f>
        <v>0.84388948947412179</v>
      </c>
      <c r="Z538">
        <v>2.8583699999999999</v>
      </c>
      <c r="AA538">
        <f>-(Table6455[[#This Row],[time]]-2)*2</f>
        <v>-1.7167399999999997</v>
      </c>
      <c r="AB538">
        <v>71.882599999999996</v>
      </c>
      <c r="AC538">
        <v>84.746499999999997</v>
      </c>
      <c r="AD538">
        <f>Table6455[[#This Row],[CFNM]]/Table6455[[#This Row],[CAREA]]</f>
        <v>1.1789570772342681</v>
      </c>
      <c r="AE538">
        <v>2.8583699999999999</v>
      </c>
      <c r="AF538">
        <f>-(Table7456[[#This Row],[time]]-2)*2</f>
        <v>-1.7167399999999997</v>
      </c>
      <c r="AG538">
        <v>71.790499999999994</v>
      </c>
      <c r="AH538">
        <v>75.2209</v>
      </c>
      <c r="AI538">
        <f>Table7456[[#This Row],[CFNM]]/Table7456[[#This Row],[CAREA]]</f>
        <v>1.0477834811012601</v>
      </c>
      <c r="AJ538">
        <v>2.8583699999999999</v>
      </c>
      <c r="AK538">
        <f>-(Table8457[[#This Row],[time]]-2)*2</f>
        <v>-1.7167399999999997</v>
      </c>
      <c r="AL538">
        <v>81.951599999999999</v>
      </c>
      <c r="AM538">
        <v>76.437799999999996</v>
      </c>
      <c r="AN538">
        <f>Table8457[[#This Row],[CFNM]]/Table8457[[#This Row],[CAREA]]</f>
        <v>0.93271882428164909</v>
      </c>
    </row>
    <row r="539" spans="1:40">
      <c r="A539">
        <v>2.9134199999999999</v>
      </c>
      <c r="B539">
        <f>-(Table1450[[#This Row],[time]]-2)*2</f>
        <v>-1.8268399999999998</v>
      </c>
      <c r="C539">
        <v>42.757300000000001</v>
      </c>
      <c r="D539">
        <v>25.0305</v>
      </c>
      <c r="E539">
        <f>Table1450[[#This Row],[CFNM]]/Table1450[[#This Row],[CAREA]]</f>
        <v>0.58540880738493772</v>
      </c>
      <c r="F539">
        <v>2.9134199999999999</v>
      </c>
      <c r="G539">
        <f>-(Table2451[[#This Row],[time]]-2)*2</f>
        <v>-1.8268399999999998</v>
      </c>
      <c r="H539">
        <v>77.844999999999999</v>
      </c>
      <c r="I539">
        <v>19.241</v>
      </c>
      <c r="J539">
        <f>Table2451[[#This Row],[CFNM]]/Table2451[[#This Row],[CAREA]]</f>
        <v>0.24717065964416468</v>
      </c>
      <c r="K539">
        <v>2.9134199999999999</v>
      </c>
      <c r="L539">
        <f>-(Table3452[[#This Row],[time]]-2)*2</f>
        <v>-1.8268399999999998</v>
      </c>
      <c r="M539">
        <v>35.7879</v>
      </c>
      <c r="N539">
        <v>34.542700000000004</v>
      </c>
      <c r="O539">
        <f>Table3452[[#This Row],[CFNM]]/Table3452[[#This Row],[CAREA]]</f>
        <v>0.96520611715132776</v>
      </c>
      <c r="P539">
        <v>2.9134199999999999</v>
      </c>
      <c r="Q539">
        <f>-(Table4453[[#This Row],[time]]-2)*2</f>
        <v>-1.8268399999999998</v>
      </c>
      <c r="R539">
        <v>70.989199999999997</v>
      </c>
      <c r="S539">
        <v>47.179299999999998</v>
      </c>
      <c r="T539">
        <f>Table4453[[#This Row],[CFNM]]/Table4453[[#This Row],[CAREA]]</f>
        <v>0.66459827692099638</v>
      </c>
      <c r="U539">
        <v>2.9134199999999999</v>
      </c>
      <c r="V539">
        <f>-(Table5454[[#This Row],[time]]-2)*2</f>
        <v>-1.8268399999999998</v>
      </c>
      <c r="W539">
        <v>76.627300000000005</v>
      </c>
      <c r="X539">
        <v>71.3339</v>
      </c>
      <c r="Y539">
        <f>Table5454[[#This Row],[CFNM]]/Table5454[[#This Row],[CAREA]]</f>
        <v>0.93092018118868858</v>
      </c>
      <c r="Z539">
        <v>2.9134199999999999</v>
      </c>
      <c r="AA539">
        <f>-(Table6455[[#This Row],[time]]-2)*2</f>
        <v>-1.8268399999999998</v>
      </c>
      <c r="AB539">
        <v>70.292400000000001</v>
      </c>
      <c r="AC539">
        <v>91.354500000000002</v>
      </c>
      <c r="AD539">
        <f>Table6455[[#This Row],[CFNM]]/Table6455[[#This Row],[CAREA]]</f>
        <v>1.2996355224746914</v>
      </c>
      <c r="AE539">
        <v>2.9134199999999999</v>
      </c>
      <c r="AF539">
        <f>-(Table7456[[#This Row],[time]]-2)*2</f>
        <v>-1.8268399999999998</v>
      </c>
      <c r="AG539">
        <v>71.092699999999994</v>
      </c>
      <c r="AH539">
        <v>79.743799999999993</v>
      </c>
      <c r="AI539">
        <f>Table7456[[#This Row],[CFNM]]/Table7456[[#This Row],[CAREA]]</f>
        <v>1.1216875994300399</v>
      </c>
      <c r="AJ539">
        <v>2.9134199999999999</v>
      </c>
      <c r="AK539">
        <f>-(Table8457[[#This Row],[time]]-2)*2</f>
        <v>-1.8268399999999998</v>
      </c>
      <c r="AL539">
        <v>81.987899999999996</v>
      </c>
      <c r="AM539">
        <v>81.312799999999996</v>
      </c>
      <c r="AN539">
        <f>Table8457[[#This Row],[CFNM]]/Table8457[[#This Row],[CAREA]]</f>
        <v>0.99176585813272444</v>
      </c>
    </row>
    <row r="540" spans="1:40">
      <c r="A540">
        <v>2.9619599999999999</v>
      </c>
      <c r="B540">
        <f>-(Table1450[[#This Row],[time]]-2)*2</f>
        <v>-1.9239199999999999</v>
      </c>
      <c r="C540">
        <v>38.341700000000003</v>
      </c>
      <c r="D540">
        <v>25.5505</v>
      </c>
      <c r="E540">
        <f>Table1450[[#This Row],[CFNM]]/Table1450[[#This Row],[CAREA]]</f>
        <v>0.6663893358927746</v>
      </c>
      <c r="F540">
        <v>2.9619599999999999</v>
      </c>
      <c r="G540">
        <f>-(Table2451[[#This Row],[time]]-2)*2</f>
        <v>-1.9239199999999999</v>
      </c>
      <c r="H540">
        <v>77.202799999999996</v>
      </c>
      <c r="I540">
        <v>20.195</v>
      </c>
      <c r="J540">
        <f>Table2451[[#This Row],[CFNM]]/Table2451[[#This Row],[CAREA]]</f>
        <v>0.26158377675421102</v>
      </c>
      <c r="K540">
        <v>2.9619599999999999</v>
      </c>
      <c r="L540">
        <f>-(Table3452[[#This Row],[time]]-2)*2</f>
        <v>-1.9239199999999999</v>
      </c>
      <c r="M540">
        <v>33.064599999999999</v>
      </c>
      <c r="N540">
        <v>36.4529</v>
      </c>
      <c r="O540">
        <f>Table3452[[#This Row],[CFNM]]/Table3452[[#This Row],[CAREA]]</f>
        <v>1.1024751546971685</v>
      </c>
      <c r="P540">
        <v>2.9619599999999999</v>
      </c>
      <c r="Q540">
        <f>-(Table4453[[#This Row],[time]]-2)*2</f>
        <v>-1.9239199999999999</v>
      </c>
      <c r="R540">
        <v>70.495000000000005</v>
      </c>
      <c r="S540">
        <v>50.226999999999997</v>
      </c>
      <c r="T540">
        <f>Table4453[[#This Row],[CFNM]]/Table4453[[#This Row],[CAREA]]</f>
        <v>0.71249024753528611</v>
      </c>
      <c r="U540">
        <v>2.9619599999999999</v>
      </c>
      <c r="V540">
        <f>-(Table5454[[#This Row],[time]]-2)*2</f>
        <v>-1.9239199999999999</v>
      </c>
      <c r="W540">
        <v>74.688900000000004</v>
      </c>
      <c r="X540">
        <v>74.774900000000002</v>
      </c>
      <c r="Y540">
        <f>Table5454[[#This Row],[CFNM]]/Table5454[[#This Row],[CAREA]]</f>
        <v>1.0011514428516151</v>
      </c>
      <c r="Z540">
        <v>2.9619599999999999</v>
      </c>
      <c r="AA540">
        <f>-(Table6455[[#This Row],[time]]-2)*2</f>
        <v>-1.9239199999999999</v>
      </c>
      <c r="AB540">
        <v>69.876999999999995</v>
      </c>
      <c r="AC540">
        <v>95.586799999999997</v>
      </c>
      <c r="AD540">
        <f>Table6455[[#This Row],[CFNM]]/Table6455[[#This Row],[CAREA]]</f>
        <v>1.3679293615925125</v>
      </c>
      <c r="AE540">
        <v>2.9619599999999999</v>
      </c>
      <c r="AF540">
        <f>-(Table7456[[#This Row],[time]]-2)*2</f>
        <v>-1.9239199999999999</v>
      </c>
      <c r="AG540">
        <v>70.639499999999998</v>
      </c>
      <c r="AH540">
        <v>82.740700000000004</v>
      </c>
      <c r="AI540">
        <f>Table7456[[#This Row],[CFNM]]/Table7456[[#This Row],[CAREA]]</f>
        <v>1.171309253321442</v>
      </c>
      <c r="AJ540">
        <v>2.9619599999999999</v>
      </c>
      <c r="AK540">
        <f>-(Table8457[[#This Row],[time]]-2)*2</f>
        <v>-1.9239199999999999</v>
      </c>
      <c r="AL540">
        <v>82.031400000000005</v>
      </c>
      <c r="AM540">
        <v>84.517300000000006</v>
      </c>
      <c r="AN540">
        <f>Table8457[[#This Row],[CFNM]]/Table8457[[#This Row],[CAREA]]</f>
        <v>1.0303042493484202</v>
      </c>
    </row>
    <row r="541" spans="1:40">
      <c r="A541">
        <v>3</v>
      </c>
      <c r="B541">
        <f>-(Table1450[[#This Row],[time]]-2)*2</f>
        <v>-2</v>
      </c>
      <c r="C541">
        <v>34.385599999999997</v>
      </c>
      <c r="D541">
        <v>26.354800000000001</v>
      </c>
      <c r="E541">
        <f>Table1450[[#This Row],[CFNM]]/Table1450[[#This Row],[CAREA]]</f>
        <v>0.76644874598669221</v>
      </c>
      <c r="F541">
        <v>3</v>
      </c>
      <c r="G541">
        <f>-(Table2451[[#This Row],[time]]-2)*2</f>
        <v>-2</v>
      </c>
      <c r="H541">
        <v>76.671800000000005</v>
      </c>
      <c r="I541">
        <v>21.3505</v>
      </c>
      <c r="J541">
        <f>Table2451[[#This Row],[CFNM]]/Table2451[[#This Row],[CAREA]]</f>
        <v>0.27846613748470755</v>
      </c>
      <c r="K541">
        <v>3</v>
      </c>
      <c r="L541">
        <f>-(Table3452[[#This Row],[time]]-2)*2</f>
        <v>-2</v>
      </c>
      <c r="M541">
        <v>30.393799999999999</v>
      </c>
      <c r="N541">
        <v>39.145000000000003</v>
      </c>
      <c r="O541">
        <f>Table3452[[#This Row],[CFNM]]/Table3452[[#This Row],[CAREA]]</f>
        <v>1.2879271430357508</v>
      </c>
      <c r="P541">
        <v>3</v>
      </c>
      <c r="Q541">
        <f>-(Table4453[[#This Row],[time]]-2)*2</f>
        <v>-2</v>
      </c>
      <c r="R541">
        <v>70.071399999999997</v>
      </c>
      <c r="S541">
        <v>54.044800000000002</v>
      </c>
      <c r="T541">
        <f>Table4453[[#This Row],[CFNM]]/Table4453[[#This Row],[CAREA]]</f>
        <v>0.77128186392736553</v>
      </c>
      <c r="U541">
        <v>3</v>
      </c>
      <c r="V541">
        <f>-(Table5454[[#This Row],[time]]-2)*2</f>
        <v>-2</v>
      </c>
      <c r="W541">
        <v>74.292199999999994</v>
      </c>
      <c r="X541">
        <v>78.932900000000004</v>
      </c>
      <c r="Y541">
        <f>Table5454[[#This Row],[CFNM]]/Table5454[[#This Row],[CAREA]]</f>
        <v>1.0624655078191252</v>
      </c>
      <c r="Z541">
        <v>3</v>
      </c>
      <c r="AA541">
        <f>-(Table6455[[#This Row],[time]]-2)*2</f>
        <v>-2</v>
      </c>
      <c r="AB541">
        <v>69.173100000000005</v>
      </c>
      <c r="AC541">
        <v>100.614</v>
      </c>
      <c r="AD541">
        <f>Table6455[[#This Row],[CFNM]]/Table6455[[#This Row],[CAREA]]</f>
        <v>1.4545249526188648</v>
      </c>
      <c r="AE541">
        <v>3</v>
      </c>
      <c r="AF541">
        <f>-(Table7456[[#This Row],[time]]-2)*2</f>
        <v>-2</v>
      </c>
      <c r="AG541">
        <v>70.265699999999995</v>
      </c>
      <c r="AH541">
        <v>86.503200000000007</v>
      </c>
      <c r="AI541">
        <f>Table7456[[#This Row],[CFNM]]/Table7456[[#This Row],[CAREA]]</f>
        <v>1.2310871449370036</v>
      </c>
      <c r="AJ541">
        <v>3</v>
      </c>
      <c r="AK541">
        <f>-(Table8457[[#This Row],[time]]-2)*2</f>
        <v>-2</v>
      </c>
      <c r="AL541">
        <v>82.037999999999997</v>
      </c>
      <c r="AM541">
        <v>88.388900000000007</v>
      </c>
      <c r="AN541">
        <f>Table8457[[#This Row],[CFNM]]/Table8457[[#This Row],[CAREA]]</f>
        <v>1.0774141251615106</v>
      </c>
    </row>
    <row r="543" spans="1:40">
      <c r="A543" t="s">
        <v>59</v>
      </c>
      <c r="E543" t="s">
        <v>2</v>
      </c>
    </row>
    <row r="544" spans="1:40">
      <c r="A544" t="s">
        <v>60</v>
      </c>
      <c r="E544" t="s">
        <v>4</v>
      </c>
      <c r="F544" t="s">
        <v>5</v>
      </c>
    </row>
    <row r="546" spans="1:40">
      <c r="A546" t="s">
        <v>7</v>
      </c>
      <c r="F546" t="s">
        <v>8</v>
      </c>
      <c r="K546" t="s">
        <v>9</v>
      </c>
      <c r="P546" t="s">
        <v>26</v>
      </c>
      <c r="U546" t="s">
        <v>11</v>
      </c>
      <c r="Z546" t="s">
        <v>12</v>
      </c>
      <c r="AE546" t="s">
        <v>13</v>
      </c>
      <c r="AJ546" t="s">
        <v>14</v>
      </c>
    </row>
    <row r="547" spans="1:40">
      <c r="A547" t="s">
        <v>15</v>
      </c>
      <c r="B547" t="s">
        <v>16</v>
      </c>
      <c r="C547" t="s">
        <v>20</v>
      </c>
      <c r="D547" t="s">
        <v>18</v>
      </c>
      <c r="E547" t="s">
        <v>19</v>
      </c>
      <c r="F547" t="s">
        <v>15</v>
      </c>
      <c r="G547" t="s">
        <v>16</v>
      </c>
      <c r="H547" t="s">
        <v>20</v>
      </c>
      <c r="I547" t="s">
        <v>18</v>
      </c>
      <c r="J547" t="s">
        <v>19</v>
      </c>
      <c r="K547" t="s">
        <v>15</v>
      </c>
      <c r="L547" t="s">
        <v>16</v>
      </c>
      <c r="M547" t="s">
        <v>20</v>
      </c>
      <c r="N547" t="s">
        <v>18</v>
      </c>
      <c r="O547" t="s">
        <v>19</v>
      </c>
      <c r="P547" t="s">
        <v>15</v>
      </c>
      <c r="Q547" t="s">
        <v>16</v>
      </c>
      <c r="R547" t="s">
        <v>20</v>
      </c>
      <c r="S547" t="s">
        <v>18</v>
      </c>
      <c r="T547" t="s">
        <v>19</v>
      </c>
      <c r="U547" t="s">
        <v>15</v>
      </c>
      <c r="V547" t="s">
        <v>16</v>
      </c>
      <c r="W547" t="s">
        <v>20</v>
      </c>
      <c r="X547" t="s">
        <v>18</v>
      </c>
      <c r="Y547" t="s">
        <v>19</v>
      </c>
      <c r="Z547" t="s">
        <v>15</v>
      </c>
      <c r="AA547" t="s">
        <v>16</v>
      </c>
      <c r="AB547" t="s">
        <v>20</v>
      </c>
      <c r="AC547" t="s">
        <v>18</v>
      </c>
      <c r="AD547" t="s">
        <v>19</v>
      </c>
      <c r="AE547" t="s">
        <v>15</v>
      </c>
      <c r="AF547" t="s">
        <v>16</v>
      </c>
      <c r="AG547" t="s">
        <v>20</v>
      </c>
      <c r="AH547" t="s">
        <v>18</v>
      </c>
      <c r="AI547" t="s">
        <v>19</v>
      </c>
      <c r="AJ547" t="s">
        <v>15</v>
      </c>
      <c r="AK547" t="s">
        <v>16</v>
      </c>
      <c r="AL547" t="s">
        <v>20</v>
      </c>
      <c r="AM547" t="s">
        <v>18</v>
      </c>
      <c r="AN547" t="s">
        <v>19</v>
      </c>
    </row>
    <row r="548" spans="1:40">
      <c r="A548">
        <v>2</v>
      </c>
      <c r="B548">
        <f>(Table110458[[#This Row],[time]]-2)*2</f>
        <v>0</v>
      </c>
      <c r="C548">
        <v>88.270499999999998</v>
      </c>
      <c r="D548">
        <v>6.2275299999999998</v>
      </c>
      <c r="E548" s="2">
        <f>Table110458[[#This Row],[CFNM]]/Table110458[[#This Row],[CAREA]]</f>
        <v>7.0550523674387258E-2</v>
      </c>
      <c r="F548">
        <v>2</v>
      </c>
      <c r="G548">
        <f>(Table211459[[#This Row],[time]]-2)*2</f>
        <v>0</v>
      </c>
      <c r="H548">
        <v>91.525499999999994</v>
      </c>
      <c r="I548">
        <v>4.7580499999999998E-3</v>
      </c>
      <c r="J548" s="2">
        <f>Table211459[[#This Row],[CFNM]]/Table211459[[#This Row],[CAREA]]</f>
        <v>5.1986058530136412E-5</v>
      </c>
      <c r="K548">
        <v>2</v>
      </c>
      <c r="L548">
        <f>(Table312460[[#This Row],[time]]-2)*2</f>
        <v>0</v>
      </c>
      <c r="M548">
        <v>87.679299999999998</v>
      </c>
      <c r="N548">
        <v>0.66283899999999996</v>
      </c>
      <c r="O548">
        <f>Table312460[[#This Row],[CFNM]]/Table312460[[#This Row],[CAREA]]</f>
        <v>7.55981172294943E-3</v>
      </c>
      <c r="P548">
        <v>2</v>
      </c>
      <c r="Q548">
        <f>(Table413461[[#This Row],[time]]-2)*2</f>
        <v>0</v>
      </c>
      <c r="R548">
        <v>81.933000000000007</v>
      </c>
      <c r="S548">
        <v>6.07223E-2</v>
      </c>
      <c r="T548">
        <f>Table413461[[#This Row],[CFNM]]/Table413461[[#This Row],[CAREA]]</f>
        <v>7.4112140407406042E-4</v>
      </c>
      <c r="U548">
        <v>2</v>
      </c>
      <c r="V548">
        <f>(Table514462[[#This Row],[time]]-2)*2</f>
        <v>0</v>
      </c>
      <c r="W548">
        <v>82.935699999999997</v>
      </c>
      <c r="X548">
        <v>5.1279199999999996</v>
      </c>
      <c r="Y548">
        <f>Table514462[[#This Row],[CFNM]]/Table514462[[#This Row],[CAREA]]</f>
        <v>6.1830068354158704E-2</v>
      </c>
      <c r="Z548">
        <v>2</v>
      </c>
      <c r="AA548">
        <f>(Table615463[[#This Row],[time]]-2)*2</f>
        <v>0</v>
      </c>
      <c r="AB548">
        <v>86.346400000000003</v>
      </c>
      <c r="AC548">
        <v>6.9678800000000001</v>
      </c>
      <c r="AD548">
        <f>Table615463[[#This Row],[CFNM]]/Table615463[[#This Row],[CAREA]]</f>
        <v>8.0696821176099984E-2</v>
      </c>
      <c r="AE548">
        <v>2</v>
      </c>
      <c r="AF548">
        <f>(Table716464[[#This Row],[time]]-2)*2</f>
        <v>0</v>
      </c>
      <c r="AG548">
        <v>78.678799999999995</v>
      </c>
      <c r="AH548">
        <v>17.726099999999999</v>
      </c>
      <c r="AI548">
        <f>Table716464[[#This Row],[CFNM]]/Table716464[[#This Row],[CAREA]]</f>
        <v>0.22529703045801411</v>
      </c>
      <c r="AJ548">
        <v>2</v>
      </c>
      <c r="AK548">
        <f>(Table817465[[#This Row],[time]]-2)*2</f>
        <v>0</v>
      </c>
      <c r="AL548">
        <v>83.316699999999997</v>
      </c>
      <c r="AM548">
        <v>16.678599999999999</v>
      </c>
      <c r="AN548">
        <f>Table817465[[#This Row],[CFNM]]/Table817465[[#This Row],[CAREA]]</f>
        <v>0.200183156558049</v>
      </c>
    </row>
    <row r="549" spans="1:40">
      <c r="A549">
        <v>2.0512600000000001</v>
      </c>
      <c r="B549">
        <f>(Table110458[[#This Row],[time]]-2)*2</f>
        <v>0.10252000000000017</v>
      </c>
      <c r="C549">
        <v>89.272300000000001</v>
      </c>
      <c r="D549">
        <v>8.7454800000000006</v>
      </c>
      <c r="E549">
        <f>Table110458[[#This Row],[CFNM]]/Table110458[[#This Row],[CAREA]]</f>
        <v>9.7964094125501416E-2</v>
      </c>
      <c r="F549">
        <v>2.0512600000000001</v>
      </c>
      <c r="G549">
        <f>(Table211459[[#This Row],[time]]-2)*2</f>
        <v>0.10252000000000017</v>
      </c>
      <c r="H549">
        <v>95.620699999999999</v>
      </c>
      <c r="I549">
        <v>2.2751199999999998</v>
      </c>
      <c r="J549">
        <f>Table211459[[#This Row],[CFNM]]/Table211459[[#This Row],[CAREA]]</f>
        <v>2.3793174490460745E-2</v>
      </c>
      <c r="K549">
        <v>2.0512600000000001</v>
      </c>
      <c r="L549">
        <f>(Table312460[[#This Row],[time]]-2)*2</f>
        <v>0.10252000000000017</v>
      </c>
      <c r="M549">
        <v>87.281000000000006</v>
      </c>
      <c r="N549">
        <v>1.1625000000000001</v>
      </c>
      <c r="O549">
        <f>Table312460[[#This Row],[CFNM]]/Table312460[[#This Row],[CAREA]]</f>
        <v>1.3319049965055396E-2</v>
      </c>
      <c r="P549">
        <v>2.0512600000000001</v>
      </c>
      <c r="Q549">
        <f>(Table413461[[#This Row],[time]]-2)*2</f>
        <v>0.10252000000000017</v>
      </c>
      <c r="R549">
        <v>85.187799999999996</v>
      </c>
      <c r="S549">
        <v>3.4671699999999999</v>
      </c>
      <c r="T549">
        <f>Table413461[[#This Row],[CFNM]]/Table413461[[#This Row],[CAREA]]</f>
        <v>4.0700311546958599E-2</v>
      </c>
      <c r="U549">
        <v>2.0512600000000001</v>
      </c>
      <c r="V549">
        <f>(Table514462[[#This Row],[time]]-2)*2</f>
        <v>0.10252000000000017</v>
      </c>
      <c r="W549">
        <v>82.380499999999998</v>
      </c>
      <c r="X549">
        <v>2.7461000000000002</v>
      </c>
      <c r="Y549">
        <f>Table514462[[#This Row],[CFNM]]/Table514462[[#This Row],[CAREA]]</f>
        <v>3.3334344899581821E-2</v>
      </c>
      <c r="Z549">
        <v>2.0512600000000001</v>
      </c>
      <c r="AA549">
        <f>(Table615463[[#This Row],[time]]-2)*2</f>
        <v>0.10252000000000017</v>
      </c>
      <c r="AB549">
        <v>88.281099999999995</v>
      </c>
      <c r="AC549">
        <v>7.5681799999999999</v>
      </c>
      <c r="AD549">
        <f>Table615463[[#This Row],[CFNM]]/Table615463[[#This Row],[CAREA]]</f>
        <v>8.5728202299246395E-2</v>
      </c>
      <c r="AE549">
        <v>2.0512600000000001</v>
      </c>
      <c r="AF549">
        <f>(Table716464[[#This Row],[time]]-2)*2</f>
        <v>0.10252000000000017</v>
      </c>
      <c r="AG549">
        <v>78.581100000000006</v>
      </c>
      <c r="AH549">
        <v>18.874300000000002</v>
      </c>
      <c r="AI549">
        <f>Table716464[[#This Row],[CFNM]]/Table716464[[#This Row],[CAREA]]</f>
        <v>0.24018879857879313</v>
      </c>
      <c r="AJ549">
        <v>2.0512600000000001</v>
      </c>
      <c r="AK549">
        <f>(Table817465[[#This Row],[time]]-2)*2</f>
        <v>0.10252000000000017</v>
      </c>
      <c r="AL549">
        <v>83.383600000000001</v>
      </c>
      <c r="AM549">
        <v>18.172000000000001</v>
      </c>
      <c r="AN549">
        <f>Table817465[[#This Row],[CFNM]]/Table817465[[#This Row],[CAREA]]</f>
        <v>0.21793254309000812</v>
      </c>
    </row>
    <row r="550" spans="1:40">
      <c r="A550">
        <v>2.1153300000000002</v>
      </c>
      <c r="B550">
        <f>(Table110458[[#This Row],[time]]-2)*2</f>
        <v>0.23066000000000031</v>
      </c>
      <c r="C550">
        <v>88.460700000000003</v>
      </c>
      <c r="D550">
        <v>8.1763899999999996</v>
      </c>
      <c r="E550">
        <f>Table110458[[#This Row],[CFNM]]/Table110458[[#This Row],[CAREA]]</f>
        <v>9.242963259390892E-2</v>
      </c>
      <c r="F550">
        <v>2.1153300000000002</v>
      </c>
      <c r="G550">
        <f>(Table211459[[#This Row],[time]]-2)*2</f>
        <v>0.23066000000000031</v>
      </c>
      <c r="H550">
        <v>94.871700000000004</v>
      </c>
      <c r="I550">
        <v>1.4386000000000001</v>
      </c>
      <c r="J550">
        <f>Table211459[[#This Row],[CFNM]]/Table211459[[#This Row],[CAREA]]</f>
        <v>1.5163636785258408E-2</v>
      </c>
      <c r="K550">
        <v>2.1153300000000002</v>
      </c>
      <c r="L550">
        <f>(Table312460[[#This Row],[time]]-2)*2</f>
        <v>0.23066000000000031</v>
      </c>
      <c r="M550">
        <v>85.75</v>
      </c>
      <c r="N550">
        <v>0.145477</v>
      </c>
      <c r="O550">
        <f>Table312460[[#This Row],[CFNM]]/Table312460[[#This Row],[CAREA]]</f>
        <v>1.6965247813411077E-3</v>
      </c>
      <c r="P550">
        <v>2.1153300000000002</v>
      </c>
      <c r="Q550">
        <f>(Table413461[[#This Row],[time]]-2)*2</f>
        <v>0.23066000000000031</v>
      </c>
      <c r="R550">
        <v>83.513599999999997</v>
      </c>
      <c r="S550">
        <v>2.0108799999999998</v>
      </c>
      <c r="T550">
        <f>Table413461[[#This Row],[CFNM]]/Table413461[[#This Row],[CAREA]]</f>
        <v>2.4078473446241089E-2</v>
      </c>
      <c r="U550">
        <v>2.1153300000000002</v>
      </c>
      <c r="V550">
        <f>(Table514462[[#This Row],[time]]-2)*2</f>
        <v>0.23066000000000031</v>
      </c>
      <c r="W550">
        <v>80.7577</v>
      </c>
      <c r="X550">
        <v>1.5975999999999999</v>
      </c>
      <c r="Y550">
        <f>Table514462[[#This Row],[CFNM]]/Table514462[[#This Row],[CAREA]]</f>
        <v>1.9782633730282065E-2</v>
      </c>
      <c r="Z550">
        <v>2.1153300000000002</v>
      </c>
      <c r="AA550">
        <f>(Table615463[[#This Row],[time]]-2)*2</f>
        <v>0.23066000000000031</v>
      </c>
      <c r="AB550">
        <v>87.553700000000006</v>
      </c>
      <c r="AC550">
        <v>5.0658899999999996</v>
      </c>
      <c r="AD550">
        <f>Table615463[[#This Row],[CFNM]]/Table615463[[#This Row],[CAREA]]</f>
        <v>5.7860375974973066E-2</v>
      </c>
      <c r="AE550">
        <v>2.1153300000000002</v>
      </c>
      <c r="AF550">
        <f>(Table716464[[#This Row],[time]]-2)*2</f>
        <v>0.23066000000000031</v>
      </c>
      <c r="AG550">
        <v>78.324600000000004</v>
      </c>
      <c r="AH550">
        <v>18.5304</v>
      </c>
      <c r="AI550">
        <f>Table716464[[#This Row],[CFNM]]/Table716464[[#This Row],[CAREA]]</f>
        <v>0.23658467454669413</v>
      </c>
      <c r="AJ550">
        <v>2.1153300000000002</v>
      </c>
      <c r="AK550">
        <f>(Table817465[[#This Row],[time]]-2)*2</f>
        <v>0.23066000000000031</v>
      </c>
      <c r="AL550">
        <v>83.627899999999997</v>
      </c>
      <c r="AM550">
        <v>17.507000000000001</v>
      </c>
      <c r="AN550">
        <f>Table817465[[#This Row],[CFNM]]/Table817465[[#This Row],[CAREA]]</f>
        <v>0.2093440107906572</v>
      </c>
    </row>
    <row r="551" spans="1:40">
      <c r="A551">
        <v>2.16533</v>
      </c>
      <c r="B551">
        <f>(Table110458[[#This Row],[time]]-2)*2</f>
        <v>0.33065999999999995</v>
      </c>
      <c r="C551">
        <v>87.878799999999998</v>
      </c>
      <c r="D551">
        <v>7.9649900000000002</v>
      </c>
      <c r="E551">
        <f>Table110458[[#This Row],[CFNM]]/Table110458[[#This Row],[CAREA]]</f>
        <v>9.0636080601919924E-2</v>
      </c>
      <c r="F551">
        <v>2.16533</v>
      </c>
      <c r="G551">
        <f>(Table211459[[#This Row],[time]]-2)*2</f>
        <v>0.33065999999999995</v>
      </c>
      <c r="H551">
        <v>94.209900000000005</v>
      </c>
      <c r="I551">
        <v>1.12717</v>
      </c>
      <c r="J551">
        <f>Table211459[[#This Row],[CFNM]]/Table211459[[#This Row],[CAREA]]</f>
        <v>1.1964453841899841E-2</v>
      </c>
      <c r="K551">
        <v>2.16533</v>
      </c>
      <c r="L551">
        <f>(Table312460[[#This Row],[time]]-2)*2</f>
        <v>0.33065999999999995</v>
      </c>
      <c r="M551">
        <v>85.144999999999996</v>
      </c>
      <c r="N551">
        <v>5.23194E-3</v>
      </c>
      <c r="O551">
        <f>Table312460[[#This Row],[CFNM]]/Table312460[[#This Row],[CAREA]]</f>
        <v>6.1447413236244061E-5</v>
      </c>
      <c r="P551">
        <v>2.16533</v>
      </c>
      <c r="Q551">
        <f>(Table413461[[#This Row],[time]]-2)*2</f>
        <v>0.33065999999999995</v>
      </c>
      <c r="R551">
        <v>82.7059</v>
      </c>
      <c r="S551">
        <v>1.47664</v>
      </c>
      <c r="T551">
        <f>Table413461[[#This Row],[CFNM]]/Table413461[[#This Row],[CAREA]]</f>
        <v>1.7854107143504876E-2</v>
      </c>
      <c r="U551">
        <v>2.16533</v>
      </c>
      <c r="V551">
        <f>(Table514462[[#This Row],[time]]-2)*2</f>
        <v>0.33065999999999995</v>
      </c>
      <c r="W551">
        <v>80.089200000000005</v>
      </c>
      <c r="X551">
        <v>1.2164999999999999</v>
      </c>
      <c r="Y551">
        <f>Table514462[[#This Row],[CFNM]]/Table514462[[#This Row],[CAREA]]</f>
        <v>1.518931391498479E-2</v>
      </c>
      <c r="Z551">
        <v>2.16533</v>
      </c>
      <c r="AA551">
        <f>(Table615463[[#This Row],[time]]-2)*2</f>
        <v>0.33065999999999995</v>
      </c>
      <c r="AB551">
        <v>85.962500000000006</v>
      </c>
      <c r="AC551">
        <v>3.3464999999999998</v>
      </c>
      <c r="AD551">
        <f>Table615463[[#This Row],[CFNM]]/Table615463[[#This Row],[CAREA]]</f>
        <v>3.8929765886287618E-2</v>
      </c>
      <c r="AE551">
        <v>2.16533</v>
      </c>
      <c r="AF551">
        <f>(Table716464[[#This Row],[time]]-2)*2</f>
        <v>0.33065999999999995</v>
      </c>
      <c r="AG551">
        <v>78.105900000000005</v>
      </c>
      <c r="AH551">
        <v>18.1419</v>
      </c>
      <c r="AI551">
        <f>Table716464[[#This Row],[CFNM]]/Table716464[[#This Row],[CAREA]]</f>
        <v>0.23227310612898638</v>
      </c>
      <c r="AJ551">
        <v>2.16533</v>
      </c>
      <c r="AK551">
        <f>(Table817465[[#This Row],[time]]-2)*2</f>
        <v>0.33065999999999995</v>
      </c>
      <c r="AL551">
        <v>83.837400000000002</v>
      </c>
      <c r="AM551">
        <v>16.717099999999999</v>
      </c>
      <c r="AN551">
        <f>Table817465[[#This Row],[CFNM]]/Table817465[[#This Row],[CAREA]]</f>
        <v>0.1993990748758907</v>
      </c>
    </row>
    <row r="552" spans="1:40">
      <c r="A552">
        <v>2.2246999999999999</v>
      </c>
      <c r="B552">
        <f>(Table110458[[#This Row],[time]]-2)*2</f>
        <v>0.4493999999999998</v>
      </c>
      <c r="C552">
        <v>87.522400000000005</v>
      </c>
      <c r="D552">
        <v>7.8583600000000002</v>
      </c>
      <c r="E552">
        <f>Table110458[[#This Row],[CFNM]]/Table110458[[#This Row],[CAREA]]</f>
        <v>8.9786843139584835E-2</v>
      </c>
      <c r="F552">
        <v>2.2246999999999999</v>
      </c>
      <c r="G552">
        <f>(Table211459[[#This Row],[time]]-2)*2</f>
        <v>0.4493999999999998</v>
      </c>
      <c r="H552">
        <v>93.904499999999999</v>
      </c>
      <c r="I552">
        <v>1.00169</v>
      </c>
      <c r="J552">
        <f>Table211459[[#This Row],[CFNM]]/Table211459[[#This Row],[CAREA]]</f>
        <v>1.066711392957739E-2</v>
      </c>
      <c r="K552">
        <v>2.2246999999999999</v>
      </c>
      <c r="L552">
        <f>(Table312460[[#This Row],[time]]-2)*2</f>
        <v>0.4493999999999998</v>
      </c>
      <c r="M552">
        <v>84.834500000000006</v>
      </c>
      <c r="N552">
        <v>4.8919699999999998E-3</v>
      </c>
      <c r="O552">
        <f>Table312460[[#This Row],[CFNM]]/Table312460[[#This Row],[CAREA]]</f>
        <v>5.7664865119733123E-5</v>
      </c>
      <c r="P552">
        <v>2.2246999999999999</v>
      </c>
      <c r="Q552">
        <f>(Table413461[[#This Row],[time]]-2)*2</f>
        <v>0.4493999999999998</v>
      </c>
      <c r="R552">
        <v>82.334000000000003</v>
      </c>
      <c r="S552">
        <v>1.2501899999999999</v>
      </c>
      <c r="T552">
        <f>Table413461[[#This Row],[CFNM]]/Table413461[[#This Row],[CAREA]]</f>
        <v>1.5184370976753223E-2</v>
      </c>
      <c r="U552">
        <v>2.2246999999999999</v>
      </c>
      <c r="V552">
        <f>(Table514462[[#This Row],[time]]-2)*2</f>
        <v>0.4493999999999998</v>
      </c>
      <c r="W552">
        <v>79.739199999999997</v>
      </c>
      <c r="X552">
        <v>1.01502</v>
      </c>
      <c r="Y552">
        <f>Table514462[[#This Row],[CFNM]]/Table514462[[#This Row],[CAREA]]</f>
        <v>1.27292473463491E-2</v>
      </c>
      <c r="Z552">
        <v>2.2246999999999999</v>
      </c>
      <c r="AA552">
        <f>(Table615463[[#This Row],[time]]-2)*2</f>
        <v>0.4493999999999998</v>
      </c>
      <c r="AB552">
        <v>84.9649</v>
      </c>
      <c r="AC552">
        <v>2.4650699999999999</v>
      </c>
      <c r="AD552">
        <f>Table615463[[#This Row],[CFNM]]/Table615463[[#This Row],[CAREA]]</f>
        <v>2.9012804110874018E-2</v>
      </c>
      <c r="AE552">
        <v>2.2246999999999999</v>
      </c>
      <c r="AF552">
        <f>(Table716464[[#This Row],[time]]-2)*2</f>
        <v>0.4493999999999998</v>
      </c>
      <c r="AG552">
        <v>77.999099999999999</v>
      </c>
      <c r="AH552">
        <v>17.883299999999998</v>
      </c>
      <c r="AI552">
        <f>Table716464[[#This Row],[CFNM]]/Table716464[[#This Row],[CAREA]]</f>
        <v>0.22927572241218167</v>
      </c>
      <c r="AJ552">
        <v>2.2246999999999999</v>
      </c>
      <c r="AK552">
        <f>(Table817465[[#This Row],[time]]-2)*2</f>
        <v>0.4493999999999998</v>
      </c>
      <c r="AL552">
        <v>83.970299999999995</v>
      </c>
      <c r="AM552">
        <v>16.263300000000001</v>
      </c>
      <c r="AN552">
        <f>Table817465[[#This Row],[CFNM]]/Table817465[[#This Row],[CAREA]]</f>
        <v>0.19367919371492065</v>
      </c>
    </row>
    <row r="553" spans="1:40">
      <c r="A553">
        <v>2.2668900000000001</v>
      </c>
      <c r="B553">
        <f>(Table110458[[#This Row],[time]]-2)*2</f>
        <v>0.53378000000000014</v>
      </c>
      <c r="C553">
        <v>86.922700000000006</v>
      </c>
      <c r="D553">
        <v>7.6879900000000001</v>
      </c>
      <c r="E553">
        <f>Table110458[[#This Row],[CFNM]]/Table110458[[#This Row],[CAREA]]</f>
        <v>8.8446286183010883E-2</v>
      </c>
      <c r="F553">
        <v>2.2668900000000001</v>
      </c>
      <c r="G553">
        <f>(Table211459[[#This Row],[time]]-2)*2</f>
        <v>0.53378000000000014</v>
      </c>
      <c r="H553">
        <v>93.416899999999998</v>
      </c>
      <c r="I553">
        <v>0.84141600000000005</v>
      </c>
      <c r="J553">
        <f>Table211459[[#This Row],[CFNM]]/Table211459[[#This Row],[CAREA]]</f>
        <v>9.0071068511158054E-3</v>
      </c>
      <c r="K553">
        <v>2.2668900000000001</v>
      </c>
      <c r="L553">
        <f>(Table312460[[#This Row],[time]]-2)*2</f>
        <v>0.53378000000000014</v>
      </c>
      <c r="M553">
        <v>84.438999999999993</v>
      </c>
      <c r="N553">
        <v>4.7941199999999998E-3</v>
      </c>
      <c r="O553">
        <f>Table312460[[#This Row],[CFNM]]/Table312460[[#This Row],[CAREA]]</f>
        <v>5.6776134250760905E-5</v>
      </c>
      <c r="P553">
        <v>2.2668900000000001</v>
      </c>
      <c r="Q553">
        <f>(Table413461[[#This Row],[time]]-2)*2</f>
        <v>0.53378000000000014</v>
      </c>
      <c r="R553">
        <v>81.852000000000004</v>
      </c>
      <c r="S553">
        <v>1.07511</v>
      </c>
      <c r="T553">
        <f>Table413461[[#This Row],[CFNM]]/Table413461[[#This Row],[CAREA]]</f>
        <v>1.3134804280897229E-2</v>
      </c>
      <c r="U553">
        <v>2.2668900000000001</v>
      </c>
      <c r="V553">
        <f>(Table514462[[#This Row],[time]]-2)*2</f>
        <v>0.53378000000000014</v>
      </c>
      <c r="W553">
        <v>79.163300000000007</v>
      </c>
      <c r="X553">
        <v>0.83752300000000002</v>
      </c>
      <c r="Y553">
        <f>Table514462[[#This Row],[CFNM]]/Table514462[[#This Row],[CAREA]]</f>
        <v>1.0579687809881598E-2</v>
      </c>
      <c r="Z553">
        <v>2.2668900000000001</v>
      </c>
      <c r="AA553">
        <f>(Table615463[[#This Row],[time]]-2)*2</f>
        <v>0.53378000000000014</v>
      </c>
      <c r="AB553">
        <v>84.490499999999997</v>
      </c>
      <c r="AC553">
        <v>1.7735300000000001</v>
      </c>
      <c r="AD553">
        <f>Table615463[[#This Row],[CFNM]]/Table615463[[#This Row],[CAREA]]</f>
        <v>2.0990880631550295E-2</v>
      </c>
      <c r="AE553">
        <v>2.2668900000000001</v>
      </c>
      <c r="AF553">
        <f>(Table716464[[#This Row],[time]]-2)*2</f>
        <v>0.53378000000000014</v>
      </c>
      <c r="AG553">
        <v>77.769800000000004</v>
      </c>
      <c r="AH553">
        <v>17.551100000000002</v>
      </c>
      <c r="AI553">
        <f>Table716464[[#This Row],[CFNM]]/Table716464[[#This Row],[CAREA]]</f>
        <v>0.22568014833521496</v>
      </c>
      <c r="AJ553">
        <v>2.2668900000000001</v>
      </c>
      <c r="AK553">
        <f>(Table817465[[#This Row],[time]]-2)*2</f>
        <v>0.53378000000000014</v>
      </c>
      <c r="AL553">
        <v>84.215999999999994</v>
      </c>
      <c r="AM553">
        <v>15.7104</v>
      </c>
      <c r="AN553">
        <f>Table817465[[#This Row],[CFNM]]/Table817465[[#This Row],[CAREA]]</f>
        <v>0.18654887432316899</v>
      </c>
    </row>
    <row r="554" spans="1:40">
      <c r="A554">
        <v>2.3262700000000001</v>
      </c>
      <c r="B554">
        <f>(Table110458[[#This Row],[time]]-2)*2</f>
        <v>0.65254000000000012</v>
      </c>
      <c r="C554">
        <v>86.267899999999997</v>
      </c>
      <c r="D554">
        <v>7.5164</v>
      </c>
      <c r="E554">
        <f>Table110458[[#This Row],[CFNM]]/Table110458[[#This Row],[CAREA]]</f>
        <v>8.7128584328585723E-2</v>
      </c>
      <c r="F554">
        <v>2.3262700000000001</v>
      </c>
      <c r="G554">
        <f>(Table211459[[#This Row],[time]]-2)*2</f>
        <v>0.65254000000000012</v>
      </c>
      <c r="H554">
        <v>92.978099999999998</v>
      </c>
      <c r="I554">
        <v>0.67875700000000005</v>
      </c>
      <c r="J554">
        <f>Table211459[[#This Row],[CFNM]]/Table211459[[#This Row],[CAREA]]</f>
        <v>7.3001814405757922E-3</v>
      </c>
      <c r="K554">
        <v>2.3262700000000001</v>
      </c>
      <c r="L554">
        <f>(Table312460[[#This Row],[time]]-2)*2</f>
        <v>0.65254000000000012</v>
      </c>
      <c r="M554">
        <v>83.9422</v>
      </c>
      <c r="N554">
        <v>4.6748800000000002E-3</v>
      </c>
      <c r="O554">
        <f>Table312460[[#This Row],[CFNM]]/Table312460[[#This Row],[CAREA]]</f>
        <v>5.5691654495593395E-5</v>
      </c>
      <c r="P554">
        <v>2.3262700000000001</v>
      </c>
      <c r="Q554">
        <f>(Table413461[[#This Row],[time]]-2)*2</f>
        <v>0.65254000000000012</v>
      </c>
      <c r="R554">
        <v>81.486199999999997</v>
      </c>
      <c r="S554">
        <v>0.88299099999999997</v>
      </c>
      <c r="T554">
        <f>Table413461[[#This Row],[CFNM]]/Table413461[[#This Row],[CAREA]]</f>
        <v>1.0836080219718186E-2</v>
      </c>
      <c r="U554">
        <v>2.3262700000000001</v>
      </c>
      <c r="V554">
        <f>(Table514462[[#This Row],[time]]-2)*2</f>
        <v>0.65254000000000012</v>
      </c>
      <c r="W554">
        <v>78.695499999999996</v>
      </c>
      <c r="X554">
        <v>0.70639300000000005</v>
      </c>
      <c r="Y554">
        <f>Table514462[[#This Row],[CFNM]]/Table514462[[#This Row],[CAREA]]</f>
        <v>8.9762819983353562E-3</v>
      </c>
      <c r="Z554">
        <v>2.3262700000000001</v>
      </c>
      <c r="AA554">
        <f>(Table615463[[#This Row],[time]]-2)*2</f>
        <v>0.65254000000000012</v>
      </c>
      <c r="AB554">
        <v>83.537499999999994</v>
      </c>
      <c r="AC554">
        <v>1.1970700000000001</v>
      </c>
      <c r="AD554">
        <f>Table615463[[#This Row],[CFNM]]/Table615463[[#This Row],[CAREA]]</f>
        <v>1.432973215621727E-2</v>
      </c>
      <c r="AE554">
        <v>2.3262700000000001</v>
      </c>
      <c r="AF554">
        <f>(Table716464[[#This Row],[time]]-2)*2</f>
        <v>0.65254000000000012</v>
      </c>
      <c r="AG554">
        <v>77.675700000000006</v>
      </c>
      <c r="AH554">
        <v>17.173999999999999</v>
      </c>
      <c r="AI554">
        <f>Table716464[[#This Row],[CFNM]]/Table716464[[#This Row],[CAREA]]</f>
        <v>0.22109874774221536</v>
      </c>
      <c r="AJ554">
        <v>2.3262700000000001</v>
      </c>
      <c r="AK554">
        <f>(Table817465[[#This Row],[time]]-2)*2</f>
        <v>0.65254000000000012</v>
      </c>
      <c r="AL554">
        <v>84.169700000000006</v>
      </c>
      <c r="AM554">
        <v>15.1195</v>
      </c>
      <c r="AN554">
        <f>Table817465[[#This Row],[CFNM]]/Table817465[[#This Row],[CAREA]]</f>
        <v>0.1796311499268739</v>
      </c>
    </row>
    <row r="555" spans="1:40">
      <c r="A555">
        <v>2.3684599999999998</v>
      </c>
      <c r="B555">
        <f>(Table110458[[#This Row],[time]]-2)*2</f>
        <v>0.73691999999999958</v>
      </c>
      <c r="C555">
        <v>85.408199999999994</v>
      </c>
      <c r="D555">
        <v>7.29983</v>
      </c>
      <c r="E555">
        <f>Table110458[[#This Row],[CFNM]]/Table110458[[#This Row],[CAREA]]</f>
        <v>8.5469896333138978E-2</v>
      </c>
      <c r="F555">
        <v>2.3684599999999998</v>
      </c>
      <c r="G555">
        <f>(Table211459[[#This Row],[time]]-2)*2</f>
        <v>0.73691999999999958</v>
      </c>
      <c r="H555">
        <v>92.323300000000003</v>
      </c>
      <c r="I555">
        <v>0.61082899999999996</v>
      </c>
      <c r="J555">
        <f>Table211459[[#This Row],[CFNM]]/Table211459[[#This Row],[CAREA]]</f>
        <v>6.6161954782812133E-3</v>
      </c>
      <c r="K555">
        <v>2.3684599999999998</v>
      </c>
      <c r="L555">
        <f>(Table312460[[#This Row],[time]]-2)*2</f>
        <v>0.73691999999999958</v>
      </c>
      <c r="M555">
        <v>83.136899999999997</v>
      </c>
      <c r="N555">
        <v>4.4658399999999996E-3</v>
      </c>
      <c r="O555">
        <f>Table312460[[#This Row],[CFNM]]/Table312460[[#This Row],[CAREA]]</f>
        <v>5.3716701007615148E-5</v>
      </c>
      <c r="P555">
        <v>2.3684599999999998</v>
      </c>
      <c r="Q555">
        <f>(Table413461[[#This Row],[time]]-2)*2</f>
        <v>0.73691999999999958</v>
      </c>
      <c r="R555">
        <v>80.764700000000005</v>
      </c>
      <c r="S555">
        <v>0.49852000000000002</v>
      </c>
      <c r="T555">
        <f>Table413461[[#This Row],[CFNM]]/Table413461[[#This Row],[CAREA]]</f>
        <v>6.1724986287326018E-3</v>
      </c>
      <c r="U555">
        <v>2.3684599999999998</v>
      </c>
      <c r="V555">
        <f>(Table514462[[#This Row],[time]]-2)*2</f>
        <v>0.73691999999999958</v>
      </c>
      <c r="W555">
        <v>77.819000000000003</v>
      </c>
      <c r="X555">
        <v>0.52412300000000001</v>
      </c>
      <c r="Y555">
        <f>Table514462[[#This Row],[CFNM]]/Table514462[[#This Row],[CAREA]]</f>
        <v>6.7351546537477991E-3</v>
      </c>
      <c r="Z555">
        <v>2.3684599999999998</v>
      </c>
      <c r="AA555">
        <f>(Table615463[[#This Row],[time]]-2)*2</f>
        <v>0.73691999999999958</v>
      </c>
      <c r="AB555">
        <v>80.945800000000006</v>
      </c>
      <c r="AC555">
        <v>0.49002200000000001</v>
      </c>
      <c r="AD555">
        <f>Table615463[[#This Row],[CFNM]]/Table615463[[#This Row],[CAREA]]</f>
        <v>6.0537050717887767E-3</v>
      </c>
      <c r="AE555">
        <v>2.3684599999999998</v>
      </c>
      <c r="AF555">
        <f>(Table716464[[#This Row],[time]]-2)*2</f>
        <v>0.73691999999999958</v>
      </c>
      <c r="AG555">
        <v>77.768500000000003</v>
      </c>
      <c r="AH555">
        <v>16.503799999999998</v>
      </c>
      <c r="AI555">
        <f>Table716464[[#This Row],[CFNM]]/Table716464[[#This Row],[CAREA]]</f>
        <v>0.21221702874557177</v>
      </c>
      <c r="AJ555">
        <v>2.3684599999999998</v>
      </c>
      <c r="AK555">
        <f>(Table817465[[#This Row],[time]]-2)*2</f>
        <v>0.73691999999999958</v>
      </c>
      <c r="AL555">
        <v>84.1875</v>
      </c>
      <c r="AM555">
        <v>14.102499999999999</v>
      </c>
      <c r="AN555">
        <f>Table817465[[#This Row],[CFNM]]/Table817465[[#This Row],[CAREA]]</f>
        <v>0.16751299183370452</v>
      </c>
    </row>
    <row r="556" spans="1:40">
      <c r="A556">
        <v>2.4278300000000002</v>
      </c>
      <c r="B556">
        <f>(Table110458[[#This Row],[time]]-2)*2</f>
        <v>0.85566000000000031</v>
      </c>
      <c r="C556">
        <v>85.189899999999994</v>
      </c>
      <c r="D556">
        <v>7.2670000000000003</v>
      </c>
      <c r="E556">
        <f>Table110458[[#This Row],[CFNM]]/Table110458[[#This Row],[CAREA]]</f>
        <v>8.5303539504096151E-2</v>
      </c>
      <c r="F556">
        <v>2.4278300000000002</v>
      </c>
      <c r="G556">
        <f>(Table211459[[#This Row],[time]]-2)*2</f>
        <v>0.85566000000000031</v>
      </c>
      <c r="H556">
        <v>92.212999999999994</v>
      </c>
      <c r="I556">
        <v>0.61314599999999997</v>
      </c>
      <c r="J556">
        <f>Table211459[[#This Row],[CFNM]]/Table211459[[#This Row],[CAREA]]</f>
        <v>6.6492360079381434E-3</v>
      </c>
      <c r="K556">
        <v>2.4278300000000002</v>
      </c>
      <c r="L556">
        <f>(Table312460[[#This Row],[time]]-2)*2</f>
        <v>0.85566000000000031</v>
      </c>
      <c r="M556">
        <v>83.034700000000001</v>
      </c>
      <c r="N556">
        <v>4.4349699999999999E-3</v>
      </c>
      <c r="O556">
        <f>Table312460[[#This Row],[CFNM]]/Table312460[[#This Row],[CAREA]]</f>
        <v>5.3411043816621244E-5</v>
      </c>
      <c r="P556">
        <v>2.4278300000000002</v>
      </c>
      <c r="Q556">
        <f>(Table413461[[#This Row],[time]]-2)*2</f>
        <v>0.85566000000000031</v>
      </c>
      <c r="R556">
        <v>80.662899999999993</v>
      </c>
      <c r="S556">
        <v>0.44462099999999999</v>
      </c>
      <c r="T556">
        <f>Table413461[[#This Row],[CFNM]]/Table413461[[#This Row],[CAREA]]</f>
        <v>5.5120879611320695E-3</v>
      </c>
      <c r="U556">
        <v>2.4278300000000002</v>
      </c>
      <c r="V556">
        <f>(Table514462[[#This Row],[time]]-2)*2</f>
        <v>0.85566000000000031</v>
      </c>
      <c r="W556">
        <v>77.492400000000004</v>
      </c>
      <c r="X556">
        <v>0.49641000000000002</v>
      </c>
      <c r="Y556">
        <f>Table514462[[#This Row],[CFNM]]/Table514462[[#This Row],[CAREA]]</f>
        <v>6.4059185158802665E-3</v>
      </c>
      <c r="Z556">
        <v>2.4278300000000002</v>
      </c>
      <c r="AA556">
        <f>(Table615463[[#This Row],[time]]-2)*2</f>
        <v>0.85566000000000031</v>
      </c>
      <c r="AB556">
        <v>80.830100000000002</v>
      </c>
      <c r="AC556">
        <v>0.43408200000000002</v>
      </c>
      <c r="AD556">
        <f>Table615463[[#This Row],[CFNM]]/Table615463[[#This Row],[CAREA]]</f>
        <v>5.3703014099945445E-3</v>
      </c>
      <c r="AE556">
        <v>2.4278300000000002</v>
      </c>
      <c r="AF556">
        <f>(Table716464[[#This Row],[time]]-2)*2</f>
        <v>0.85566000000000031</v>
      </c>
      <c r="AG556">
        <v>77.7881</v>
      </c>
      <c r="AH556">
        <v>16.404900000000001</v>
      </c>
      <c r="AI556">
        <f>Table716464[[#This Row],[CFNM]]/Table716464[[#This Row],[CAREA]]</f>
        <v>0.21089215445550158</v>
      </c>
      <c r="AJ556">
        <v>2.4278300000000002</v>
      </c>
      <c r="AK556">
        <f>(Table817465[[#This Row],[time]]-2)*2</f>
        <v>0.85566000000000031</v>
      </c>
      <c r="AL556">
        <v>84.174499999999995</v>
      </c>
      <c r="AM556">
        <v>13.9611</v>
      </c>
      <c r="AN556">
        <f>Table817465[[#This Row],[CFNM]]/Table817465[[#This Row],[CAREA]]</f>
        <v>0.16585901906159231</v>
      </c>
    </row>
    <row r="557" spans="1:40">
      <c r="A557">
        <v>2.4542000000000002</v>
      </c>
      <c r="B557">
        <f>(Table110458[[#This Row],[time]]-2)*2</f>
        <v>0.90840000000000032</v>
      </c>
      <c r="C557">
        <v>84.689400000000006</v>
      </c>
      <c r="D557">
        <v>7.1281400000000001</v>
      </c>
      <c r="E557">
        <f>Table110458[[#This Row],[CFNM]]/Table110458[[#This Row],[CAREA]]</f>
        <v>8.4168030473707453E-2</v>
      </c>
      <c r="F557">
        <v>2.4542000000000002</v>
      </c>
      <c r="G557">
        <f>(Table211459[[#This Row],[time]]-2)*2</f>
        <v>0.90840000000000032</v>
      </c>
      <c r="H557">
        <v>91.712999999999994</v>
      </c>
      <c r="I557">
        <v>0.62014000000000002</v>
      </c>
      <c r="J557">
        <f>Table211459[[#This Row],[CFNM]]/Table211459[[#This Row],[CAREA]]</f>
        <v>6.7617458811727897E-3</v>
      </c>
      <c r="K557">
        <v>2.4542000000000002</v>
      </c>
      <c r="L557">
        <f>(Table312460[[#This Row],[time]]-2)*2</f>
        <v>0.90840000000000032</v>
      </c>
      <c r="M557">
        <v>82.602400000000003</v>
      </c>
      <c r="N557">
        <v>4.3150699999999998E-3</v>
      </c>
      <c r="O557">
        <f>Table312460[[#This Row],[CFNM]]/Table312460[[#This Row],[CAREA]]</f>
        <v>5.2239039059397785E-5</v>
      </c>
      <c r="P557">
        <v>2.4542000000000002</v>
      </c>
      <c r="Q557">
        <f>(Table413461[[#This Row],[time]]-2)*2</f>
        <v>0.90840000000000032</v>
      </c>
      <c r="R557">
        <v>80.306600000000003</v>
      </c>
      <c r="S557">
        <v>0.232631</v>
      </c>
      <c r="T557">
        <f>Table413461[[#This Row],[CFNM]]/Table413461[[#This Row],[CAREA]]</f>
        <v>2.8967855693056363E-3</v>
      </c>
      <c r="U557">
        <v>2.4542000000000002</v>
      </c>
      <c r="V557">
        <f>(Table514462[[#This Row],[time]]-2)*2</f>
        <v>0.90840000000000032</v>
      </c>
      <c r="W557">
        <v>76.736000000000004</v>
      </c>
      <c r="X557">
        <v>0.38400200000000001</v>
      </c>
      <c r="Y557">
        <f>Table514462[[#This Row],[CFNM]]/Table514462[[#This Row],[CAREA]]</f>
        <v>5.0041962051709755E-3</v>
      </c>
      <c r="Z557">
        <v>2.4542000000000002</v>
      </c>
      <c r="AA557">
        <f>(Table615463[[#This Row],[time]]-2)*2</f>
        <v>0.90840000000000032</v>
      </c>
      <c r="AB557">
        <v>80.237899999999996</v>
      </c>
      <c r="AC557">
        <v>0.21987200000000001</v>
      </c>
      <c r="AD557">
        <f>Table615463[[#This Row],[CFNM]]/Table615463[[#This Row],[CAREA]]</f>
        <v>2.7402511780592466E-3</v>
      </c>
      <c r="AE557">
        <v>2.4542000000000002</v>
      </c>
      <c r="AF557">
        <f>(Table716464[[#This Row],[time]]-2)*2</f>
        <v>0.90840000000000032</v>
      </c>
      <c r="AG557">
        <v>77.936400000000006</v>
      </c>
      <c r="AH557">
        <v>16.027799999999999</v>
      </c>
      <c r="AI557">
        <f>Table716464[[#This Row],[CFNM]]/Table716464[[#This Row],[CAREA]]</f>
        <v>0.20565230110705648</v>
      </c>
      <c r="AJ557">
        <v>2.4542000000000002</v>
      </c>
      <c r="AK557">
        <f>(Table817465[[#This Row],[time]]-2)*2</f>
        <v>0.90840000000000032</v>
      </c>
      <c r="AL557">
        <v>84.093000000000004</v>
      </c>
      <c r="AM557">
        <v>13.420500000000001</v>
      </c>
      <c r="AN557">
        <f>Table817465[[#This Row],[CFNM]]/Table817465[[#This Row],[CAREA]]</f>
        <v>0.15959116692233599</v>
      </c>
    </row>
    <row r="558" spans="1:40">
      <c r="A558">
        <v>2.5061499999999999</v>
      </c>
      <c r="B558">
        <f>(Table110458[[#This Row],[time]]-2)*2</f>
        <v>1.0122999999999998</v>
      </c>
      <c r="C558">
        <v>83.879199999999997</v>
      </c>
      <c r="D558">
        <v>6.9945599999999999</v>
      </c>
      <c r="E558">
        <f>Table110458[[#This Row],[CFNM]]/Table110458[[#This Row],[CAREA]]</f>
        <v>8.3388492021860008E-2</v>
      </c>
      <c r="F558">
        <v>2.5061499999999999</v>
      </c>
      <c r="G558">
        <f>(Table211459[[#This Row],[time]]-2)*2</f>
        <v>1.0122999999999998</v>
      </c>
      <c r="H558">
        <v>91.120699999999999</v>
      </c>
      <c r="I558">
        <v>0.641536</v>
      </c>
      <c r="J558">
        <f>Table211459[[#This Row],[CFNM]]/Table211459[[#This Row],[CAREA]]</f>
        <v>7.0405078099707308E-3</v>
      </c>
      <c r="K558">
        <v>2.5061499999999999</v>
      </c>
      <c r="L558">
        <f>(Table312460[[#This Row],[time]]-2)*2</f>
        <v>1.0122999999999998</v>
      </c>
      <c r="M558">
        <v>82.159899999999993</v>
      </c>
      <c r="N558">
        <v>4.1912900000000003E-3</v>
      </c>
      <c r="O558">
        <f>Table312460[[#This Row],[CFNM]]/Table312460[[#This Row],[CAREA]]</f>
        <v>5.101381574222949E-5</v>
      </c>
      <c r="P558">
        <v>2.5061499999999999</v>
      </c>
      <c r="Q558">
        <f>(Table413461[[#This Row],[time]]-2)*2</f>
        <v>1.0122999999999998</v>
      </c>
      <c r="R558">
        <v>79.861199999999997</v>
      </c>
      <c r="S558">
        <v>7.3055400000000001E-3</v>
      </c>
      <c r="T558">
        <f>Table413461[[#This Row],[CFNM]]/Table413461[[#This Row],[CAREA]]</f>
        <v>9.1477964268004994E-5</v>
      </c>
      <c r="U558">
        <v>2.5061499999999999</v>
      </c>
      <c r="V558">
        <f>(Table514462[[#This Row],[time]]-2)*2</f>
        <v>1.0122999999999998</v>
      </c>
      <c r="W558">
        <v>76.130700000000004</v>
      </c>
      <c r="X558">
        <v>0.24301600000000001</v>
      </c>
      <c r="Y558">
        <f>Table514462[[#This Row],[CFNM]]/Table514462[[#This Row],[CAREA]]</f>
        <v>3.1920893936348937E-3</v>
      </c>
      <c r="Z558">
        <v>2.5061499999999999</v>
      </c>
      <c r="AA558">
        <f>(Table615463[[#This Row],[time]]-2)*2</f>
        <v>1.0122999999999998</v>
      </c>
      <c r="AB558">
        <v>78.238100000000003</v>
      </c>
      <c r="AC558">
        <v>4.2089299999999996E-3</v>
      </c>
      <c r="AD558">
        <f>Table615463[[#This Row],[CFNM]]/Table615463[[#This Row],[CAREA]]</f>
        <v>5.379642399291393E-5</v>
      </c>
      <c r="AE558">
        <v>2.5061499999999999</v>
      </c>
      <c r="AF558">
        <f>(Table716464[[#This Row],[time]]-2)*2</f>
        <v>1.0122999999999998</v>
      </c>
      <c r="AG558">
        <v>78.117599999999996</v>
      </c>
      <c r="AH558">
        <v>15.535</v>
      </c>
      <c r="AI558">
        <f>Table716464[[#This Row],[CFNM]]/Table716464[[#This Row],[CAREA]]</f>
        <v>0.19886683666676908</v>
      </c>
      <c r="AJ558">
        <v>2.5061499999999999</v>
      </c>
      <c r="AK558">
        <f>(Table817465[[#This Row],[time]]-2)*2</f>
        <v>1.0122999999999998</v>
      </c>
      <c r="AL558">
        <v>83.665499999999994</v>
      </c>
      <c r="AM558">
        <v>12.747299999999999</v>
      </c>
      <c r="AN558">
        <f>Table817465[[#This Row],[CFNM]]/Table817465[[#This Row],[CAREA]]</f>
        <v>0.15236029187657996</v>
      </c>
    </row>
    <row r="559" spans="1:40">
      <c r="A559">
        <v>2.5507599999999999</v>
      </c>
      <c r="B559">
        <f>(Table110458[[#This Row],[time]]-2)*2</f>
        <v>1.1015199999999998</v>
      </c>
      <c r="C559">
        <v>83.385300000000001</v>
      </c>
      <c r="D559">
        <v>6.8582799999999997</v>
      </c>
      <c r="E559">
        <f>Table110458[[#This Row],[CFNM]]/Table110458[[#This Row],[CAREA]]</f>
        <v>8.2248070103483464E-2</v>
      </c>
      <c r="F559">
        <v>2.5507599999999999</v>
      </c>
      <c r="G559">
        <f>(Table211459[[#This Row],[time]]-2)*2</f>
        <v>1.1015199999999998</v>
      </c>
      <c r="H559">
        <v>90.549800000000005</v>
      </c>
      <c r="I559">
        <v>0.68071300000000001</v>
      </c>
      <c r="J559">
        <f>Table211459[[#This Row],[CFNM]]/Table211459[[#This Row],[CAREA]]</f>
        <v>7.517553876430428E-3</v>
      </c>
      <c r="K559">
        <v>2.5507599999999999</v>
      </c>
      <c r="L559">
        <f>(Table312460[[#This Row],[time]]-2)*2</f>
        <v>1.1015199999999998</v>
      </c>
      <c r="M559">
        <v>81.654799999999994</v>
      </c>
      <c r="N559">
        <v>4.0502000000000003E-3</v>
      </c>
      <c r="O559">
        <f>Table312460[[#This Row],[CFNM]]/Table312460[[#This Row],[CAREA]]</f>
        <v>4.9601493114917933E-5</v>
      </c>
      <c r="P559">
        <v>2.5507599999999999</v>
      </c>
      <c r="Q559">
        <f>(Table413461[[#This Row],[time]]-2)*2</f>
        <v>1.1015199999999998</v>
      </c>
      <c r="R559">
        <v>79.302400000000006</v>
      </c>
      <c r="S559">
        <v>5.7423999999999999E-3</v>
      </c>
      <c r="T559">
        <f>Table413461[[#This Row],[CFNM]]/Table413461[[#This Row],[CAREA]]</f>
        <v>7.2411427649100141E-5</v>
      </c>
      <c r="U559">
        <v>2.5507599999999999</v>
      </c>
      <c r="V559">
        <f>(Table514462[[#This Row],[time]]-2)*2</f>
        <v>1.1015199999999998</v>
      </c>
      <c r="W559">
        <v>74.156599999999997</v>
      </c>
      <c r="X559">
        <v>0.109873</v>
      </c>
      <c r="Y559">
        <f>Table514462[[#This Row],[CFNM]]/Table514462[[#This Row],[CAREA]]</f>
        <v>1.4816348106574467E-3</v>
      </c>
      <c r="Z559">
        <v>2.5507599999999999</v>
      </c>
      <c r="AA559">
        <f>(Table615463[[#This Row],[time]]-2)*2</f>
        <v>1.1015199999999998</v>
      </c>
      <c r="AB559">
        <v>76.330799999999996</v>
      </c>
      <c r="AC559">
        <v>3.8318499999999999E-3</v>
      </c>
      <c r="AD559">
        <f>Table615463[[#This Row],[CFNM]]/Table615463[[#This Row],[CAREA]]</f>
        <v>5.0200574342205245E-5</v>
      </c>
      <c r="AE559">
        <v>2.5507599999999999</v>
      </c>
      <c r="AF559">
        <f>(Table716464[[#This Row],[time]]-2)*2</f>
        <v>1.1015199999999998</v>
      </c>
      <c r="AG559">
        <v>78.167699999999996</v>
      </c>
      <c r="AH559">
        <v>14.9297</v>
      </c>
      <c r="AI559">
        <f>Table716464[[#This Row],[CFNM]]/Table716464[[#This Row],[CAREA]]</f>
        <v>0.19099576935230281</v>
      </c>
      <c r="AJ559">
        <v>2.5507599999999999</v>
      </c>
      <c r="AK559">
        <f>(Table817465[[#This Row],[time]]-2)*2</f>
        <v>1.1015199999999998</v>
      </c>
      <c r="AL559">
        <v>83.572199999999995</v>
      </c>
      <c r="AM559">
        <v>11.9199</v>
      </c>
      <c r="AN559">
        <f>Table817465[[#This Row],[CFNM]]/Table817465[[#This Row],[CAREA]]</f>
        <v>0.14262996546698545</v>
      </c>
    </row>
    <row r="560" spans="1:40">
      <c r="A560">
        <v>2.60453</v>
      </c>
      <c r="B560">
        <f>(Table110458[[#This Row],[time]]-2)*2</f>
        <v>1.20906</v>
      </c>
      <c r="C560">
        <v>82.848799999999997</v>
      </c>
      <c r="D560">
        <v>6.7358500000000001</v>
      </c>
      <c r="E560">
        <f>Table110458[[#This Row],[CFNM]]/Table110458[[#This Row],[CAREA]]</f>
        <v>8.1302927743069311E-2</v>
      </c>
      <c r="F560">
        <v>2.60453</v>
      </c>
      <c r="G560">
        <f>(Table211459[[#This Row],[time]]-2)*2</f>
        <v>1.20906</v>
      </c>
      <c r="H560">
        <v>90.115899999999996</v>
      </c>
      <c r="I560">
        <v>0.70237400000000005</v>
      </c>
      <c r="J560">
        <f>Table211459[[#This Row],[CFNM]]/Table211459[[#This Row],[CAREA]]</f>
        <v>7.7941184630015356E-3</v>
      </c>
      <c r="K560">
        <v>2.60453</v>
      </c>
      <c r="L560">
        <f>(Table312460[[#This Row],[time]]-2)*2</f>
        <v>1.20906</v>
      </c>
      <c r="M560">
        <v>81.309799999999996</v>
      </c>
      <c r="N560">
        <v>3.9524199999999999E-3</v>
      </c>
      <c r="O560">
        <f>Table312460[[#This Row],[CFNM]]/Table312460[[#This Row],[CAREA]]</f>
        <v>4.8609392717728984E-5</v>
      </c>
      <c r="P560">
        <v>2.60453</v>
      </c>
      <c r="Q560">
        <f>(Table413461[[#This Row],[time]]-2)*2</f>
        <v>1.20906</v>
      </c>
      <c r="R560">
        <v>78.570099999999996</v>
      </c>
      <c r="S560">
        <v>5.5180899999999998E-3</v>
      </c>
      <c r="T560">
        <f>Table413461[[#This Row],[CFNM]]/Table413461[[#This Row],[CAREA]]</f>
        <v>7.0231423913167982E-5</v>
      </c>
      <c r="U560">
        <v>2.60453</v>
      </c>
      <c r="V560">
        <f>(Table514462[[#This Row],[time]]-2)*2</f>
        <v>1.20906</v>
      </c>
      <c r="W560">
        <v>73.679699999999997</v>
      </c>
      <c r="X560">
        <v>1.4817800000000001E-2</v>
      </c>
      <c r="Y560">
        <f>Table514462[[#This Row],[CFNM]]/Table514462[[#This Row],[CAREA]]</f>
        <v>2.0111102515346833E-4</v>
      </c>
      <c r="Z560">
        <v>2.60453</v>
      </c>
      <c r="AA560">
        <f>(Table615463[[#This Row],[time]]-2)*2</f>
        <v>1.20906</v>
      </c>
      <c r="AB560">
        <v>76.016199999999998</v>
      </c>
      <c r="AC560">
        <v>3.6729499999999999E-3</v>
      </c>
      <c r="AD560">
        <f>Table615463[[#This Row],[CFNM]]/Table615463[[#This Row],[CAREA]]</f>
        <v>4.8317990112633888E-5</v>
      </c>
      <c r="AE560">
        <v>2.60453</v>
      </c>
      <c r="AF560">
        <f>(Table716464[[#This Row],[time]]-2)*2</f>
        <v>1.20906</v>
      </c>
      <c r="AG560">
        <v>78.264899999999997</v>
      </c>
      <c r="AH560">
        <v>14.439299999999999</v>
      </c>
      <c r="AI560">
        <f>Table716464[[#This Row],[CFNM]]/Table716464[[#This Row],[CAREA]]</f>
        <v>0.184492665294404</v>
      </c>
      <c r="AJ560">
        <v>2.60453</v>
      </c>
      <c r="AK560">
        <f>(Table817465[[#This Row],[time]]-2)*2</f>
        <v>1.20906</v>
      </c>
      <c r="AL560">
        <v>83.507099999999994</v>
      </c>
      <c r="AM560">
        <v>11.3078</v>
      </c>
      <c r="AN560">
        <f>Table817465[[#This Row],[CFNM]]/Table817465[[#This Row],[CAREA]]</f>
        <v>0.13541124048134831</v>
      </c>
    </row>
    <row r="561" spans="1:40">
      <c r="A561">
        <v>2.65273</v>
      </c>
      <c r="B561">
        <f>(Table110458[[#This Row],[time]]-2)*2</f>
        <v>1.3054600000000001</v>
      </c>
      <c r="C561">
        <v>82.501900000000006</v>
      </c>
      <c r="D561">
        <v>6.6064600000000002</v>
      </c>
      <c r="E561">
        <f>Table110458[[#This Row],[CFNM]]/Table110458[[#This Row],[CAREA]]</f>
        <v>8.0076458845190226E-2</v>
      </c>
      <c r="F561">
        <v>2.65273</v>
      </c>
      <c r="G561">
        <f>(Table211459[[#This Row],[time]]-2)*2</f>
        <v>1.3054600000000001</v>
      </c>
      <c r="H561">
        <v>89.671899999999994</v>
      </c>
      <c r="I561">
        <v>0.73425200000000002</v>
      </c>
      <c r="J561">
        <f>Table211459[[#This Row],[CFNM]]/Table211459[[#This Row],[CAREA]]</f>
        <v>8.1882061158512313E-3</v>
      </c>
      <c r="K561">
        <v>2.65273</v>
      </c>
      <c r="L561">
        <f>(Table312460[[#This Row],[time]]-2)*2</f>
        <v>1.3054600000000001</v>
      </c>
      <c r="M561">
        <v>81.011899999999997</v>
      </c>
      <c r="N561">
        <v>3.85717E-3</v>
      </c>
      <c r="O561">
        <f>Table312460[[#This Row],[CFNM]]/Table312460[[#This Row],[CAREA]]</f>
        <v>4.761238780969216E-5</v>
      </c>
      <c r="P561">
        <v>2.65273</v>
      </c>
      <c r="Q561">
        <f>(Table413461[[#This Row],[time]]-2)*2</f>
        <v>1.3054600000000001</v>
      </c>
      <c r="R561">
        <v>78.252799999999993</v>
      </c>
      <c r="S561">
        <v>5.4135399999999997E-3</v>
      </c>
      <c r="T561">
        <f>Table413461[[#This Row],[CFNM]]/Table413461[[#This Row],[CAREA]]</f>
        <v>6.9180144352662146E-5</v>
      </c>
      <c r="U561">
        <v>2.65273</v>
      </c>
      <c r="V561">
        <f>(Table514462[[#This Row],[time]]-2)*2</f>
        <v>1.3054600000000001</v>
      </c>
      <c r="W561">
        <v>72.894599999999997</v>
      </c>
      <c r="X561">
        <v>4.9937499999999999E-3</v>
      </c>
      <c r="Y561">
        <f>Table514462[[#This Row],[CFNM]]/Table514462[[#This Row],[CAREA]]</f>
        <v>6.85064462936898E-5</v>
      </c>
      <c r="Z561">
        <v>2.65273</v>
      </c>
      <c r="AA561">
        <f>(Table615463[[#This Row],[time]]-2)*2</f>
        <v>1.3054600000000001</v>
      </c>
      <c r="AB561">
        <v>75.591700000000003</v>
      </c>
      <c r="AC561">
        <v>3.53017E-3</v>
      </c>
      <c r="AD561">
        <f>Table615463[[#This Row],[CFNM]]/Table615463[[#This Row],[CAREA]]</f>
        <v>4.6700497541396737E-5</v>
      </c>
      <c r="AE561">
        <v>2.65273</v>
      </c>
      <c r="AF561">
        <f>(Table716464[[#This Row],[time]]-2)*2</f>
        <v>1.3054600000000001</v>
      </c>
      <c r="AG561">
        <v>78.349699999999999</v>
      </c>
      <c r="AH561">
        <v>13.908200000000001</v>
      </c>
      <c r="AI561">
        <f>Table716464[[#This Row],[CFNM]]/Table716464[[#This Row],[CAREA]]</f>
        <v>0.17751440018277034</v>
      </c>
      <c r="AJ561">
        <v>2.65273</v>
      </c>
      <c r="AK561">
        <f>(Table817465[[#This Row],[time]]-2)*2</f>
        <v>1.3054600000000001</v>
      </c>
      <c r="AL561">
        <v>83.442700000000002</v>
      </c>
      <c r="AM561">
        <v>10.7296</v>
      </c>
      <c r="AN561">
        <f>Table817465[[#This Row],[CFNM]]/Table817465[[#This Row],[CAREA]]</f>
        <v>0.12858644315200729</v>
      </c>
    </row>
    <row r="562" spans="1:40">
      <c r="A562">
        <v>2.7006199999999998</v>
      </c>
      <c r="B562">
        <f>(Table110458[[#This Row],[time]]-2)*2</f>
        <v>1.4012399999999996</v>
      </c>
      <c r="C562">
        <v>81.937799999999996</v>
      </c>
      <c r="D562">
        <v>6.4478200000000001</v>
      </c>
      <c r="E562">
        <f>Table110458[[#This Row],[CFNM]]/Table110458[[#This Row],[CAREA]]</f>
        <v>7.8691641708710763E-2</v>
      </c>
      <c r="F562">
        <v>2.7006199999999998</v>
      </c>
      <c r="G562">
        <f>(Table211459[[#This Row],[time]]-2)*2</f>
        <v>1.4012399999999996</v>
      </c>
      <c r="H562">
        <v>89.147599999999997</v>
      </c>
      <c r="I562">
        <v>0.79429799999999995</v>
      </c>
      <c r="J562">
        <f>Table211459[[#This Row],[CFNM]]/Table211459[[#This Row],[CAREA]]</f>
        <v>8.9099201773238986E-3</v>
      </c>
      <c r="K562">
        <v>2.7006199999999998</v>
      </c>
      <c r="L562">
        <f>(Table312460[[#This Row],[time]]-2)*2</f>
        <v>1.4012399999999996</v>
      </c>
      <c r="M562">
        <v>80.602999999999994</v>
      </c>
      <c r="N562">
        <v>3.7249499999999999E-3</v>
      </c>
      <c r="O562">
        <f>Table312460[[#This Row],[CFNM]]/Table312460[[#This Row],[CAREA]]</f>
        <v>4.6213540438941482E-5</v>
      </c>
      <c r="P562">
        <v>2.7006199999999998</v>
      </c>
      <c r="Q562">
        <f>(Table413461[[#This Row],[time]]-2)*2</f>
        <v>1.4012399999999996</v>
      </c>
      <c r="R562">
        <v>77.8874</v>
      </c>
      <c r="S562">
        <v>5.2792899999999999E-3</v>
      </c>
      <c r="T562">
        <f>Table413461[[#This Row],[CFNM]]/Table413461[[#This Row],[CAREA]]</f>
        <v>6.7781053161358569E-5</v>
      </c>
      <c r="U562">
        <v>2.7006199999999998</v>
      </c>
      <c r="V562">
        <f>(Table514462[[#This Row],[time]]-2)*2</f>
        <v>1.4012399999999996</v>
      </c>
      <c r="W562">
        <v>72.244699999999995</v>
      </c>
      <c r="X562">
        <v>4.2335799999999998E-3</v>
      </c>
      <c r="Y562">
        <f>Table514462[[#This Row],[CFNM]]/Table514462[[#This Row],[CAREA]]</f>
        <v>5.8600561702104102E-5</v>
      </c>
      <c r="Z562">
        <v>2.7006199999999998</v>
      </c>
      <c r="AA562">
        <f>(Table615463[[#This Row],[time]]-2)*2</f>
        <v>1.4012399999999996</v>
      </c>
      <c r="AB562">
        <v>74.995400000000004</v>
      </c>
      <c r="AC562">
        <v>3.3554800000000001E-3</v>
      </c>
      <c r="AD562">
        <f>Table615463[[#This Row],[CFNM]]/Table615463[[#This Row],[CAREA]]</f>
        <v>4.4742477538622367E-5</v>
      </c>
      <c r="AE562">
        <v>2.7006199999999998</v>
      </c>
      <c r="AF562">
        <f>(Table716464[[#This Row],[time]]-2)*2</f>
        <v>1.4012399999999996</v>
      </c>
      <c r="AG562">
        <v>78.355000000000004</v>
      </c>
      <c r="AH562">
        <v>13.1386</v>
      </c>
      <c r="AI562">
        <f>Table716464[[#This Row],[CFNM]]/Table716464[[#This Row],[CAREA]]</f>
        <v>0.16768042881756109</v>
      </c>
      <c r="AJ562">
        <v>2.7006199999999998</v>
      </c>
      <c r="AK562">
        <f>(Table817465[[#This Row],[time]]-2)*2</f>
        <v>1.4012399999999996</v>
      </c>
      <c r="AL562">
        <v>83.350099999999998</v>
      </c>
      <c r="AM562">
        <v>10.074999999999999</v>
      </c>
      <c r="AN562">
        <f>Table817465[[#This Row],[CFNM]]/Table817465[[#This Row],[CAREA]]</f>
        <v>0.12087567981322157</v>
      </c>
    </row>
    <row r="563" spans="1:40">
      <c r="A563">
        <v>2.75176</v>
      </c>
      <c r="B563">
        <f>(Table110458[[#This Row],[time]]-2)*2</f>
        <v>1.50352</v>
      </c>
      <c r="C563">
        <v>81.538899999999998</v>
      </c>
      <c r="D563">
        <v>6.2857599999999998</v>
      </c>
      <c r="E563">
        <f>Table110458[[#This Row],[CFNM]]/Table110458[[#This Row],[CAREA]]</f>
        <v>7.708909489826328E-2</v>
      </c>
      <c r="F563">
        <v>2.75176</v>
      </c>
      <c r="G563">
        <f>(Table211459[[#This Row],[time]]-2)*2</f>
        <v>1.50352</v>
      </c>
      <c r="H563">
        <v>88.68</v>
      </c>
      <c r="I563">
        <v>0.83462999999999998</v>
      </c>
      <c r="J563">
        <f>Table211459[[#This Row],[CFNM]]/Table211459[[#This Row],[CAREA]]</f>
        <v>9.4117050067658997E-3</v>
      </c>
      <c r="K563">
        <v>2.75176</v>
      </c>
      <c r="L563">
        <f>(Table312460[[#This Row],[time]]-2)*2</f>
        <v>1.50352</v>
      </c>
      <c r="M563">
        <v>80.081400000000002</v>
      </c>
      <c r="N563">
        <v>3.60728E-3</v>
      </c>
      <c r="O563">
        <f>Table312460[[#This Row],[CFNM]]/Table312460[[#This Row],[CAREA]]</f>
        <v>4.5045166543042452E-5</v>
      </c>
      <c r="P563">
        <v>2.75176</v>
      </c>
      <c r="Q563">
        <f>(Table413461[[#This Row],[time]]-2)*2</f>
        <v>1.50352</v>
      </c>
      <c r="R563">
        <v>77.557299999999998</v>
      </c>
      <c r="S563">
        <v>5.1594800000000001E-3</v>
      </c>
      <c r="T563">
        <f>Table413461[[#This Row],[CFNM]]/Table413461[[#This Row],[CAREA]]</f>
        <v>6.6524750087999459E-5</v>
      </c>
      <c r="U563">
        <v>2.75176</v>
      </c>
      <c r="V563">
        <f>(Table514462[[#This Row],[time]]-2)*2</f>
        <v>1.50352</v>
      </c>
      <c r="W563">
        <v>71.537000000000006</v>
      </c>
      <c r="X563">
        <v>4.1333400000000001E-3</v>
      </c>
      <c r="Y563">
        <f>Table514462[[#This Row],[CFNM]]/Table514462[[#This Row],[CAREA]]</f>
        <v>5.7779051399974836E-5</v>
      </c>
      <c r="Z563">
        <v>2.75176</v>
      </c>
      <c r="AA563">
        <f>(Table615463[[#This Row],[time]]-2)*2</f>
        <v>1.50352</v>
      </c>
      <c r="AB563">
        <v>73.852900000000005</v>
      </c>
      <c r="AC563">
        <v>3.2074099999999999E-3</v>
      </c>
      <c r="AD563">
        <f>Table615463[[#This Row],[CFNM]]/Table615463[[#This Row],[CAREA]]</f>
        <v>4.3429709598404389E-5</v>
      </c>
      <c r="AE563">
        <v>2.75176</v>
      </c>
      <c r="AF563">
        <f>(Table716464[[#This Row],[time]]-2)*2</f>
        <v>1.50352</v>
      </c>
      <c r="AG563">
        <v>78.398200000000003</v>
      </c>
      <c r="AH563">
        <v>12.414300000000001</v>
      </c>
      <c r="AI563">
        <f>Table716464[[#This Row],[CFNM]]/Table716464[[#This Row],[CAREA]]</f>
        <v>0.15834929883594268</v>
      </c>
      <c r="AJ563">
        <v>2.75176</v>
      </c>
      <c r="AK563">
        <f>(Table817465[[#This Row],[time]]-2)*2</f>
        <v>1.50352</v>
      </c>
      <c r="AL563">
        <v>83.263300000000001</v>
      </c>
      <c r="AM563">
        <v>9.5045999999999999</v>
      </c>
      <c r="AN563">
        <f>Table817465[[#This Row],[CFNM]]/Table817465[[#This Row],[CAREA]]</f>
        <v>0.11415113261184699</v>
      </c>
    </row>
    <row r="564" spans="1:40">
      <c r="A564">
        <v>2.80444</v>
      </c>
      <c r="B564">
        <f>(Table110458[[#This Row],[time]]-2)*2</f>
        <v>1.6088800000000001</v>
      </c>
      <c r="C564">
        <v>80.763000000000005</v>
      </c>
      <c r="D564">
        <v>6.0975799999999998</v>
      </c>
      <c r="E564">
        <f>Table110458[[#This Row],[CFNM]]/Table110458[[#This Row],[CAREA]]</f>
        <v>7.549967187944974E-2</v>
      </c>
      <c r="F564">
        <v>2.80444</v>
      </c>
      <c r="G564">
        <f>(Table211459[[#This Row],[time]]-2)*2</f>
        <v>1.6088800000000001</v>
      </c>
      <c r="H564">
        <v>88.159800000000004</v>
      </c>
      <c r="I564">
        <v>0.86388399999999999</v>
      </c>
      <c r="J564">
        <f>Table211459[[#This Row],[CFNM]]/Table211459[[#This Row],[CAREA]]</f>
        <v>9.7990694171266254E-3</v>
      </c>
      <c r="K564">
        <v>2.80444</v>
      </c>
      <c r="L564">
        <f>(Table312460[[#This Row],[time]]-2)*2</f>
        <v>1.6088800000000001</v>
      </c>
      <c r="M564">
        <v>79.663799999999995</v>
      </c>
      <c r="N564">
        <v>3.4819999999999999E-3</v>
      </c>
      <c r="O564">
        <f>Table312460[[#This Row],[CFNM]]/Table312460[[#This Row],[CAREA]]</f>
        <v>4.3708685751872241E-5</v>
      </c>
      <c r="P564">
        <v>2.80444</v>
      </c>
      <c r="Q564">
        <f>(Table413461[[#This Row],[time]]-2)*2</f>
        <v>1.6088800000000001</v>
      </c>
      <c r="R564">
        <v>77.202399999999997</v>
      </c>
      <c r="S564">
        <v>5.0357400000000004E-3</v>
      </c>
      <c r="T564">
        <f>Table413461[[#This Row],[CFNM]]/Table413461[[#This Row],[CAREA]]</f>
        <v>6.5227764939950063E-5</v>
      </c>
      <c r="U564">
        <v>2.80444</v>
      </c>
      <c r="V564">
        <f>(Table514462[[#This Row],[time]]-2)*2</f>
        <v>1.6088800000000001</v>
      </c>
      <c r="W564">
        <v>71.0124</v>
      </c>
      <c r="X564">
        <v>4.0280699999999999E-3</v>
      </c>
      <c r="Y564">
        <f>Table514462[[#This Row],[CFNM]]/Table514462[[#This Row],[CAREA]]</f>
        <v>5.6723473646856042E-5</v>
      </c>
      <c r="Z564">
        <v>2.80444</v>
      </c>
      <c r="AA564">
        <f>(Table615463[[#This Row],[time]]-2)*2</f>
        <v>1.6088800000000001</v>
      </c>
      <c r="AB564">
        <v>72.991399999999999</v>
      </c>
      <c r="AC564">
        <v>3.0540099999999998E-3</v>
      </c>
      <c r="AD564">
        <f>Table615463[[#This Row],[CFNM]]/Table615463[[#This Row],[CAREA]]</f>
        <v>4.1840682600963945E-5</v>
      </c>
      <c r="AE564">
        <v>2.80444</v>
      </c>
      <c r="AF564">
        <f>(Table716464[[#This Row],[time]]-2)*2</f>
        <v>1.6088800000000001</v>
      </c>
      <c r="AG564">
        <v>78.436899999999994</v>
      </c>
      <c r="AH564">
        <v>11.634600000000001</v>
      </c>
      <c r="AI564">
        <f>Table716464[[#This Row],[CFNM]]/Table716464[[#This Row],[CAREA]]</f>
        <v>0.14833069639417165</v>
      </c>
      <c r="AJ564">
        <v>2.80444</v>
      </c>
      <c r="AK564">
        <f>(Table817465[[#This Row],[time]]-2)*2</f>
        <v>1.6088800000000001</v>
      </c>
      <c r="AL564">
        <v>83.148499999999999</v>
      </c>
      <c r="AM564">
        <v>8.9032199999999992</v>
      </c>
      <c r="AN564">
        <f>Table817465[[#This Row],[CFNM]]/Table817465[[#This Row],[CAREA]]</f>
        <v>0.1070761348671353</v>
      </c>
    </row>
    <row r="565" spans="1:40">
      <c r="A565">
        <v>2.8583699999999999</v>
      </c>
      <c r="B565">
        <f>(Table110458[[#This Row],[time]]-2)*2</f>
        <v>1.7167399999999997</v>
      </c>
      <c r="C565">
        <v>79.708100000000002</v>
      </c>
      <c r="D565">
        <v>5.8684900000000004</v>
      </c>
      <c r="E565">
        <f>Table110458[[#This Row],[CFNM]]/Table110458[[#This Row],[CAREA]]</f>
        <v>7.3624763355292625E-2</v>
      </c>
      <c r="F565">
        <v>2.8583699999999999</v>
      </c>
      <c r="G565">
        <f>(Table211459[[#This Row],[time]]-2)*2</f>
        <v>1.7167399999999997</v>
      </c>
      <c r="H565">
        <v>87.656400000000005</v>
      </c>
      <c r="I565">
        <v>0.89494300000000004</v>
      </c>
      <c r="J565">
        <f>Table211459[[#This Row],[CFNM]]/Table211459[[#This Row],[CAREA]]</f>
        <v>1.0209670942452577E-2</v>
      </c>
      <c r="K565">
        <v>2.8583699999999999</v>
      </c>
      <c r="L565">
        <f>(Table312460[[#This Row],[time]]-2)*2</f>
        <v>1.7167399999999997</v>
      </c>
      <c r="M565">
        <v>79.031800000000004</v>
      </c>
      <c r="N565">
        <v>3.34703E-3</v>
      </c>
      <c r="O565">
        <f>Table312460[[#This Row],[CFNM]]/Table312460[[#This Row],[CAREA]]</f>
        <v>4.2350420969786841E-5</v>
      </c>
      <c r="P565">
        <v>2.8583699999999999</v>
      </c>
      <c r="Q565">
        <f>(Table413461[[#This Row],[time]]-2)*2</f>
        <v>1.7167399999999997</v>
      </c>
      <c r="R565">
        <v>76.400800000000004</v>
      </c>
      <c r="S565">
        <v>4.8998699999999997E-3</v>
      </c>
      <c r="T565">
        <f>Table413461[[#This Row],[CFNM]]/Table413461[[#This Row],[CAREA]]</f>
        <v>6.4133752526151559E-5</v>
      </c>
      <c r="U565">
        <v>2.8583699999999999</v>
      </c>
      <c r="V565">
        <f>(Table514462[[#This Row],[time]]-2)*2</f>
        <v>1.7167399999999997</v>
      </c>
      <c r="W565">
        <v>70.100800000000007</v>
      </c>
      <c r="X565">
        <v>3.9105600000000004E-3</v>
      </c>
      <c r="Y565">
        <f>Table514462[[#This Row],[CFNM]]/Table514462[[#This Row],[CAREA]]</f>
        <v>5.5784812726816246E-5</v>
      </c>
      <c r="Z565">
        <v>2.8583699999999999</v>
      </c>
      <c r="AA565">
        <f>(Table615463[[#This Row],[time]]-2)*2</f>
        <v>1.7167399999999997</v>
      </c>
      <c r="AB565">
        <v>71.894400000000005</v>
      </c>
      <c r="AC565">
        <v>2.8915E-3</v>
      </c>
      <c r="AD565">
        <f>Table615463[[#This Row],[CFNM]]/Table615463[[#This Row],[CAREA]]</f>
        <v>4.0218709663061375E-5</v>
      </c>
      <c r="AE565">
        <v>2.8583699999999999</v>
      </c>
      <c r="AF565">
        <f>(Table716464[[#This Row],[time]]-2)*2</f>
        <v>1.7167399999999997</v>
      </c>
      <c r="AG565">
        <v>78.440299999999993</v>
      </c>
      <c r="AH565">
        <v>10.835800000000001</v>
      </c>
      <c r="AI565">
        <f>Table716464[[#This Row],[CFNM]]/Table716464[[#This Row],[CAREA]]</f>
        <v>0.13814072613184805</v>
      </c>
      <c r="AJ565">
        <v>2.8583699999999999</v>
      </c>
      <c r="AK565">
        <f>(Table817465[[#This Row],[time]]-2)*2</f>
        <v>1.7167399999999997</v>
      </c>
      <c r="AL565">
        <v>83.038700000000006</v>
      </c>
      <c r="AM565">
        <v>8.2517499999999995</v>
      </c>
      <c r="AN565">
        <f>Table817465[[#This Row],[CFNM]]/Table817465[[#This Row],[CAREA]]</f>
        <v>9.9372340848303251E-2</v>
      </c>
    </row>
    <row r="566" spans="1:40">
      <c r="A566">
        <v>2.9134199999999999</v>
      </c>
      <c r="B566">
        <f>(Table110458[[#This Row],[time]]-2)*2</f>
        <v>1.8268399999999998</v>
      </c>
      <c r="C566">
        <v>79.430499999999995</v>
      </c>
      <c r="D566">
        <v>5.6683899999999996</v>
      </c>
      <c r="E566">
        <f>Table110458[[#This Row],[CFNM]]/Table110458[[#This Row],[CAREA]]</f>
        <v>7.1362889570127347E-2</v>
      </c>
      <c r="F566">
        <v>2.9134199999999999</v>
      </c>
      <c r="G566">
        <f>(Table211459[[#This Row],[time]]-2)*2</f>
        <v>1.8268399999999998</v>
      </c>
      <c r="H566">
        <v>87.250900000000001</v>
      </c>
      <c r="I566">
        <v>0.93618400000000002</v>
      </c>
      <c r="J566">
        <f>Table211459[[#This Row],[CFNM]]/Table211459[[#This Row],[CAREA]]</f>
        <v>1.0729791898994739E-2</v>
      </c>
      <c r="K566">
        <v>2.9134199999999999</v>
      </c>
      <c r="L566">
        <f>(Table312460[[#This Row],[time]]-2)*2</f>
        <v>1.8268399999999998</v>
      </c>
      <c r="M566">
        <v>78.686800000000005</v>
      </c>
      <c r="N566">
        <v>3.23748E-3</v>
      </c>
      <c r="O566">
        <f>Table312460[[#This Row],[CFNM]]/Table312460[[#This Row],[CAREA]]</f>
        <v>4.114387673663181E-5</v>
      </c>
      <c r="P566">
        <v>2.9134199999999999</v>
      </c>
      <c r="Q566">
        <f>(Table413461[[#This Row],[time]]-2)*2</f>
        <v>1.8268399999999998</v>
      </c>
      <c r="R566">
        <v>76.114500000000007</v>
      </c>
      <c r="S566">
        <v>4.7882000000000003E-3</v>
      </c>
      <c r="T566">
        <f>Table413461[[#This Row],[CFNM]]/Table413461[[#This Row],[CAREA]]</f>
        <v>6.2907855927582784E-5</v>
      </c>
      <c r="U566">
        <v>2.9134199999999999</v>
      </c>
      <c r="V566">
        <f>(Table514462[[#This Row],[time]]-2)*2</f>
        <v>1.8268399999999998</v>
      </c>
      <c r="W566">
        <v>69.711200000000005</v>
      </c>
      <c r="X566">
        <v>3.8141199999999998E-3</v>
      </c>
      <c r="Y566">
        <f>Table514462[[#This Row],[CFNM]]/Table514462[[#This Row],[CAREA]]</f>
        <v>5.4713159434925802E-5</v>
      </c>
      <c r="Z566">
        <v>2.9134199999999999</v>
      </c>
      <c r="AA566">
        <f>(Table615463[[#This Row],[time]]-2)*2</f>
        <v>1.8268399999999998</v>
      </c>
      <c r="AB566">
        <v>70.612899999999996</v>
      </c>
      <c r="AC566">
        <v>2.7651300000000002E-3</v>
      </c>
      <c r="AD566">
        <f>Table615463[[#This Row],[CFNM]]/Table615463[[#This Row],[CAREA]]</f>
        <v>3.9158992195477037E-5</v>
      </c>
      <c r="AE566">
        <v>2.9134199999999999</v>
      </c>
      <c r="AF566">
        <f>(Table716464[[#This Row],[time]]-2)*2</f>
        <v>1.8268399999999998</v>
      </c>
      <c r="AG566">
        <v>78.330600000000004</v>
      </c>
      <c r="AH566">
        <v>10.1503</v>
      </c>
      <c r="AI566">
        <f>Table716464[[#This Row],[CFNM]]/Table716464[[#This Row],[CAREA]]</f>
        <v>0.12958281948561609</v>
      </c>
      <c r="AJ566">
        <v>2.9134199999999999</v>
      </c>
      <c r="AK566">
        <f>(Table817465[[#This Row],[time]]-2)*2</f>
        <v>1.8268399999999998</v>
      </c>
      <c r="AL566">
        <v>82.972899999999996</v>
      </c>
      <c r="AM566">
        <v>7.6694599999999999</v>
      </c>
      <c r="AN566">
        <f>Table817465[[#This Row],[CFNM]]/Table817465[[#This Row],[CAREA]]</f>
        <v>9.2433312563499653E-2</v>
      </c>
    </row>
    <row r="567" spans="1:40">
      <c r="A567">
        <v>2.9619599999999999</v>
      </c>
      <c r="B567">
        <f>(Table110458[[#This Row],[time]]-2)*2</f>
        <v>1.9239199999999999</v>
      </c>
      <c r="C567">
        <v>78.614699999999999</v>
      </c>
      <c r="D567">
        <v>5.3978099999999998</v>
      </c>
      <c r="E567">
        <f>Table110458[[#This Row],[CFNM]]/Table110458[[#This Row],[CAREA]]</f>
        <v>6.8661586191895413E-2</v>
      </c>
      <c r="F567">
        <v>2.9619599999999999</v>
      </c>
      <c r="G567">
        <f>(Table211459[[#This Row],[time]]-2)*2</f>
        <v>1.9239199999999999</v>
      </c>
      <c r="H567">
        <v>86.713700000000003</v>
      </c>
      <c r="I567">
        <v>0.97568100000000002</v>
      </c>
      <c r="J567">
        <f>Table211459[[#This Row],[CFNM]]/Table211459[[#This Row],[CAREA]]</f>
        <v>1.1251751453345896E-2</v>
      </c>
      <c r="K567">
        <v>2.9619599999999999</v>
      </c>
      <c r="L567">
        <f>(Table312460[[#This Row],[time]]-2)*2</f>
        <v>1.9239199999999999</v>
      </c>
      <c r="M567">
        <v>78.234399999999994</v>
      </c>
      <c r="N567">
        <v>3.09969E-3</v>
      </c>
      <c r="O567">
        <f>Table312460[[#This Row],[CFNM]]/Table312460[[#This Row],[CAREA]]</f>
        <v>3.9620550550652915E-5</v>
      </c>
      <c r="P567">
        <v>2.9619599999999999</v>
      </c>
      <c r="Q567">
        <f>(Table413461[[#This Row],[time]]-2)*2</f>
        <v>1.9239199999999999</v>
      </c>
      <c r="R567">
        <v>75.788799999999995</v>
      </c>
      <c r="S567">
        <v>4.6459700000000001E-3</v>
      </c>
      <c r="T567">
        <f>Table413461[[#This Row],[CFNM]]/Table413461[[#This Row],[CAREA]]</f>
        <v>6.130153795811519E-5</v>
      </c>
      <c r="U567">
        <v>2.9619599999999999</v>
      </c>
      <c r="V567">
        <f>(Table514462[[#This Row],[time]]-2)*2</f>
        <v>1.9239199999999999</v>
      </c>
      <c r="W567">
        <v>69.153499999999994</v>
      </c>
      <c r="X567">
        <v>3.6920299999999998E-3</v>
      </c>
      <c r="Y567">
        <f>Table514462[[#This Row],[CFNM]]/Table514462[[#This Row],[CAREA]]</f>
        <v>5.3388910178082091E-5</v>
      </c>
      <c r="Z567">
        <v>2.9619599999999999</v>
      </c>
      <c r="AA567">
        <f>(Table615463[[#This Row],[time]]-2)*2</f>
        <v>1.9239199999999999</v>
      </c>
      <c r="AB567">
        <v>69.527199999999993</v>
      </c>
      <c r="AC567">
        <v>2.60765E-3</v>
      </c>
      <c r="AD567">
        <f>Table615463[[#This Row],[CFNM]]/Table615463[[#This Row],[CAREA]]</f>
        <v>3.7505465486888585E-5</v>
      </c>
      <c r="AE567">
        <v>2.9619599999999999</v>
      </c>
      <c r="AF567">
        <f>(Table716464[[#This Row],[time]]-2)*2</f>
        <v>1.9239199999999999</v>
      </c>
      <c r="AG567">
        <v>78.196299999999994</v>
      </c>
      <c r="AH567">
        <v>9.2233999999999998</v>
      </c>
      <c r="AI567">
        <f>Table716464[[#This Row],[CFNM]]/Table716464[[#This Row],[CAREA]]</f>
        <v>0.11795187240316998</v>
      </c>
      <c r="AJ567">
        <v>2.9619599999999999</v>
      </c>
      <c r="AK567">
        <f>(Table817465[[#This Row],[time]]-2)*2</f>
        <v>1.9239199999999999</v>
      </c>
      <c r="AL567">
        <v>82.868799999999993</v>
      </c>
      <c r="AM567">
        <v>6.9283099999999997</v>
      </c>
      <c r="AN567">
        <f>Table817465[[#This Row],[CFNM]]/Table817465[[#This Row],[CAREA]]</f>
        <v>8.3605772015523341E-2</v>
      </c>
    </row>
    <row r="568" spans="1:40">
      <c r="A568">
        <v>3</v>
      </c>
      <c r="B568">
        <f>(Table110458[[#This Row],[time]]-2)*2</f>
        <v>2</v>
      </c>
      <c r="C568">
        <v>77.772099999999995</v>
      </c>
      <c r="D568">
        <v>5.1620900000000001</v>
      </c>
      <c r="E568">
        <f>Table110458[[#This Row],[CFNM]]/Table110458[[#This Row],[CAREA]]</f>
        <v>6.6374573915324392E-2</v>
      </c>
      <c r="F568">
        <v>3</v>
      </c>
      <c r="G568">
        <f>(Table211459[[#This Row],[time]]-2)*2</f>
        <v>2</v>
      </c>
      <c r="H568">
        <v>86.3048</v>
      </c>
      <c r="I568">
        <v>0.99361299999999997</v>
      </c>
      <c r="J568">
        <f>Table211459[[#This Row],[CFNM]]/Table211459[[#This Row],[CAREA]]</f>
        <v>1.1512835902522223E-2</v>
      </c>
      <c r="K568">
        <v>3</v>
      </c>
      <c r="L568">
        <f>(Table312460[[#This Row],[time]]-2)*2</f>
        <v>2</v>
      </c>
      <c r="M568">
        <v>77.849000000000004</v>
      </c>
      <c r="N568">
        <v>2.98664E-3</v>
      </c>
      <c r="O568">
        <f>Table312460[[#This Row],[CFNM]]/Table312460[[#This Row],[CAREA]]</f>
        <v>3.8364526198152834E-5</v>
      </c>
      <c r="P568">
        <v>3</v>
      </c>
      <c r="Q568">
        <f>(Table413461[[#This Row],[time]]-2)*2</f>
        <v>2</v>
      </c>
      <c r="R568">
        <v>75.520399999999995</v>
      </c>
      <c r="S568">
        <v>4.5279300000000003E-3</v>
      </c>
      <c r="T568">
        <f>Table413461[[#This Row],[CFNM]]/Table413461[[#This Row],[CAREA]]</f>
        <v>5.9956382646278365E-5</v>
      </c>
      <c r="U568">
        <v>3</v>
      </c>
      <c r="V568">
        <f>(Table514462[[#This Row],[time]]-2)*2</f>
        <v>2</v>
      </c>
      <c r="W568">
        <v>68.494699999999995</v>
      </c>
      <c r="X568">
        <v>3.5889799999999999E-3</v>
      </c>
      <c r="Y568">
        <f>Table514462[[#This Row],[CFNM]]/Table514462[[#This Row],[CAREA]]</f>
        <v>5.2397922758987195E-5</v>
      </c>
      <c r="Z568">
        <v>3</v>
      </c>
      <c r="AA568">
        <f>(Table615463[[#This Row],[time]]-2)*2</f>
        <v>2</v>
      </c>
      <c r="AB568">
        <v>68.208600000000004</v>
      </c>
      <c r="AC568">
        <v>2.4786299999999999E-3</v>
      </c>
      <c r="AD568">
        <f>Table615463[[#This Row],[CFNM]]/Table615463[[#This Row],[CAREA]]</f>
        <v>3.6338966054133936E-5</v>
      </c>
      <c r="AE568">
        <v>3</v>
      </c>
      <c r="AF568">
        <f>(Table716464[[#This Row],[time]]-2)*2</f>
        <v>2</v>
      </c>
      <c r="AG568">
        <v>78.016999999999996</v>
      </c>
      <c r="AH568">
        <v>8.4591999999999992</v>
      </c>
      <c r="AI568">
        <f>Table716464[[#This Row],[CFNM]]/Table716464[[#This Row],[CAREA]]</f>
        <v>0.10842765038389068</v>
      </c>
      <c r="AJ568">
        <v>3</v>
      </c>
      <c r="AK568">
        <f>(Table817465[[#This Row],[time]]-2)*2</f>
        <v>2</v>
      </c>
      <c r="AL568">
        <v>82.77</v>
      </c>
      <c r="AM568">
        <v>6.3074700000000004</v>
      </c>
      <c r="AN568">
        <f>Table817465[[#This Row],[CFNM]]/Table817465[[#This Row],[CAREA]]</f>
        <v>7.6204784342152956E-2</v>
      </c>
    </row>
    <row r="571" spans="1:40">
      <c r="A571" s="1" t="s">
        <v>61</v>
      </c>
    </row>
    <row r="572" spans="1:40">
      <c r="A572" t="s">
        <v>62</v>
      </c>
      <c r="F572" t="s">
        <v>2</v>
      </c>
    </row>
    <row r="573" spans="1:40">
      <c r="F573" t="s">
        <v>4</v>
      </c>
      <c r="G573" t="s">
        <v>5</v>
      </c>
    </row>
    <row r="576" spans="1:40">
      <c r="A576" t="s">
        <v>7</v>
      </c>
      <c r="F576" t="s">
        <v>8</v>
      </c>
      <c r="K576" t="s">
        <v>9</v>
      </c>
      <c r="P576" t="s">
        <v>26</v>
      </c>
      <c r="U576" t="s">
        <v>11</v>
      </c>
      <c r="Z576" t="s">
        <v>12</v>
      </c>
      <c r="AE576" t="s">
        <v>13</v>
      </c>
      <c r="AJ576" t="s">
        <v>14</v>
      </c>
    </row>
    <row r="577" spans="1:40">
      <c r="A577" t="s">
        <v>15</v>
      </c>
      <c r="B577" t="s">
        <v>16</v>
      </c>
      <c r="C577" t="s">
        <v>20</v>
      </c>
      <c r="D577" t="s">
        <v>18</v>
      </c>
      <c r="E577" t="s">
        <v>19</v>
      </c>
      <c r="F577" t="s">
        <v>15</v>
      </c>
      <c r="G577" t="s">
        <v>16</v>
      </c>
      <c r="H577" t="s">
        <v>20</v>
      </c>
      <c r="I577" t="s">
        <v>18</v>
      </c>
      <c r="J577" t="s">
        <v>19</v>
      </c>
      <c r="K577" t="s">
        <v>15</v>
      </c>
      <c r="L577" t="s">
        <v>16</v>
      </c>
      <c r="M577" t="s">
        <v>20</v>
      </c>
      <c r="N577" t="s">
        <v>18</v>
      </c>
      <c r="O577" t="s">
        <v>19</v>
      </c>
      <c r="P577" t="s">
        <v>15</v>
      </c>
      <c r="Q577" t="s">
        <v>16</v>
      </c>
      <c r="R577" t="s">
        <v>20</v>
      </c>
      <c r="S577" t="s">
        <v>18</v>
      </c>
      <c r="T577" t="s">
        <v>19</v>
      </c>
      <c r="U577" t="s">
        <v>15</v>
      </c>
      <c r="V577" t="s">
        <v>16</v>
      </c>
      <c r="W577" t="s">
        <v>20</v>
      </c>
      <c r="X577" t="s">
        <v>18</v>
      </c>
      <c r="Y577" t="s">
        <v>19</v>
      </c>
      <c r="Z577" t="s">
        <v>15</v>
      </c>
      <c r="AA577" t="s">
        <v>16</v>
      </c>
      <c r="AB577" t="s">
        <v>20</v>
      </c>
      <c r="AC577" t="s">
        <v>18</v>
      </c>
      <c r="AD577" t="s">
        <v>19</v>
      </c>
      <c r="AE577" t="s">
        <v>15</v>
      </c>
      <c r="AF577" t="s">
        <v>16</v>
      </c>
      <c r="AG577" t="s">
        <v>20</v>
      </c>
      <c r="AH577" t="s">
        <v>18</v>
      </c>
      <c r="AI577" t="s">
        <v>19</v>
      </c>
      <c r="AJ577" t="s">
        <v>15</v>
      </c>
      <c r="AK577" t="s">
        <v>16</v>
      </c>
      <c r="AL577" t="s">
        <v>20</v>
      </c>
      <c r="AM577" t="s">
        <v>18</v>
      </c>
      <c r="AN577" t="s">
        <v>19</v>
      </c>
    </row>
    <row r="578" spans="1:40">
      <c r="A578">
        <v>2</v>
      </c>
      <c r="B578">
        <f>-(Table1466[[#This Row],[time]]-2)*2</f>
        <v>0</v>
      </c>
      <c r="C578">
        <v>91.082599999999999</v>
      </c>
      <c r="D578">
        <v>10.202299999999999</v>
      </c>
      <c r="E578" s="2">
        <f>Table1466[[#This Row],[CFNM]]/Table1466[[#This Row],[CAREA]]</f>
        <v>0.11201151482280917</v>
      </c>
      <c r="F578">
        <v>2</v>
      </c>
      <c r="G578">
        <f>-(Table2467[[#This Row],[time]]-2)*2</f>
        <v>0</v>
      </c>
      <c r="H578">
        <v>95.835700000000003</v>
      </c>
      <c r="I578">
        <v>3.5654499999999998</v>
      </c>
      <c r="J578" s="2">
        <f>Table2467[[#This Row],[CFNM]]/Table2467[[#This Row],[CAREA]]</f>
        <v>3.7203776880640513E-2</v>
      </c>
      <c r="K578">
        <v>2</v>
      </c>
      <c r="L578">
        <f>-(Table3468[[#This Row],[time]]-2)*2</f>
        <v>0</v>
      </c>
      <c r="M578">
        <v>89.253699999999995</v>
      </c>
      <c r="N578">
        <v>3.6436600000000001</v>
      </c>
      <c r="O578">
        <f>Table3468[[#This Row],[CFNM]]/Table3468[[#This Row],[CAREA]]</f>
        <v>4.0823629720672647E-2</v>
      </c>
      <c r="P578">
        <v>2</v>
      </c>
      <c r="Q578">
        <f>-(Table4469[[#This Row],[time]]-2)*2</f>
        <v>0</v>
      </c>
      <c r="R578">
        <v>86.409400000000005</v>
      </c>
      <c r="S578">
        <v>6.4346899999999998</v>
      </c>
      <c r="T578">
        <f>Table4469[[#This Row],[CFNM]]/Table4469[[#This Row],[CAREA]]</f>
        <v>7.4467476918020484E-2</v>
      </c>
      <c r="U578">
        <v>2</v>
      </c>
      <c r="V578">
        <f>-(Table5470[[#This Row],[time]]-2)*2</f>
        <v>0</v>
      </c>
      <c r="W578">
        <v>82.628699999999995</v>
      </c>
      <c r="X578">
        <v>8.5542400000000001</v>
      </c>
      <c r="Y578">
        <f>Table5470[[#This Row],[CFNM]]/Table5470[[#This Row],[CAREA]]</f>
        <v>0.1035262566154375</v>
      </c>
      <c r="Z578">
        <v>2</v>
      </c>
      <c r="AA578">
        <f>-(Table6471[[#This Row],[time]]-2)*2</f>
        <v>0</v>
      </c>
      <c r="AB578">
        <v>88.863399999999999</v>
      </c>
      <c r="AC578">
        <v>15.0844</v>
      </c>
      <c r="AD578">
        <f>Table6471[[#This Row],[CFNM]]/Table6471[[#This Row],[CAREA]]</f>
        <v>0.1697481752892642</v>
      </c>
      <c r="AE578">
        <v>2</v>
      </c>
      <c r="AF578">
        <f>-(Table7472[[#This Row],[time]]-2)*2</f>
        <v>0</v>
      </c>
      <c r="AG578">
        <v>78.953900000000004</v>
      </c>
      <c r="AH578">
        <v>19.6159</v>
      </c>
      <c r="AI578">
        <f>Table7472[[#This Row],[CFNM]]/Table7472[[#This Row],[CAREA]]</f>
        <v>0.24844751177585905</v>
      </c>
      <c r="AJ578">
        <v>2</v>
      </c>
      <c r="AK578">
        <f>-(Table8473[[#This Row],[time]]-2)*2</f>
        <v>0</v>
      </c>
      <c r="AL578">
        <v>83.137299999999996</v>
      </c>
      <c r="AM578">
        <v>19.2331</v>
      </c>
      <c r="AN578">
        <f>Table8473[[#This Row],[CFNM]]/Table8473[[#This Row],[CAREA]]</f>
        <v>0.23134140752706669</v>
      </c>
    </row>
    <row r="579" spans="1:40">
      <c r="A579">
        <v>2.0512600000000001</v>
      </c>
      <c r="B579">
        <f>-(Table1466[[#This Row],[time]]-2)*2</f>
        <v>-0.10252000000000017</v>
      </c>
      <c r="C579">
        <v>90.947199999999995</v>
      </c>
      <c r="D579">
        <v>10.488799999999999</v>
      </c>
      <c r="E579">
        <f>Table1466[[#This Row],[CFNM]]/Table1466[[#This Row],[CAREA]]</f>
        <v>0.11532845431195243</v>
      </c>
      <c r="F579">
        <v>2.0512600000000001</v>
      </c>
      <c r="G579">
        <f>-(Table2467[[#This Row],[time]]-2)*2</f>
        <v>-0.10252000000000017</v>
      </c>
      <c r="H579">
        <v>95.931799999999996</v>
      </c>
      <c r="I579">
        <v>3.6907999999999999</v>
      </c>
      <c r="J579">
        <f>Table2467[[#This Row],[CFNM]]/Table2467[[#This Row],[CAREA]]</f>
        <v>3.8473165311189828E-2</v>
      </c>
      <c r="K579">
        <v>2.0512600000000001</v>
      </c>
      <c r="L579">
        <f>-(Table3468[[#This Row],[time]]-2)*2</f>
        <v>-0.10252000000000017</v>
      </c>
      <c r="M579">
        <v>89.099100000000007</v>
      </c>
      <c r="N579">
        <v>4.1821900000000003</v>
      </c>
      <c r="O579">
        <f>Table3468[[#This Row],[CFNM]]/Table3468[[#This Row],[CAREA]]</f>
        <v>4.6938633499103807E-2</v>
      </c>
      <c r="P579">
        <v>2.0512600000000001</v>
      </c>
      <c r="Q579">
        <f>-(Table4469[[#This Row],[time]]-2)*2</f>
        <v>-0.10252000000000017</v>
      </c>
      <c r="R579">
        <v>86.475899999999996</v>
      </c>
      <c r="S579">
        <v>7.0826799999999999</v>
      </c>
      <c r="T579">
        <f>Table4469[[#This Row],[CFNM]]/Table4469[[#This Row],[CAREA]]</f>
        <v>8.1903513001888389E-2</v>
      </c>
      <c r="U579">
        <v>2.0512600000000001</v>
      </c>
      <c r="V579">
        <f>-(Table5470[[#This Row],[time]]-2)*2</f>
        <v>-0.10252000000000017</v>
      </c>
      <c r="W579">
        <v>82.578400000000002</v>
      </c>
      <c r="X579">
        <v>9.9657999999999998</v>
      </c>
      <c r="Y579">
        <f>Table5470[[#This Row],[CFNM]]/Table5470[[#This Row],[CAREA]]</f>
        <v>0.12068289044108386</v>
      </c>
      <c r="Z579">
        <v>2.0512600000000001</v>
      </c>
      <c r="AA579">
        <f>-(Table6471[[#This Row],[time]]-2)*2</f>
        <v>-0.10252000000000017</v>
      </c>
      <c r="AB579">
        <v>88.896500000000003</v>
      </c>
      <c r="AC579">
        <v>16.8566</v>
      </c>
      <c r="AD579">
        <f>Table6471[[#This Row],[CFNM]]/Table6471[[#This Row],[CAREA]]</f>
        <v>0.18962051374351072</v>
      </c>
      <c r="AE579">
        <v>2.0512600000000001</v>
      </c>
      <c r="AF579">
        <f>-(Table7472[[#This Row],[time]]-2)*2</f>
        <v>-0.10252000000000017</v>
      </c>
      <c r="AG579">
        <v>79.0946</v>
      </c>
      <c r="AH579">
        <v>20.879200000000001</v>
      </c>
      <c r="AI579">
        <f>Table7472[[#This Row],[CFNM]]/Table7472[[#This Row],[CAREA]]</f>
        <v>0.26397756610438639</v>
      </c>
      <c r="AJ579">
        <v>2.0512600000000001</v>
      </c>
      <c r="AK579">
        <f>-(Table8473[[#This Row],[time]]-2)*2</f>
        <v>-0.10252000000000017</v>
      </c>
      <c r="AL579">
        <v>83.0565</v>
      </c>
      <c r="AM579">
        <v>20.735900000000001</v>
      </c>
      <c r="AN579">
        <f>Table8473[[#This Row],[CFNM]]/Table8473[[#This Row],[CAREA]]</f>
        <v>0.24966017108835553</v>
      </c>
    </row>
    <row r="580" spans="1:40">
      <c r="A580">
        <v>2.1153300000000002</v>
      </c>
      <c r="B580">
        <f>-(Table1466[[#This Row],[time]]-2)*2</f>
        <v>-0.23066000000000031</v>
      </c>
      <c r="C580">
        <v>90.489699999999999</v>
      </c>
      <c r="D580">
        <v>11.1775</v>
      </c>
      <c r="E580">
        <f>Table1466[[#This Row],[CFNM]]/Table1466[[#This Row],[CAREA]]</f>
        <v>0.12352234563712776</v>
      </c>
      <c r="F580">
        <v>2.1153300000000002</v>
      </c>
      <c r="G580">
        <f>-(Table2467[[#This Row],[time]]-2)*2</f>
        <v>-0.23066000000000031</v>
      </c>
      <c r="H580">
        <v>95.608699999999999</v>
      </c>
      <c r="I580">
        <v>3.8709799999999999</v>
      </c>
      <c r="J580">
        <f>Table2467[[#This Row],[CFNM]]/Table2467[[#This Row],[CAREA]]</f>
        <v>4.0487738040575802E-2</v>
      </c>
      <c r="K580">
        <v>2.1153300000000002</v>
      </c>
      <c r="L580">
        <f>-(Table3468[[#This Row],[time]]-2)*2</f>
        <v>-0.23066000000000031</v>
      </c>
      <c r="M580">
        <v>89.031700000000001</v>
      </c>
      <c r="N580">
        <v>5.4512200000000002</v>
      </c>
      <c r="O580">
        <f>Table3468[[#This Row],[CFNM]]/Table3468[[#This Row],[CAREA]]</f>
        <v>6.1227854797785509E-2</v>
      </c>
      <c r="P580">
        <v>2.1153300000000002</v>
      </c>
      <c r="Q580">
        <f>-(Table4469[[#This Row],[time]]-2)*2</f>
        <v>-0.23066000000000031</v>
      </c>
      <c r="R580">
        <v>86.638499999999993</v>
      </c>
      <c r="S580">
        <v>8.5016200000000008</v>
      </c>
      <c r="T580">
        <f>Table4469[[#This Row],[CFNM]]/Table4469[[#This Row],[CAREA]]</f>
        <v>9.8127506824333313E-2</v>
      </c>
      <c r="U580">
        <v>2.1153300000000002</v>
      </c>
      <c r="V580">
        <f>-(Table5470[[#This Row],[time]]-2)*2</f>
        <v>-0.23066000000000031</v>
      </c>
      <c r="W580">
        <v>82.210999999999999</v>
      </c>
      <c r="X580">
        <v>13.7515</v>
      </c>
      <c r="Y580">
        <f>Table5470[[#This Row],[CFNM]]/Table5470[[#This Row],[CAREA]]</f>
        <v>0.1672708031771904</v>
      </c>
      <c r="Z580">
        <v>2.1153300000000002</v>
      </c>
      <c r="AA580">
        <f>-(Table6471[[#This Row],[time]]-2)*2</f>
        <v>-0.23066000000000031</v>
      </c>
      <c r="AB580">
        <v>88.922399999999996</v>
      </c>
      <c r="AC580">
        <v>21.316400000000002</v>
      </c>
      <c r="AD580">
        <f>Table6471[[#This Row],[CFNM]]/Table6471[[#This Row],[CAREA]]</f>
        <v>0.23971912588953967</v>
      </c>
      <c r="AE580">
        <v>2.1153300000000002</v>
      </c>
      <c r="AF580">
        <f>-(Table7472[[#This Row],[time]]-2)*2</f>
        <v>-0.23066000000000031</v>
      </c>
      <c r="AG580">
        <v>79.314300000000003</v>
      </c>
      <c r="AH580">
        <v>22.546500000000002</v>
      </c>
      <c r="AI580">
        <f>Table7472[[#This Row],[CFNM]]/Table7472[[#This Row],[CAREA]]</f>
        <v>0.28426778021113469</v>
      </c>
      <c r="AJ580">
        <v>2.1153300000000002</v>
      </c>
      <c r="AK580">
        <f>-(Table8473[[#This Row],[time]]-2)*2</f>
        <v>-0.23066000000000031</v>
      </c>
      <c r="AL580">
        <v>82.881799999999998</v>
      </c>
      <c r="AM580">
        <v>22.903300000000002</v>
      </c>
      <c r="AN580">
        <f>Table8473[[#This Row],[CFNM]]/Table8473[[#This Row],[CAREA]]</f>
        <v>0.27633690387998333</v>
      </c>
    </row>
    <row r="581" spans="1:40">
      <c r="A581">
        <v>2.16533</v>
      </c>
      <c r="B581">
        <f>-(Table1466[[#This Row],[time]]-2)*2</f>
        <v>-0.33065999999999995</v>
      </c>
      <c r="C581">
        <v>89.924300000000002</v>
      </c>
      <c r="D581">
        <v>11.9871</v>
      </c>
      <c r="E581">
        <f>Table1466[[#This Row],[CFNM]]/Table1466[[#This Row],[CAREA]]</f>
        <v>0.1333021218958613</v>
      </c>
      <c r="F581">
        <v>2.16533</v>
      </c>
      <c r="G581">
        <f>-(Table2467[[#This Row],[time]]-2)*2</f>
        <v>-0.33065999999999995</v>
      </c>
      <c r="H581">
        <v>95.047300000000007</v>
      </c>
      <c r="I581">
        <v>4.2595999999999998</v>
      </c>
      <c r="J581">
        <f>Table2467[[#This Row],[CFNM]]/Table2467[[#This Row],[CAREA]]</f>
        <v>4.4815581294786903E-2</v>
      </c>
      <c r="K581">
        <v>2.16533</v>
      </c>
      <c r="L581">
        <f>-(Table3468[[#This Row],[time]]-2)*2</f>
        <v>-0.33065999999999995</v>
      </c>
      <c r="M581">
        <v>89.104299999999995</v>
      </c>
      <c r="N581">
        <v>6.8968100000000003</v>
      </c>
      <c r="O581">
        <f>Table3468[[#This Row],[CFNM]]/Table3468[[#This Row],[CAREA]]</f>
        <v>7.7401539544107306E-2</v>
      </c>
      <c r="P581">
        <v>2.16533</v>
      </c>
      <c r="Q581">
        <f>-(Table4469[[#This Row],[time]]-2)*2</f>
        <v>-0.33065999999999995</v>
      </c>
      <c r="R581">
        <v>86.825000000000003</v>
      </c>
      <c r="S581">
        <v>10.177199999999999</v>
      </c>
      <c r="T581">
        <f>Table4469[[#This Row],[CFNM]]/Table4469[[#This Row],[CAREA]]</f>
        <v>0.11721508782032823</v>
      </c>
      <c r="U581">
        <v>2.16533</v>
      </c>
      <c r="V581">
        <f>-(Table5470[[#This Row],[time]]-2)*2</f>
        <v>-0.33065999999999995</v>
      </c>
      <c r="W581">
        <v>81.886700000000005</v>
      </c>
      <c r="X581">
        <v>18.213999999999999</v>
      </c>
      <c r="Y581">
        <f>Table5470[[#This Row],[CFNM]]/Table5470[[#This Row],[CAREA]]</f>
        <v>0.22242928338790058</v>
      </c>
      <c r="Z581">
        <v>2.16533</v>
      </c>
      <c r="AA581">
        <f>-(Table6471[[#This Row],[time]]-2)*2</f>
        <v>-0.33065999999999995</v>
      </c>
      <c r="AB581">
        <v>88.865499999999997</v>
      </c>
      <c r="AC581">
        <v>26.416899999999998</v>
      </c>
      <c r="AD581">
        <f>Table6471[[#This Row],[CFNM]]/Table6471[[#This Row],[CAREA]]</f>
        <v>0.2972683437329447</v>
      </c>
      <c r="AE581">
        <v>2.16533</v>
      </c>
      <c r="AF581">
        <f>-(Table7472[[#This Row],[time]]-2)*2</f>
        <v>-0.33065999999999995</v>
      </c>
      <c r="AG581">
        <v>79.674000000000007</v>
      </c>
      <c r="AH581">
        <v>25.0717</v>
      </c>
      <c r="AI581">
        <f>Table7472[[#This Row],[CFNM]]/Table7472[[#This Row],[CAREA]]</f>
        <v>0.31467856515299847</v>
      </c>
      <c r="AJ581">
        <v>2.16533</v>
      </c>
      <c r="AK581">
        <f>-(Table8473[[#This Row],[time]]-2)*2</f>
        <v>-0.33065999999999995</v>
      </c>
      <c r="AL581">
        <v>82.601299999999995</v>
      </c>
      <c r="AM581">
        <v>26.342500000000001</v>
      </c>
      <c r="AN581">
        <f>Table8473[[#This Row],[CFNM]]/Table8473[[#This Row],[CAREA]]</f>
        <v>0.31891144570363911</v>
      </c>
    </row>
    <row r="582" spans="1:40">
      <c r="A582">
        <v>2.2246999999999999</v>
      </c>
      <c r="B582">
        <f>-(Table1466[[#This Row],[time]]-2)*2</f>
        <v>-0.4493999999999998</v>
      </c>
      <c r="C582">
        <v>89.630799999999994</v>
      </c>
      <c r="D582">
        <v>12.4221</v>
      </c>
      <c r="E582">
        <f>Table1466[[#This Row],[CFNM]]/Table1466[[#This Row],[CAREA]]</f>
        <v>0.1385918679739554</v>
      </c>
      <c r="F582">
        <v>2.2246999999999999</v>
      </c>
      <c r="G582">
        <f>-(Table2467[[#This Row],[time]]-2)*2</f>
        <v>-0.4493999999999998</v>
      </c>
      <c r="H582">
        <v>94.823700000000002</v>
      </c>
      <c r="I582">
        <v>4.4916700000000001</v>
      </c>
      <c r="J582">
        <f>Table2467[[#This Row],[CFNM]]/Table2467[[#This Row],[CAREA]]</f>
        <v>4.7368643071299683E-2</v>
      </c>
      <c r="K582">
        <v>2.2246999999999999</v>
      </c>
      <c r="L582">
        <f>-(Table3468[[#This Row],[time]]-2)*2</f>
        <v>-0.4493999999999998</v>
      </c>
      <c r="M582">
        <v>88.887799999999999</v>
      </c>
      <c r="N582">
        <v>7.6632300000000004</v>
      </c>
      <c r="O582">
        <f>Table3468[[#This Row],[CFNM]]/Table3468[[#This Row],[CAREA]]</f>
        <v>8.6212393601821632E-2</v>
      </c>
      <c r="P582">
        <v>2.2246999999999999</v>
      </c>
      <c r="Q582">
        <f>-(Table4469[[#This Row],[time]]-2)*2</f>
        <v>-0.4493999999999998</v>
      </c>
      <c r="R582">
        <v>86.922799999999995</v>
      </c>
      <c r="S582">
        <v>11.074199999999999</v>
      </c>
      <c r="T582">
        <f>Table4469[[#This Row],[CFNM]]/Table4469[[#This Row],[CAREA]]</f>
        <v>0.12740270676968529</v>
      </c>
      <c r="U582">
        <v>2.2246999999999999</v>
      </c>
      <c r="V582">
        <f>-(Table5470[[#This Row],[time]]-2)*2</f>
        <v>-0.4493999999999998</v>
      </c>
      <c r="W582">
        <v>81.632199999999997</v>
      </c>
      <c r="X582">
        <v>20.4665</v>
      </c>
      <c r="Y582">
        <f>Table5470[[#This Row],[CFNM]]/Table5470[[#This Row],[CAREA]]</f>
        <v>0.25071601647389141</v>
      </c>
      <c r="Z582">
        <v>2.2246999999999999</v>
      </c>
      <c r="AA582">
        <f>-(Table6471[[#This Row],[time]]-2)*2</f>
        <v>-0.4493999999999998</v>
      </c>
      <c r="AB582">
        <v>88.747399999999999</v>
      </c>
      <c r="AC582">
        <v>29.152899999999999</v>
      </c>
      <c r="AD582">
        <f>Table6471[[#This Row],[CFNM]]/Table6471[[#This Row],[CAREA]]</f>
        <v>0.32849300373870105</v>
      </c>
      <c r="AE582">
        <v>2.2246999999999999</v>
      </c>
      <c r="AF582">
        <f>-(Table7472[[#This Row],[time]]-2)*2</f>
        <v>-0.4493999999999998</v>
      </c>
      <c r="AG582">
        <v>79.640100000000004</v>
      </c>
      <c r="AH582">
        <v>26.761099999999999</v>
      </c>
      <c r="AI582">
        <f>Table7472[[#This Row],[CFNM]]/Table7472[[#This Row],[CAREA]]</f>
        <v>0.33602544446830174</v>
      </c>
      <c r="AJ582">
        <v>2.2246999999999999</v>
      </c>
      <c r="AK582">
        <f>-(Table8473[[#This Row],[time]]-2)*2</f>
        <v>-0.4493999999999998</v>
      </c>
      <c r="AL582">
        <v>82.437799999999996</v>
      </c>
      <c r="AM582">
        <v>28.512899999999998</v>
      </c>
      <c r="AN582">
        <f>Table8473[[#This Row],[CFNM]]/Table8473[[#This Row],[CAREA]]</f>
        <v>0.34587167537222002</v>
      </c>
    </row>
    <row r="583" spans="1:40">
      <c r="A583">
        <v>2.2668900000000001</v>
      </c>
      <c r="B583">
        <f>-(Table1466[[#This Row],[time]]-2)*2</f>
        <v>-0.53378000000000014</v>
      </c>
      <c r="C583">
        <v>89.109499999999997</v>
      </c>
      <c r="D583">
        <v>13.4697</v>
      </c>
      <c r="E583">
        <f>Table1466[[#This Row],[CFNM]]/Table1466[[#This Row],[CAREA]]</f>
        <v>0.15115896733793815</v>
      </c>
      <c r="F583">
        <v>2.2668900000000001</v>
      </c>
      <c r="G583">
        <f>-(Table2467[[#This Row],[time]]-2)*2</f>
        <v>-0.53378000000000014</v>
      </c>
      <c r="H583">
        <v>94.452399999999997</v>
      </c>
      <c r="I583">
        <v>5.1496899999999997</v>
      </c>
      <c r="J583">
        <f>Table2467[[#This Row],[CFNM]]/Table2467[[#This Row],[CAREA]]</f>
        <v>5.4521536774078797E-2</v>
      </c>
      <c r="K583">
        <v>2.2668900000000001</v>
      </c>
      <c r="L583">
        <f>-(Table3468[[#This Row],[time]]-2)*2</f>
        <v>-0.53378000000000014</v>
      </c>
      <c r="M583">
        <v>89.017700000000005</v>
      </c>
      <c r="N583">
        <v>9.0905900000000006</v>
      </c>
      <c r="O583">
        <f>Table3468[[#This Row],[CFNM]]/Table3468[[#This Row],[CAREA]]</f>
        <v>0.10212115118678645</v>
      </c>
      <c r="P583">
        <v>2.2668900000000001</v>
      </c>
      <c r="Q583">
        <f>-(Table4469[[#This Row],[time]]-2)*2</f>
        <v>-0.53378000000000014</v>
      </c>
      <c r="R583">
        <v>87.058099999999996</v>
      </c>
      <c r="S583">
        <v>12.941800000000001</v>
      </c>
      <c r="T583">
        <f>Table4469[[#This Row],[CFNM]]/Table4469[[#This Row],[CAREA]]</f>
        <v>0.14865704627139809</v>
      </c>
      <c r="U583">
        <v>2.2668900000000001</v>
      </c>
      <c r="V583">
        <f>-(Table5470[[#This Row],[time]]-2)*2</f>
        <v>-0.53378000000000014</v>
      </c>
      <c r="W583">
        <v>81.542299999999997</v>
      </c>
      <c r="X583">
        <v>24.373899999999999</v>
      </c>
      <c r="Y583">
        <f>Table5470[[#This Row],[CFNM]]/Table5470[[#This Row],[CAREA]]</f>
        <v>0.29891111729740272</v>
      </c>
      <c r="Z583">
        <v>2.2668900000000001</v>
      </c>
      <c r="AA583">
        <f>-(Table6471[[#This Row],[time]]-2)*2</f>
        <v>-0.53378000000000014</v>
      </c>
      <c r="AB583">
        <v>89.056299999999993</v>
      </c>
      <c r="AC583">
        <v>34.025300000000001</v>
      </c>
      <c r="AD583">
        <f>Table6471[[#This Row],[CFNM]]/Table6471[[#This Row],[CAREA]]</f>
        <v>0.38206505323037232</v>
      </c>
      <c r="AE583">
        <v>2.2668900000000001</v>
      </c>
      <c r="AF583">
        <f>-(Table7472[[#This Row],[time]]-2)*2</f>
        <v>-0.53378000000000014</v>
      </c>
      <c r="AG583">
        <v>79.865099999999998</v>
      </c>
      <c r="AH583">
        <v>30.218299999999999</v>
      </c>
      <c r="AI583">
        <f>Table7472[[#This Row],[CFNM]]/Table7472[[#This Row],[CAREA]]</f>
        <v>0.37836677096754401</v>
      </c>
      <c r="AJ583">
        <v>2.2668900000000001</v>
      </c>
      <c r="AK583">
        <f>-(Table8473[[#This Row],[time]]-2)*2</f>
        <v>-0.53378000000000014</v>
      </c>
      <c r="AL583">
        <v>82.143000000000001</v>
      </c>
      <c r="AM583">
        <v>32.5505</v>
      </c>
      <c r="AN583">
        <f>Table8473[[#This Row],[CFNM]]/Table8473[[#This Row],[CAREA]]</f>
        <v>0.39626626736301329</v>
      </c>
    </row>
    <row r="584" spans="1:40">
      <c r="A584">
        <v>2.3262700000000001</v>
      </c>
      <c r="B584">
        <f>-(Table1466[[#This Row],[time]]-2)*2</f>
        <v>-0.65254000000000012</v>
      </c>
      <c r="C584">
        <v>88.784300000000002</v>
      </c>
      <c r="D584">
        <v>14.6083</v>
      </c>
      <c r="E584">
        <f>Table1466[[#This Row],[CFNM]]/Table1466[[#This Row],[CAREA]]</f>
        <v>0.16453697331622821</v>
      </c>
      <c r="F584">
        <v>2.3262700000000001</v>
      </c>
      <c r="G584">
        <f>-(Table2467[[#This Row],[time]]-2)*2</f>
        <v>-0.65254000000000012</v>
      </c>
      <c r="H584">
        <v>94.168599999999998</v>
      </c>
      <c r="I584">
        <v>6.0569899999999999</v>
      </c>
      <c r="J584">
        <f>Table2467[[#This Row],[CFNM]]/Table2467[[#This Row],[CAREA]]</f>
        <v>6.4320697132589838E-2</v>
      </c>
      <c r="K584">
        <v>2.3262700000000001</v>
      </c>
      <c r="L584">
        <f>-(Table3468[[#This Row],[time]]-2)*2</f>
        <v>-0.65254000000000012</v>
      </c>
      <c r="M584">
        <v>89.138800000000003</v>
      </c>
      <c r="N584">
        <v>10.364100000000001</v>
      </c>
      <c r="O584">
        <f>Table3468[[#This Row],[CFNM]]/Table3468[[#This Row],[CAREA]]</f>
        <v>0.11626923404847272</v>
      </c>
      <c r="P584">
        <v>2.3262700000000001</v>
      </c>
      <c r="Q584">
        <f>-(Table4469[[#This Row],[time]]-2)*2</f>
        <v>-0.65254000000000012</v>
      </c>
      <c r="R584">
        <v>87.144400000000005</v>
      </c>
      <c r="S584">
        <v>14.7196</v>
      </c>
      <c r="T584">
        <f>Table4469[[#This Row],[CFNM]]/Table4469[[#This Row],[CAREA]]</f>
        <v>0.1689104520772419</v>
      </c>
      <c r="U584">
        <v>2.3262700000000001</v>
      </c>
      <c r="V584">
        <f>-(Table5470[[#This Row],[time]]-2)*2</f>
        <v>-0.65254000000000012</v>
      </c>
      <c r="W584">
        <v>80.970200000000006</v>
      </c>
      <c r="X584">
        <v>27.1845</v>
      </c>
      <c r="Y584">
        <f>Table5470[[#This Row],[CFNM]]/Table5470[[#This Row],[CAREA]]</f>
        <v>0.33573462829534811</v>
      </c>
      <c r="Z584">
        <v>2.3262700000000001</v>
      </c>
      <c r="AA584">
        <f>-(Table6471[[#This Row],[time]]-2)*2</f>
        <v>-0.65254000000000012</v>
      </c>
      <c r="AB584">
        <v>89.007300000000001</v>
      </c>
      <c r="AC584">
        <v>37.909500000000001</v>
      </c>
      <c r="AD584">
        <f>Table6471[[#This Row],[CFNM]]/Table6471[[#This Row],[CAREA]]</f>
        <v>0.42591450364183614</v>
      </c>
      <c r="AE584">
        <v>2.3262700000000001</v>
      </c>
      <c r="AF584">
        <f>-(Table7472[[#This Row],[time]]-2)*2</f>
        <v>-0.65254000000000012</v>
      </c>
      <c r="AG584">
        <v>80.186000000000007</v>
      </c>
      <c r="AH584">
        <v>33.631300000000003</v>
      </c>
      <c r="AI584">
        <f>Table7472[[#This Row],[CFNM]]/Table7472[[#This Row],[CAREA]]</f>
        <v>0.41941610754994635</v>
      </c>
      <c r="AJ584">
        <v>2.3262700000000001</v>
      </c>
      <c r="AK584">
        <f>-(Table8473[[#This Row],[time]]-2)*2</f>
        <v>-0.65254000000000012</v>
      </c>
      <c r="AL584">
        <v>81.753500000000003</v>
      </c>
      <c r="AM584">
        <v>36.014699999999998</v>
      </c>
      <c r="AN584">
        <f>Table8473[[#This Row],[CFNM]]/Table8473[[#This Row],[CAREA]]</f>
        <v>0.44052792846789429</v>
      </c>
    </row>
    <row r="585" spans="1:40">
      <c r="A585">
        <v>2.3684599999999998</v>
      </c>
      <c r="B585">
        <f>-(Table1466[[#This Row],[time]]-2)*2</f>
        <v>-0.73691999999999958</v>
      </c>
      <c r="C585">
        <v>88.611699999999999</v>
      </c>
      <c r="D585">
        <v>15.665699999999999</v>
      </c>
      <c r="E585">
        <f>Table1466[[#This Row],[CFNM]]/Table1466[[#This Row],[CAREA]]</f>
        <v>0.17679042383793561</v>
      </c>
      <c r="F585">
        <v>2.3684599999999998</v>
      </c>
      <c r="G585">
        <f>-(Table2467[[#This Row],[time]]-2)*2</f>
        <v>-0.73691999999999958</v>
      </c>
      <c r="H585">
        <v>93.880499999999998</v>
      </c>
      <c r="I585">
        <v>6.8646900000000004</v>
      </c>
      <c r="J585">
        <f>Table2467[[#This Row],[CFNM]]/Table2467[[#This Row],[CAREA]]</f>
        <v>7.3121574767923053E-2</v>
      </c>
      <c r="K585">
        <v>2.3684599999999998</v>
      </c>
      <c r="L585">
        <f>-(Table3468[[#This Row],[time]]-2)*2</f>
        <v>-0.73691999999999958</v>
      </c>
      <c r="M585">
        <v>88.506</v>
      </c>
      <c r="N585">
        <v>11.575100000000001</v>
      </c>
      <c r="O585">
        <f>Table3468[[#This Row],[CFNM]]/Table3468[[#This Row],[CAREA]]</f>
        <v>0.13078322373624388</v>
      </c>
      <c r="P585">
        <v>2.3684599999999998</v>
      </c>
      <c r="Q585">
        <f>-(Table4469[[#This Row],[time]]-2)*2</f>
        <v>-0.73691999999999958</v>
      </c>
      <c r="R585">
        <v>87.210300000000004</v>
      </c>
      <c r="S585">
        <v>16.2728</v>
      </c>
      <c r="T585">
        <f>Table4469[[#This Row],[CFNM]]/Table4469[[#This Row],[CAREA]]</f>
        <v>0.18659263871354645</v>
      </c>
      <c r="U585">
        <v>2.3684599999999998</v>
      </c>
      <c r="V585">
        <f>-(Table5470[[#This Row],[time]]-2)*2</f>
        <v>-0.73691999999999958</v>
      </c>
      <c r="W585">
        <v>80.416499999999999</v>
      </c>
      <c r="X585">
        <v>29.577100000000002</v>
      </c>
      <c r="Y585">
        <f>Table5470[[#This Row],[CFNM]]/Table5470[[#This Row],[CAREA]]</f>
        <v>0.36779889699253265</v>
      </c>
      <c r="Z585">
        <v>2.3684599999999998</v>
      </c>
      <c r="AA585">
        <f>-(Table6471[[#This Row],[time]]-2)*2</f>
        <v>-0.73691999999999958</v>
      </c>
      <c r="AB585">
        <v>88.491399999999999</v>
      </c>
      <c r="AC585">
        <v>41.145099999999999</v>
      </c>
      <c r="AD585">
        <f>Table6471[[#This Row],[CFNM]]/Table6471[[#This Row],[CAREA]]</f>
        <v>0.46496156688672574</v>
      </c>
      <c r="AE585">
        <v>2.3684599999999998</v>
      </c>
      <c r="AF585">
        <f>-(Table7472[[#This Row],[time]]-2)*2</f>
        <v>-0.73691999999999958</v>
      </c>
      <c r="AG585">
        <v>80.112099999999998</v>
      </c>
      <c r="AH585">
        <v>36.715899999999998</v>
      </c>
      <c r="AI585">
        <f>Table7472[[#This Row],[CFNM]]/Table7472[[#This Row],[CAREA]]</f>
        <v>0.45830654794968551</v>
      </c>
      <c r="AJ585">
        <v>2.3684599999999998</v>
      </c>
      <c r="AK585">
        <f>-(Table8473[[#This Row],[time]]-2)*2</f>
        <v>-0.73691999999999958</v>
      </c>
      <c r="AL585">
        <v>81.570599999999999</v>
      </c>
      <c r="AM585">
        <v>39.059399999999997</v>
      </c>
      <c r="AN585">
        <f>Table8473[[#This Row],[CFNM]]/Table8473[[#This Row],[CAREA]]</f>
        <v>0.47884164147376623</v>
      </c>
    </row>
    <row r="586" spans="1:40">
      <c r="A586">
        <v>2.4278300000000002</v>
      </c>
      <c r="B586">
        <f>-(Table1466[[#This Row],[time]]-2)*2</f>
        <v>-0.85566000000000031</v>
      </c>
      <c r="C586">
        <v>88.383099999999999</v>
      </c>
      <c r="D586">
        <v>16.849499999999999</v>
      </c>
      <c r="E586">
        <f>Table1466[[#This Row],[CFNM]]/Table1466[[#This Row],[CAREA]]</f>
        <v>0.19064164981766876</v>
      </c>
      <c r="F586">
        <v>2.4278300000000002</v>
      </c>
      <c r="G586">
        <f>-(Table2467[[#This Row],[time]]-2)*2</f>
        <v>-0.85566000000000031</v>
      </c>
      <c r="H586">
        <v>93.461399999999998</v>
      </c>
      <c r="I586">
        <v>7.8264500000000004</v>
      </c>
      <c r="J586">
        <f>Table2467[[#This Row],[CFNM]]/Table2467[[#This Row],[CAREA]]</f>
        <v>8.3739918297821347E-2</v>
      </c>
      <c r="K586">
        <v>2.4278300000000002</v>
      </c>
      <c r="L586">
        <f>-(Table3468[[#This Row],[time]]-2)*2</f>
        <v>-0.85566000000000031</v>
      </c>
      <c r="M586">
        <v>88.624799999999993</v>
      </c>
      <c r="N586">
        <v>13.0098</v>
      </c>
      <c r="O586">
        <f>Table3468[[#This Row],[CFNM]]/Table3468[[#This Row],[CAREA]]</f>
        <v>0.14679638205107376</v>
      </c>
      <c r="P586">
        <v>2.4278300000000002</v>
      </c>
      <c r="Q586">
        <f>-(Table4469[[#This Row],[time]]-2)*2</f>
        <v>-0.85566000000000031</v>
      </c>
      <c r="R586">
        <v>87.316299999999998</v>
      </c>
      <c r="S586">
        <v>18.121200000000002</v>
      </c>
      <c r="T586">
        <f>Table4469[[#This Row],[CFNM]]/Table4469[[#This Row],[CAREA]]</f>
        <v>0.20753513376082131</v>
      </c>
      <c r="U586">
        <v>2.4278300000000002</v>
      </c>
      <c r="V586">
        <f>-(Table5470[[#This Row],[time]]-2)*2</f>
        <v>-0.85566000000000031</v>
      </c>
      <c r="W586">
        <v>79.297499999999999</v>
      </c>
      <c r="X586">
        <v>32.084400000000002</v>
      </c>
      <c r="Y586">
        <f>Table5470[[#This Row],[CFNM]]/Table5470[[#This Row],[CAREA]]</f>
        <v>0.40460796368107449</v>
      </c>
      <c r="Z586">
        <v>2.4278300000000002</v>
      </c>
      <c r="AA586">
        <f>-(Table6471[[#This Row],[time]]-2)*2</f>
        <v>-0.85566000000000031</v>
      </c>
      <c r="AB586">
        <v>87.749399999999994</v>
      </c>
      <c r="AC586">
        <v>44.813699999999997</v>
      </c>
      <c r="AD586">
        <f>Table6471[[#This Row],[CFNM]]/Table6471[[#This Row],[CAREA]]</f>
        <v>0.51070092786959231</v>
      </c>
      <c r="AE586">
        <v>2.4278300000000002</v>
      </c>
      <c r="AF586">
        <f>-(Table7472[[#This Row],[time]]-2)*2</f>
        <v>-0.85566000000000031</v>
      </c>
      <c r="AG586">
        <v>80.006900000000002</v>
      </c>
      <c r="AH586">
        <v>40.352699999999999</v>
      </c>
      <c r="AI586">
        <f>Table7472[[#This Row],[CFNM]]/Table7472[[#This Row],[CAREA]]</f>
        <v>0.50436524849731712</v>
      </c>
      <c r="AJ586">
        <v>2.4278300000000002</v>
      </c>
      <c r="AK586">
        <f>-(Table8473[[#This Row],[time]]-2)*2</f>
        <v>-0.85566000000000031</v>
      </c>
      <c r="AL586">
        <v>81.3857</v>
      </c>
      <c r="AM586">
        <v>42.646099999999997</v>
      </c>
      <c r="AN586">
        <f>Table8473[[#This Row],[CFNM]]/Table8473[[#This Row],[CAREA]]</f>
        <v>0.5239999164472382</v>
      </c>
    </row>
    <row r="587" spans="1:40">
      <c r="A587">
        <v>2.4542000000000002</v>
      </c>
      <c r="B587">
        <f>-(Table1466[[#This Row],[time]]-2)*2</f>
        <v>-0.90840000000000032</v>
      </c>
      <c r="C587">
        <v>88.192400000000006</v>
      </c>
      <c r="D587">
        <v>17.993600000000001</v>
      </c>
      <c r="E587">
        <f>Table1466[[#This Row],[CFNM]]/Table1466[[#This Row],[CAREA]]</f>
        <v>0.20402665082251983</v>
      </c>
      <c r="F587">
        <v>2.4542000000000002</v>
      </c>
      <c r="G587">
        <f>-(Table2467[[#This Row],[time]]-2)*2</f>
        <v>-0.90840000000000032</v>
      </c>
      <c r="H587">
        <v>93.206199999999995</v>
      </c>
      <c r="I587">
        <v>8.7760499999999997</v>
      </c>
      <c r="J587">
        <f>Table2467[[#This Row],[CFNM]]/Table2467[[#This Row],[CAREA]]</f>
        <v>9.415736292220904E-2</v>
      </c>
      <c r="K587">
        <v>2.4542000000000002</v>
      </c>
      <c r="L587">
        <f>-(Table3468[[#This Row],[time]]-2)*2</f>
        <v>-0.90840000000000032</v>
      </c>
      <c r="M587">
        <v>88.763800000000003</v>
      </c>
      <c r="N587">
        <v>14.4832</v>
      </c>
      <c r="O587">
        <f>Table3468[[#This Row],[CFNM]]/Table3468[[#This Row],[CAREA]]</f>
        <v>0.1631656148114434</v>
      </c>
      <c r="P587">
        <v>2.4542000000000002</v>
      </c>
      <c r="Q587">
        <f>-(Table4469[[#This Row],[time]]-2)*2</f>
        <v>-0.90840000000000032</v>
      </c>
      <c r="R587">
        <v>87.424800000000005</v>
      </c>
      <c r="S587">
        <v>20.0261</v>
      </c>
      <c r="T587">
        <f>Table4469[[#This Row],[CFNM]]/Table4469[[#This Row],[CAREA]]</f>
        <v>0.22906658064988422</v>
      </c>
      <c r="U587">
        <v>2.4542000000000002</v>
      </c>
      <c r="V587">
        <f>-(Table5470[[#This Row],[time]]-2)*2</f>
        <v>-0.90840000000000032</v>
      </c>
      <c r="W587">
        <v>78.456000000000003</v>
      </c>
      <c r="X587">
        <v>34.5443</v>
      </c>
      <c r="Y587">
        <f>Table5470[[#This Row],[CFNM]]/Table5470[[#This Row],[CAREA]]</f>
        <v>0.44030157030692363</v>
      </c>
      <c r="Z587">
        <v>2.4542000000000002</v>
      </c>
      <c r="AA587">
        <f>-(Table6471[[#This Row],[time]]-2)*2</f>
        <v>-0.90840000000000032</v>
      </c>
      <c r="AB587">
        <v>87.056200000000004</v>
      </c>
      <c r="AC587">
        <v>48.367699999999999</v>
      </c>
      <c r="AD587">
        <f>Table6471[[#This Row],[CFNM]]/Table6471[[#This Row],[CAREA]]</f>
        <v>0.55559167526264641</v>
      </c>
      <c r="AE587">
        <v>2.4542000000000002</v>
      </c>
      <c r="AF587">
        <f>-(Table7472[[#This Row],[time]]-2)*2</f>
        <v>-0.90840000000000032</v>
      </c>
      <c r="AG587">
        <v>79.694800000000001</v>
      </c>
      <c r="AH587">
        <v>43.995699999999999</v>
      </c>
      <c r="AI587">
        <f>Table7472[[#This Row],[CFNM]]/Table7472[[#This Row],[CAREA]]</f>
        <v>0.55205232963756734</v>
      </c>
      <c r="AJ587">
        <v>2.4542000000000002</v>
      </c>
      <c r="AK587">
        <f>-(Table8473[[#This Row],[time]]-2)*2</f>
        <v>-0.90840000000000032</v>
      </c>
      <c r="AL587">
        <v>80.402900000000002</v>
      </c>
      <c r="AM587">
        <v>46.225200000000001</v>
      </c>
      <c r="AN587">
        <f>Table8473[[#This Row],[CFNM]]/Table8473[[#This Row],[CAREA]]</f>
        <v>0.57491956135910516</v>
      </c>
    </row>
    <row r="588" spans="1:40">
      <c r="A588">
        <v>2.5061499999999999</v>
      </c>
      <c r="B588">
        <f>-(Table1466[[#This Row],[time]]-2)*2</f>
        <v>-1.0122999999999998</v>
      </c>
      <c r="C588">
        <v>88.043400000000005</v>
      </c>
      <c r="D588">
        <v>18.960100000000001</v>
      </c>
      <c r="E588">
        <f>Table1466[[#This Row],[CFNM]]/Table1466[[#This Row],[CAREA]]</f>
        <v>0.21534947537237317</v>
      </c>
      <c r="F588">
        <v>2.5061499999999999</v>
      </c>
      <c r="G588">
        <f>-(Table2467[[#This Row],[time]]-2)*2</f>
        <v>-1.0122999999999998</v>
      </c>
      <c r="H588">
        <v>93.103399999999993</v>
      </c>
      <c r="I588">
        <v>9.63584</v>
      </c>
      <c r="J588">
        <f>Table2467[[#This Row],[CFNM]]/Table2467[[#This Row],[CAREA]]</f>
        <v>0.10349611292391041</v>
      </c>
      <c r="K588">
        <v>2.5061499999999999</v>
      </c>
      <c r="L588">
        <f>-(Table3468[[#This Row],[time]]-2)*2</f>
        <v>-1.0122999999999998</v>
      </c>
      <c r="M588">
        <v>88.933000000000007</v>
      </c>
      <c r="N588">
        <v>15.831300000000001</v>
      </c>
      <c r="O588">
        <f>Table3468[[#This Row],[CFNM]]/Table3468[[#This Row],[CAREA]]</f>
        <v>0.17801378565886677</v>
      </c>
      <c r="P588">
        <v>2.5061499999999999</v>
      </c>
      <c r="Q588">
        <f>-(Table4469[[#This Row],[time]]-2)*2</f>
        <v>-1.0122999999999998</v>
      </c>
      <c r="R588">
        <v>87.854699999999994</v>
      </c>
      <c r="S588">
        <v>21.786999999999999</v>
      </c>
      <c r="T588">
        <f>Table4469[[#This Row],[CFNM]]/Table4469[[#This Row],[CAREA]]</f>
        <v>0.2479890091252944</v>
      </c>
      <c r="U588">
        <v>2.5061499999999999</v>
      </c>
      <c r="V588">
        <f>-(Table5470[[#This Row],[time]]-2)*2</f>
        <v>-1.0122999999999998</v>
      </c>
      <c r="W588">
        <v>77.776700000000005</v>
      </c>
      <c r="X588">
        <v>36.753999999999998</v>
      </c>
      <c r="Y588">
        <f>Table5470[[#This Row],[CFNM]]/Table5470[[#This Row],[CAREA]]</f>
        <v>0.47255797687482237</v>
      </c>
      <c r="Z588">
        <v>2.5061499999999999</v>
      </c>
      <c r="AA588">
        <f>-(Table6471[[#This Row],[time]]-2)*2</f>
        <v>-1.0122999999999998</v>
      </c>
      <c r="AB588">
        <v>86.361400000000003</v>
      </c>
      <c r="AC588">
        <v>51.447499999999998</v>
      </c>
      <c r="AD588">
        <f>Table6471[[#This Row],[CFNM]]/Table6471[[#This Row],[CAREA]]</f>
        <v>0.59572332083546575</v>
      </c>
      <c r="AE588">
        <v>2.5061499999999999</v>
      </c>
      <c r="AF588">
        <f>-(Table7472[[#This Row],[time]]-2)*2</f>
        <v>-1.0122999999999998</v>
      </c>
      <c r="AG588">
        <v>79.275700000000001</v>
      </c>
      <c r="AH588">
        <v>47.258699999999997</v>
      </c>
      <c r="AI588">
        <f>Table7472[[#This Row],[CFNM]]/Table7472[[#This Row],[CAREA]]</f>
        <v>0.59613097077666921</v>
      </c>
      <c r="AJ588">
        <v>2.5061499999999999</v>
      </c>
      <c r="AK588">
        <f>-(Table8473[[#This Row],[time]]-2)*2</f>
        <v>-1.0122999999999998</v>
      </c>
      <c r="AL588">
        <v>80.126000000000005</v>
      </c>
      <c r="AM588">
        <v>49.441400000000002</v>
      </c>
      <c r="AN588">
        <f>Table8473[[#This Row],[CFNM]]/Table8473[[#This Row],[CAREA]]</f>
        <v>0.61704565309637316</v>
      </c>
    </row>
    <row r="589" spans="1:40">
      <c r="A589">
        <v>2.5507599999999999</v>
      </c>
      <c r="B589">
        <f>-(Table1466[[#This Row],[time]]-2)*2</f>
        <v>-1.1015199999999998</v>
      </c>
      <c r="C589">
        <v>87.793300000000002</v>
      </c>
      <c r="D589">
        <v>20.015799999999999</v>
      </c>
      <c r="E589">
        <f>Table1466[[#This Row],[CFNM]]/Table1466[[#This Row],[CAREA]]</f>
        <v>0.2279877849448648</v>
      </c>
      <c r="F589">
        <v>2.5507599999999999</v>
      </c>
      <c r="G589">
        <f>-(Table2467[[#This Row],[time]]-2)*2</f>
        <v>-1.1015199999999998</v>
      </c>
      <c r="H589">
        <v>92.998000000000005</v>
      </c>
      <c r="I589">
        <v>10.6412</v>
      </c>
      <c r="J589">
        <f>Table2467[[#This Row],[CFNM]]/Table2467[[#This Row],[CAREA]]</f>
        <v>0.11442396610679799</v>
      </c>
      <c r="K589">
        <v>2.5507599999999999</v>
      </c>
      <c r="L589">
        <f>-(Table3468[[#This Row],[time]]-2)*2</f>
        <v>-1.1015199999999998</v>
      </c>
      <c r="M589">
        <v>89.122900000000001</v>
      </c>
      <c r="N589">
        <v>17.495699999999999</v>
      </c>
      <c r="O589">
        <f>Table3468[[#This Row],[CFNM]]/Table3468[[#This Row],[CAREA]]</f>
        <v>0.19630981487361834</v>
      </c>
      <c r="P589">
        <v>2.5507599999999999</v>
      </c>
      <c r="Q589">
        <f>-(Table4469[[#This Row],[time]]-2)*2</f>
        <v>-1.1015199999999998</v>
      </c>
      <c r="R589">
        <v>88.062600000000003</v>
      </c>
      <c r="S589">
        <v>23.8705</v>
      </c>
      <c r="T589">
        <f>Table4469[[#This Row],[CFNM]]/Table4469[[#This Row],[CAREA]]</f>
        <v>0.27106285755814613</v>
      </c>
      <c r="U589">
        <v>2.5507599999999999</v>
      </c>
      <c r="V589">
        <f>-(Table5470[[#This Row],[time]]-2)*2</f>
        <v>-1.1015199999999998</v>
      </c>
      <c r="W589">
        <v>76.834000000000003</v>
      </c>
      <c r="X589">
        <v>39.321899999999999</v>
      </c>
      <c r="Y589">
        <f>Table5470[[#This Row],[CFNM]]/Table5470[[#This Row],[CAREA]]</f>
        <v>0.51177733815758641</v>
      </c>
      <c r="Z589">
        <v>2.5507599999999999</v>
      </c>
      <c r="AA589">
        <f>-(Table6471[[#This Row],[time]]-2)*2</f>
        <v>-1.1015199999999998</v>
      </c>
      <c r="AB589">
        <v>84.807699999999997</v>
      </c>
      <c r="AC589">
        <v>55.056899999999999</v>
      </c>
      <c r="AD589">
        <f>Table6471[[#This Row],[CFNM]]/Table6471[[#This Row],[CAREA]]</f>
        <v>0.64919694791864424</v>
      </c>
      <c r="AE589">
        <v>2.5507599999999999</v>
      </c>
      <c r="AF589">
        <f>-(Table7472[[#This Row],[time]]-2)*2</f>
        <v>-1.1015199999999998</v>
      </c>
      <c r="AG589">
        <v>78.394599999999997</v>
      </c>
      <c r="AH589">
        <v>51.333599999999997</v>
      </c>
      <c r="AI589">
        <f>Table7472[[#This Row],[CFNM]]/Table7472[[#This Row],[CAREA]]</f>
        <v>0.654810407859725</v>
      </c>
      <c r="AJ589">
        <v>2.5507599999999999</v>
      </c>
      <c r="AK589">
        <f>-(Table8473[[#This Row],[time]]-2)*2</f>
        <v>-1.1015199999999998</v>
      </c>
      <c r="AL589">
        <v>79.815799999999996</v>
      </c>
      <c r="AM589">
        <v>53.1631</v>
      </c>
      <c r="AN589">
        <f>Table8473[[#This Row],[CFNM]]/Table8473[[#This Row],[CAREA]]</f>
        <v>0.66607238165876936</v>
      </c>
    </row>
    <row r="590" spans="1:40">
      <c r="A590">
        <v>2.60453</v>
      </c>
      <c r="B590">
        <f>-(Table1466[[#This Row],[time]]-2)*2</f>
        <v>-1.20906</v>
      </c>
      <c r="C590">
        <v>87.674800000000005</v>
      </c>
      <c r="D590">
        <v>20.9055</v>
      </c>
      <c r="E590">
        <f>Table1466[[#This Row],[CFNM]]/Table1466[[#This Row],[CAREA]]</f>
        <v>0.23844365769867737</v>
      </c>
      <c r="F590">
        <v>2.60453</v>
      </c>
      <c r="G590">
        <f>-(Table2467[[#This Row],[time]]-2)*2</f>
        <v>-1.20906</v>
      </c>
      <c r="H590">
        <v>92.904499999999999</v>
      </c>
      <c r="I590">
        <v>11.5116</v>
      </c>
      <c r="J590">
        <f>Table2467[[#This Row],[CFNM]]/Table2467[[#This Row],[CAREA]]</f>
        <v>0.12390788390228676</v>
      </c>
      <c r="K590">
        <v>2.60453</v>
      </c>
      <c r="L590">
        <f>-(Table3468[[#This Row],[time]]-2)*2</f>
        <v>-1.20906</v>
      </c>
      <c r="M590">
        <v>89.257999999999996</v>
      </c>
      <c r="N590">
        <v>19.077400000000001</v>
      </c>
      <c r="O590">
        <f>Table3468[[#This Row],[CFNM]]/Table3468[[#This Row],[CAREA]]</f>
        <v>0.21373322279235477</v>
      </c>
      <c r="P590">
        <v>2.60453</v>
      </c>
      <c r="Q590">
        <f>-(Table4469[[#This Row],[time]]-2)*2</f>
        <v>-1.20906</v>
      </c>
      <c r="R590">
        <v>88.203999999999994</v>
      </c>
      <c r="S590">
        <v>25.742799999999999</v>
      </c>
      <c r="T590">
        <f>Table4469[[#This Row],[CFNM]]/Table4469[[#This Row],[CAREA]]</f>
        <v>0.29185524466010615</v>
      </c>
      <c r="U590">
        <v>2.60453</v>
      </c>
      <c r="V590">
        <f>-(Table5470[[#This Row],[time]]-2)*2</f>
        <v>-1.20906</v>
      </c>
      <c r="W590">
        <v>75.917599999999993</v>
      </c>
      <c r="X590">
        <v>41.576999999999998</v>
      </c>
      <c r="Y590">
        <f>Table5470[[#This Row],[CFNM]]/Table5470[[#This Row],[CAREA]]</f>
        <v>0.54765956774186753</v>
      </c>
      <c r="Z590">
        <v>2.60453</v>
      </c>
      <c r="AA590">
        <f>-(Table6471[[#This Row],[time]]-2)*2</f>
        <v>-1.20906</v>
      </c>
      <c r="AB590">
        <v>84.089100000000002</v>
      </c>
      <c r="AC590">
        <v>58.17</v>
      </c>
      <c r="AD590">
        <f>Table6471[[#This Row],[CFNM]]/Table6471[[#This Row],[CAREA]]</f>
        <v>0.69176623367356771</v>
      </c>
      <c r="AE590">
        <v>2.60453</v>
      </c>
      <c r="AF590">
        <f>-(Table7472[[#This Row],[time]]-2)*2</f>
        <v>-1.20906</v>
      </c>
      <c r="AG590">
        <v>77.665999999999997</v>
      </c>
      <c r="AH590">
        <v>54.975099999999998</v>
      </c>
      <c r="AI590">
        <f>Table7472[[#This Row],[CFNM]]/Table7472[[#This Row],[CAREA]]</f>
        <v>0.70783998145906835</v>
      </c>
      <c r="AJ590">
        <v>2.60453</v>
      </c>
      <c r="AK590">
        <f>-(Table8473[[#This Row],[time]]-2)*2</f>
        <v>-1.20906</v>
      </c>
      <c r="AL590">
        <v>79.624399999999994</v>
      </c>
      <c r="AM590">
        <v>56.578099999999999</v>
      </c>
      <c r="AN590">
        <f>Table8473[[#This Row],[CFNM]]/Table8473[[#This Row],[CAREA]]</f>
        <v>0.7105623401871789</v>
      </c>
    </row>
    <row r="591" spans="1:40">
      <c r="A591">
        <v>2.65273</v>
      </c>
      <c r="B591">
        <f>-(Table1466[[#This Row],[time]]-2)*2</f>
        <v>-1.3054600000000001</v>
      </c>
      <c r="C591">
        <v>87.303700000000006</v>
      </c>
      <c r="D591">
        <v>21.7606</v>
      </c>
      <c r="E591">
        <f>Table1466[[#This Row],[CFNM]]/Table1466[[#This Row],[CAREA]]</f>
        <v>0.2492517499258336</v>
      </c>
      <c r="F591">
        <v>2.65273</v>
      </c>
      <c r="G591">
        <f>-(Table2467[[#This Row],[time]]-2)*2</f>
        <v>-1.3054600000000001</v>
      </c>
      <c r="H591">
        <v>92.822500000000005</v>
      </c>
      <c r="I591">
        <v>12.4552</v>
      </c>
      <c r="J591">
        <f>Table2467[[#This Row],[CFNM]]/Table2467[[#This Row],[CAREA]]</f>
        <v>0.13418298365159309</v>
      </c>
      <c r="K591">
        <v>2.65273</v>
      </c>
      <c r="L591">
        <f>-(Table3468[[#This Row],[time]]-2)*2</f>
        <v>-1.3054600000000001</v>
      </c>
      <c r="M591">
        <v>89.671400000000006</v>
      </c>
      <c r="N591">
        <v>20.714600000000001</v>
      </c>
      <c r="O591">
        <f>Table3468[[#This Row],[CFNM]]/Table3468[[#This Row],[CAREA]]</f>
        <v>0.23100564951589916</v>
      </c>
      <c r="P591">
        <v>2.65273</v>
      </c>
      <c r="Q591">
        <f>-(Table4469[[#This Row],[time]]-2)*2</f>
        <v>-1.3054600000000001</v>
      </c>
      <c r="R591">
        <v>88.352400000000003</v>
      </c>
      <c r="S591">
        <v>27.766999999999999</v>
      </c>
      <c r="T591">
        <f>Table4469[[#This Row],[CFNM]]/Table4469[[#This Row],[CAREA]]</f>
        <v>0.31427556014324454</v>
      </c>
      <c r="U591">
        <v>2.65273</v>
      </c>
      <c r="V591">
        <f>-(Table5470[[#This Row],[time]]-2)*2</f>
        <v>-1.3054600000000001</v>
      </c>
      <c r="W591">
        <v>75.044700000000006</v>
      </c>
      <c r="X591">
        <v>44.248899999999999</v>
      </c>
      <c r="Y591">
        <f>Table5470[[#This Row],[CFNM]]/Table5470[[#This Row],[CAREA]]</f>
        <v>0.58963391152206612</v>
      </c>
      <c r="Z591">
        <v>2.65273</v>
      </c>
      <c r="AA591">
        <f>-(Table6471[[#This Row],[time]]-2)*2</f>
        <v>-1.3054600000000001</v>
      </c>
      <c r="AB591">
        <v>83.416399999999996</v>
      </c>
      <c r="AC591">
        <v>61.725299999999997</v>
      </c>
      <c r="AD591">
        <f>Table6471[[#This Row],[CFNM]]/Table6471[[#This Row],[CAREA]]</f>
        <v>0.73996600188931672</v>
      </c>
      <c r="AE591">
        <v>2.65273</v>
      </c>
      <c r="AF591">
        <f>-(Table7472[[#This Row],[time]]-2)*2</f>
        <v>-1.3054600000000001</v>
      </c>
      <c r="AG591">
        <v>76.954400000000007</v>
      </c>
      <c r="AH591">
        <v>58.688800000000001</v>
      </c>
      <c r="AI591">
        <f>Table7472[[#This Row],[CFNM]]/Table7472[[#This Row],[CAREA]]</f>
        <v>0.76264385142370017</v>
      </c>
      <c r="AJ591">
        <v>2.65273</v>
      </c>
      <c r="AK591">
        <f>-(Table8473[[#This Row],[time]]-2)*2</f>
        <v>-1.3054600000000001</v>
      </c>
      <c r="AL591">
        <v>78.084100000000007</v>
      </c>
      <c r="AM591">
        <v>60.175800000000002</v>
      </c>
      <c r="AN591">
        <f>Table8473[[#This Row],[CFNM]]/Table8473[[#This Row],[CAREA]]</f>
        <v>0.77065369262116101</v>
      </c>
    </row>
    <row r="592" spans="1:40">
      <c r="A592">
        <v>2.7006199999999998</v>
      </c>
      <c r="B592">
        <f>-(Table1466[[#This Row],[time]]-2)*2</f>
        <v>-1.4012399999999996</v>
      </c>
      <c r="C592">
        <v>87.207099999999997</v>
      </c>
      <c r="D592">
        <v>22.626899999999999</v>
      </c>
      <c r="E592">
        <f>Table1466[[#This Row],[CFNM]]/Table1466[[#This Row],[CAREA]]</f>
        <v>0.2594616722720971</v>
      </c>
      <c r="F592">
        <v>2.7006199999999998</v>
      </c>
      <c r="G592">
        <f>-(Table2467[[#This Row],[time]]-2)*2</f>
        <v>-1.4012399999999996</v>
      </c>
      <c r="H592">
        <v>92.7624</v>
      </c>
      <c r="I592">
        <v>13.4833</v>
      </c>
      <c r="J592">
        <f>Table2467[[#This Row],[CFNM]]/Table2467[[#This Row],[CAREA]]</f>
        <v>0.14535307409036419</v>
      </c>
      <c r="K592">
        <v>2.7006199999999998</v>
      </c>
      <c r="L592">
        <f>-(Table3468[[#This Row],[time]]-2)*2</f>
        <v>-1.4012399999999996</v>
      </c>
      <c r="M592">
        <v>89.581299999999999</v>
      </c>
      <c r="N592">
        <v>22.4711</v>
      </c>
      <c r="O592">
        <f>Table3468[[#This Row],[CFNM]]/Table3468[[#This Row],[CAREA]]</f>
        <v>0.25084587966461752</v>
      </c>
      <c r="P592">
        <v>2.7006199999999998</v>
      </c>
      <c r="Q592">
        <f>-(Table4469[[#This Row],[time]]-2)*2</f>
        <v>-1.4012399999999996</v>
      </c>
      <c r="R592">
        <v>88.456100000000006</v>
      </c>
      <c r="S592">
        <v>30.078499999999998</v>
      </c>
      <c r="T592">
        <f>Table4469[[#This Row],[CFNM]]/Table4469[[#This Row],[CAREA]]</f>
        <v>0.34003873107677135</v>
      </c>
      <c r="U592">
        <v>2.7006199999999998</v>
      </c>
      <c r="V592">
        <f>-(Table5470[[#This Row],[time]]-2)*2</f>
        <v>-1.4012399999999996</v>
      </c>
      <c r="W592">
        <v>74.0505</v>
      </c>
      <c r="X592">
        <v>47.248399999999997</v>
      </c>
      <c r="Y592">
        <f>Table5470[[#This Row],[CFNM]]/Table5470[[#This Row],[CAREA]]</f>
        <v>0.63805646146886241</v>
      </c>
      <c r="Z592">
        <v>2.7006199999999998</v>
      </c>
      <c r="AA592">
        <f>-(Table6471[[#This Row],[time]]-2)*2</f>
        <v>-1.4012399999999996</v>
      </c>
      <c r="AB592">
        <v>82.672300000000007</v>
      </c>
      <c r="AC592">
        <v>65.814899999999994</v>
      </c>
      <c r="AD592">
        <f>Table6471[[#This Row],[CFNM]]/Table6471[[#This Row],[CAREA]]</f>
        <v>0.79609373393506644</v>
      </c>
      <c r="AE592">
        <v>2.7006199999999998</v>
      </c>
      <c r="AF592">
        <f>-(Table7472[[#This Row],[time]]-2)*2</f>
        <v>-1.4012399999999996</v>
      </c>
      <c r="AG592">
        <v>76.159599999999998</v>
      </c>
      <c r="AH592">
        <v>62.591999999999999</v>
      </c>
      <c r="AI592">
        <f>Table7472[[#This Row],[CFNM]]/Table7472[[#This Row],[CAREA]]</f>
        <v>0.82185305595092417</v>
      </c>
      <c r="AJ592">
        <v>2.7006199999999998</v>
      </c>
      <c r="AK592">
        <f>-(Table8473[[#This Row],[time]]-2)*2</f>
        <v>-1.4012399999999996</v>
      </c>
      <c r="AL592">
        <v>77.856899999999996</v>
      </c>
      <c r="AM592">
        <v>64.153000000000006</v>
      </c>
      <c r="AN592">
        <f>Table8473[[#This Row],[CFNM]]/Table8473[[#This Row],[CAREA]]</f>
        <v>0.82398605647026801</v>
      </c>
    </row>
    <row r="593" spans="1:40">
      <c r="A593">
        <v>2.75176</v>
      </c>
      <c r="B593">
        <f>-(Table1466[[#This Row],[time]]-2)*2</f>
        <v>-1.50352</v>
      </c>
      <c r="C593">
        <v>86.946100000000001</v>
      </c>
      <c r="D593">
        <v>23.383099999999999</v>
      </c>
      <c r="E593">
        <f>Table1466[[#This Row],[CFNM]]/Table1466[[#This Row],[CAREA]]</f>
        <v>0.26893788220518228</v>
      </c>
      <c r="F593">
        <v>2.75176</v>
      </c>
      <c r="G593">
        <f>-(Table2467[[#This Row],[time]]-2)*2</f>
        <v>-1.50352</v>
      </c>
      <c r="H593">
        <v>92.728899999999996</v>
      </c>
      <c r="I593">
        <v>14.3818</v>
      </c>
      <c r="J593">
        <f>Table2467[[#This Row],[CFNM]]/Table2467[[#This Row],[CAREA]]</f>
        <v>0.1550951213699289</v>
      </c>
      <c r="K593">
        <v>2.75176</v>
      </c>
      <c r="L593">
        <f>-(Table3468[[#This Row],[time]]-2)*2</f>
        <v>-1.50352</v>
      </c>
      <c r="M593">
        <v>89.471100000000007</v>
      </c>
      <c r="N593">
        <v>24.106000000000002</v>
      </c>
      <c r="O593">
        <f>Table3468[[#This Row],[CFNM]]/Table3468[[#This Row],[CAREA]]</f>
        <v>0.26942778170828346</v>
      </c>
      <c r="P593">
        <v>2.75176</v>
      </c>
      <c r="Q593">
        <f>-(Table4469[[#This Row],[time]]-2)*2</f>
        <v>-1.50352</v>
      </c>
      <c r="R593">
        <v>88.543499999999995</v>
      </c>
      <c r="S593">
        <v>32.271299999999997</v>
      </c>
      <c r="T593">
        <f>Table4469[[#This Row],[CFNM]]/Table4469[[#This Row],[CAREA]]</f>
        <v>0.36446831218553588</v>
      </c>
      <c r="U593">
        <v>2.75176</v>
      </c>
      <c r="V593">
        <f>-(Table5470[[#This Row],[time]]-2)*2</f>
        <v>-1.50352</v>
      </c>
      <c r="W593">
        <v>73.231399999999994</v>
      </c>
      <c r="X593">
        <v>49.979199999999999</v>
      </c>
      <c r="Y593">
        <f>Table5470[[#This Row],[CFNM]]/Table5470[[#This Row],[CAREA]]</f>
        <v>0.68248319709851246</v>
      </c>
      <c r="Z593">
        <v>2.75176</v>
      </c>
      <c r="AA593">
        <f>-(Table6471[[#This Row],[time]]-2)*2</f>
        <v>-1.50352</v>
      </c>
      <c r="AB593">
        <v>81.931100000000001</v>
      </c>
      <c r="AC593">
        <v>69.558999999999997</v>
      </c>
      <c r="AD593">
        <f>Table6471[[#This Row],[CFNM]]/Table6471[[#This Row],[CAREA]]</f>
        <v>0.84899384971030534</v>
      </c>
      <c r="AE593">
        <v>2.75176</v>
      </c>
      <c r="AF593">
        <f>-(Table7472[[#This Row],[time]]-2)*2</f>
        <v>-1.50352</v>
      </c>
      <c r="AG593">
        <v>75.491</v>
      </c>
      <c r="AH593">
        <v>66.161699999999996</v>
      </c>
      <c r="AI593">
        <f>Table7472[[#This Row],[CFNM]]/Table7472[[#This Row],[CAREA]]</f>
        <v>0.87641838099905944</v>
      </c>
      <c r="AJ593">
        <v>2.75176</v>
      </c>
      <c r="AK593">
        <f>-(Table8473[[#This Row],[time]]-2)*2</f>
        <v>-1.50352</v>
      </c>
      <c r="AL593">
        <v>77.596199999999996</v>
      </c>
      <c r="AM593">
        <v>67.685599999999994</v>
      </c>
      <c r="AN593">
        <f>Table8473[[#This Row],[CFNM]]/Table8473[[#This Row],[CAREA]]</f>
        <v>0.87227982813591387</v>
      </c>
    </row>
    <row r="594" spans="1:40">
      <c r="A594">
        <v>2.80444</v>
      </c>
      <c r="B594">
        <f>-(Table1466[[#This Row],[time]]-2)*2</f>
        <v>-1.6088800000000001</v>
      </c>
      <c r="C594">
        <v>86.673500000000004</v>
      </c>
      <c r="D594">
        <v>24.3218</v>
      </c>
      <c r="E594">
        <f>Table1466[[#This Row],[CFNM]]/Table1466[[#This Row],[CAREA]]</f>
        <v>0.28061402850929057</v>
      </c>
      <c r="F594">
        <v>2.80444</v>
      </c>
      <c r="G594">
        <f>-(Table2467[[#This Row],[time]]-2)*2</f>
        <v>-1.6088800000000001</v>
      </c>
      <c r="H594">
        <v>92.720500000000001</v>
      </c>
      <c r="I594">
        <v>15.5472</v>
      </c>
      <c r="J594">
        <f>Table2467[[#This Row],[CFNM]]/Table2467[[#This Row],[CAREA]]</f>
        <v>0.16767812943200264</v>
      </c>
      <c r="K594">
        <v>2.80444</v>
      </c>
      <c r="L594">
        <f>-(Table3468[[#This Row],[time]]-2)*2</f>
        <v>-1.6088800000000001</v>
      </c>
      <c r="M594">
        <v>89.960700000000003</v>
      </c>
      <c r="N594">
        <v>26.3386</v>
      </c>
      <c r="O594">
        <f>Table3468[[#This Row],[CFNM]]/Table3468[[#This Row],[CAREA]]</f>
        <v>0.29277895792273734</v>
      </c>
      <c r="P594">
        <v>2.80444</v>
      </c>
      <c r="Q594">
        <f>-(Table4469[[#This Row],[time]]-2)*2</f>
        <v>-1.6088800000000001</v>
      </c>
      <c r="R594">
        <v>88.269400000000005</v>
      </c>
      <c r="S594">
        <v>35.3371</v>
      </c>
      <c r="T594">
        <f>Table4469[[#This Row],[CFNM]]/Table4469[[#This Row],[CAREA]]</f>
        <v>0.40033239151959793</v>
      </c>
      <c r="U594">
        <v>2.80444</v>
      </c>
      <c r="V594">
        <f>-(Table5470[[#This Row],[time]]-2)*2</f>
        <v>-1.6088800000000001</v>
      </c>
      <c r="W594">
        <v>71.370900000000006</v>
      </c>
      <c r="X594">
        <v>53.679499999999997</v>
      </c>
      <c r="Y594">
        <f>Table5470[[#This Row],[CFNM]]/Table5470[[#This Row],[CAREA]]</f>
        <v>0.75212026189945758</v>
      </c>
      <c r="Z594">
        <v>2.80444</v>
      </c>
      <c r="AA594">
        <f>-(Table6471[[#This Row],[time]]-2)*2</f>
        <v>-1.6088800000000001</v>
      </c>
      <c r="AB594">
        <v>80.890900000000002</v>
      </c>
      <c r="AC594">
        <v>74.630200000000002</v>
      </c>
      <c r="AD594">
        <f>Table6471[[#This Row],[CFNM]]/Table6471[[#This Row],[CAREA]]</f>
        <v>0.92260316055328839</v>
      </c>
      <c r="AE594">
        <v>2.80444</v>
      </c>
      <c r="AF594">
        <f>-(Table7472[[#This Row],[time]]-2)*2</f>
        <v>-1.6088800000000001</v>
      </c>
      <c r="AG594">
        <v>74.569999999999993</v>
      </c>
      <c r="AH594">
        <v>70.936800000000005</v>
      </c>
      <c r="AI594">
        <f>Table7472[[#This Row],[CFNM]]/Table7472[[#This Row],[CAREA]]</f>
        <v>0.95127799383129963</v>
      </c>
      <c r="AJ594">
        <v>2.80444</v>
      </c>
      <c r="AK594">
        <f>-(Table8473[[#This Row],[time]]-2)*2</f>
        <v>-1.6088800000000001</v>
      </c>
      <c r="AL594">
        <v>77.297399999999996</v>
      </c>
      <c r="AM594">
        <v>72.425799999999995</v>
      </c>
      <c r="AN594">
        <f>Table8473[[#This Row],[CFNM]]/Table8473[[#This Row],[CAREA]]</f>
        <v>0.93697588793413489</v>
      </c>
    </row>
    <row r="595" spans="1:40">
      <c r="A595">
        <v>2.8583699999999999</v>
      </c>
      <c r="B595">
        <f>-(Table1466[[#This Row],[time]]-2)*2</f>
        <v>-1.7167399999999997</v>
      </c>
      <c r="C595">
        <v>86.658199999999994</v>
      </c>
      <c r="D595">
        <v>24.8139</v>
      </c>
      <c r="E595">
        <f>Table1466[[#This Row],[CFNM]]/Table1466[[#This Row],[CAREA]]</f>
        <v>0.28634220419994877</v>
      </c>
      <c r="F595">
        <v>2.8583699999999999</v>
      </c>
      <c r="G595">
        <f>-(Table2467[[#This Row],[time]]-2)*2</f>
        <v>-1.7167399999999997</v>
      </c>
      <c r="H595">
        <v>92.734800000000007</v>
      </c>
      <c r="I595">
        <v>16.1892</v>
      </c>
      <c r="J595">
        <f>Table2467[[#This Row],[CFNM]]/Table2467[[#This Row],[CAREA]]</f>
        <v>0.17457524036284111</v>
      </c>
      <c r="K595">
        <v>2.8583699999999999</v>
      </c>
      <c r="L595">
        <f>-(Table3468[[#This Row],[time]]-2)*2</f>
        <v>-1.7167399999999997</v>
      </c>
      <c r="M595">
        <v>90.395300000000006</v>
      </c>
      <c r="N595">
        <v>27.623999999999999</v>
      </c>
      <c r="O595">
        <f>Table3468[[#This Row],[CFNM]]/Table3468[[#This Row],[CAREA]]</f>
        <v>0.30559110927227406</v>
      </c>
      <c r="P595">
        <v>2.8583699999999999</v>
      </c>
      <c r="Q595">
        <f>-(Table4469[[#This Row],[time]]-2)*2</f>
        <v>-1.7167399999999997</v>
      </c>
      <c r="R595">
        <v>88.181299999999993</v>
      </c>
      <c r="S595">
        <v>37.147100000000002</v>
      </c>
      <c r="T595">
        <f>Table4469[[#This Row],[CFNM]]/Table4469[[#This Row],[CAREA]]</f>
        <v>0.42125824863094563</v>
      </c>
      <c r="U595">
        <v>2.8583699999999999</v>
      </c>
      <c r="V595">
        <f>-(Table5470[[#This Row],[time]]-2)*2</f>
        <v>-1.7167399999999997</v>
      </c>
      <c r="W595">
        <v>70.650800000000004</v>
      </c>
      <c r="X595">
        <v>55.7806</v>
      </c>
      <c r="Y595">
        <f>Table5470[[#This Row],[CFNM]]/Table5470[[#This Row],[CAREA]]</f>
        <v>0.78952538400131345</v>
      </c>
      <c r="Z595">
        <v>2.8583699999999999</v>
      </c>
      <c r="AA595">
        <f>-(Table6471[[#This Row],[time]]-2)*2</f>
        <v>-1.7167399999999997</v>
      </c>
      <c r="AB595">
        <v>80.3279</v>
      </c>
      <c r="AC595">
        <v>77.495699999999999</v>
      </c>
      <c r="AD595">
        <f>Table6471[[#This Row],[CFNM]]/Table6471[[#This Row],[CAREA]]</f>
        <v>0.96474201367146406</v>
      </c>
      <c r="AE595">
        <v>2.8583699999999999</v>
      </c>
      <c r="AF595">
        <f>-(Table7472[[#This Row],[time]]-2)*2</f>
        <v>-1.7167399999999997</v>
      </c>
      <c r="AG595">
        <v>74.165599999999998</v>
      </c>
      <c r="AH595">
        <v>73.568100000000001</v>
      </c>
      <c r="AI595">
        <f>Table7472[[#This Row],[CFNM]]/Table7472[[#This Row],[CAREA]]</f>
        <v>0.99194370435889423</v>
      </c>
      <c r="AJ595">
        <v>2.8583699999999999</v>
      </c>
      <c r="AK595">
        <f>-(Table8473[[#This Row],[time]]-2)*2</f>
        <v>-1.7167399999999997</v>
      </c>
      <c r="AL595">
        <v>77.130200000000002</v>
      </c>
      <c r="AM595">
        <v>75.008700000000005</v>
      </c>
      <c r="AN595">
        <f>Table8473[[#This Row],[CFNM]]/Table8473[[#This Row],[CAREA]]</f>
        <v>0.97249456114466193</v>
      </c>
    </row>
    <row r="596" spans="1:40">
      <c r="A596">
        <v>2.9134199999999999</v>
      </c>
      <c r="B596">
        <f>-(Table1466[[#This Row],[time]]-2)*2</f>
        <v>-1.8268399999999998</v>
      </c>
      <c r="C596">
        <v>86.590999999999994</v>
      </c>
      <c r="D596">
        <v>25.539000000000001</v>
      </c>
      <c r="E596">
        <f>Table1466[[#This Row],[CFNM]]/Table1466[[#This Row],[CAREA]]</f>
        <v>0.29493827303068454</v>
      </c>
      <c r="F596">
        <v>2.9134199999999999</v>
      </c>
      <c r="G596">
        <f>-(Table2467[[#This Row],[time]]-2)*2</f>
        <v>-1.8268399999999998</v>
      </c>
      <c r="H596">
        <v>92.780100000000004</v>
      </c>
      <c r="I596">
        <v>17.077400000000001</v>
      </c>
      <c r="J596">
        <f>Table2467[[#This Row],[CFNM]]/Table2467[[#This Row],[CAREA]]</f>
        <v>0.18406317734083064</v>
      </c>
      <c r="K596">
        <v>2.9134199999999999</v>
      </c>
      <c r="L596">
        <f>-(Table3468[[#This Row],[time]]-2)*2</f>
        <v>-1.8268399999999998</v>
      </c>
      <c r="M596">
        <v>90.160700000000006</v>
      </c>
      <c r="N596">
        <v>29.664400000000001</v>
      </c>
      <c r="O596">
        <f>Table3468[[#This Row],[CFNM]]/Table3468[[#This Row],[CAREA]]</f>
        <v>0.32901696637226641</v>
      </c>
      <c r="P596">
        <v>2.9134199999999999</v>
      </c>
      <c r="Q596">
        <f>-(Table4469[[#This Row],[time]]-2)*2</f>
        <v>-1.8268399999999998</v>
      </c>
      <c r="R596">
        <v>88.106499999999997</v>
      </c>
      <c r="S596">
        <v>39.892000000000003</v>
      </c>
      <c r="T596">
        <f>Table4469[[#This Row],[CFNM]]/Table4469[[#This Row],[CAREA]]</f>
        <v>0.45277022694125862</v>
      </c>
      <c r="U596">
        <v>2.9134199999999999</v>
      </c>
      <c r="V596">
        <f>-(Table5470[[#This Row],[time]]-2)*2</f>
        <v>-1.8268399999999998</v>
      </c>
      <c r="W596">
        <v>69.587999999999994</v>
      </c>
      <c r="X596">
        <v>58.798499999999997</v>
      </c>
      <c r="Y596">
        <f>Table5470[[#This Row],[CFNM]]/Table5470[[#This Row],[CAREA]]</f>
        <v>0.84495171581307127</v>
      </c>
      <c r="Z596">
        <v>2.9134199999999999</v>
      </c>
      <c r="AA596">
        <f>-(Table6471[[#This Row],[time]]-2)*2</f>
        <v>-1.8268399999999998</v>
      </c>
      <c r="AB596">
        <v>78.758499999999998</v>
      </c>
      <c r="AC596">
        <v>81.638900000000007</v>
      </c>
      <c r="AD596">
        <f>Table6471[[#This Row],[CFNM]]/Table6471[[#This Row],[CAREA]]</f>
        <v>1.0365725604220497</v>
      </c>
      <c r="AE596">
        <v>2.9134199999999999</v>
      </c>
      <c r="AF596">
        <f>-(Table7472[[#This Row],[time]]-2)*2</f>
        <v>-1.8268399999999998</v>
      </c>
      <c r="AG596">
        <v>73.546499999999995</v>
      </c>
      <c r="AH596">
        <v>77.218500000000006</v>
      </c>
      <c r="AI596">
        <f>Table7472[[#This Row],[CFNM]]/Table7472[[#This Row],[CAREA]]</f>
        <v>1.0499275968264976</v>
      </c>
      <c r="AJ596">
        <v>2.9134199999999999</v>
      </c>
      <c r="AK596">
        <f>-(Table8473[[#This Row],[time]]-2)*2</f>
        <v>-1.8268399999999998</v>
      </c>
      <c r="AL596">
        <v>76.8476</v>
      </c>
      <c r="AM596">
        <v>78.806600000000003</v>
      </c>
      <c r="AN596">
        <f>Table8473[[#This Row],[CFNM]]/Table8473[[#This Row],[CAREA]]</f>
        <v>1.025492012762923</v>
      </c>
    </row>
    <row r="597" spans="1:40">
      <c r="A597">
        <v>2.9619599999999999</v>
      </c>
      <c r="B597">
        <f>-(Table1466[[#This Row],[time]]-2)*2</f>
        <v>-1.9239199999999999</v>
      </c>
      <c r="C597">
        <v>86.635400000000004</v>
      </c>
      <c r="D597">
        <v>26.177700000000002</v>
      </c>
      <c r="E597">
        <f>Table1466[[#This Row],[CFNM]]/Table1466[[#This Row],[CAREA]]</f>
        <v>0.30215939442768197</v>
      </c>
      <c r="F597">
        <v>2.9619599999999999</v>
      </c>
      <c r="G597">
        <f>-(Table2467[[#This Row],[time]]-2)*2</f>
        <v>-1.9239199999999999</v>
      </c>
      <c r="H597">
        <v>92.799000000000007</v>
      </c>
      <c r="I597">
        <v>18.088000000000001</v>
      </c>
      <c r="J597">
        <f>Table2467[[#This Row],[CFNM]]/Table2467[[#This Row],[CAREA]]</f>
        <v>0.19491589349023158</v>
      </c>
      <c r="K597">
        <v>2.9619599999999999</v>
      </c>
      <c r="L597">
        <f>-(Table3468[[#This Row],[time]]-2)*2</f>
        <v>-1.9239199999999999</v>
      </c>
      <c r="M597">
        <v>89.924700000000001</v>
      </c>
      <c r="N597">
        <v>31.7927</v>
      </c>
      <c r="O597">
        <f>Table3468[[#This Row],[CFNM]]/Table3468[[#This Row],[CAREA]]</f>
        <v>0.35354802406902663</v>
      </c>
      <c r="P597">
        <v>2.9619599999999999</v>
      </c>
      <c r="Q597">
        <f>-(Table4469[[#This Row],[time]]-2)*2</f>
        <v>-1.9239199999999999</v>
      </c>
      <c r="R597">
        <v>87.864800000000002</v>
      </c>
      <c r="S597">
        <v>43.146599999999999</v>
      </c>
      <c r="T597">
        <f>Table4469[[#This Row],[CFNM]]/Table4469[[#This Row],[CAREA]]</f>
        <v>0.49105671440667931</v>
      </c>
      <c r="U597">
        <v>2.9619599999999999</v>
      </c>
      <c r="V597">
        <f>-(Table5470[[#This Row],[time]]-2)*2</f>
        <v>-1.9239199999999999</v>
      </c>
      <c r="W597">
        <v>68.455799999999996</v>
      </c>
      <c r="X597">
        <v>61.996200000000002</v>
      </c>
      <c r="Y597">
        <f>Table5470[[#This Row],[CFNM]]/Table5470[[#This Row],[CAREA]]</f>
        <v>0.90563838272286645</v>
      </c>
      <c r="Z597">
        <v>2.9619599999999999</v>
      </c>
      <c r="AA597">
        <f>-(Table6471[[#This Row],[time]]-2)*2</f>
        <v>-1.9239199999999999</v>
      </c>
      <c r="AB597">
        <v>76.995900000000006</v>
      </c>
      <c r="AC597">
        <v>86.162899999999993</v>
      </c>
      <c r="AD597">
        <f>Table6471[[#This Row],[CFNM]]/Table6471[[#This Row],[CAREA]]</f>
        <v>1.1190582875192054</v>
      </c>
      <c r="AE597">
        <v>2.9619599999999999</v>
      </c>
      <c r="AF597">
        <f>-(Table7472[[#This Row],[time]]-2)*2</f>
        <v>-1.9239199999999999</v>
      </c>
      <c r="AG597">
        <v>72.940399999999997</v>
      </c>
      <c r="AH597">
        <v>80.964799999999997</v>
      </c>
      <c r="AI597">
        <f>Table7472[[#This Row],[CFNM]]/Table7472[[#This Row],[CAREA]]</f>
        <v>1.1100131065911347</v>
      </c>
      <c r="AJ597">
        <v>2.9619599999999999</v>
      </c>
      <c r="AK597">
        <f>-(Table8473[[#This Row],[time]]-2)*2</f>
        <v>-1.9239199999999999</v>
      </c>
      <c r="AL597">
        <v>76.586100000000002</v>
      </c>
      <c r="AM597">
        <v>82.930400000000006</v>
      </c>
      <c r="AN597">
        <f>Table8473[[#This Row],[CFNM]]/Table8473[[#This Row],[CAREA]]</f>
        <v>1.0828387918956575</v>
      </c>
    </row>
    <row r="598" spans="1:40">
      <c r="A598">
        <v>3</v>
      </c>
      <c r="B598">
        <f>-(Table1466[[#This Row],[time]]-2)*2</f>
        <v>-2</v>
      </c>
      <c r="C598">
        <v>86.783699999999996</v>
      </c>
      <c r="D598">
        <v>26.675999999999998</v>
      </c>
      <c r="E598">
        <f>Table1466[[#This Row],[CFNM]]/Table1466[[#This Row],[CAREA]]</f>
        <v>0.30738491214363989</v>
      </c>
      <c r="F598">
        <v>3</v>
      </c>
      <c r="G598">
        <f>-(Table2467[[#This Row],[time]]-2)*2</f>
        <v>-2</v>
      </c>
      <c r="H598">
        <v>92.916700000000006</v>
      </c>
      <c r="I598">
        <v>19.022600000000001</v>
      </c>
      <c r="J598">
        <f>Table2467[[#This Row],[CFNM]]/Table2467[[#This Row],[CAREA]]</f>
        <v>0.20472746018745822</v>
      </c>
      <c r="K598">
        <v>3</v>
      </c>
      <c r="L598">
        <f>-(Table3468[[#This Row],[time]]-2)*2</f>
        <v>-2</v>
      </c>
      <c r="M598">
        <v>89.561999999999998</v>
      </c>
      <c r="N598">
        <v>33.722299999999997</v>
      </c>
      <c r="O598">
        <f>Table3468[[#This Row],[CFNM]]/Table3468[[#This Row],[CAREA]]</f>
        <v>0.37652464214733927</v>
      </c>
      <c r="P598">
        <v>3</v>
      </c>
      <c r="Q598">
        <f>-(Table4469[[#This Row],[time]]-2)*2</f>
        <v>-2</v>
      </c>
      <c r="R598">
        <v>87.682500000000005</v>
      </c>
      <c r="S598">
        <v>46.224499999999999</v>
      </c>
      <c r="T598">
        <f>Table4469[[#This Row],[CFNM]]/Table4469[[#This Row],[CAREA]]</f>
        <v>0.52718045219969778</v>
      </c>
      <c r="U598">
        <v>3</v>
      </c>
      <c r="V598">
        <f>-(Table5470[[#This Row],[time]]-2)*2</f>
        <v>-2</v>
      </c>
      <c r="W598">
        <v>67.477699999999999</v>
      </c>
      <c r="X598">
        <v>64.844499999999996</v>
      </c>
      <c r="Y598">
        <f>Table5470[[#This Row],[CFNM]]/Table5470[[#This Row],[CAREA]]</f>
        <v>0.96097673749994439</v>
      </c>
      <c r="Z598">
        <v>3</v>
      </c>
      <c r="AA598">
        <f>-(Table6471[[#This Row],[time]]-2)*2</f>
        <v>-2</v>
      </c>
      <c r="AB598">
        <v>74.908900000000003</v>
      </c>
      <c r="AC598">
        <v>90.282200000000003</v>
      </c>
      <c r="AD598">
        <f>Table6471[[#This Row],[CFNM]]/Table6471[[#This Row],[CAREA]]</f>
        <v>1.2052266152620048</v>
      </c>
      <c r="AE598">
        <v>3</v>
      </c>
      <c r="AF598">
        <f>-(Table7472[[#This Row],[time]]-2)*2</f>
        <v>-2</v>
      </c>
      <c r="AG598">
        <v>72.363100000000003</v>
      </c>
      <c r="AH598">
        <v>84.310199999999995</v>
      </c>
      <c r="AI598">
        <f>Table7472[[#This Row],[CFNM]]/Table7472[[#This Row],[CAREA]]</f>
        <v>1.165099339304148</v>
      </c>
      <c r="AJ598">
        <v>3</v>
      </c>
      <c r="AK598">
        <f>-(Table8473[[#This Row],[time]]-2)*2</f>
        <v>-2</v>
      </c>
      <c r="AL598">
        <v>76.380600000000001</v>
      </c>
      <c r="AM598">
        <v>86.557299999999998</v>
      </c>
      <c r="AN598">
        <f>Table8473[[#This Row],[CFNM]]/Table8473[[#This Row],[CAREA]]</f>
        <v>1.1332367119399429</v>
      </c>
    </row>
    <row r="600" spans="1:40">
      <c r="A600" t="s">
        <v>63</v>
      </c>
      <c r="E600" t="s">
        <v>2</v>
      </c>
    </row>
    <row r="601" spans="1:40">
      <c r="A601" t="s">
        <v>64</v>
      </c>
      <c r="E601" t="s">
        <v>4</v>
      </c>
      <c r="F601" t="s">
        <v>5</v>
      </c>
    </row>
    <row r="603" spans="1:40">
      <c r="A603" t="s">
        <v>7</v>
      </c>
      <c r="F603" t="s">
        <v>8</v>
      </c>
      <c r="K603" t="s">
        <v>9</v>
      </c>
      <c r="P603" t="s">
        <v>26</v>
      </c>
      <c r="U603" t="s">
        <v>11</v>
      </c>
      <c r="Z603" t="s">
        <v>12</v>
      </c>
      <c r="AE603" t="s">
        <v>13</v>
      </c>
      <c r="AJ603" t="s">
        <v>14</v>
      </c>
    </row>
    <row r="604" spans="1:40">
      <c r="A604" t="s">
        <v>15</v>
      </c>
      <c r="B604" t="s">
        <v>16</v>
      </c>
      <c r="C604" t="s">
        <v>20</v>
      </c>
      <c r="D604" t="s">
        <v>18</v>
      </c>
      <c r="E604" t="s">
        <v>19</v>
      </c>
      <c r="F604" t="s">
        <v>15</v>
      </c>
      <c r="G604" t="s">
        <v>16</v>
      </c>
      <c r="H604" t="s">
        <v>20</v>
      </c>
      <c r="I604" t="s">
        <v>18</v>
      </c>
      <c r="J604" t="s">
        <v>19</v>
      </c>
      <c r="K604" t="s">
        <v>15</v>
      </c>
      <c r="L604" t="s">
        <v>16</v>
      </c>
      <c r="M604" t="s">
        <v>20</v>
      </c>
      <c r="N604" t="s">
        <v>18</v>
      </c>
      <c r="O604" t="s">
        <v>19</v>
      </c>
      <c r="P604" t="s">
        <v>15</v>
      </c>
      <c r="Q604" t="s">
        <v>16</v>
      </c>
      <c r="R604" t="s">
        <v>20</v>
      </c>
      <c r="S604" t="s">
        <v>18</v>
      </c>
      <c r="T604" t="s">
        <v>19</v>
      </c>
      <c r="U604" t="s">
        <v>15</v>
      </c>
      <c r="V604" t="s">
        <v>16</v>
      </c>
      <c r="W604" t="s">
        <v>20</v>
      </c>
      <c r="X604" t="s">
        <v>18</v>
      </c>
      <c r="Y604" t="s">
        <v>19</v>
      </c>
      <c r="Z604" t="s">
        <v>15</v>
      </c>
      <c r="AA604" t="s">
        <v>16</v>
      </c>
      <c r="AB604" t="s">
        <v>20</v>
      </c>
      <c r="AC604" t="s">
        <v>18</v>
      </c>
      <c r="AD604" t="s">
        <v>19</v>
      </c>
      <c r="AE604" t="s">
        <v>15</v>
      </c>
      <c r="AF604" t="s">
        <v>16</v>
      </c>
      <c r="AG604" t="s">
        <v>20</v>
      </c>
      <c r="AH604" t="s">
        <v>18</v>
      </c>
      <c r="AI604" t="s">
        <v>19</v>
      </c>
      <c r="AJ604" t="s">
        <v>15</v>
      </c>
      <c r="AK604" t="s">
        <v>16</v>
      </c>
      <c r="AL604" t="s">
        <v>20</v>
      </c>
      <c r="AM604" t="s">
        <v>18</v>
      </c>
      <c r="AN604" t="s">
        <v>19</v>
      </c>
    </row>
    <row r="605" spans="1:40">
      <c r="A605">
        <v>2</v>
      </c>
      <c r="B605">
        <f>(Table110474[[#This Row],[time]]-2)*2</f>
        <v>0</v>
      </c>
      <c r="C605">
        <v>91.082599999999999</v>
      </c>
      <c r="D605">
        <v>10.202299999999999</v>
      </c>
      <c r="E605" s="2">
        <f>Table110474[[#This Row],[CFNM]]/Table110474[[#This Row],[CAREA]]</f>
        <v>0.11201151482280917</v>
      </c>
      <c r="F605">
        <v>2</v>
      </c>
      <c r="G605">
        <f>(Table211475[[#This Row],[time]]-2)*2</f>
        <v>0</v>
      </c>
      <c r="H605">
        <v>95.835700000000003</v>
      </c>
      <c r="I605">
        <v>3.5654499999999998</v>
      </c>
      <c r="J605" s="2">
        <f>Table211475[[#This Row],[CFNM]]/Table211475[[#This Row],[CAREA]]</f>
        <v>3.7203776880640513E-2</v>
      </c>
      <c r="K605">
        <v>2</v>
      </c>
      <c r="L605">
        <f>(Table312476[[#This Row],[time]]-2)*2</f>
        <v>0</v>
      </c>
      <c r="M605">
        <v>89.253699999999995</v>
      </c>
      <c r="N605">
        <v>3.6436600000000001</v>
      </c>
      <c r="O605">
        <f>Table312476[[#This Row],[CFNM]]/Table312476[[#This Row],[CAREA]]</f>
        <v>4.0823629720672647E-2</v>
      </c>
      <c r="P605">
        <v>2</v>
      </c>
      <c r="Q605">
        <f>(Table413477[[#This Row],[time]]-2)*2</f>
        <v>0</v>
      </c>
      <c r="R605">
        <v>86.409400000000005</v>
      </c>
      <c r="S605">
        <v>6.4346899999999998</v>
      </c>
      <c r="T605">
        <f>Table413477[[#This Row],[CFNM]]/Table413477[[#This Row],[CAREA]]</f>
        <v>7.4467476918020484E-2</v>
      </c>
      <c r="U605">
        <v>2</v>
      </c>
      <c r="V605">
        <f>(Table514478[[#This Row],[time]]-2)*2</f>
        <v>0</v>
      </c>
      <c r="W605">
        <v>82.628699999999995</v>
      </c>
      <c r="X605">
        <v>8.5542400000000001</v>
      </c>
      <c r="Y605">
        <f>Table514478[[#This Row],[CFNM]]/Table514478[[#This Row],[CAREA]]</f>
        <v>0.1035262566154375</v>
      </c>
      <c r="Z605">
        <v>2</v>
      </c>
      <c r="AA605">
        <f>(Table615479[[#This Row],[time]]-2)*2</f>
        <v>0</v>
      </c>
      <c r="AB605">
        <v>88.863399999999999</v>
      </c>
      <c r="AC605">
        <v>15.0844</v>
      </c>
      <c r="AD605">
        <f>Table615479[[#This Row],[CFNM]]/Table615479[[#This Row],[CAREA]]</f>
        <v>0.1697481752892642</v>
      </c>
      <c r="AE605">
        <v>2</v>
      </c>
      <c r="AF605">
        <f>(Table716480[[#This Row],[time]]-2)*2</f>
        <v>0</v>
      </c>
      <c r="AG605">
        <v>78.953900000000004</v>
      </c>
      <c r="AH605">
        <v>19.6159</v>
      </c>
      <c r="AI605">
        <f>Table716480[[#This Row],[CFNM]]/Table716480[[#This Row],[CAREA]]</f>
        <v>0.24844751177585905</v>
      </c>
      <c r="AJ605">
        <v>2</v>
      </c>
      <c r="AK605">
        <f>(Table817481[[#This Row],[time]]-2)*2</f>
        <v>0</v>
      </c>
      <c r="AL605">
        <v>83.137299999999996</v>
      </c>
      <c r="AM605">
        <v>19.2331</v>
      </c>
      <c r="AN605">
        <f>Table817481[[#This Row],[CFNM]]/Table817481[[#This Row],[CAREA]]</f>
        <v>0.23134140752706669</v>
      </c>
    </row>
    <row r="606" spans="1:40">
      <c r="A606">
        <v>2.0512600000000001</v>
      </c>
      <c r="B606">
        <f>(Table110474[[#This Row],[time]]-2)*2</f>
        <v>0.10252000000000017</v>
      </c>
      <c r="C606">
        <v>91.115899999999996</v>
      </c>
      <c r="D606">
        <v>10.1069</v>
      </c>
      <c r="E606">
        <f>Table110474[[#This Row],[CFNM]]/Table110474[[#This Row],[CAREA]]</f>
        <v>0.11092355999337108</v>
      </c>
      <c r="F606">
        <v>2.0512600000000001</v>
      </c>
      <c r="G606">
        <f>(Table211475[[#This Row],[time]]-2)*2</f>
        <v>0.10252000000000017</v>
      </c>
      <c r="H606">
        <v>96.085599999999999</v>
      </c>
      <c r="I606">
        <v>3.5947</v>
      </c>
      <c r="J606">
        <f>Table211475[[#This Row],[CFNM]]/Table211475[[#This Row],[CAREA]]</f>
        <v>3.7411433138784582E-2</v>
      </c>
      <c r="K606">
        <v>2.0512600000000001</v>
      </c>
      <c r="L606">
        <f>(Table312476[[#This Row],[time]]-2)*2</f>
        <v>0.10252000000000017</v>
      </c>
      <c r="M606">
        <v>89.307699999999997</v>
      </c>
      <c r="N606">
        <v>3.2617699999999998</v>
      </c>
      <c r="O606">
        <f>Table312476[[#This Row],[CFNM]]/Table312476[[#This Row],[CAREA]]</f>
        <v>3.6522830618188576E-2</v>
      </c>
      <c r="P606">
        <v>2.0512600000000001</v>
      </c>
      <c r="Q606">
        <f>(Table413477[[#This Row],[time]]-2)*2</f>
        <v>0.10252000000000017</v>
      </c>
      <c r="R606">
        <v>86.488900000000001</v>
      </c>
      <c r="S606">
        <v>6.1142899999999996</v>
      </c>
      <c r="T606">
        <f>Table413477[[#This Row],[CFNM]]/Table413477[[#This Row],[CAREA]]</f>
        <v>7.0694505306461292E-2</v>
      </c>
      <c r="U606">
        <v>2.0512600000000001</v>
      </c>
      <c r="V606">
        <f>(Table514478[[#This Row],[time]]-2)*2</f>
        <v>0.10252000000000017</v>
      </c>
      <c r="W606">
        <v>82.652500000000003</v>
      </c>
      <c r="X606">
        <v>7.1946700000000003</v>
      </c>
      <c r="Y606">
        <f>Table514478[[#This Row],[CFNM]]/Table514478[[#This Row],[CAREA]]</f>
        <v>8.7047215752699553E-2</v>
      </c>
      <c r="Z606">
        <v>2.0512600000000001</v>
      </c>
      <c r="AA606">
        <f>(Table615479[[#This Row],[time]]-2)*2</f>
        <v>0.10252000000000017</v>
      </c>
      <c r="AB606">
        <v>88.8001</v>
      </c>
      <c r="AC606">
        <v>13.571199999999999</v>
      </c>
      <c r="AD606">
        <f>Table615479[[#This Row],[CFNM]]/Table615479[[#This Row],[CAREA]]</f>
        <v>0.15282865672448567</v>
      </c>
      <c r="AE606">
        <v>2.0512600000000001</v>
      </c>
      <c r="AF606">
        <f>(Table716480[[#This Row],[time]]-2)*2</f>
        <v>0.10252000000000017</v>
      </c>
      <c r="AG606">
        <v>78.820999999999998</v>
      </c>
      <c r="AH606">
        <v>18.519400000000001</v>
      </c>
      <c r="AI606">
        <f>Table716480[[#This Row],[CFNM]]/Table716480[[#This Row],[CAREA]]</f>
        <v>0.23495515154590785</v>
      </c>
      <c r="AJ606">
        <v>2.0512600000000001</v>
      </c>
      <c r="AK606">
        <f>(Table817481[[#This Row],[time]]-2)*2</f>
        <v>0.10252000000000017</v>
      </c>
      <c r="AL606">
        <v>83.218500000000006</v>
      </c>
      <c r="AM606">
        <v>17.904699999999998</v>
      </c>
      <c r="AN606">
        <f>Table817481[[#This Row],[CFNM]]/Table817481[[#This Row],[CAREA]]</f>
        <v>0.21515288066956262</v>
      </c>
    </row>
    <row r="607" spans="1:40">
      <c r="A607">
        <v>2.1153300000000002</v>
      </c>
      <c r="B607">
        <f>(Table110474[[#This Row],[time]]-2)*2</f>
        <v>0.23066000000000031</v>
      </c>
      <c r="C607">
        <v>91.430300000000003</v>
      </c>
      <c r="D607">
        <v>9.5388000000000002</v>
      </c>
      <c r="E607">
        <f>Table110474[[#This Row],[CFNM]]/Table110474[[#This Row],[CAREA]]</f>
        <v>0.10432865253641298</v>
      </c>
      <c r="F607">
        <v>2.1153300000000002</v>
      </c>
      <c r="G607">
        <f>(Table211475[[#This Row],[time]]-2)*2</f>
        <v>0.23066000000000031</v>
      </c>
      <c r="H607">
        <v>96.239900000000006</v>
      </c>
      <c r="I607">
        <v>3.5073599999999998</v>
      </c>
      <c r="J607">
        <f>Table211475[[#This Row],[CFNM]]/Table211475[[#This Row],[CAREA]]</f>
        <v>3.6443928142069967E-2</v>
      </c>
      <c r="K607">
        <v>2.1153300000000002</v>
      </c>
      <c r="L607">
        <f>(Table312476[[#This Row],[time]]-2)*2</f>
        <v>0.23066000000000031</v>
      </c>
      <c r="M607">
        <v>89.290800000000004</v>
      </c>
      <c r="N607">
        <v>2.2092900000000002</v>
      </c>
      <c r="O607">
        <f>Table312476[[#This Row],[CFNM]]/Table312476[[#This Row],[CAREA]]</f>
        <v>2.4742638659301968E-2</v>
      </c>
      <c r="P607">
        <v>2.1153300000000002</v>
      </c>
      <c r="Q607">
        <f>(Table413477[[#This Row],[time]]-2)*2</f>
        <v>0.23066000000000031</v>
      </c>
      <c r="R607">
        <v>86.415199999999999</v>
      </c>
      <c r="S607">
        <v>4.9740399999999996</v>
      </c>
      <c r="T607">
        <f>Table413477[[#This Row],[CFNM]]/Table413477[[#This Row],[CAREA]]</f>
        <v>5.7559781149612563E-2</v>
      </c>
      <c r="U607">
        <v>2.1153300000000002</v>
      </c>
      <c r="V607">
        <f>(Table514478[[#This Row],[time]]-2)*2</f>
        <v>0.23066000000000031</v>
      </c>
      <c r="W607">
        <v>82.762799999999999</v>
      </c>
      <c r="X607">
        <v>3.8373699999999999</v>
      </c>
      <c r="Y607">
        <f>Table514478[[#This Row],[CFNM]]/Table514478[[#This Row],[CAREA]]</f>
        <v>4.6365879356425832E-2</v>
      </c>
      <c r="Z607">
        <v>2.1153300000000002</v>
      </c>
      <c r="AA607">
        <f>(Table615479[[#This Row],[time]]-2)*2</f>
        <v>0.23066000000000031</v>
      </c>
      <c r="AB607">
        <v>88.570599999999999</v>
      </c>
      <c r="AC607">
        <v>9.4588999999999999</v>
      </c>
      <c r="AD607">
        <f>Table615479[[#This Row],[CFNM]]/Table615479[[#This Row],[CAREA]]</f>
        <v>0.10679503130835739</v>
      </c>
      <c r="AE607">
        <v>2.1153300000000002</v>
      </c>
      <c r="AF607">
        <f>(Table716480[[#This Row],[time]]-2)*2</f>
        <v>0.23066000000000031</v>
      </c>
      <c r="AG607">
        <v>78.584299999999999</v>
      </c>
      <c r="AH607">
        <v>17.301100000000002</v>
      </c>
      <c r="AI607">
        <f>Table716480[[#This Row],[CFNM]]/Table716480[[#This Row],[CAREA]]</f>
        <v>0.22015975201153415</v>
      </c>
      <c r="AJ607">
        <v>2.1153300000000002</v>
      </c>
      <c r="AK607">
        <f>(Table817481[[#This Row],[time]]-2)*2</f>
        <v>0.23066000000000031</v>
      </c>
      <c r="AL607">
        <v>83.393799999999999</v>
      </c>
      <c r="AM607">
        <v>16.3935</v>
      </c>
      <c r="AN607">
        <f>Table817481[[#This Row],[CFNM]]/Table817481[[#This Row],[CAREA]]</f>
        <v>0.19657936201492196</v>
      </c>
    </row>
    <row r="608" spans="1:40">
      <c r="A608">
        <v>2.16533</v>
      </c>
      <c r="B608">
        <f>(Table110474[[#This Row],[time]]-2)*2</f>
        <v>0.33065999999999995</v>
      </c>
      <c r="C608">
        <v>91.847399999999993</v>
      </c>
      <c r="D608">
        <v>9.0205099999999998</v>
      </c>
      <c r="E608">
        <f>Table110474[[#This Row],[CFNM]]/Table110474[[#This Row],[CAREA]]</f>
        <v>9.8211925432837521E-2</v>
      </c>
      <c r="F608">
        <v>2.16533</v>
      </c>
      <c r="G608">
        <f>(Table211475[[#This Row],[time]]-2)*2</f>
        <v>0.33065999999999995</v>
      </c>
      <c r="H608">
        <v>96.232200000000006</v>
      </c>
      <c r="I608">
        <v>3.399</v>
      </c>
      <c r="J608">
        <f>Table211475[[#This Row],[CFNM]]/Table211475[[#This Row],[CAREA]]</f>
        <v>3.5320817772013936E-2</v>
      </c>
      <c r="K608">
        <v>2.16533</v>
      </c>
      <c r="L608">
        <f>(Table312476[[#This Row],[time]]-2)*2</f>
        <v>0.33065999999999995</v>
      </c>
      <c r="M608">
        <v>89.219700000000003</v>
      </c>
      <c r="N608">
        <v>1.3972100000000001</v>
      </c>
      <c r="O608">
        <f>Table312476[[#This Row],[CFNM]]/Table312476[[#This Row],[CAREA]]</f>
        <v>1.5660330622048718E-2</v>
      </c>
      <c r="P608">
        <v>2.16533</v>
      </c>
      <c r="Q608">
        <f>(Table413477[[#This Row],[time]]-2)*2</f>
        <v>0.33065999999999995</v>
      </c>
      <c r="R608">
        <v>86.276300000000006</v>
      </c>
      <c r="S608">
        <v>3.79358</v>
      </c>
      <c r="T608">
        <f>Table413477[[#This Row],[CFNM]]/Table413477[[#This Row],[CAREA]]</f>
        <v>4.397012852892393E-2</v>
      </c>
      <c r="U608">
        <v>2.16533</v>
      </c>
      <c r="V608">
        <f>(Table514478[[#This Row],[time]]-2)*2</f>
        <v>0.33065999999999995</v>
      </c>
      <c r="W608">
        <v>82.320599999999999</v>
      </c>
      <c r="X608">
        <v>1.5960399999999999</v>
      </c>
      <c r="Y608">
        <f>Table514478[[#This Row],[CFNM]]/Table514478[[#This Row],[CAREA]]</f>
        <v>1.9388099698009975E-2</v>
      </c>
      <c r="Z608">
        <v>2.16533</v>
      </c>
      <c r="AA608">
        <f>(Table615479[[#This Row],[time]]-2)*2</f>
        <v>0.33065999999999995</v>
      </c>
      <c r="AB608">
        <v>88.247799999999998</v>
      </c>
      <c r="AC608">
        <v>5.7442299999999999</v>
      </c>
      <c r="AD608">
        <f>Table615479[[#This Row],[CFNM]]/Table615479[[#This Row],[CAREA]]</f>
        <v>6.5092047620450594E-2</v>
      </c>
      <c r="AE608">
        <v>2.16533</v>
      </c>
      <c r="AF608">
        <f>(Table716480[[#This Row],[time]]-2)*2</f>
        <v>0.33065999999999995</v>
      </c>
      <c r="AG608">
        <v>78.401600000000002</v>
      </c>
      <c r="AH608">
        <v>16.455200000000001</v>
      </c>
      <c r="AI608">
        <f>Table716480[[#This Row],[CFNM]]/Table716480[[#This Row],[CAREA]]</f>
        <v>0.20988347176588235</v>
      </c>
      <c r="AJ608">
        <v>2.16533</v>
      </c>
      <c r="AK608">
        <f>(Table817481[[#This Row],[time]]-2)*2</f>
        <v>0.33065999999999995</v>
      </c>
      <c r="AL608">
        <v>83.530900000000003</v>
      </c>
      <c r="AM608">
        <v>15.2974</v>
      </c>
      <c r="AN608">
        <f>Table817481[[#This Row],[CFNM]]/Table817481[[#This Row],[CAREA]]</f>
        <v>0.18313462443239567</v>
      </c>
    </row>
    <row r="609" spans="1:40">
      <c r="A609">
        <v>2.2246999999999999</v>
      </c>
      <c r="B609">
        <f>(Table110474[[#This Row],[time]]-2)*2</f>
        <v>0.4493999999999998</v>
      </c>
      <c r="C609">
        <v>91.891099999999994</v>
      </c>
      <c r="D609">
        <v>8.17652</v>
      </c>
      <c r="E609">
        <f>Table110474[[#This Row],[CFNM]]/Table110474[[#This Row],[CAREA]]</f>
        <v>8.8980543273505269E-2</v>
      </c>
      <c r="F609">
        <v>2.2246999999999999</v>
      </c>
      <c r="G609">
        <f>(Table211475[[#This Row],[time]]-2)*2</f>
        <v>0.4493999999999998</v>
      </c>
      <c r="H609">
        <v>96.299800000000005</v>
      </c>
      <c r="I609">
        <v>3.1495099999999998</v>
      </c>
      <c r="J609">
        <f>Table211475[[#This Row],[CFNM]]/Table211475[[#This Row],[CAREA]]</f>
        <v>3.270526003169269E-2</v>
      </c>
      <c r="K609">
        <v>2.2246999999999999</v>
      </c>
      <c r="L609">
        <f>(Table312476[[#This Row],[time]]-2)*2</f>
        <v>0.4493999999999998</v>
      </c>
      <c r="M609">
        <v>88.839399999999998</v>
      </c>
      <c r="N609">
        <v>0.42350500000000002</v>
      </c>
      <c r="O609">
        <f>Table312476[[#This Row],[CFNM]]/Table312476[[#This Row],[CAREA]]</f>
        <v>4.7670853247545573E-3</v>
      </c>
      <c r="P609">
        <v>2.2246999999999999</v>
      </c>
      <c r="Q609">
        <f>(Table413477[[#This Row],[time]]-2)*2</f>
        <v>0.4493999999999998</v>
      </c>
      <c r="R609">
        <v>85.899100000000004</v>
      </c>
      <c r="S609">
        <v>2.0318700000000001</v>
      </c>
      <c r="T609">
        <f>Table413477[[#This Row],[CFNM]]/Table413477[[#This Row],[CAREA]]</f>
        <v>2.3654147715168144E-2</v>
      </c>
      <c r="U609">
        <v>2.2246999999999999</v>
      </c>
      <c r="V609">
        <f>(Table514478[[#This Row],[time]]-2)*2</f>
        <v>0.4493999999999998</v>
      </c>
      <c r="W609">
        <v>80.892700000000005</v>
      </c>
      <c r="X609">
        <v>0.52888299999999999</v>
      </c>
      <c r="Y609">
        <f>Table514478[[#This Row],[CFNM]]/Table514478[[#This Row],[CAREA]]</f>
        <v>6.5380806920772817E-3</v>
      </c>
      <c r="Z609">
        <v>2.2246999999999999</v>
      </c>
      <c r="AA609">
        <f>(Table615479[[#This Row],[time]]-2)*2</f>
        <v>0.4493999999999998</v>
      </c>
      <c r="AB609">
        <v>87.761700000000005</v>
      </c>
      <c r="AC609">
        <v>3.3708399999999998</v>
      </c>
      <c r="AD609">
        <f>Table615479[[#This Row],[CFNM]]/Table615479[[#This Row],[CAREA]]</f>
        <v>3.8409009852817338E-2</v>
      </c>
      <c r="AE609">
        <v>2.2246999999999999</v>
      </c>
      <c r="AF609">
        <f>(Table716480[[#This Row],[time]]-2)*2</f>
        <v>0.4493999999999998</v>
      </c>
      <c r="AG609">
        <v>78.200299999999999</v>
      </c>
      <c r="AH609">
        <v>15.7553</v>
      </c>
      <c r="AI609">
        <f>Table716480[[#This Row],[CFNM]]/Table716480[[#This Row],[CAREA]]</f>
        <v>0.20147365163560754</v>
      </c>
      <c r="AJ609">
        <v>2.2246999999999999</v>
      </c>
      <c r="AK609">
        <f>(Table817481[[#This Row],[time]]-2)*2</f>
        <v>0.4493999999999998</v>
      </c>
      <c r="AL609">
        <v>83.673599999999993</v>
      </c>
      <c r="AM609">
        <v>14.3492</v>
      </c>
      <c r="AN609">
        <f>Table817481[[#This Row],[CFNM]]/Table817481[[#This Row],[CAREA]]</f>
        <v>0.17149017133241548</v>
      </c>
    </row>
    <row r="610" spans="1:40">
      <c r="A610">
        <v>2.2668900000000001</v>
      </c>
      <c r="B610">
        <f>(Table110474[[#This Row],[time]]-2)*2</f>
        <v>0.53378000000000014</v>
      </c>
      <c r="C610">
        <v>92.317599999999999</v>
      </c>
      <c r="D610">
        <v>7.1296600000000003</v>
      </c>
      <c r="E610">
        <f>Table110474[[#This Row],[CFNM]]/Table110474[[#This Row],[CAREA]]</f>
        <v>7.7229694012842631E-2</v>
      </c>
      <c r="F610">
        <v>2.2668900000000001</v>
      </c>
      <c r="G610">
        <f>(Table211475[[#This Row],[time]]-2)*2</f>
        <v>0.53378000000000014</v>
      </c>
      <c r="H610">
        <v>96.528899999999993</v>
      </c>
      <c r="I610">
        <v>2.5761799999999999</v>
      </c>
      <c r="J610">
        <f>Table211475[[#This Row],[CFNM]]/Table211475[[#This Row],[CAREA]]</f>
        <v>2.6688173179224048E-2</v>
      </c>
      <c r="K610">
        <v>2.2668900000000001</v>
      </c>
      <c r="L610">
        <f>(Table312476[[#This Row],[time]]-2)*2</f>
        <v>0.53378000000000014</v>
      </c>
      <c r="M610">
        <v>87.917599999999993</v>
      </c>
      <c r="N610">
        <v>4.4333599999999999E-3</v>
      </c>
      <c r="O610">
        <f>Table312476[[#This Row],[CFNM]]/Table312476[[#This Row],[CAREA]]</f>
        <v>5.0426308270471448E-5</v>
      </c>
      <c r="P610">
        <v>2.2668900000000001</v>
      </c>
      <c r="Q610">
        <f>(Table413477[[#This Row],[time]]-2)*2</f>
        <v>0.53378000000000014</v>
      </c>
      <c r="R610">
        <v>84.966399999999993</v>
      </c>
      <c r="S610">
        <v>0.37479699999999999</v>
      </c>
      <c r="T610">
        <f>Table413477[[#This Row],[CFNM]]/Table413477[[#This Row],[CAREA]]</f>
        <v>4.4111201604398916E-3</v>
      </c>
      <c r="U610">
        <v>2.2668900000000001</v>
      </c>
      <c r="V610">
        <f>(Table514478[[#This Row],[time]]-2)*2</f>
        <v>0.53378000000000014</v>
      </c>
      <c r="W610">
        <v>80.758799999999994</v>
      </c>
      <c r="X610">
        <v>0.26671400000000001</v>
      </c>
      <c r="Y610">
        <f>Table514478[[#This Row],[CFNM]]/Table514478[[#This Row],[CAREA]]</f>
        <v>3.3025998405127369E-3</v>
      </c>
      <c r="Z610">
        <v>2.2668900000000001</v>
      </c>
      <c r="AA610">
        <f>(Table615479[[#This Row],[time]]-2)*2</f>
        <v>0.53378000000000014</v>
      </c>
      <c r="AB610">
        <v>87.153800000000004</v>
      </c>
      <c r="AC610">
        <v>2.1255899999999999</v>
      </c>
      <c r="AD610">
        <f>Table615479[[#This Row],[CFNM]]/Table615479[[#This Row],[CAREA]]</f>
        <v>2.4388953780558047E-2</v>
      </c>
      <c r="AE610">
        <v>2.2668900000000001</v>
      </c>
      <c r="AF610">
        <f>(Table716480[[#This Row],[time]]-2)*2</f>
        <v>0.53378000000000014</v>
      </c>
      <c r="AG610">
        <v>77.998800000000003</v>
      </c>
      <c r="AH610">
        <v>15.0878</v>
      </c>
      <c r="AI610">
        <f>Table716480[[#This Row],[CFNM]]/Table716480[[#This Row],[CAREA]]</f>
        <v>0.19343630927655295</v>
      </c>
      <c r="AJ610">
        <v>2.2668900000000001</v>
      </c>
      <c r="AK610">
        <f>(Table817481[[#This Row],[time]]-2)*2</f>
        <v>0.53378000000000014</v>
      </c>
      <c r="AL610">
        <v>84.007499999999993</v>
      </c>
      <c r="AM610">
        <v>13.333</v>
      </c>
      <c r="AN610">
        <f>Table817481[[#This Row],[CFNM]]/Table817481[[#This Row],[CAREA]]</f>
        <v>0.15871201976014049</v>
      </c>
    </row>
    <row r="611" spans="1:40">
      <c r="A611">
        <v>2.3262700000000001</v>
      </c>
      <c r="B611">
        <f>(Table110474[[#This Row],[time]]-2)*2</f>
        <v>0.65254000000000012</v>
      </c>
      <c r="C611">
        <v>92.342299999999994</v>
      </c>
      <c r="D611">
        <v>6.2239399999999998</v>
      </c>
      <c r="E611">
        <f>Table110474[[#This Row],[CFNM]]/Table110474[[#This Row],[CAREA]]</f>
        <v>6.7400747003269354E-2</v>
      </c>
      <c r="F611">
        <v>2.3262700000000001</v>
      </c>
      <c r="G611">
        <f>(Table211475[[#This Row],[time]]-2)*2</f>
        <v>0.65254000000000012</v>
      </c>
      <c r="H611">
        <v>96.500699999999995</v>
      </c>
      <c r="I611">
        <v>2.1036800000000002</v>
      </c>
      <c r="J611">
        <f>Table211475[[#This Row],[CFNM]]/Table211475[[#This Row],[CAREA]]</f>
        <v>2.1799634614049435E-2</v>
      </c>
      <c r="K611">
        <v>2.3262700000000001</v>
      </c>
      <c r="L611">
        <f>(Table312476[[#This Row],[time]]-2)*2</f>
        <v>0.65254000000000012</v>
      </c>
      <c r="M611">
        <v>86.890299999999996</v>
      </c>
      <c r="N611">
        <v>3.9019100000000002E-3</v>
      </c>
      <c r="O611">
        <f>Table312476[[#This Row],[CFNM]]/Table312476[[#This Row],[CAREA]]</f>
        <v>4.4906163288652477E-5</v>
      </c>
      <c r="P611">
        <v>2.3262700000000001</v>
      </c>
      <c r="Q611">
        <f>(Table413477[[#This Row],[time]]-2)*2</f>
        <v>0.65254000000000012</v>
      </c>
      <c r="R611">
        <v>83.605199999999996</v>
      </c>
      <c r="S611">
        <v>5.3246500000000002E-3</v>
      </c>
      <c r="T611">
        <f>Table413477[[#This Row],[CFNM]]/Table413477[[#This Row],[CAREA]]</f>
        <v>6.368802418988293E-5</v>
      </c>
      <c r="U611">
        <v>2.3262700000000001</v>
      </c>
      <c r="V611">
        <f>(Table514478[[#This Row],[time]]-2)*2</f>
        <v>0.65254000000000012</v>
      </c>
      <c r="W611">
        <v>80.617000000000004</v>
      </c>
      <c r="X611">
        <v>0.11748699999999999</v>
      </c>
      <c r="Y611">
        <f>Table514478[[#This Row],[CFNM]]/Table514478[[#This Row],[CAREA]]</f>
        <v>1.4573477058188718E-3</v>
      </c>
      <c r="Z611">
        <v>2.3262700000000001</v>
      </c>
      <c r="AA611">
        <f>(Table615479[[#This Row],[time]]-2)*2</f>
        <v>0.65254000000000012</v>
      </c>
      <c r="AB611">
        <v>84.804699999999997</v>
      </c>
      <c r="AC611">
        <v>1.5774300000000001</v>
      </c>
      <c r="AD611">
        <f>Table615479[[#This Row],[CFNM]]/Table615479[[#This Row],[CAREA]]</f>
        <v>1.8600737930798649E-2</v>
      </c>
      <c r="AE611">
        <v>2.3262700000000001</v>
      </c>
      <c r="AF611">
        <f>(Table716480[[#This Row],[time]]-2)*2</f>
        <v>0.65254000000000012</v>
      </c>
      <c r="AG611">
        <v>77.877200000000002</v>
      </c>
      <c r="AH611">
        <v>14.5687</v>
      </c>
      <c r="AI611">
        <f>Table716480[[#This Row],[CFNM]]/Table716480[[#This Row],[CAREA]]</f>
        <v>0.18707272475127507</v>
      </c>
      <c r="AJ611">
        <v>2.3262700000000001</v>
      </c>
      <c r="AK611">
        <f>(Table817481[[#This Row],[time]]-2)*2</f>
        <v>0.65254000000000012</v>
      </c>
      <c r="AL611">
        <v>84.138199999999998</v>
      </c>
      <c r="AM611">
        <v>12.6854</v>
      </c>
      <c r="AN611">
        <f>Table817481[[#This Row],[CFNM]]/Table817481[[#This Row],[CAREA]]</f>
        <v>0.15076861639540659</v>
      </c>
    </row>
    <row r="612" spans="1:40">
      <c r="A612">
        <v>2.3684599999999998</v>
      </c>
      <c r="B612">
        <f>(Table110474[[#This Row],[time]]-2)*2</f>
        <v>0.73691999999999958</v>
      </c>
      <c r="C612">
        <v>92.262500000000003</v>
      </c>
      <c r="D612">
        <v>4.6426999999999996</v>
      </c>
      <c r="E612">
        <f>Table110474[[#This Row],[CFNM]]/Table110474[[#This Row],[CAREA]]</f>
        <v>5.0320552770627282E-2</v>
      </c>
      <c r="F612">
        <v>2.3684599999999998</v>
      </c>
      <c r="G612">
        <f>(Table211475[[#This Row],[time]]-2)*2</f>
        <v>0.73691999999999958</v>
      </c>
      <c r="H612">
        <v>96.365200000000002</v>
      </c>
      <c r="I612">
        <v>1.07372</v>
      </c>
      <c r="J612">
        <f>Table211475[[#This Row],[CFNM]]/Table211475[[#This Row],[CAREA]]</f>
        <v>1.114219656058411E-2</v>
      </c>
      <c r="K612">
        <v>2.3684599999999998</v>
      </c>
      <c r="L612">
        <f>(Table312476[[#This Row],[time]]-2)*2</f>
        <v>0.73691999999999958</v>
      </c>
      <c r="M612">
        <v>86.654799999999994</v>
      </c>
      <c r="N612">
        <v>3.6391499999999999E-3</v>
      </c>
      <c r="O612">
        <f>Table312476[[#This Row],[CFNM]]/Table312476[[#This Row],[CAREA]]</f>
        <v>4.1995942521360621E-5</v>
      </c>
      <c r="P612">
        <v>2.3684599999999998</v>
      </c>
      <c r="Q612">
        <f>(Table413477[[#This Row],[time]]-2)*2</f>
        <v>0.73691999999999958</v>
      </c>
      <c r="R612">
        <v>83.2042</v>
      </c>
      <c r="S612">
        <v>4.9232700000000004E-3</v>
      </c>
      <c r="T612">
        <f>Table413477[[#This Row],[CFNM]]/Table413477[[#This Row],[CAREA]]</f>
        <v>5.9170931275103905E-5</v>
      </c>
      <c r="U612">
        <v>2.3684599999999998</v>
      </c>
      <c r="V612">
        <f>(Table514478[[#This Row],[time]]-2)*2</f>
        <v>0.73691999999999958</v>
      </c>
      <c r="W612">
        <v>79.937600000000003</v>
      </c>
      <c r="X612">
        <v>5.6049300000000002E-3</v>
      </c>
      <c r="Y612">
        <f>Table514478[[#This Row],[CFNM]]/Table514478[[#This Row],[CAREA]]</f>
        <v>7.0116315726266492E-5</v>
      </c>
      <c r="Z612">
        <v>2.3684599999999998</v>
      </c>
      <c r="AA612">
        <f>(Table615479[[#This Row],[time]]-2)*2</f>
        <v>0.73691999999999958</v>
      </c>
      <c r="AB612">
        <v>84.342500000000001</v>
      </c>
      <c r="AC612">
        <v>1.05725</v>
      </c>
      <c r="AD612">
        <f>Table615479[[#This Row],[CFNM]]/Table615479[[#This Row],[CAREA]]</f>
        <v>1.253519874321961E-2</v>
      </c>
      <c r="AE612">
        <v>2.3684599999999998</v>
      </c>
      <c r="AF612">
        <f>(Table716480[[#This Row],[time]]-2)*2</f>
        <v>0.73691999999999958</v>
      </c>
      <c r="AG612">
        <v>77.626499999999993</v>
      </c>
      <c r="AH612">
        <v>14.0435</v>
      </c>
      <c r="AI612">
        <f>Table716480[[#This Row],[CFNM]]/Table716480[[#This Row],[CAREA]]</f>
        <v>0.1809111579164332</v>
      </c>
      <c r="AJ612">
        <v>2.3684599999999998</v>
      </c>
      <c r="AK612">
        <f>(Table817481[[#This Row],[time]]-2)*2</f>
        <v>0.73691999999999958</v>
      </c>
      <c r="AL612">
        <v>84.266300000000001</v>
      </c>
      <c r="AM612">
        <v>12.0131</v>
      </c>
      <c r="AN612">
        <f>Table817481[[#This Row],[CFNM]]/Table817481[[#This Row],[CAREA]]</f>
        <v>0.14256114247332563</v>
      </c>
    </row>
    <row r="613" spans="1:40">
      <c r="A613">
        <v>2.4278300000000002</v>
      </c>
      <c r="B613">
        <f>(Table110474[[#This Row],[time]]-2)*2</f>
        <v>0.85566000000000031</v>
      </c>
      <c r="C613">
        <v>91.738900000000001</v>
      </c>
      <c r="D613">
        <v>3.08284</v>
      </c>
      <c r="E613">
        <f>Table110474[[#This Row],[CFNM]]/Table110474[[#This Row],[CAREA]]</f>
        <v>3.3604501471022653E-2</v>
      </c>
      <c r="F613">
        <v>2.4278300000000002</v>
      </c>
      <c r="G613">
        <f>(Table211475[[#This Row],[time]]-2)*2</f>
        <v>0.85566000000000031</v>
      </c>
      <c r="H613">
        <v>96.034999999999997</v>
      </c>
      <c r="I613">
        <v>0.18079799999999999</v>
      </c>
      <c r="J613">
        <f>Table211475[[#This Row],[CFNM]]/Table211475[[#This Row],[CAREA]]</f>
        <v>1.8826261258916019E-3</v>
      </c>
      <c r="K613">
        <v>2.4278300000000002</v>
      </c>
      <c r="L613">
        <f>(Table312476[[#This Row],[time]]-2)*2</f>
        <v>0.85566000000000031</v>
      </c>
      <c r="M613">
        <v>85.596900000000005</v>
      </c>
      <c r="N613">
        <v>3.4024900000000002E-3</v>
      </c>
      <c r="O613">
        <f>Table312476[[#This Row],[CFNM]]/Table312476[[#This Row],[CAREA]]</f>
        <v>3.9750154503258878E-5</v>
      </c>
      <c r="P613">
        <v>2.4278300000000002</v>
      </c>
      <c r="Q613">
        <f>(Table413477[[#This Row],[time]]-2)*2</f>
        <v>0.85566000000000031</v>
      </c>
      <c r="R613">
        <v>82.564599999999999</v>
      </c>
      <c r="S613">
        <v>4.5491699999999999E-3</v>
      </c>
      <c r="T613">
        <f>Table413477[[#This Row],[CFNM]]/Table413477[[#This Row],[CAREA]]</f>
        <v>5.5098310898375336E-5</v>
      </c>
      <c r="U613">
        <v>2.4278300000000002</v>
      </c>
      <c r="V613">
        <f>(Table514478[[#This Row],[time]]-2)*2</f>
        <v>0.85566000000000031</v>
      </c>
      <c r="W613">
        <v>79.501300000000001</v>
      </c>
      <c r="X613">
        <v>4.8059599999999997E-3</v>
      </c>
      <c r="Y613">
        <f>Table514478[[#This Row],[CFNM]]/Table514478[[#This Row],[CAREA]]</f>
        <v>6.0451338531571178E-5</v>
      </c>
      <c r="Z613">
        <v>2.4278300000000002</v>
      </c>
      <c r="AA613">
        <f>(Table615479[[#This Row],[time]]-2)*2</f>
        <v>0.85566000000000031</v>
      </c>
      <c r="AB613">
        <v>82.555899999999994</v>
      </c>
      <c r="AC613">
        <v>0.55746700000000005</v>
      </c>
      <c r="AD613">
        <f>Table615479[[#This Row],[CFNM]]/Table615479[[#This Row],[CAREA]]</f>
        <v>6.7526003592717184E-3</v>
      </c>
      <c r="AE613">
        <v>2.4278300000000002</v>
      </c>
      <c r="AF613">
        <f>(Table716480[[#This Row],[time]]-2)*2</f>
        <v>0.85566000000000031</v>
      </c>
      <c r="AG613">
        <v>77.376800000000003</v>
      </c>
      <c r="AH613">
        <v>13.3979</v>
      </c>
      <c r="AI613">
        <f>Table716480[[#This Row],[CFNM]]/Table716480[[#This Row],[CAREA]]</f>
        <v>0.17315138387733789</v>
      </c>
      <c r="AJ613">
        <v>2.4278300000000002</v>
      </c>
      <c r="AK613">
        <f>(Table817481[[#This Row],[time]]-2)*2</f>
        <v>0.85566000000000031</v>
      </c>
      <c r="AL613">
        <v>84.021299999999997</v>
      </c>
      <c r="AM613">
        <v>11.2402</v>
      </c>
      <c r="AN613">
        <f>Table817481[[#This Row],[CFNM]]/Table817481[[#This Row],[CAREA]]</f>
        <v>0.13377798248777395</v>
      </c>
    </row>
    <row r="614" spans="1:40">
      <c r="A614">
        <v>2.4542000000000002</v>
      </c>
      <c r="B614">
        <f>(Table110474[[#This Row],[time]]-2)*2</f>
        <v>0.90840000000000032</v>
      </c>
      <c r="C614">
        <v>91.555400000000006</v>
      </c>
      <c r="D614">
        <v>2.4815800000000001</v>
      </c>
      <c r="E614">
        <f>Table110474[[#This Row],[CFNM]]/Table110474[[#This Row],[CAREA]]</f>
        <v>2.7104681973974226E-2</v>
      </c>
      <c r="F614">
        <v>2.4542000000000002</v>
      </c>
      <c r="G614">
        <f>(Table211475[[#This Row],[time]]-2)*2</f>
        <v>0.90840000000000032</v>
      </c>
      <c r="H614">
        <v>95.852400000000003</v>
      </c>
      <c r="I614">
        <v>6.1594400000000004E-3</v>
      </c>
      <c r="J614">
        <f>Table211475[[#This Row],[CFNM]]/Table211475[[#This Row],[CAREA]]</f>
        <v>6.425963251833027E-5</v>
      </c>
      <c r="K614">
        <v>2.4542000000000002</v>
      </c>
      <c r="L614">
        <f>(Table312476[[#This Row],[time]]-2)*2</f>
        <v>0.90840000000000032</v>
      </c>
      <c r="M614">
        <v>85.530600000000007</v>
      </c>
      <c r="N614">
        <v>3.3041099999999999E-3</v>
      </c>
      <c r="O614">
        <f>Table312476[[#This Row],[CFNM]]/Table312476[[#This Row],[CAREA]]</f>
        <v>3.8630735666533376E-5</v>
      </c>
      <c r="P614">
        <v>2.4542000000000002</v>
      </c>
      <c r="Q614">
        <f>(Table413477[[#This Row],[time]]-2)*2</f>
        <v>0.90840000000000032</v>
      </c>
      <c r="R614">
        <v>82.509100000000004</v>
      </c>
      <c r="S614">
        <v>4.4389499999999997E-3</v>
      </c>
      <c r="T614">
        <f>Table413477[[#This Row],[CFNM]]/Table413477[[#This Row],[CAREA]]</f>
        <v>5.3799520295337112E-5</v>
      </c>
      <c r="U614">
        <v>2.4542000000000002</v>
      </c>
      <c r="V614">
        <f>(Table514478[[#This Row],[time]]-2)*2</f>
        <v>0.90840000000000032</v>
      </c>
      <c r="W614">
        <v>79.329800000000006</v>
      </c>
      <c r="X614">
        <v>4.5555200000000004E-3</v>
      </c>
      <c r="Y614">
        <f>Table514478[[#This Row],[CFNM]]/Table514478[[#This Row],[CAREA]]</f>
        <v>5.742507859593747E-5</v>
      </c>
      <c r="Z614">
        <v>2.4542000000000002</v>
      </c>
      <c r="AA614">
        <f>(Table615479[[#This Row],[time]]-2)*2</f>
        <v>0.90840000000000032</v>
      </c>
      <c r="AB614">
        <v>82.355000000000004</v>
      </c>
      <c r="AC614">
        <v>0.419047</v>
      </c>
      <c r="AD614">
        <f>Table615479[[#This Row],[CFNM]]/Table615479[[#This Row],[CAREA]]</f>
        <v>5.088300649626616E-3</v>
      </c>
      <c r="AE614">
        <v>2.4542000000000002</v>
      </c>
      <c r="AF614">
        <f>(Table716480[[#This Row],[time]]-2)*2</f>
        <v>0.90840000000000032</v>
      </c>
      <c r="AG614">
        <v>77.371799999999993</v>
      </c>
      <c r="AH614">
        <v>13.101699999999999</v>
      </c>
      <c r="AI614">
        <f>Table716480[[#This Row],[CFNM]]/Table716480[[#This Row],[CAREA]]</f>
        <v>0.16933430526367488</v>
      </c>
      <c r="AJ614">
        <v>2.4542000000000002</v>
      </c>
      <c r="AK614">
        <f>(Table817481[[#This Row],[time]]-2)*2</f>
        <v>0.90840000000000032</v>
      </c>
      <c r="AL614">
        <v>83.985299999999995</v>
      </c>
      <c r="AM614">
        <v>10.8833</v>
      </c>
      <c r="AN614">
        <f>Table817481[[#This Row],[CFNM]]/Table817481[[#This Row],[CAREA]]</f>
        <v>0.12958577274832619</v>
      </c>
    </row>
    <row r="615" spans="1:40">
      <c r="A615">
        <v>2.5061499999999999</v>
      </c>
      <c r="B615">
        <f>(Table110474[[#This Row],[time]]-2)*2</f>
        <v>1.0122999999999998</v>
      </c>
      <c r="C615">
        <v>90.855500000000006</v>
      </c>
      <c r="D615">
        <v>1.3171900000000001</v>
      </c>
      <c r="E615">
        <f>Table110474[[#This Row],[CFNM]]/Table110474[[#This Row],[CAREA]]</f>
        <v>1.4497636356632235E-2</v>
      </c>
      <c r="F615">
        <v>2.5061499999999999</v>
      </c>
      <c r="G615">
        <f>(Table211475[[#This Row],[time]]-2)*2</f>
        <v>1.0122999999999998</v>
      </c>
      <c r="H615">
        <v>95.091099999999997</v>
      </c>
      <c r="I615">
        <v>4.8667900000000002E-3</v>
      </c>
      <c r="J615">
        <f>Table211475[[#This Row],[CFNM]]/Table211475[[#This Row],[CAREA]]</f>
        <v>5.118028921739259E-5</v>
      </c>
      <c r="K615">
        <v>2.5061499999999999</v>
      </c>
      <c r="L615">
        <f>(Table312476[[#This Row],[time]]-2)*2</f>
        <v>1.0122999999999998</v>
      </c>
      <c r="M615">
        <v>83.745000000000005</v>
      </c>
      <c r="N615">
        <v>3.0848799999999999E-3</v>
      </c>
      <c r="O615">
        <f>Table312476[[#This Row],[CFNM]]/Table312476[[#This Row],[CAREA]]</f>
        <v>3.6836587258940828E-5</v>
      </c>
      <c r="P615">
        <v>2.5061499999999999</v>
      </c>
      <c r="Q615">
        <f>(Table413477[[#This Row],[time]]-2)*2</f>
        <v>1.0122999999999998</v>
      </c>
      <c r="R615">
        <v>82.401899999999998</v>
      </c>
      <c r="S615">
        <v>4.2486900000000003E-3</v>
      </c>
      <c r="T615">
        <f>Table413477[[#This Row],[CFNM]]/Table413477[[#This Row],[CAREA]]</f>
        <v>5.1560582947723297E-5</v>
      </c>
      <c r="U615">
        <v>2.5061499999999999</v>
      </c>
      <c r="V615">
        <f>(Table514478[[#This Row],[time]]-2)*2</f>
        <v>1.0122999999999998</v>
      </c>
      <c r="W615">
        <v>79.006900000000002</v>
      </c>
      <c r="X615">
        <v>4.4389900000000003E-3</v>
      </c>
      <c r="Y615">
        <f>Table514478[[#This Row],[CFNM]]/Table514478[[#This Row],[CAREA]]</f>
        <v>5.61848395519885E-5</v>
      </c>
      <c r="Z615">
        <v>2.5061499999999999</v>
      </c>
      <c r="AA615">
        <f>(Table615479[[#This Row],[time]]-2)*2</f>
        <v>1.0122999999999998</v>
      </c>
      <c r="AB615">
        <v>81.346999999999994</v>
      </c>
      <c r="AC615">
        <v>0.20249</v>
      </c>
      <c r="AD615">
        <f>Table615479[[#This Row],[CFNM]]/Table615479[[#This Row],[CAREA]]</f>
        <v>2.4892128781639155E-3</v>
      </c>
      <c r="AE615">
        <v>2.5061499999999999</v>
      </c>
      <c r="AF615">
        <f>(Table716480[[#This Row],[time]]-2)*2</f>
        <v>1.0122999999999998</v>
      </c>
      <c r="AG615">
        <v>77.548599999999993</v>
      </c>
      <c r="AH615">
        <v>12.4244</v>
      </c>
      <c r="AI615">
        <f>Table716480[[#This Row],[CFNM]]/Table716480[[#This Row],[CAREA]]</f>
        <v>0.16021436879582612</v>
      </c>
      <c r="AJ615">
        <v>2.5061499999999999</v>
      </c>
      <c r="AK615">
        <f>(Table817481[[#This Row],[time]]-2)*2</f>
        <v>1.0122999999999998</v>
      </c>
      <c r="AL615">
        <v>83.957499999999996</v>
      </c>
      <c r="AM615">
        <v>10.080299999999999</v>
      </c>
      <c r="AN615">
        <f>Table817481[[#This Row],[CFNM]]/Table817481[[#This Row],[CAREA]]</f>
        <v>0.12006431825626061</v>
      </c>
    </row>
    <row r="616" spans="1:40">
      <c r="A616">
        <v>2.5507599999999999</v>
      </c>
      <c r="B616">
        <f>(Table110474[[#This Row],[time]]-2)*2</f>
        <v>1.1015199999999998</v>
      </c>
      <c r="C616">
        <v>90.132000000000005</v>
      </c>
      <c r="D616">
        <v>0.54256000000000004</v>
      </c>
      <c r="E616">
        <f>Table110474[[#This Row],[CFNM]]/Table110474[[#This Row],[CAREA]]</f>
        <v>6.019615674788089E-3</v>
      </c>
      <c r="F616">
        <v>2.5507599999999999</v>
      </c>
      <c r="G616">
        <f>(Table211475[[#This Row],[time]]-2)*2</f>
        <v>1.1015199999999998</v>
      </c>
      <c r="H616">
        <v>94.259799999999998</v>
      </c>
      <c r="I616">
        <v>4.3296699999999999E-3</v>
      </c>
      <c r="J616">
        <f>Table211475[[#This Row],[CFNM]]/Table211475[[#This Row],[CAREA]]</f>
        <v>4.5933367140605009E-5</v>
      </c>
      <c r="K616">
        <v>2.5507599999999999</v>
      </c>
      <c r="L616">
        <f>(Table312476[[#This Row],[time]]-2)*2</f>
        <v>1.1015199999999998</v>
      </c>
      <c r="M616">
        <v>82.308400000000006</v>
      </c>
      <c r="N616">
        <v>2.8652199999999999E-3</v>
      </c>
      <c r="O616">
        <f>Table312476[[#This Row],[CFNM]]/Table312476[[#This Row],[CAREA]]</f>
        <v>3.4810784804467101E-5</v>
      </c>
      <c r="P616">
        <v>2.5507599999999999</v>
      </c>
      <c r="Q616">
        <f>(Table413477[[#This Row],[time]]-2)*2</f>
        <v>1.1015199999999998</v>
      </c>
      <c r="R616">
        <v>82.293099999999995</v>
      </c>
      <c r="S616">
        <v>4.0783599999999996E-3</v>
      </c>
      <c r="T616">
        <f>Table413477[[#This Row],[CFNM]]/Table413477[[#This Row],[CAREA]]</f>
        <v>4.9558954517450427E-5</v>
      </c>
      <c r="U616">
        <v>2.5507599999999999</v>
      </c>
      <c r="V616">
        <f>(Table514478[[#This Row],[time]]-2)*2</f>
        <v>1.1015199999999998</v>
      </c>
      <c r="W616">
        <v>78.269599999999997</v>
      </c>
      <c r="X616">
        <v>4.3143799999999996E-3</v>
      </c>
      <c r="Y616">
        <f>Table514478[[#This Row],[CFNM]]/Table514478[[#This Row],[CAREA]]</f>
        <v>5.5122039719124662E-5</v>
      </c>
      <c r="Z616">
        <v>2.5507599999999999</v>
      </c>
      <c r="AA616">
        <f>(Table615479[[#This Row],[time]]-2)*2</f>
        <v>1.1015199999999998</v>
      </c>
      <c r="AB616">
        <v>80.539100000000005</v>
      </c>
      <c r="AC616">
        <v>2.7120200000000001E-2</v>
      </c>
      <c r="AD616">
        <f>Table615479[[#This Row],[CFNM]]/Table615479[[#This Row],[CAREA]]</f>
        <v>3.3673333821708956E-4</v>
      </c>
      <c r="AE616">
        <v>2.5507599999999999</v>
      </c>
      <c r="AF616">
        <f>(Table716480[[#This Row],[time]]-2)*2</f>
        <v>1.1015199999999998</v>
      </c>
      <c r="AG616">
        <v>77.596999999999994</v>
      </c>
      <c r="AH616">
        <v>11.7182</v>
      </c>
      <c r="AI616">
        <f>Table716480[[#This Row],[CFNM]]/Table716480[[#This Row],[CAREA]]</f>
        <v>0.15101357011224661</v>
      </c>
      <c r="AJ616">
        <v>2.5507599999999999</v>
      </c>
      <c r="AK616">
        <f>(Table817481[[#This Row],[time]]-2)*2</f>
        <v>1.1015199999999998</v>
      </c>
      <c r="AL616">
        <v>83.927099999999996</v>
      </c>
      <c r="AM616">
        <v>9.2682900000000004</v>
      </c>
      <c r="AN616">
        <f>Table817481[[#This Row],[CFNM]]/Table817481[[#This Row],[CAREA]]</f>
        <v>0.11043262545709313</v>
      </c>
    </row>
    <row r="617" spans="1:40">
      <c r="A617">
        <v>2.60453</v>
      </c>
      <c r="B617">
        <f>(Table110474[[#This Row],[time]]-2)*2</f>
        <v>1.20906</v>
      </c>
      <c r="C617">
        <v>89.520399999999995</v>
      </c>
      <c r="D617">
        <v>5.0064300000000001E-3</v>
      </c>
      <c r="E617">
        <f>Table110474[[#This Row],[CFNM]]/Table110474[[#This Row],[CAREA]]</f>
        <v>5.5925018208140274E-5</v>
      </c>
      <c r="F617">
        <v>2.60453</v>
      </c>
      <c r="G617">
        <f>(Table211475[[#This Row],[time]]-2)*2</f>
        <v>1.20906</v>
      </c>
      <c r="H617">
        <v>92.633499999999998</v>
      </c>
      <c r="I617">
        <v>3.85119E-3</v>
      </c>
      <c r="J617">
        <f>Table211475[[#This Row],[CFNM]]/Table211475[[#This Row],[CAREA]]</f>
        <v>4.1574484392795262E-5</v>
      </c>
      <c r="K617">
        <v>2.60453</v>
      </c>
      <c r="L617">
        <f>(Table312476[[#This Row],[time]]-2)*2</f>
        <v>1.20906</v>
      </c>
      <c r="M617">
        <v>82.183000000000007</v>
      </c>
      <c r="N617">
        <v>2.6844099999999999E-3</v>
      </c>
      <c r="O617">
        <f>Table312476[[#This Row],[CFNM]]/Table312476[[#This Row],[CAREA]]</f>
        <v>3.2663811250501924E-5</v>
      </c>
      <c r="P617">
        <v>2.60453</v>
      </c>
      <c r="Q617">
        <f>(Table413477[[#This Row],[time]]-2)*2</f>
        <v>1.20906</v>
      </c>
      <c r="R617">
        <v>82.204099999999997</v>
      </c>
      <c r="S617">
        <v>3.9395599999999999E-3</v>
      </c>
      <c r="T617">
        <f>Table413477[[#This Row],[CFNM]]/Table413477[[#This Row],[CAREA]]</f>
        <v>4.792413030493613E-5</v>
      </c>
      <c r="U617">
        <v>2.60453</v>
      </c>
      <c r="V617">
        <f>(Table514478[[#This Row],[time]]-2)*2</f>
        <v>1.20906</v>
      </c>
      <c r="W617">
        <v>77.963800000000006</v>
      </c>
      <c r="X617">
        <v>4.2139400000000002E-3</v>
      </c>
      <c r="Y617">
        <f>Table514478[[#This Row],[CFNM]]/Table514478[[#This Row],[CAREA]]</f>
        <v>5.4049956518281563E-5</v>
      </c>
      <c r="Z617">
        <v>2.60453</v>
      </c>
      <c r="AA617">
        <f>(Table615479[[#This Row],[time]]-2)*2</f>
        <v>1.20906</v>
      </c>
      <c r="AB617">
        <v>78.607200000000006</v>
      </c>
      <c r="AC617">
        <v>3.9220699999999997E-3</v>
      </c>
      <c r="AD617">
        <f>Table615479[[#This Row],[CFNM]]/Table615479[[#This Row],[CAREA]]</f>
        <v>4.9894538922643213E-5</v>
      </c>
      <c r="AE617">
        <v>2.60453</v>
      </c>
      <c r="AF617">
        <f>(Table716480[[#This Row],[time]]-2)*2</f>
        <v>1.20906</v>
      </c>
      <c r="AG617">
        <v>77.725700000000003</v>
      </c>
      <c r="AH617">
        <v>11.0966</v>
      </c>
      <c r="AI617">
        <f>Table716480[[#This Row],[CFNM]]/Table716480[[#This Row],[CAREA]]</f>
        <v>0.14276616357266644</v>
      </c>
      <c r="AJ617">
        <v>2.60453</v>
      </c>
      <c r="AK617">
        <f>(Table817481[[#This Row],[time]]-2)*2</f>
        <v>1.20906</v>
      </c>
      <c r="AL617">
        <v>83.829400000000007</v>
      </c>
      <c r="AM617">
        <v>8.57883</v>
      </c>
      <c r="AN617">
        <f>Table817481[[#This Row],[CFNM]]/Table817481[[#This Row],[CAREA]]</f>
        <v>0.10233676967746398</v>
      </c>
    </row>
    <row r="618" spans="1:40">
      <c r="A618">
        <v>2.65273</v>
      </c>
      <c r="B618">
        <f>(Table110474[[#This Row],[time]]-2)*2</f>
        <v>1.3054600000000001</v>
      </c>
      <c r="C618">
        <v>89.018100000000004</v>
      </c>
      <c r="D618">
        <v>3.9756499999999998E-3</v>
      </c>
      <c r="E618">
        <f>Table110474[[#This Row],[CFNM]]/Table110474[[#This Row],[CAREA]]</f>
        <v>4.4661141947536507E-5</v>
      </c>
      <c r="F618">
        <v>2.65273</v>
      </c>
      <c r="G618">
        <f>(Table211475[[#This Row],[time]]-2)*2</f>
        <v>1.3054600000000001</v>
      </c>
      <c r="H618">
        <v>91.8155</v>
      </c>
      <c r="I618">
        <v>3.5113900000000001E-3</v>
      </c>
      <c r="J618">
        <f>Table211475[[#This Row],[CFNM]]/Table211475[[#This Row],[CAREA]]</f>
        <v>3.824397841323088E-5</v>
      </c>
      <c r="K618">
        <v>2.65273</v>
      </c>
      <c r="L618">
        <f>(Table312476[[#This Row],[time]]-2)*2</f>
        <v>1.3054600000000001</v>
      </c>
      <c r="M618">
        <v>79.354299999999995</v>
      </c>
      <c r="N618">
        <v>2.5682399999999998E-3</v>
      </c>
      <c r="O618">
        <f>Table312476[[#This Row],[CFNM]]/Table312476[[#This Row],[CAREA]]</f>
        <v>3.2364219708320782E-5</v>
      </c>
      <c r="P618">
        <v>2.65273</v>
      </c>
      <c r="Q618">
        <f>(Table413477[[#This Row],[time]]-2)*2</f>
        <v>1.3054600000000001</v>
      </c>
      <c r="R618">
        <v>82.137</v>
      </c>
      <c r="S618">
        <v>3.83827E-3</v>
      </c>
      <c r="T618">
        <f>Table413477[[#This Row],[CFNM]]/Table413477[[#This Row],[CAREA]]</f>
        <v>4.6730097276501451E-5</v>
      </c>
      <c r="U618">
        <v>2.65273</v>
      </c>
      <c r="V618">
        <f>(Table514478[[#This Row],[time]]-2)*2</f>
        <v>1.3054600000000001</v>
      </c>
      <c r="W618">
        <v>77.744100000000003</v>
      </c>
      <c r="X618">
        <v>4.1456100000000001E-3</v>
      </c>
      <c r="Y618">
        <f>Table514478[[#This Row],[CFNM]]/Table514478[[#This Row],[CAREA]]</f>
        <v>5.3323789200723914E-5</v>
      </c>
      <c r="Z618">
        <v>2.65273</v>
      </c>
      <c r="AA618">
        <f>(Table615479[[#This Row],[time]]-2)*2</f>
        <v>1.3054600000000001</v>
      </c>
      <c r="AB618">
        <v>78.408000000000001</v>
      </c>
      <c r="AC618">
        <v>3.78503E-3</v>
      </c>
      <c r="AD618">
        <f>Table615479[[#This Row],[CFNM]]/Table615479[[#This Row],[CAREA]]</f>
        <v>4.827351800836649E-5</v>
      </c>
      <c r="AE618">
        <v>2.65273</v>
      </c>
      <c r="AF618">
        <f>(Table716480[[#This Row],[time]]-2)*2</f>
        <v>1.3054600000000001</v>
      </c>
      <c r="AG618">
        <v>77.760400000000004</v>
      </c>
      <c r="AH618">
        <v>10.641</v>
      </c>
      <c r="AI618">
        <f>Table716480[[#This Row],[CFNM]]/Table716480[[#This Row],[CAREA]]</f>
        <v>0.13684343187535042</v>
      </c>
      <c r="AJ618">
        <v>2.65273</v>
      </c>
      <c r="AK618">
        <f>(Table817481[[#This Row],[time]]-2)*2</f>
        <v>1.3054600000000001</v>
      </c>
      <c r="AL618">
        <v>83.768900000000002</v>
      </c>
      <c r="AM618">
        <v>8.0905000000000005</v>
      </c>
      <c r="AN618">
        <f>Table817481[[#This Row],[CFNM]]/Table817481[[#This Row],[CAREA]]</f>
        <v>9.6581189439040024E-2</v>
      </c>
    </row>
    <row r="619" spans="1:40">
      <c r="A619">
        <v>2.7006199999999998</v>
      </c>
      <c r="B619">
        <f>(Table110474[[#This Row],[time]]-2)*2</f>
        <v>1.4012399999999996</v>
      </c>
      <c r="C619">
        <v>86.879000000000005</v>
      </c>
      <c r="D619">
        <v>3.73939E-3</v>
      </c>
      <c r="E619">
        <f>Table110474[[#This Row],[CFNM]]/Table110474[[#This Row],[CAREA]]</f>
        <v>4.3041356369203139E-5</v>
      </c>
      <c r="F619">
        <v>2.7006199999999998</v>
      </c>
      <c r="G619">
        <f>(Table211475[[#This Row],[time]]-2)*2</f>
        <v>1.4012399999999996</v>
      </c>
      <c r="H619">
        <v>90.672200000000004</v>
      </c>
      <c r="I619">
        <v>3.2120199999999999E-3</v>
      </c>
      <c r="J619">
        <f>Table211475[[#This Row],[CFNM]]/Table211475[[#This Row],[CAREA]]</f>
        <v>3.542452923828913E-5</v>
      </c>
      <c r="K619">
        <v>2.7006199999999998</v>
      </c>
      <c r="L619">
        <f>(Table312476[[#This Row],[time]]-2)*2</f>
        <v>1.4012399999999996</v>
      </c>
      <c r="M619">
        <v>78.021900000000002</v>
      </c>
      <c r="N619">
        <v>2.4335400000000001E-3</v>
      </c>
      <c r="O619">
        <f>Table312476[[#This Row],[CFNM]]/Table312476[[#This Row],[CAREA]]</f>
        <v>3.1190473443994571E-5</v>
      </c>
      <c r="P619">
        <v>2.7006199999999998</v>
      </c>
      <c r="Q619">
        <f>(Table413477[[#This Row],[time]]-2)*2</f>
        <v>1.4012399999999996</v>
      </c>
      <c r="R619">
        <v>81.997100000000003</v>
      </c>
      <c r="S619">
        <v>3.6718800000000002E-3</v>
      </c>
      <c r="T619">
        <f>Table413477[[#This Row],[CFNM]]/Table413477[[#This Row],[CAREA]]</f>
        <v>4.4780608094676523E-5</v>
      </c>
      <c r="U619">
        <v>2.7006199999999998</v>
      </c>
      <c r="V619">
        <f>(Table514478[[#This Row],[time]]-2)*2</f>
        <v>1.4012399999999996</v>
      </c>
      <c r="W619">
        <v>75.831500000000005</v>
      </c>
      <c r="X619">
        <v>4.0604600000000001E-3</v>
      </c>
      <c r="Y619">
        <f>Table514478[[#This Row],[CFNM]]/Table514478[[#This Row],[CAREA]]</f>
        <v>5.3545821986905174E-5</v>
      </c>
      <c r="Z619">
        <v>2.7006199999999998</v>
      </c>
      <c r="AA619">
        <f>(Table615479[[#This Row],[time]]-2)*2</f>
        <v>1.4012399999999996</v>
      </c>
      <c r="AB619">
        <v>76.7376</v>
      </c>
      <c r="AC619">
        <v>3.5910999999999998E-3</v>
      </c>
      <c r="AD619">
        <f>Table615479[[#This Row],[CFNM]]/Table615479[[#This Row],[CAREA]]</f>
        <v>4.6797137257354929E-5</v>
      </c>
      <c r="AE619">
        <v>2.7006199999999998</v>
      </c>
      <c r="AF619">
        <f>(Table716480[[#This Row],[time]]-2)*2</f>
        <v>1.4012399999999996</v>
      </c>
      <c r="AG619">
        <v>77.768299999999996</v>
      </c>
      <c r="AH619">
        <v>9.9829600000000003</v>
      </c>
      <c r="AI619">
        <f>Table716480[[#This Row],[CFNM]]/Table716480[[#This Row],[CAREA]]</f>
        <v>0.12836798541307964</v>
      </c>
      <c r="AJ619">
        <v>2.7006199999999998</v>
      </c>
      <c r="AK619">
        <f>(Table817481[[#This Row],[time]]-2)*2</f>
        <v>1.4012399999999996</v>
      </c>
      <c r="AL619">
        <v>83.686199999999999</v>
      </c>
      <c r="AM619">
        <v>7.4548399999999999</v>
      </c>
      <c r="AN619">
        <f>Table817481[[#This Row],[CFNM]]/Table817481[[#This Row],[CAREA]]</f>
        <v>8.908087593892422E-2</v>
      </c>
    </row>
    <row r="620" spans="1:40">
      <c r="A620">
        <v>2.75176</v>
      </c>
      <c r="B620">
        <f>(Table110474[[#This Row],[time]]-2)*2</f>
        <v>1.50352</v>
      </c>
      <c r="C620">
        <v>85.945300000000003</v>
      </c>
      <c r="D620">
        <v>3.56989E-3</v>
      </c>
      <c r="E620">
        <f>Table110474[[#This Row],[CFNM]]/Table110474[[#This Row],[CAREA]]</f>
        <v>4.1536768153697758E-5</v>
      </c>
      <c r="F620">
        <v>2.75176</v>
      </c>
      <c r="G620">
        <f>(Table211475[[#This Row],[time]]-2)*2</f>
        <v>1.50352</v>
      </c>
      <c r="H620">
        <v>90.02</v>
      </c>
      <c r="I620">
        <v>3.09772E-3</v>
      </c>
      <c r="J620">
        <f>Table211475[[#This Row],[CFNM]]/Table211475[[#This Row],[CAREA]]</f>
        <v>3.4411464119084649E-5</v>
      </c>
      <c r="K620">
        <v>2.75176</v>
      </c>
      <c r="L620">
        <f>(Table312476[[#This Row],[time]]-2)*2</f>
        <v>1.50352</v>
      </c>
      <c r="M620">
        <v>76.3</v>
      </c>
      <c r="N620">
        <v>2.33863E-3</v>
      </c>
      <c r="O620">
        <f>Table312476[[#This Row],[CFNM]]/Table312476[[#This Row],[CAREA]]</f>
        <v>3.065045871559633E-5</v>
      </c>
      <c r="P620">
        <v>2.75176</v>
      </c>
      <c r="Q620">
        <f>(Table413477[[#This Row],[time]]-2)*2</f>
        <v>1.50352</v>
      </c>
      <c r="R620">
        <v>81.373099999999994</v>
      </c>
      <c r="S620">
        <v>3.5391300000000001E-3</v>
      </c>
      <c r="T620">
        <f>Table413477[[#This Row],[CFNM]]/Table413477[[#This Row],[CAREA]]</f>
        <v>4.3492628399311322E-5</v>
      </c>
      <c r="U620">
        <v>2.75176</v>
      </c>
      <c r="V620">
        <f>(Table514478[[#This Row],[time]]-2)*2</f>
        <v>1.50352</v>
      </c>
      <c r="W620">
        <v>75.516900000000007</v>
      </c>
      <c r="X620">
        <v>3.9931899999999998E-3</v>
      </c>
      <c r="Y620">
        <f>Table514478[[#This Row],[CFNM]]/Table514478[[#This Row],[CAREA]]</f>
        <v>5.2878097485463513E-5</v>
      </c>
      <c r="Z620">
        <v>2.75176</v>
      </c>
      <c r="AA620">
        <f>(Table615479[[#This Row],[time]]-2)*2</f>
        <v>1.50352</v>
      </c>
      <c r="AB620">
        <v>76.3613</v>
      </c>
      <c r="AC620">
        <v>3.4208300000000001E-3</v>
      </c>
      <c r="AD620">
        <f>Table615479[[#This Row],[CFNM]]/Table615479[[#This Row],[CAREA]]</f>
        <v>4.4797953937400228E-5</v>
      </c>
      <c r="AE620">
        <v>2.75176</v>
      </c>
      <c r="AF620">
        <f>(Table716480[[#This Row],[time]]-2)*2</f>
        <v>1.50352</v>
      </c>
      <c r="AG620">
        <v>77.801299999999998</v>
      </c>
      <c r="AH620">
        <v>9.38842</v>
      </c>
      <c r="AI620">
        <f>Table716480[[#This Row],[CFNM]]/Table716480[[#This Row],[CAREA]]</f>
        <v>0.12067176255409615</v>
      </c>
      <c r="AJ620">
        <v>2.75176</v>
      </c>
      <c r="AK620">
        <f>(Table817481[[#This Row],[time]]-2)*2</f>
        <v>1.50352</v>
      </c>
      <c r="AL620">
        <v>83.591200000000001</v>
      </c>
      <c r="AM620">
        <v>6.9308300000000003</v>
      </c>
      <c r="AN620">
        <f>Table817481[[#This Row],[CFNM]]/Table817481[[#This Row],[CAREA]]</f>
        <v>8.2913392797327956E-2</v>
      </c>
    </row>
    <row r="621" spans="1:40">
      <c r="A621">
        <v>2.80444</v>
      </c>
      <c r="B621">
        <f>(Table110474[[#This Row],[time]]-2)*2</f>
        <v>1.6088800000000001</v>
      </c>
      <c r="C621">
        <v>85.613100000000003</v>
      </c>
      <c r="D621">
        <v>3.4163599999999998E-3</v>
      </c>
      <c r="E621">
        <f>Table110474[[#This Row],[CFNM]]/Table110474[[#This Row],[CAREA]]</f>
        <v>3.9904640761752579E-5</v>
      </c>
      <c r="F621">
        <v>2.80444</v>
      </c>
      <c r="G621">
        <f>(Table211475[[#This Row],[time]]-2)*2</f>
        <v>1.6088800000000001</v>
      </c>
      <c r="H621">
        <v>89.242999999999995</v>
      </c>
      <c r="I621">
        <v>3.0549800000000001E-3</v>
      </c>
      <c r="J621">
        <f>Table211475[[#This Row],[CFNM]]/Table211475[[#This Row],[CAREA]]</f>
        <v>3.4232152661833424E-5</v>
      </c>
      <c r="K621">
        <v>2.80444</v>
      </c>
      <c r="L621">
        <f>(Table312476[[#This Row],[time]]-2)*2</f>
        <v>1.6088800000000001</v>
      </c>
      <c r="M621">
        <v>76.027799999999999</v>
      </c>
      <c r="N621">
        <v>2.2544800000000001E-3</v>
      </c>
      <c r="O621">
        <f>Table312476[[#This Row],[CFNM]]/Table312476[[#This Row],[CAREA]]</f>
        <v>2.9653363638037666E-5</v>
      </c>
      <c r="P621">
        <v>2.80444</v>
      </c>
      <c r="Q621">
        <f>(Table413477[[#This Row],[time]]-2)*2</f>
        <v>1.6088800000000001</v>
      </c>
      <c r="R621">
        <v>81.095600000000005</v>
      </c>
      <c r="S621">
        <v>3.4226999999999999E-3</v>
      </c>
      <c r="T621">
        <f>Table413477[[#This Row],[CFNM]]/Table413477[[#This Row],[CAREA]]</f>
        <v>4.2205742358401686E-5</v>
      </c>
      <c r="U621">
        <v>2.80444</v>
      </c>
      <c r="V621">
        <f>(Table514478[[#This Row],[time]]-2)*2</f>
        <v>1.6088800000000001</v>
      </c>
      <c r="W621">
        <v>74.292000000000002</v>
      </c>
      <c r="X621">
        <v>3.8934799999999999E-3</v>
      </c>
      <c r="Y621">
        <f>Table514478[[#This Row],[CFNM]]/Table514478[[#This Row],[CAREA]]</f>
        <v>5.2407796263393093E-5</v>
      </c>
      <c r="Z621">
        <v>2.80444</v>
      </c>
      <c r="AA621">
        <f>(Table615479[[#This Row],[time]]-2)*2</f>
        <v>1.6088800000000001</v>
      </c>
      <c r="AB621">
        <v>73.110799999999998</v>
      </c>
      <c r="AC621">
        <v>3.21566E-3</v>
      </c>
      <c r="AD621">
        <f>Table615479[[#This Row],[CFNM]]/Table615479[[#This Row],[CAREA]]</f>
        <v>4.3983378652675121E-5</v>
      </c>
      <c r="AE621">
        <v>2.80444</v>
      </c>
      <c r="AF621">
        <f>(Table716480[[#This Row],[time]]-2)*2</f>
        <v>1.6088800000000001</v>
      </c>
      <c r="AG621">
        <v>77.901899999999998</v>
      </c>
      <c r="AH621">
        <v>8.5920900000000007</v>
      </c>
      <c r="AI621">
        <f>Table716480[[#This Row],[CFNM]]/Table716480[[#This Row],[CAREA]]</f>
        <v>0.11029371555764367</v>
      </c>
      <c r="AJ621">
        <v>2.80444</v>
      </c>
      <c r="AK621">
        <f>(Table817481[[#This Row],[time]]-2)*2</f>
        <v>1.6088800000000001</v>
      </c>
      <c r="AL621">
        <v>83.435199999999995</v>
      </c>
      <c r="AM621">
        <v>6.28695</v>
      </c>
      <c r="AN621">
        <f>Table817481[[#This Row],[CFNM]]/Table817481[[#This Row],[CAREA]]</f>
        <v>7.5351290582392094E-2</v>
      </c>
    </row>
    <row r="622" spans="1:40">
      <c r="A622">
        <v>2.8583699999999999</v>
      </c>
      <c r="B622">
        <f>(Table110474[[#This Row],[time]]-2)*2</f>
        <v>1.7167399999999997</v>
      </c>
      <c r="C622">
        <v>83.721100000000007</v>
      </c>
      <c r="D622">
        <v>3.3096800000000002E-3</v>
      </c>
      <c r="E622">
        <f>Table110474[[#This Row],[CFNM]]/Table110474[[#This Row],[CAREA]]</f>
        <v>3.9532208726354526E-5</v>
      </c>
      <c r="F622">
        <v>2.8583699999999999</v>
      </c>
      <c r="G622">
        <f>(Table211475[[#This Row],[time]]-2)*2</f>
        <v>1.7167399999999997</v>
      </c>
      <c r="H622">
        <v>89.905500000000004</v>
      </c>
      <c r="I622">
        <v>3.0392599999999998E-3</v>
      </c>
      <c r="J622">
        <f>Table211475[[#This Row],[CFNM]]/Table211475[[#This Row],[CAREA]]</f>
        <v>3.3805050858957459E-5</v>
      </c>
      <c r="K622">
        <v>2.8583699999999999</v>
      </c>
      <c r="L622">
        <f>(Table312476[[#This Row],[time]]-2)*2</f>
        <v>1.7167399999999997</v>
      </c>
      <c r="M622">
        <v>75.779399999999995</v>
      </c>
      <c r="N622">
        <v>2.1934099999999998E-3</v>
      </c>
      <c r="O622">
        <f>Table312476[[#This Row],[CFNM]]/Table312476[[#This Row],[CAREA]]</f>
        <v>2.8944673618424003E-5</v>
      </c>
      <c r="P622">
        <v>2.8583699999999999</v>
      </c>
      <c r="Q622">
        <f>(Table413477[[#This Row],[time]]-2)*2</f>
        <v>1.7167399999999997</v>
      </c>
      <c r="R622">
        <v>80.866100000000003</v>
      </c>
      <c r="S622">
        <v>3.35111E-3</v>
      </c>
      <c r="T622">
        <f>Table413477[[#This Row],[CFNM]]/Table413477[[#This Row],[CAREA]]</f>
        <v>4.1440232680937997E-5</v>
      </c>
      <c r="U622">
        <v>2.8583699999999999</v>
      </c>
      <c r="V622">
        <f>(Table514478[[#This Row],[time]]-2)*2</f>
        <v>1.7167399999999997</v>
      </c>
      <c r="W622">
        <v>73.944699999999997</v>
      </c>
      <c r="X622">
        <v>3.8142100000000002E-3</v>
      </c>
      <c r="Y622">
        <f>Table514478[[#This Row],[CFNM]]/Table514478[[#This Row],[CAREA]]</f>
        <v>5.1581925411828032E-5</v>
      </c>
      <c r="Z622">
        <v>2.8583699999999999</v>
      </c>
      <c r="AA622">
        <f>(Table615479[[#This Row],[time]]-2)*2</f>
        <v>1.7167399999999997</v>
      </c>
      <c r="AB622">
        <v>72.886300000000006</v>
      </c>
      <c r="AC622">
        <v>3.0665599999999999E-3</v>
      </c>
      <c r="AD622">
        <f>Table615479[[#This Row],[CFNM]]/Table615479[[#This Row],[CAREA]]</f>
        <v>4.2073201685364734E-5</v>
      </c>
      <c r="AE622">
        <v>2.8583699999999999</v>
      </c>
      <c r="AF622">
        <f>(Table716480[[#This Row],[time]]-2)*2</f>
        <v>1.7167399999999997</v>
      </c>
      <c r="AG622">
        <v>77.911000000000001</v>
      </c>
      <c r="AH622">
        <v>7.9895100000000001</v>
      </c>
      <c r="AI622">
        <f>Table716480[[#This Row],[CFNM]]/Table716480[[#This Row],[CAREA]]</f>
        <v>0.102546623711671</v>
      </c>
      <c r="AJ622">
        <v>2.8583699999999999</v>
      </c>
      <c r="AK622">
        <f>(Table817481[[#This Row],[time]]-2)*2</f>
        <v>1.7167399999999997</v>
      </c>
      <c r="AL622">
        <v>83.325500000000005</v>
      </c>
      <c r="AM622">
        <v>5.8322599999999998</v>
      </c>
      <c r="AN622">
        <f>Table817481[[#This Row],[CFNM]]/Table817481[[#This Row],[CAREA]]</f>
        <v>6.9993699407744317E-2</v>
      </c>
    </row>
    <row r="623" spans="1:40">
      <c r="A623">
        <v>2.9134199999999999</v>
      </c>
      <c r="B623">
        <f>(Table110474[[#This Row],[time]]-2)*2</f>
        <v>1.8268399999999998</v>
      </c>
      <c r="C623">
        <v>83.0565</v>
      </c>
      <c r="D623">
        <v>3.1780799999999998E-3</v>
      </c>
      <c r="E623">
        <f>Table110474[[#This Row],[CFNM]]/Table110474[[#This Row],[CAREA]]</f>
        <v>3.8264073251340952E-5</v>
      </c>
      <c r="F623">
        <v>2.9134199999999999</v>
      </c>
      <c r="G623">
        <f>(Table211475[[#This Row],[time]]-2)*2</f>
        <v>1.8268399999999998</v>
      </c>
      <c r="H623">
        <v>89.834900000000005</v>
      </c>
      <c r="I623">
        <v>3.0299099999999998E-3</v>
      </c>
      <c r="J623">
        <f>Table211475[[#This Row],[CFNM]]/Table211475[[#This Row],[CAREA]]</f>
        <v>3.372753796130457E-5</v>
      </c>
      <c r="K623">
        <v>2.9134199999999999</v>
      </c>
      <c r="L623">
        <f>(Table312476[[#This Row],[time]]-2)*2</f>
        <v>1.8268399999999998</v>
      </c>
      <c r="M623">
        <v>74.943799999999996</v>
      </c>
      <c r="N623">
        <v>2.11107E-3</v>
      </c>
      <c r="O623">
        <f>Table312476[[#This Row],[CFNM]]/Table312476[[#This Row],[CAREA]]</f>
        <v>2.8168707751675258E-5</v>
      </c>
      <c r="P623">
        <v>2.9134199999999999</v>
      </c>
      <c r="Q623">
        <f>(Table413477[[#This Row],[time]]-2)*2</f>
        <v>1.8268399999999998</v>
      </c>
      <c r="R623">
        <v>80.531000000000006</v>
      </c>
      <c r="S623">
        <v>3.2672999999999999E-3</v>
      </c>
      <c r="T623">
        <f>Table413477[[#This Row],[CFNM]]/Table413477[[#This Row],[CAREA]]</f>
        <v>4.057195365759769E-5</v>
      </c>
      <c r="U623">
        <v>2.9134199999999999</v>
      </c>
      <c r="V623">
        <f>(Table514478[[#This Row],[time]]-2)*2</f>
        <v>1.8268399999999998</v>
      </c>
      <c r="W623">
        <v>73.075199999999995</v>
      </c>
      <c r="X623">
        <v>3.7088999999999998E-3</v>
      </c>
      <c r="Y623">
        <f>Table514478[[#This Row],[CFNM]]/Table514478[[#This Row],[CAREA]]</f>
        <v>5.0754565160273251E-5</v>
      </c>
      <c r="Z623">
        <v>2.9134199999999999</v>
      </c>
      <c r="AA623">
        <f>(Table615479[[#This Row],[time]]-2)*2</f>
        <v>1.8268399999999998</v>
      </c>
      <c r="AB623">
        <v>70.295100000000005</v>
      </c>
      <c r="AC623">
        <v>2.8956199999999998E-3</v>
      </c>
      <c r="AD623">
        <f>Table615479[[#This Row],[CFNM]]/Table615479[[#This Row],[CAREA]]</f>
        <v>4.1192344843381682E-5</v>
      </c>
      <c r="AE623">
        <v>2.9134199999999999</v>
      </c>
      <c r="AF623">
        <f>(Table716480[[#This Row],[time]]-2)*2</f>
        <v>1.8268399999999998</v>
      </c>
      <c r="AG623">
        <v>77.902100000000004</v>
      </c>
      <c r="AH623">
        <v>7.2523299999999997</v>
      </c>
      <c r="AI623">
        <f>Table716480[[#This Row],[CFNM]]/Table716480[[#This Row],[CAREA]]</f>
        <v>9.3095436451648916E-2</v>
      </c>
      <c r="AJ623">
        <v>2.9134199999999999</v>
      </c>
      <c r="AK623">
        <f>(Table817481[[#This Row],[time]]-2)*2</f>
        <v>1.8268399999999998</v>
      </c>
      <c r="AL623">
        <v>83.199799999999996</v>
      </c>
      <c r="AM623">
        <v>5.2939299999999996</v>
      </c>
      <c r="AN623">
        <f>Table817481[[#This Row],[CFNM]]/Table817481[[#This Row],[CAREA]]</f>
        <v>6.3629119300767548E-2</v>
      </c>
    </row>
    <row r="624" spans="1:40">
      <c r="A624">
        <v>2.9619599999999999</v>
      </c>
      <c r="B624">
        <f>(Table110474[[#This Row],[time]]-2)*2</f>
        <v>1.9239199999999999</v>
      </c>
      <c r="C624">
        <v>81.902799999999999</v>
      </c>
      <c r="D624">
        <v>3.0457399999999999E-3</v>
      </c>
      <c r="E624">
        <f>Table110474[[#This Row],[CFNM]]/Table110474[[#This Row],[CAREA]]</f>
        <v>3.7187251229506194E-5</v>
      </c>
      <c r="F624">
        <v>2.9619599999999999</v>
      </c>
      <c r="G624">
        <f>(Table211475[[#This Row],[time]]-2)*2</f>
        <v>1.9239199999999999</v>
      </c>
      <c r="H624">
        <v>89.7273</v>
      </c>
      <c r="I624">
        <v>3.0349600000000002E-3</v>
      </c>
      <c r="J624">
        <f>Table211475[[#This Row],[CFNM]]/Table211475[[#This Row],[CAREA]]</f>
        <v>3.3824265301641753E-5</v>
      </c>
      <c r="K624">
        <v>2.9619599999999999</v>
      </c>
      <c r="L624">
        <f>(Table312476[[#This Row],[time]]-2)*2</f>
        <v>1.9239199999999999</v>
      </c>
      <c r="M624">
        <v>71.515100000000004</v>
      </c>
      <c r="N624">
        <v>2.0298E-3</v>
      </c>
      <c r="O624">
        <f>Table312476[[#This Row],[CFNM]]/Table312476[[#This Row],[CAREA]]</f>
        <v>2.8382817055419064E-5</v>
      </c>
      <c r="P624">
        <v>2.9619599999999999</v>
      </c>
      <c r="Q624">
        <f>(Table413477[[#This Row],[time]]-2)*2</f>
        <v>1.9239199999999999</v>
      </c>
      <c r="R624">
        <v>80.196399999999997</v>
      </c>
      <c r="S624">
        <v>3.18667E-3</v>
      </c>
      <c r="T624">
        <f>Table413477[[#This Row],[CFNM]]/Table413477[[#This Row],[CAREA]]</f>
        <v>3.9735823553176953E-5</v>
      </c>
      <c r="U624">
        <v>2.9619599999999999</v>
      </c>
      <c r="V624">
        <f>(Table514478[[#This Row],[time]]-2)*2</f>
        <v>1.9239199999999999</v>
      </c>
      <c r="W624">
        <v>72.543999999999997</v>
      </c>
      <c r="X624">
        <v>3.59838E-3</v>
      </c>
      <c r="Y624">
        <f>Table514478[[#This Row],[CFNM]]/Table514478[[#This Row],[CAREA]]</f>
        <v>4.9602723864137627E-5</v>
      </c>
      <c r="Z624">
        <v>2.9619599999999999</v>
      </c>
      <c r="AA624">
        <f>(Table615479[[#This Row],[time]]-2)*2</f>
        <v>1.9239199999999999</v>
      </c>
      <c r="AB624">
        <v>69.071600000000004</v>
      </c>
      <c r="AC624">
        <v>2.73091E-3</v>
      </c>
      <c r="AD624">
        <f>Table615479[[#This Row],[CFNM]]/Table615479[[#This Row],[CAREA]]</f>
        <v>3.9537378604230972E-5</v>
      </c>
      <c r="AE624">
        <v>2.9619599999999999</v>
      </c>
      <c r="AF624">
        <f>(Table716480[[#This Row],[time]]-2)*2</f>
        <v>1.9239199999999999</v>
      </c>
      <c r="AG624">
        <v>77.910700000000006</v>
      </c>
      <c r="AH624">
        <v>6.4578199999999999</v>
      </c>
      <c r="AI624">
        <f>Table716480[[#This Row],[CFNM]]/Table716480[[#This Row],[CAREA]]</f>
        <v>8.2887459617228432E-2</v>
      </c>
      <c r="AJ624">
        <v>2.9619599999999999</v>
      </c>
      <c r="AK624">
        <f>(Table817481[[#This Row],[time]]-2)*2</f>
        <v>1.9239199999999999</v>
      </c>
      <c r="AL624">
        <v>83.071299999999994</v>
      </c>
      <c r="AM624">
        <v>4.7658899999999997</v>
      </c>
      <c r="AN624">
        <f>Table817481[[#This Row],[CFNM]]/Table817481[[#This Row],[CAREA]]</f>
        <v>5.737107761645719E-2</v>
      </c>
    </row>
    <row r="625" spans="1:40">
      <c r="A625">
        <v>3</v>
      </c>
      <c r="B625">
        <f>(Table110474[[#This Row],[time]]-2)*2</f>
        <v>2</v>
      </c>
      <c r="C625">
        <v>81.423199999999994</v>
      </c>
      <c r="D625">
        <v>2.9605899999999999E-3</v>
      </c>
      <c r="E625">
        <f>Table110474[[#This Row],[CFNM]]/Table110474[[#This Row],[CAREA]]</f>
        <v>3.6360521325617269E-5</v>
      </c>
      <c r="F625">
        <v>3</v>
      </c>
      <c r="G625">
        <f>(Table211475[[#This Row],[time]]-2)*2</f>
        <v>2</v>
      </c>
      <c r="H625">
        <v>89.687200000000004</v>
      </c>
      <c r="I625">
        <v>3.0452000000000001E-3</v>
      </c>
      <c r="J625">
        <f>Table211475[[#This Row],[CFNM]]/Table211475[[#This Row],[CAREA]]</f>
        <v>3.3953563050245742E-5</v>
      </c>
      <c r="K625">
        <v>3</v>
      </c>
      <c r="L625">
        <f>(Table312476[[#This Row],[time]]-2)*2</f>
        <v>2</v>
      </c>
      <c r="M625">
        <v>70.977599999999995</v>
      </c>
      <c r="N625">
        <v>1.9761000000000002E-3</v>
      </c>
      <c r="O625">
        <f>Table312476[[#This Row],[CFNM]]/Table312476[[#This Row],[CAREA]]</f>
        <v>2.7841178061811054E-5</v>
      </c>
      <c r="P625">
        <v>3</v>
      </c>
      <c r="Q625">
        <f>(Table413477[[#This Row],[time]]-2)*2</f>
        <v>2</v>
      </c>
      <c r="R625">
        <v>79.966399999999993</v>
      </c>
      <c r="S625">
        <v>3.1357999999999998E-3</v>
      </c>
      <c r="T625">
        <f>Table413477[[#This Row],[CFNM]]/Table413477[[#This Row],[CAREA]]</f>
        <v>3.9213969867344285E-5</v>
      </c>
      <c r="U625">
        <v>3</v>
      </c>
      <c r="V625">
        <f>(Table514478[[#This Row],[time]]-2)*2</f>
        <v>2</v>
      </c>
      <c r="W625">
        <v>71.560400000000001</v>
      </c>
      <c r="X625">
        <v>3.5221800000000002E-3</v>
      </c>
      <c r="Y625">
        <f>Table514478[[#This Row],[CFNM]]/Table514478[[#This Row],[CAREA]]</f>
        <v>4.9219680158299844E-5</v>
      </c>
      <c r="Z625">
        <v>3</v>
      </c>
      <c r="AA625">
        <f>(Table615479[[#This Row],[time]]-2)*2</f>
        <v>2</v>
      </c>
      <c r="AB625">
        <v>67.075999999999993</v>
      </c>
      <c r="AC625">
        <v>2.6252900000000002E-3</v>
      </c>
      <c r="AD625">
        <f>Table615479[[#This Row],[CFNM]]/Table615479[[#This Row],[CAREA]]</f>
        <v>3.9139036317013544E-5</v>
      </c>
      <c r="AE625">
        <v>3</v>
      </c>
      <c r="AF625">
        <f>(Table716480[[#This Row],[time]]-2)*2</f>
        <v>2</v>
      </c>
      <c r="AG625">
        <v>77.906999999999996</v>
      </c>
      <c r="AH625">
        <v>5.9939600000000004</v>
      </c>
      <c r="AI625">
        <f>Table716480[[#This Row],[CFNM]]/Table716480[[#This Row],[CAREA]]</f>
        <v>7.6937374048545074E-2</v>
      </c>
      <c r="AJ625">
        <v>3</v>
      </c>
      <c r="AK625">
        <f>(Table817481[[#This Row],[time]]-2)*2</f>
        <v>2</v>
      </c>
      <c r="AL625">
        <v>82.980800000000002</v>
      </c>
      <c r="AM625">
        <v>4.4333200000000001</v>
      </c>
      <c r="AN625">
        <f>Table817481[[#This Row],[CFNM]]/Table817481[[#This Row],[CAREA]]</f>
        <v>5.3425852727377897E-2</v>
      </c>
    </row>
    <row r="628" spans="1:40">
      <c r="A628" s="1" t="s">
        <v>65</v>
      </c>
    </row>
    <row r="629" spans="1:40">
      <c r="A629" t="s">
        <v>66</v>
      </c>
      <c r="F629" t="s">
        <v>2</v>
      </c>
    </row>
    <row r="630" spans="1:40">
      <c r="F630" t="s">
        <v>4</v>
      </c>
      <c r="G630" t="s">
        <v>5</v>
      </c>
    </row>
    <row r="633" spans="1:40">
      <c r="A633" t="s">
        <v>7</v>
      </c>
      <c r="F633" t="s">
        <v>8</v>
      </c>
      <c r="K633" t="s">
        <v>9</v>
      </c>
      <c r="P633" t="s">
        <v>26</v>
      </c>
      <c r="U633" t="s">
        <v>11</v>
      </c>
      <c r="Z633" t="s">
        <v>12</v>
      </c>
      <c r="AE633" t="s">
        <v>13</v>
      </c>
      <c r="AJ633" t="s">
        <v>14</v>
      </c>
    </row>
    <row r="634" spans="1:40">
      <c r="A634" t="s">
        <v>15</v>
      </c>
      <c r="B634" t="s">
        <v>16</v>
      </c>
      <c r="C634" t="s">
        <v>20</v>
      </c>
      <c r="D634" t="s">
        <v>18</v>
      </c>
      <c r="E634" t="s">
        <v>19</v>
      </c>
      <c r="F634" t="s">
        <v>15</v>
      </c>
      <c r="G634" t="s">
        <v>16</v>
      </c>
      <c r="H634" t="s">
        <v>20</v>
      </c>
      <c r="I634" t="s">
        <v>18</v>
      </c>
      <c r="J634" t="s">
        <v>19</v>
      </c>
      <c r="K634" t="s">
        <v>15</v>
      </c>
      <c r="L634" t="s">
        <v>16</v>
      </c>
      <c r="M634" t="s">
        <v>20</v>
      </c>
      <c r="N634" t="s">
        <v>18</v>
      </c>
      <c r="O634" t="s">
        <v>19</v>
      </c>
      <c r="P634" t="s">
        <v>15</v>
      </c>
      <c r="Q634" t="s">
        <v>16</v>
      </c>
      <c r="R634" t="s">
        <v>20</v>
      </c>
      <c r="S634" t="s">
        <v>18</v>
      </c>
      <c r="T634" t="s">
        <v>19</v>
      </c>
      <c r="U634" t="s">
        <v>15</v>
      </c>
      <c r="V634" t="s">
        <v>16</v>
      </c>
      <c r="W634" t="s">
        <v>20</v>
      </c>
      <c r="X634" t="s">
        <v>18</v>
      </c>
      <c r="Y634" t="s">
        <v>19</v>
      </c>
      <c r="Z634" t="s">
        <v>15</v>
      </c>
      <c r="AA634" t="s">
        <v>16</v>
      </c>
      <c r="AB634" t="s">
        <v>20</v>
      </c>
      <c r="AC634" t="s">
        <v>18</v>
      </c>
      <c r="AD634" t="s">
        <v>19</v>
      </c>
      <c r="AE634" t="s">
        <v>15</v>
      </c>
      <c r="AF634" t="s">
        <v>16</v>
      </c>
      <c r="AG634" t="s">
        <v>20</v>
      </c>
      <c r="AH634" t="s">
        <v>18</v>
      </c>
      <c r="AI634" t="s">
        <v>19</v>
      </c>
      <c r="AJ634" t="s">
        <v>15</v>
      </c>
      <c r="AK634" t="s">
        <v>16</v>
      </c>
      <c r="AL634" t="s">
        <v>20</v>
      </c>
      <c r="AM634" t="s">
        <v>18</v>
      </c>
      <c r="AN634" t="s">
        <v>19</v>
      </c>
    </row>
    <row r="635" spans="1:40">
      <c r="A635">
        <v>2</v>
      </c>
      <c r="B635">
        <f>-(Table1482[[#This Row],[time]]-2)*2</f>
        <v>0</v>
      </c>
      <c r="C635">
        <v>80.561000000000007</v>
      </c>
      <c r="D635">
        <v>3.9823499999999998</v>
      </c>
      <c r="E635" s="2">
        <f>Table1482[[#This Row],[CFNM]]/Table1482[[#This Row],[CAREA]]</f>
        <v>4.9432727994935512E-2</v>
      </c>
      <c r="F635">
        <v>2</v>
      </c>
      <c r="G635">
        <f>-(Table2483[[#This Row],[time]]-2)*2</f>
        <v>0</v>
      </c>
      <c r="H635">
        <v>87.831800000000001</v>
      </c>
      <c r="I635">
        <v>3.84921E-3</v>
      </c>
      <c r="J635" s="2">
        <f>Table2483[[#This Row],[CFNM]]/Table2483[[#This Row],[CAREA]]</f>
        <v>4.382478783310828E-5</v>
      </c>
      <c r="K635">
        <v>2</v>
      </c>
      <c r="L635">
        <f>-(Table3484[[#This Row],[time]]-2)*2</f>
        <v>0</v>
      </c>
      <c r="M635">
        <v>85.166700000000006</v>
      </c>
      <c r="N635">
        <v>3.7005300000000001E-3</v>
      </c>
      <c r="O635">
        <f>Table3484[[#This Row],[CFNM]]/Table3484[[#This Row],[CAREA]]</f>
        <v>4.3450433091807004E-5</v>
      </c>
      <c r="P635">
        <v>2</v>
      </c>
      <c r="Q635">
        <f>-(Table4485[[#This Row],[time]]-2)*2</f>
        <v>0</v>
      </c>
      <c r="R635">
        <v>79.101699999999994</v>
      </c>
      <c r="S635">
        <v>4.5258399999999997E-3</v>
      </c>
      <c r="T635">
        <f>Table4485[[#This Row],[CFNM]]/Table4485[[#This Row],[CAREA]]</f>
        <v>5.7215458074858061E-5</v>
      </c>
      <c r="U635">
        <v>2</v>
      </c>
      <c r="V635">
        <f>-(Table5486[[#This Row],[time]]-2)*2</f>
        <v>0</v>
      </c>
      <c r="W635">
        <v>83.227800000000002</v>
      </c>
      <c r="X635">
        <v>3.5063800000000001</v>
      </c>
      <c r="Y635">
        <f>Table5486[[#This Row],[CFNM]]/Table5486[[#This Row],[CAREA]]</f>
        <v>4.2129913322231274E-2</v>
      </c>
      <c r="Z635">
        <v>2</v>
      </c>
      <c r="AA635">
        <f>-(Table6487[[#This Row],[time]]-2)*2</f>
        <v>0</v>
      </c>
      <c r="AB635">
        <v>83.949600000000004</v>
      </c>
      <c r="AC635">
        <v>6.2742100000000001</v>
      </c>
      <c r="AD635">
        <f>Table6487[[#This Row],[CFNM]]/Table6487[[#This Row],[CAREA]]</f>
        <v>7.4737818881805265E-2</v>
      </c>
      <c r="AE635">
        <v>2</v>
      </c>
      <c r="AF635">
        <f>-(Table7488[[#This Row],[time]]-2)*2</f>
        <v>0</v>
      </c>
      <c r="AG635">
        <v>78.459999999999994</v>
      </c>
      <c r="AH635">
        <v>14.707599999999999</v>
      </c>
      <c r="AI635">
        <f>Table7488[[#This Row],[CFNM]]/Table7488[[#This Row],[CAREA]]</f>
        <v>0.1874534794799898</v>
      </c>
      <c r="AJ635">
        <v>2</v>
      </c>
      <c r="AK635">
        <f>-(Table8489[[#This Row],[time]]-2)*2</f>
        <v>0</v>
      </c>
      <c r="AL635">
        <v>83.006</v>
      </c>
      <c r="AM635">
        <v>14.6488</v>
      </c>
      <c r="AN635">
        <f>Table8489[[#This Row],[CFNM]]/Table8489[[#This Row],[CAREA]]</f>
        <v>0.17647880876081246</v>
      </c>
    </row>
    <row r="636" spans="1:40">
      <c r="A636">
        <v>2.0512600000000001</v>
      </c>
      <c r="B636">
        <f>-(Table1482[[#This Row],[time]]-2)*2</f>
        <v>-0.10252000000000017</v>
      </c>
      <c r="C636">
        <v>90.144199999999998</v>
      </c>
      <c r="D636">
        <v>11.4383</v>
      </c>
      <c r="E636">
        <f>Table1482[[#This Row],[CFNM]]/Table1482[[#This Row],[CAREA]]</f>
        <v>0.12688891797808399</v>
      </c>
      <c r="F636">
        <v>2.0512600000000001</v>
      </c>
      <c r="G636">
        <f>-(Table2483[[#This Row],[time]]-2)*2</f>
        <v>-0.10252000000000017</v>
      </c>
      <c r="H636">
        <v>94.969700000000003</v>
      </c>
      <c r="I636">
        <v>3.88354</v>
      </c>
      <c r="J636">
        <f>Table2483[[#This Row],[CFNM]]/Table2483[[#This Row],[CAREA]]</f>
        <v>4.0892410947912856E-2</v>
      </c>
      <c r="K636">
        <v>2.0512600000000001</v>
      </c>
      <c r="L636">
        <f>-(Table3484[[#This Row],[time]]-2)*2</f>
        <v>-0.10252000000000017</v>
      </c>
      <c r="M636">
        <v>89.272099999999995</v>
      </c>
      <c r="N636">
        <v>5.53268</v>
      </c>
      <c r="O636">
        <f>Table3484[[#This Row],[CFNM]]/Table3484[[#This Row],[CAREA]]</f>
        <v>6.1975466019058588E-2</v>
      </c>
      <c r="P636">
        <v>2.0512600000000001</v>
      </c>
      <c r="Q636">
        <f>-(Table4485[[#This Row],[time]]-2)*2</f>
        <v>-0.10252000000000017</v>
      </c>
      <c r="R636">
        <v>86.647099999999995</v>
      </c>
      <c r="S636">
        <v>8.5884599999999995</v>
      </c>
      <c r="T636">
        <f>Table4485[[#This Row],[CFNM]]/Table4485[[#This Row],[CAREA]]</f>
        <v>9.9119993629330924E-2</v>
      </c>
      <c r="U636">
        <v>2.0512600000000001</v>
      </c>
      <c r="V636">
        <f>-(Table5486[[#This Row],[time]]-2)*2</f>
        <v>-0.10252000000000017</v>
      </c>
      <c r="W636">
        <v>82.147099999999995</v>
      </c>
      <c r="X636">
        <v>13.724299999999999</v>
      </c>
      <c r="Y636">
        <f>Table5486[[#This Row],[CFNM]]/Table5486[[#This Row],[CAREA]]</f>
        <v>0.16706980526397158</v>
      </c>
      <c r="Z636">
        <v>2.0512600000000001</v>
      </c>
      <c r="AA636">
        <f>-(Table6487[[#This Row],[time]]-2)*2</f>
        <v>-0.10252000000000017</v>
      </c>
      <c r="AB636">
        <v>88.921700000000001</v>
      </c>
      <c r="AC636">
        <v>20.999400000000001</v>
      </c>
      <c r="AD636">
        <f>Table6487[[#This Row],[CFNM]]/Table6487[[#This Row],[CAREA]]</f>
        <v>0.23615607888738072</v>
      </c>
      <c r="AE636">
        <v>2.0512600000000001</v>
      </c>
      <c r="AF636">
        <f>-(Table7488[[#This Row],[time]]-2)*2</f>
        <v>-0.10252000000000017</v>
      </c>
      <c r="AG636">
        <v>79.250500000000002</v>
      </c>
      <c r="AH636">
        <v>21.160799999999998</v>
      </c>
      <c r="AI636">
        <f>Table7488[[#This Row],[CFNM]]/Table7488[[#This Row],[CAREA]]</f>
        <v>0.26701156459580694</v>
      </c>
      <c r="AJ636">
        <v>2.0512600000000001</v>
      </c>
      <c r="AK636">
        <f>-(Table8489[[#This Row],[time]]-2)*2</f>
        <v>-0.10252000000000017</v>
      </c>
      <c r="AL636">
        <v>82.942099999999996</v>
      </c>
      <c r="AM636">
        <v>21.2577</v>
      </c>
      <c r="AN636">
        <f>Table8489[[#This Row],[CFNM]]/Table8489[[#This Row],[CAREA]]</f>
        <v>0.25629565684977834</v>
      </c>
    </row>
    <row r="637" spans="1:40">
      <c r="A637">
        <v>2.1153300000000002</v>
      </c>
      <c r="B637">
        <f>-(Table1482[[#This Row],[time]]-2)*2</f>
        <v>-0.23066000000000031</v>
      </c>
      <c r="C637">
        <v>89.531099999999995</v>
      </c>
      <c r="D637">
        <v>12.1759</v>
      </c>
      <c r="E637">
        <f>Table1482[[#This Row],[CFNM]]/Table1482[[#This Row],[CAREA]]</f>
        <v>0.13599631859767167</v>
      </c>
      <c r="F637">
        <v>2.1153300000000002</v>
      </c>
      <c r="G637">
        <f>-(Table2483[[#This Row],[time]]-2)*2</f>
        <v>-0.23066000000000031</v>
      </c>
      <c r="H637">
        <v>95.418899999999994</v>
      </c>
      <c r="I637">
        <v>4.7416900000000002</v>
      </c>
      <c r="J637">
        <f>Table2483[[#This Row],[CFNM]]/Table2483[[#This Row],[CAREA]]</f>
        <v>4.9693404556120438E-2</v>
      </c>
      <c r="K637">
        <v>2.1153300000000002</v>
      </c>
      <c r="L637">
        <f>-(Table3484[[#This Row],[time]]-2)*2</f>
        <v>-0.23066000000000031</v>
      </c>
      <c r="M637">
        <v>89.016400000000004</v>
      </c>
      <c r="N637">
        <v>6.9246100000000004</v>
      </c>
      <c r="O637">
        <f>Table3484[[#This Row],[CFNM]]/Table3484[[#This Row],[CAREA]]</f>
        <v>7.7790272354307743E-2</v>
      </c>
      <c r="P637">
        <v>2.1153300000000002</v>
      </c>
      <c r="Q637">
        <f>-(Table4485[[#This Row],[time]]-2)*2</f>
        <v>-0.23066000000000031</v>
      </c>
      <c r="R637">
        <v>87.063800000000001</v>
      </c>
      <c r="S637">
        <v>10.733000000000001</v>
      </c>
      <c r="T637">
        <f>Table4485[[#This Row],[CFNM]]/Table4485[[#This Row],[CAREA]]</f>
        <v>0.12327741265600629</v>
      </c>
      <c r="U637">
        <v>2.1153300000000002</v>
      </c>
      <c r="V637">
        <f>-(Table5486[[#This Row],[time]]-2)*2</f>
        <v>-0.23066000000000031</v>
      </c>
      <c r="W637">
        <v>81.809700000000007</v>
      </c>
      <c r="X637">
        <v>17.997699999999998</v>
      </c>
      <c r="Y637">
        <f>Table5486[[#This Row],[CFNM]]/Table5486[[#This Row],[CAREA]]</f>
        <v>0.21999469500560442</v>
      </c>
      <c r="Z637">
        <v>2.1153300000000002</v>
      </c>
      <c r="AA637">
        <f>-(Table6487[[#This Row],[time]]-2)*2</f>
        <v>-0.23066000000000031</v>
      </c>
      <c r="AB637">
        <v>88.826099999999997</v>
      </c>
      <c r="AC637">
        <v>26.511199999999999</v>
      </c>
      <c r="AD637">
        <f>Table6487[[#This Row],[CFNM]]/Table6487[[#This Row],[CAREA]]</f>
        <v>0.29846182597232118</v>
      </c>
      <c r="AE637">
        <v>2.1153300000000002</v>
      </c>
      <c r="AF637">
        <f>-(Table7488[[#This Row],[time]]-2)*2</f>
        <v>-0.23066000000000031</v>
      </c>
      <c r="AG637">
        <v>79.540300000000002</v>
      </c>
      <c r="AH637">
        <v>22.544</v>
      </c>
      <c r="AI637">
        <f>Table7488[[#This Row],[CFNM]]/Table7488[[#This Row],[CAREA]]</f>
        <v>0.28342865189092825</v>
      </c>
      <c r="AJ637">
        <v>2.1153300000000002</v>
      </c>
      <c r="AK637">
        <f>-(Table8489[[#This Row],[time]]-2)*2</f>
        <v>-0.23066000000000031</v>
      </c>
      <c r="AL637">
        <v>82.693799999999996</v>
      </c>
      <c r="AM637">
        <v>23.371600000000001</v>
      </c>
      <c r="AN637">
        <f>Table8489[[#This Row],[CFNM]]/Table8489[[#This Row],[CAREA]]</f>
        <v>0.28262820187244997</v>
      </c>
    </row>
    <row r="638" spans="1:40">
      <c r="A638">
        <v>2.16533</v>
      </c>
      <c r="B638">
        <f>-(Table1482[[#This Row],[time]]-2)*2</f>
        <v>-0.33065999999999995</v>
      </c>
      <c r="C638">
        <v>89.364800000000002</v>
      </c>
      <c r="D638">
        <v>13.1652</v>
      </c>
      <c r="E638">
        <f>Table1482[[#This Row],[CFNM]]/Table1482[[#This Row],[CAREA]]</f>
        <v>0.14731975005818845</v>
      </c>
      <c r="F638">
        <v>2.16533</v>
      </c>
      <c r="G638">
        <f>-(Table2483[[#This Row],[time]]-2)*2</f>
        <v>-0.33065999999999995</v>
      </c>
      <c r="H638">
        <v>95.867099999999994</v>
      </c>
      <c r="I638">
        <v>5.69353</v>
      </c>
      <c r="J638">
        <f>Table2483[[#This Row],[CFNM]]/Table2483[[#This Row],[CAREA]]</f>
        <v>5.938982195143068E-2</v>
      </c>
      <c r="K638">
        <v>2.16533</v>
      </c>
      <c r="L638">
        <f>-(Table3484[[#This Row],[time]]-2)*2</f>
        <v>-0.33065999999999995</v>
      </c>
      <c r="M638">
        <v>88.561800000000005</v>
      </c>
      <c r="N638">
        <v>8.5320999999999998</v>
      </c>
      <c r="O638">
        <f>Table3484[[#This Row],[CFNM]]/Table3484[[#This Row],[CAREA]]</f>
        <v>9.6340634449615964E-2</v>
      </c>
      <c r="P638">
        <v>2.16533</v>
      </c>
      <c r="Q638">
        <f>-(Table4485[[#This Row],[time]]-2)*2</f>
        <v>-0.33065999999999995</v>
      </c>
      <c r="R638">
        <v>87.752899999999997</v>
      </c>
      <c r="S638">
        <v>12.7944</v>
      </c>
      <c r="T638">
        <f>Table4485[[#This Row],[CFNM]]/Table4485[[#This Row],[CAREA]]</f>
        <v>0.14580030973335353</v>
      </c>
      <c r="U638">
        <v>2.16533</v>
      </c>
      <c r="V638">
        <f>-(Table5486[[#This Row],[time]]-2)*2</f>
        <v>-0.33065999999999995</v>
      </c>
      <c r="W638">
        <v>81.244900000000001</v>
      </c>
      <c r="X638">
        <v>22.099499999999999</v>
      </c>
      <c r="Y638">
        <f>Table5486[[#This Row],[CFNM]]/Table5486[[#This Row],[CAREA]]</f>
        <v>0.27201092007005978</v>
      </c>
      <c r="Z638">
        <v>2.16533</v>
      </c>
      <c r="AA638">
        <f>-(Table6487[[#This Row],[time]]-2)*2</f>
        <v>-0.33065999999999995</v>
      </c>
      <c r="AB638">
        <v>89.079499999999996</v>
      </c>
      <c r="AC638">
        <v>32.048499999999997</v>
      </c>
      <c r="AD638">
        <f>Table6487[[#This Row],[CFNM]]/Table6487[[#This Row],[CAREA]]</f>
        <v>0.35977413434067318</v>
      </c>
      <c r="AE638">
        <v>2.16533</v>
      </c>
      <c r="AF638">
        <f>-(Table7488[[#This Row],[time]]-2)*2</f>
        <v>-0.33065999999999995</v>
      </c>
      <c r="AG638">
        <v>79.626400000000004</v>
      </c>
      <c r="AH638">
        <v>24.8535</v>
      </c>
      <c r="AI638">
        <f>Table7488[[#This Row],[CFNM]]/Table7488[[#This Row],[CAREA]]</f>
        <v>0.31212638019551303</v>
      </c>
      <c r="AJ638">
        <v>2.16533</v>
      </c>
      <c r="AK638">
        <f>-(Table8489[[#This Row],[time]]-2)*2</f>
        <v>-0.33065999999999995</v>
      </c>
      <c r="AL638">
        <v>82.400899999999993</v>
      </c>
      <c r="AM638">
        <v>26.569700000000001</v>
      </c>
      <c r="AN638">
        <f>Table8489[[#This Row],[CFNM]]/Table8489[[#This Row],[CAREA]]</f>
        <v>0.322444293690967</v>
      </c>
    </row>
    <row r="639" spans="1:40">
      <c r="A639">
        <v>2.2246999999999999</v>
      </c>
      <c r="B639">
        <f>-(Table1482[[#This Row],[time]]-2)*2</f>
        <v>-0.4493999999999998</v>
      </c>
      <c r="C639">
        <v>89.666300000000007</v>
      </c>
      <c r="D639">
        <v>14.4328</v>
      </c>
      <c r="E639">
        <f>Table1482[[#This Row],[CFNM]]/Table1482[[#This Row],[CAREA]]</f>
        <v>0.16096125300140632</v>
      </c>
      <c r="F639">
        <v>2.2246999999999999</v>
      </c>
      <c r="G639">
        <f>-(Table2483[[#This Row],[time]]-2)*2</f>
        <v>-0.4493999999999998</v>
      </c>
      <c r="H639">
        <v>96.092399999999998</v>
      </c>
      <c r="I639">
        <v>7.2550100000000004</v>
      </c>
      <c r="J639">
        <f>Table2483[[#This Row],[CFNM]]/Table2483[[#This Row],[CAREA]]</f>
        <v>7.5500351744778996E-2</v>
      </c>
      <c r="K639">
        <v>2.2246999999999999</v>
      </c>
      <c r="L639">
        <f>-(Table3484[[#This Row],[time]]-2)*2</f>
        <v>-0.4493999999999998</v>
      </c>
      <c r="M639">
        <v>89.290700000000001</v>
      </c>
      <c r="N639">
        <v>10.9458</v>
      </c>
      <c r="O639">
        <f>Table3484[[#This Row],[CFNM]]/Table3484[[#This Row],[CAREA]]</f>
        <v>0.12258611479135005</v>
      </c>
      <c r="P639">
        <v>2.2246999999999999</v>
      </c>
      <c r="Q639">
        <f>-(Table4485[[#This Row],[time]]-2)*2</f>
        <v>-0.4493999999999998</v>
      </c>
      <c r="R639">
        <v>88.179699999999997</v>
      </c>
      <c r="S639">
        <v>15.5867</v>
      </c>
      <c r="T639">
        <f>Table4485[[#This Row],[CFNM]]/Table4485[[#This Row],[CAREA]]</f>
        <v>0.17676063765243022</v>
      </c>
      <c r="U639">
        <v>2.2246999999999999</v>
      </c>
      <c r="V639">
        <f>-(Table5486[[#This Row],[time]]-2)*2</f>
        <v>-0.4493999999999998</v>
      </c>
      <c r="W639">
        <v>80.281899999999993</v>
      </c>
      <c r="X639">
        <v>26.309899999999999</v>
      </c>
      <c r="Y639">
        <f>Table5486[[#This Row],[CFNM]]/Table5486[[#This Row],[CAREA]]</f>
        <v>0.32771895034870874</v>
      </c>
      <c r="Z639">
        <v>2.2246999999999999</v>
      </c>
      <c r="AA639">
        <f>-(Table6487[[#This Row],[time]]-2)*2</f>
        <v>-0.4493999999999998</v>
      </c>
      <c r="AB639">
        <v>88.551299999999998</v>
      </c>
      <c r="AC639">
        <v>37.844700000000003</v>
      </c>
      <c r="AD639">
        <f>Table6487[[#This Row],[CFNM]]/Table6487[[#This Row],[CAREA]]</f>
        <v>0.42737599560932482</v>
      </c>
      <c r="AE639">
        <v>2.2246999999999999</v>
      </c>
      <c r="AF639">
        <f>-(Table7488[[#This Row],[time]]-2)*2</f>
        <v>-0.4493999999999998</v>
      </c>
      <c r="AG639">
        <v>80.090999999999994</v>
      </c>
      <c r="AH639">
        <v>28.959299999999999</v>
      </c>
      <c r="AI639">
        <f>Table7488[[#This Row],[CFNM]]/Table7488[[#This Row],[CAREA]]</f>
        <v>0.36157995280368582</v>
      </c>
      <c r="AJ639">
        <v>2.2246999999999999</v>
      </c>
      <c r="AK639">
        <f>-(Table8489[[#This Row],[time]]-2)*2</f>
        <v>-0.4493999999999998</v>
      </c>
      <c r="AL639">
        <v>82.0839</v>
      </c>
      <c r="AM639">
        <v>31.224399999999999</v>
      </c>
      <c r="AN639">
        <f>Table8489[[#This Row],[CFNM]]/Table8489[[#This Row],[CAREA]]</f>
        <v>0.38039615564075291</v>
      </c>
    </row>
    <row r="640" spans="1:40">
      <c r="A640">
        <v>2.2668900000000001</v>
      </c>
      <c r="B640">
        <f>-(Table1482[[#This Row],[time]]-2)*2</f>
        <v>-0.53378000000000014</v>
      </c>
      <c r="C640">
        <v>90.041600000000003</v>
      </c>
      <c r="D640">
        <v>15.259399999999999</v>
      </c>
      <c r="E640">
        <f>Table1482[[#This Row],[CFNM]]/Table1482[[#This Row],[CAREA]]</f>
        <v>0.16947055583197099</v>
      </c>
      <c r="F640">
        <v>2.2668900000000001</v>
      </c>
      <c r="G640">
        <f>-(Table2483[[#This Row],[time]]-2)*2</f>
        <v>-0.53378000000000014</v>
      </c>
      <c r="H640">
        <v>96.408100000000005</v>
      </c>
      <c r="I640">
        <v>8.4778300000000009</v>
      </c>
      <c r="J640">
        <f>Table2483[[#This Row],[CFNM]]/Table2483[[#This Row],[CAREA]]</f>
        <v>8.7936905716428398E-2</v>
      </c>
      <c r="K640">
        <v>2.2668900000000001</v>
      </c>
      <c r="L640">
        <f>-(Table3484[[#This Row],[time]]-2)*2</f>
        <v>-0.53378000000000014</v>
      </c>
      <c r="M640">
        <v>89.421099999999996</v>
      </c>
      <c r="N640">
        <v>12.4762</v>
      </c>
      <c r="O640">
        <f>Table3484[[#This Row],[CFNM]]/Table3484[[#This Row],[CAREA]]</f>
        <v>0.13952188018264147</v>
      </c>
      <c r="P640">
        <v>2.2668900000000001</v>
      </c>
      <c r="Q640">
        <f>-(Table4485[[#This Row],[time]]-2)*2</f>
        <v>-0.53378000000000014</v>
      </c>
      <c r="R640">
        <v>88.404399999999995</v>
      </c>
      <c r="S640">
        <v>17.252400000000002</v>
      </c>
      <c r="T640">
        <f>Table4485[[#This Row],[CFNM]]/Table4485[[#This Row],[CAREA]]</f>
        <v>0.19515318242078453</v>
      </c>
      <c r="U640">
        <v>2.2668900000000001</v>
      </c>
      <c r="V640">
        <f>-(Table5486[[#This Row],[time]]-2)*2</f>
        <v>-0.53378000000000014</v>
      </c>
      <c r="W640">
        <v>79.648700000000005</v>
      </c>
      <c r="X640">
        <v>28.226600000000001</v>
      </c>
      <c r="Y640">
        <f>Table5486[[#This Row],[CFNM]]/Table5486[[#This Row],[CAREA]]</f>
        <v>0.35438870942024164</v>
      </c>
      <c r="Z640">
        <v>2.2668900000000001</v>
      </c>
      <c r="AA640">
        <f>-(Table6487[[#This Row],[time]]-2)*2</f>
        <v>-0.53378000000000014</v>
      </c>
      <c r="AB640">
        <v>87.826800000000006</v>
      </c>
      <c r="AC640">
        <v>40.594200000000001</v>
      </c>
      <c r="AD640">
        <f>Table6487[[#This Row],[CFNM]]/Table6487[[#This Row],[CAREA]]</f>
        <v>0.46220743554359262</v>
      </c>
      <c r="AE640">
        <v>2.2668900000000001</v>
      </c>
      <c r="AF640">
        <f>-(Table7488[[#This Row],[time]]-2)*2</f>
        <v>-0.53378000000000014</v>
      </c>
      <c r="AG640">
        <v>80.1721</v>
      </c>
      <c r="AH640">
        <v>31.4815</v>
      </c>
      <c r="AI640">
        <f>Table7488[[#This Row],[CFNM]]/Table7488[[#This Row],[CAREA]]</f>
        <v>0.39267401003591024</v>
      </c>
      <c r="AJ640">
        <v>2.2668900000000001</v>
      </c>
      <c r="AK640">
        <f>-(Table8489[[#This Row],[time]]-2)*2</f>
        <v>-0.53378000000000014</v>
      </c>
      <c r="AL640">
        <v>81.933300000000003</v>
      </c>
      <c r="AM640">
        <v>33.677300000000002</v>
      </c>
      <c r="AN640">
        <f>Table8489[[#This Row],[CFNM]]/Table8489[[#This Row],[CAREA]]</f>
        <v>0.41103312084341775</v>
      </c>
    </row>
    <row r="641" spans="1:40">
      <c r="A641">
        <v>2.3262700000000001</v>
      </c>
      <c r="B641">
        <f>-(Table1482[[#This Row],[time]]-2)*2</f>
        <v>-0.65254000000000012</v>
      </c>
      <c r="C641">
        <v>90.794700000000006</v>
      </c>
      <c r="D641">
        <v>16.652999999999999</v>
      </c>
      <c r="E641">
        <f>Table1482[[#This Row],[CFNM]]/Table1482[[#This Row],[CAREA]]</f>
        <v>0.18341378957141768</v>
      </c>
      <c r="F641">
        <v>2.3262700000000001</v>
      </c>
      <c r="G641">
        <f>-(Table2483[[#This Row],[time]]-2)*2</f>
        <v>-0.65254000000000012</v>
      </c>
      <c r="H641">
        <v>97.644000000000005</v>
      </c>
      <c r="I641">
        <v>10.678800000000001</v>
      </c>
      <c r="J641">
        <f>Table2483[[#This Row],[CFNM]]/Table2483[[#This Row],[CAREA]]</f>
        <v>0.10936463069927492</v>
      </c>
      <c r="K641">
        <v>2.3262700000000001</v>
      </c>
      <c r="L641">
        <f>-(Table3484[[#This Row],[time]]-2)*2</f>
        <v>-0.65254000000000012</v>
      </c>
      <c r="M641">
        <v>89.733400000000003</v>
      </c>
      <c r="N641">
        <v>15.2285</v>
      </c>
      <c r="O641">
        <f>Table3484[[#This Row],[CFNM]]/Table3484[[#This Row],[CAREA]]</f>
        <v>0.1697082691617614</v>
      </c>
      <c r="P641">
        <v>2.3262700000000001</v>
      </c>
      <c r="Q641">
        <f>-(Table4485[[#This Row],[time]]-2)*2</f>
        <v>-0.65254000000000012</v>
      </c>
      <c r="R641">
        <v>88.548000000000002</v>
      </c>
      <c r="S641">
        <v>20.117799999999999</v>
      </c>
      <c r="T641">
        <f>Table4485[[#This Row],[CFNM]]/Table4485[[#This Row],[CAREA]]</f>
        <v>0.2271965487645119</v>
      </c>
      <c r="U641">
        <v>2.3262700000000001</v>
      </c>
      <c r="V641">
        <f>-(Table5486[[#This Row],[time]]-2)*2</f>
        <v>-0.65254000000000012</v>
      </c>
      <c r="W641">
        <v>78.535399999999996</v>
      </c>
      <c r="X641">
        <v>31.107399999999998</v>
      </c>
      <c r="Y641">
        <f>Table5486[[#This Row],[CFNM]]/Table5486[[#This Row],[CAREA]]</f>
        <v>0.39609399073538815</v>
      </c>
      <c r="Z641">
        <v>2.3262700000000001</v>
      </c>
      <c r="AA641">
        <f>-(Table6487[[#This Row],[time]]-2)*2</f>
        <v>-0.65254000000000012</v>
      </c>
      <c r="AB641">
        <v>86.740399999999994</v>
      </c>
      <c r="AC641">
        <v>44.6691</v>
      </c>
      <c r="AD641">
        <f>Table6487[[#This Row],[CFNM]]/Table6487[[#This Row],[CAREA]]</f>
        <v>0.51497456779078721</v>
      </c>
      <c r="AE641">
        <v>2.3262700000000001</v>
      </c>
      <c r="AF641">
        <f>-(Table7488[[#This Row],[time]]-2)*2</f>
        <v>-0.65254000000000012</v>
      </c>
      <c r="AG641">
        <v>80.070899999999995</v>
      </c>
      <c r="AH641">
        <v>35.545999999999999</v>
      </c>
      <c r="AI641">
        <f>Table7488[[#This Row],[CFNM]]/Table7488[[#This Row],[CAREA]]</f>
        <v>0.44393156564994274</v>
      </c>
      <c r="AJ641">
        <v>2.3262700000000001</v>
      </c>
      <c r="AK641">
        <f>-(Table8489[[#This Row],[time]]-2)*2</f>
        <v>-0.65254000000000012</v>
      </c>
      <c r="AL641">
        <v>81.448400000000007</v>
      </c>
      <c r="AM641">
        <v>37.598999999999997</v>
      </c>
      <c r="AN641">
        <f>Table8489[[#This Row],[CFNM]]/Table8489[[#This Row],[CAREA]]</f>
        <v>0.46162969438319224</v>
      </c>
    </row>
    <row r="642" spans="1:40">
      <c r="A642">
        <v>2.3684599999999998</v>
      </c>
      <c r="B642">
        <f>-(Table1482[[#This Row],[time]]-2)*2</f>
        <v>-0.73691999999999958</v>
      </c>
      <c r="C642">
        <v>91.543599999999998</v>
      </c>
      <c r="D642">
        <v>18.049700000000001</v>
      </c>
      <c r="E642">
        <f>Table1482[[#This Row],[CFNM]]/Table1482[[#This Row],[CAREA]]</f>
        <v>0.19717052857873191</v>
      </c>
      <c r="F642">
        <v>2.3684599999999998</v>
      </c>
      <c r="G642">
        <f>-(Table2483[[#This Row],[time]]-2)*2</f>
        <v>-0.73691999999999958</v>
      </c>
      <c r="H642">
        <v>98.514499999999998</v>
      </c>
      <c r="I642">
        <v>12.8066</v>
      </c>
      <c r="J642">
        <f>Table2483[[#This Row],[CFNM]]/Table2483[[#This Row],[CAREA]]</f>
        <v>0.1299971070248542</v>
      </c>
      <c r="K642">
        <v>2.3684599999999998</v>
      </c>
      <c r="L642">
        <f>-(Table3484[[#This Row],[time]]-2)*2</f>
        <v>-0.73691999999999958</v>
      </c>
      <c r="M642">
        <v>90.183300000000003</v>
      </c>
      <c r="N642">
        <v>17.9879</v>
      </c>
      <c r="O642">
        <f>Table3484[[#This Row],[CFNM]]/Table3484[[#This Row],[CAREA]]</f>
        <v>0.1994593234002304</v>
      </c>
      <c r="P642">
        <v>2.3684599999999998</v>
      </c>
      <c r="Q642">
        <f>-(Table4485[[#This Row],[time]]-2)*2</f>
        <v>-0.73691999999999958</v>
      </c>
      <c r="R642">
        <v>88.378500000000003</v>
      </c>
      <c r="S642">
        <v>23.250299999999999</v>
      </c>
      <c r="T642">
        <f>Table4485[[#This Row],[CFNM]]/Table4485[[#This Row],[CAREA]]</f>
        <v>0.26307642695904543</v>
      </c>
      <c r="U642">
        <v>2.3684599999999998</v>
      </c>
      <c r="V642">
        <f>-(Table5486[[#This Row],[time]]-2)*2</f>
        <v>-0.73691999999999958</v>
      </c>
      <c r="W642">
        <v>77.3459</v>
      </c>
      <c r="X642">
        <v>33.806100000000001</v>
      </c>
      <c r="Y642">
        <f>Table5486[[#This Row],[CFNM]]/Table5486[[#This Row],[CAREA]]</f>
        <v>0.43707681984436153</v>
      </c>
      <c r="Z642">
        <v>2.3684599999999998</v>
      </c>
      <c r="AA642">
        <f>-(Table6487[[#This Row],[time]]-2)*2</f>
        <v>-0.73691999999999958</v>
      </c>
      <c r="AB642">
        <v>84.795699999999997</v>
      </c>
      <c r="AC642">
        <v>48.258600000000001</v>
      </c>
      <c r="AD642">
        <f>Table6487[[#This Row],[CFNM]]/Table6487[[#This Row],[CAREA]]</f>
        <v>0.56911612263357703</v>
      </c>
      <c r="AE642">
        <v>2.3684599999999998</v>
      </c>
      <c r="AF642">
        <f>-(Table7488[[#This Row],[time]]-2)*2</f>
        <v>-0.73691999999999958</v>
      </c>
      <c r="AG642">
        <v>79.883799999999994</v>
      </c>
      <c r="AH642">
        <v>39.303699999999999</v>
      </c>
      <c r="AI642">
        <f>Table7488[[#This Row],[CFNM]]/Table7488[[#This Row],[CAREA]]</f>
        <v>0.49201089582618757</v>
      </c>
      <c r="AJ642">
        <v>2.3684599999999998</v>
      </c>
      <c r="AK642">
        <f>-(Table8489[[#This Row],[time]]-2)*2</f>
        <v>-0.73691999999999958</v>
      </c>
      <c r="AL642">
        <v>81.139499999999998</v>
      </c>
      <c r="AM642">
        <v>41.270299999999999</v>
      </c>
      <c r="AN642">
        <f>Table8489[[#This Row],[CFNM]]/Table8489[[#This Row],[CAREA]]</f>
        <v>0.50863389594463859</v>
      </c>
    </row>
    <row r="643" spans="1:40">
      <c r="A643">
        <v>2.4278300000000002</v>
      </c>
      <c r="B643">
        <f>-(Table1482[[#This Row],[time]]-2)*2</f>
        <v>-0.85566000000000031</v>
      </c>
      <c r="C643">
        <v>92.040099999999995</v>
      </c>
      <c r="D643">
        <v>19.550799999999999</v>
      </c>
      <c r="E643">
        <f>Table1482[[#This Row],[CFNM]]/Table1482[[#This Row],[CAREA]]</f>
        <v>0.21241610993469151</v>
      </c>
      <c r="F643">
        <v>2.4278300000000002</v>
      </c>
      <c r="G643">
        <f>-(Table2483[[#This Row],[time]]-2)*2</f>
        <v>-0.85566000000000031</v>
      </c>
      <c r="H643">
        <v>98.880300000000005</v>
      </c>
      <c r="I643">
        <v>14.9267</v>
      </c>
      <c r="J643">
        <f>Table2483[[#This Row],[CFNM]]/Table2483[[#This Row],[CAREA]]</f>
        <v>0.1509572685357953</v>
      </c>
      <c r="K643">
        <v>2.4278300000000002</v>
      </c>
      <c r="L643">
        <f>-(Table3484[[#This Row],[time]]-2)*2</f>
        <v>-0.85566000000000031</v>
      </c>
      <c r="M643">
        <v>89.734099999999998</v>
      </c>
      <c r="N643">
        <v>20.915299999999998</v>
      </c>
      <c r="O643">
        <f>Table3484[[#This Row],[CFNM]]/Table3484[[#This Row],[CAREA]]</f>
        <v>0.23308084663466841</v>
      </c>
      <c r="P643">
        <v>2.4278300000000002</v>
      </c>
      <c r="Q643">
        <f>-(Table4485[[#This Row],[time]]-2)*2</f>
        <v>-0.85566000000000031</v>
      </c>
      <c r="R643">
        <v>87.957599999999999</v>
      </c>
      <c r="S643">
        <v>26.882899999999999</v>
      </c>
      <c r="T643">
        <f>Table4485[[#This Row],[CFNM]]/Table4485[[#This Row],[CAREA]]</f>
        <v>0.3056347603845489</v>
      </c>
      <c r="U643">
        <v>2.4278300000000002</v>
      </c>
      <c r="V643">
        <f>-(Table5486[[#This Row],[time]]-2)*2</f>
        <v>-0.85566000000000031</v>
      </c>
      <c r="W643">
        <v>75.856099999999998</v>
      </c>
      <c r="X643">
        <v>36.319699999999997</v>
      </c>
      <c r="Y643">
        <f>Table5486[[#This Row],[CFNM]]/Table5486[[#This Row],[CAREA]]</f>
        <v>0.47879735446457172</v>
      </c>
      <c r="Z643">
        <v>2.4278300000000002</v>
      </c>
      <c r="AA643">
        <f>-(Table6487[[#This Row],[time]]-2)*2</f>
        <v>-0.85566000000000031</v>
      </c>
      <c r="AB643">
        <v>83.574399999999997</v>
      </c>
      <c r="AC643">
        <v>51.765099999999997</v>
      </c>
      <c r="AD643">
        <f>Table6487[[#This Row],[CFNM]]/Table6487[[#This Row],[CAREA]]</f>
        <v>0.619389430256155</v>
      </c>
      <c r="AE643">
        <v>2.4278300000000002</v>
      </c>
      <c r="AF643">
        <f>-(Table7488[[#This Row],[time]]-2)*2</f>
        <v>-0.85566000000000031</v>
      </c>
      <c r="AG643">
        <v>79.415499999999994</v>
      </c>
      <c r="AH643">
        <v>43.0045</v>
      </c>
      <c r="AI643">
        <f>Table7488[[#This Row],[CFNM]]/Table7488[[#This Row],[CAREA]]</f>
        <v>0.54151267699630434</v>
      </c>
      <c r="AJ643">
        <v>2.4278300000000002</v>
      </c>
      <c r="AK643">
        <f>-(Table8489[[#This Row],[time]]-2)*2</f>
        <v>-0.85566000000000031</v>
      </c>
      <c r="AL643">
        <v>79.974999999999994</v>
      </c>
      <c r="AM643">
        <v>44.822299999999998</v>
      </c>
      <c r="AN643">
        <f>Table8489[[#This Row],[CFNM]]/Table8489[[#This Row],[CAREA]]</f>
        <v>0.56045389184120042</v>
      </c>
    </row>
    <row r="644" spans="1:40">
      <c r="A644">
        <v>2.4542000000000002</v>
      </c>
      <c r="B644">
        <f>-(Table1482[[#This Row],[time]]-2)*2</f>
        <v>-0.90840000000000032</v>
      </c>
      <c r="C644">
        <v>91.774500000000003</v>
      </c>
      <c r="D644">
        <v>21.013999999999999</v>
      </c>
      <c r="E644">
        <f>Table1482[[#This Row],[CFNM]]/Table1482[[#This Row],[CAREA]]</f>
        <v>0.22897427934774908</v>
      </c>
      <c r="F644">
        <v>2.4542000000000002</v>
      </c>
      <c r="G644">
        <f>-(Table2483[[#This Row],[time]]-2)*2</f>
        <v>-0.90840000000000032</v>
      </c>
      <c r="H644">
        <v>99.896799999999999</v>
      </c>
      <c r="I644">
        <v>17.206399999999999</v>
      </c>
      <c r="J644">
        <f>Table2483[[#This Row],[CFNM]]/Table2483[[#This Row],[CAREA]]</f>
        <v>0.17224175348960125</v>
      </c>
      <c r="K644">
        <v>2.4542000000000002</v>
      </c>
      <c r="L644">
        <f>-(Table3484[[#This Row],[time]]-2)*2</f>
        <v>-0.90840000000000032</v>
      </c>
      <c r="M644">
        <v>89.464100000000002</v>
      </c>
      <c r="N644">
        <v>23.889199999999999</v>
      </c>
      <c r="O644">
        <f>Table3484[[#This Row],[CFNM]]/Table3484[[#This Row],[CAREA]]</f>
        <v>0.26702554432448322</v>
      </c>
      <c r="P644">
        <v>2.4542000000000002</v>
      </c>
      <c r="Q644">
        <f>-(Table4485[[#This Row],[time]]-2)*2</f>
        <v>-0.90840000000000032</v>
      </c>
      <c r="R644">
        <v>87.436599999999999</v>
      </c>
      <c r="S644">
        <v>30.921700000000001</v>
      </c>
      <c r="T644">
        <f>Table4485[[#This Row],[CFNM]]/Table4485[[#This Row],[CAREA]]</f>
        <v>0.35364709972711661</v>
      </c>
      <c r="U644">
        <v>2.4542000000000002</v>
      </c>
      <c r="V644">
        <f>-(Table5486[[#This Row],[time]]-2)*2</f>
        <v>-0.90840000000000032</v>
      </c>
      <c r="W644">
        <v>73.871300000000005</v>
      </c>
      <c r="X644">
        <v>39.806899999999999</v>
      </c>
      <c r="Y644">
        <f>Table5486[[#This Row],[CFNM]]/Table5486[[#This Row],[CAREA]]</f>
        <v>0.53886827495928724</v>
      </c>
      <c r="Z644">
        <v>2.4542000000000002</v>
      </c>
      <c r="AA644">
        <f>-(Table6487[[#This Row],[time]]-2)*2</f>
        <v>-0.90840000000000032</v>
      </c>
      <c r="AB644">
        <v>82.4833</v>
      </c>
      <c r="AC644">
        <v>55.679600000000001</v>
      </c>
      <c r="AD644">
        <f>Table6487[[#This Row],[CFNM]]/Table6487[[#This Row],[CAREA]]</f>
        <v>0.67504088706441179</v>
      </c>
      <c r="AE644">
        <v>2.4542000000000002</v>
      </c>
      <c r="AF644">
        <f>-(Table7488[[#This Row],[time]]-2)*2</f>
        <v>-0.90840000000000032</v>
      </c>
      <c r="AG644">
        <v>78.5578</v>
      </c>
      <c r="AH644">
        <v>46.893099999999997</v>
      </c>
      <c r="AI644">
        <f>Table7488[[#This Row],[CFNM]]/Table7488[[#This Row],[CAREA]]</f>
        <v>0.59692481204921721</v>
      </c>
      <c r="AJ644">
        <v>2.4542000000000002</v>
      </c>
      <c r="AK644">
        <f>-(Table8489[[#This Row],[time]]-2)*2</f>
        <v>-0.90840000000000032</v>
      </c>
      <c r="AL644">
        <v>79.688800000000001</v>
      </c>
      <c r="AM644">
        <v>48.322099999999999</v>
      </c>
      <c r="AN644">
        <f>Table8489[[#This Row],[CFNM]]/Table8489[[#This Row],[CAREA]]</f>
        <v>0.60638508799228996</v>
      </c>
    </row>
    <row r="645" spans="1:40">
      <c r="A645">
        <v>2.5061499999999999</v>
      </c>
      <c r="B645">
        <f>-(Table1482[[#This Row],[time]]-2)*2</f>
        <v>-1.0122999999999998</v>
      </c>
      <c r="C645">
        <v>90.127300000000005</v>
      </c>
      <c r="D645">
        <v>22.278300000000002</v>
      </c>
      <c r="E645">
        <f>Table1482[[#This Row],[CFNM]]/Table1482[[#This Row],[CAREA]]</f>
        <v>0.24718703433920688</v>
      </c>
      <c r="F645">
        <v>2.5061499999999999</v>
      </c>
      <c r="G645">
        <f>-(Table2483[[#This Row],[time]]-2)*2</f>
        <v>-1.0122999999999998</v>
      </c>
      <c r="H645">
        <v>100.562</v>
      </c>
      <c r="I645">
        <v>19.1815</v>
      </c>
      <c r="J645">
        <f>Table2483[[#This Row],[CFNM]]/Table2483[[#This Row],[CAREA]]</f>
        <v>0.19074302420397368</v>
      </c>
      <c r="K645">
        <v>2.5061499999999999</v>
      </c>
      <c r="L645">
        <f>-(Table3484[[#This Row],[time]]-2)*2</f>
        <v>-1.0122999999999998</v>
      </c>
      <c r="M645">
        <v>88.796099999999996</v>
      </c>
      <c r="N645">
        <v>26.628599999999999</v>
      </c>
      <c r="O645">
        <f>Table3484[[#This Row],[CFNM]]/Table3484[[#This Row],[CAREA]]</f>
        <v>0.29988479223749692</v>
      </c>
      <c r="P645">
        <v>2.5061499999999999</v>
      </c>
      <c r="Q645">
        <f>-(Table4485[[#This Row],[time]]-2)*2</f>
        <v>-1.0122999999999998</v>
      </c>
      <c r="R645">
        <v>87.241200000000006</v>
      </c>
      <c r="S645">
        <v>34.834600000000002</v>
      </c>
      <c r="T645">
        <f>Table4485[[#This Row],[CFNM]]/Table4485[[#This Row],[CAREA]]</f>
        <v>0.39929070209946677</v>
      </c>
      <c r="U645">
        <v>2.5061499999999999</v>
      </c>
      <c r="V645">
        <f>-(Table5486[[#This Row],[time]]-2)*2</f>
        <v>-1.0122999999999998</v>
      </c>
      <c r="W645">
        <v>68.7029</v>
      </c>
      <c r="X645">
        <v>43.863700000000001</v>
      </c>
      <c r="Y645">
        <f>Table5486[[#This Row],[CFNM]]/Table5486[[#This Row],[CAREA]]</f>
        <v>0.63845485416190584</v>
      </c>
      <c r="Z645">
        <v>2.5061499999999999</v>
      </c>
      <c r="AA645">
        <f>-(Table6487[[#This Row],[time]]-2)*2</f>
        <v>-1.0122999999999998</v>
      </c>
      <c r="AB645">
        <v>78.632900000000006</v>
      </c>
      <c r="AC645">
        <v>59.902299999999997</v>
      </c>
      <c r="AD645">
        <f>Table6487[[#This Row],[CFNM]]/Table6487[[#This Row],[CAREA]]</f>
        <v>0.76179690689266188</v>
      </c>
      <c r="AE645">
        <v>2.5061499999999999</v>
      </c>
      <c r="AF645">
        <f>-(Table7488[[#This Row],[time]]-2)*2</f>
        <v>-1.0122999999999998</v>
      </c>
      <c r="AG645">
        <v>77.712999999999994</v>
      </c>
      <c r="AH645">
        <v>50.657600000000002</v>
      </c>
      <c r="AI645">
        <f>Table7488[[#This Row],[CFNM]]/Table7488[[#This Row],[CAREA]]</f>
        <v>0.65185490201124663</v>
      </c>
      <c r="AJ645">
        <v>2.5061499999999999</v>
      </c>
      <c r="AK645">
        <f>-(Table8489[[#This Row],[time]]-2)*2</f>
        <v>-1.0122999999999998</v>
      </c>
      <c r="AL645">
        <v>79.390100000000004</v>
      </c>
      <c r="AM645">
        <v>51.731299999999997</v>
      </c>
      <c r="AN645">
        <f>Table8489[[#This Row],[CFNM]]/Table8489[[#This Row],[CAREA]]</f>
        <v>0.65160895376123718</v>
      </c>
    </row>
    <row r="646" spans="1:40">
      <c r="A646">
        <v>2.5507599999999999</v>
      </c>
      <c r="B646">
        <f>-(Table1482[[#This Row],[time]]-2)*2</f>
        <v>-1.1015199999999998</v>
      </c>
      <c r="C646">
        <v>90.477400000000003</v>
      </c>
      <c r="D646">
        <v>23.775600000000001</v>
      </c>
      <c r="E646">
        <f>Table1482[[#This Row],[CFNM]]/Table1482[[#This Row],[CAREA]]</f>
        <v>0.26277943442229773</v>
      </c>
      <c r="F646">
        <v>2.5507599999999999</v>
      </c>
      <c r="G646">
        <f>-(Table2483[[#This Row],[time]]-2)*2</f>
        <v>-1.1015199999999998</v>
      </c>
      <c r="H646">
        <v>100.601</v>
      </c>
      <c r="I646">
        <v>21.1812</v>
      </c>
      <c r="J646">
        <f>Table2483[[#This Row],[CFNM]]/Table2483[[#This Row],[CAREA]]</f>
        <v>0.21054661484478285</v>
      </c>
      <c r="K646">
        <v>2.5507599999999999</v>
      </c>
      <c r="L646">
        <f>-(Table3484[[#This Row],[time]]-2)*2</f>
        <v>-1.1015199999999998</v>
      </c>
      <c r="M646">
        <v>88.377300000000005</v>
      </c>
      <c r="N646">
        <v>29.834099999999999</v>
      </c>
      <c r="O646">
        <f>Table3484[[#This Row],[CFNM]]/Table3484[[#This Row],[CAREA]]</f>
        <v>0.33757650437386066</v>
      </c>
      <c r="P646">
        <v>2.5507599999999999</v>
      </c>
      <c r="Q646">
        <f>-(Table4485[[#This Row],[time]]-2)*2</f>
        <v>-1.1015199999999998</v>
      </c>
      <c r="R646">
        <v>86.990799999999993</v>
      </c>
      <c r="S646">
        <v>39.149700000000003</v>
      </c>
      <c r="T646">
        <f>Table4485[[#This Row],[CFNM]]/Table4485[[#This Row],[CAREA]]</f>
        <v>0.45004414259898756</v>
      </c>
      <c r="U646">
        <v>2.5507599999999999</v>
      </c>
      <c r="V646">
        <f>-(Table5486[[#This Row],[time]]-2)*2</f>
        <v>-1.1015199999999998</v>
      </c>
      <c r="W646">
        <v>63.284500000000001</v>
      </c>
      <c r="X646">
        <v>48.2545</v>
      </c>
      <c r="Y646">
        <f>Table5486[[#This Row],[CFNM]]/Table5486[[#This Row],[CAREA]]</f>
        <v>0.76250108636395952</v>
      </c>
      <c r="Z646">
        <v>2.5507599999999999</v>
      </c>
      <c r="AA646">
        <f>-(Table6487[[#This Row],[time]]-2)*2</f>
        <v>-1.1015199999999998</v>
      </c>
      <c r="AB646">
        <v>73.966499999999996</v>
      </c>
      <c r="AC646">
        <v>64.734999999999999</v>
      </c>
      <c r="AD646">
        <f>Table6487[[#This Row],[CFNM]]/Table6487[[#This Row],[CAREA]]</f>
        <v>0.87519349976002658</v>
      </c>
      <c r="AE646">
        <v>2.5507599999999999</v>
      </c>
      <c r="AF646">
        <f>-(Table7488[[#This Row],[time]]-2)*2</f>
        <v>-1.1015199999999998</v>
      </c>
      <c r="AG646">
        <v>76.844899999999996</v>
      </c>
      <c r="AH646">
        <v>54.700299999999999</v>
      </c>
      <c r="AI646">
        <f>Table7488[[#This Row],[CFNM]]/Table7488[[#This Row],[CAREA]]</f>
        <v>0.71182733011559651</v>
      </c>
      <c r="AJ646">
        <v>2.5507599999999999</v>
      </c>
      <c r="AK646">
        <f>-(Table8489[[#This Row],[time]]-2)*2</f>
        <v>-1.1015199999999998</v>
      </c>
      <c r="AL646">
        <v>79.040700000000001</v>
      </c>
      <c r="AM646">
        <v>55.458100000000002</v>
      </c>
      <c r="AN646">
        <f>Table8489[[#This Row],[CFNM]]/Table8489[[#This Row],[CAREA]]</f>
        <v>0.70163978810916405</v>
      </c>
    </row>
    <row r="647" spans="1:40">
      <c r="A647">
        <v>2.60453</v>
      </c>
      <c r="B647">
        <f>-(Table1482[[#This Row],[time]]-2)*2</f>
        <v>-1.20906</v>
      </c>
      <c r="C647">
        <v>90.216899999999995</v>
      </c>
      <c r="D647">
        <v>25.495799999999999</v>
      </c>
      <c r="E647">
        <f>Table1482[[#This Row],[CFNM]]/Table1482[[#This Row],[CAREA]]</f>
        <v>0.28260558720151102</v>
      </c>
      <c r="F647">
        <v>2.60453</v>
      </c>
      <c r="G647">
        <f>-(Table2483[[#This Row],[time]]-2)*2</f>
        <v>-1.20906</v>
      </c>
      <c r="H647">
        <v>101.706</v>
      </c>
      <c r="I647">
        <v>23.011399999999998</v>
      </c>
      <c r="J647">
        <f>Table2483[[#This Row],[CFNM]]/Table2483[[#This Row],[CAREA]]</f>
        <v>0.22625410496922499</v>
      </c>
      <c r="K647">
        <v>2.60453</v>
      </c>
      <c r="L647">
        <f>-(Table3484[[#This Row],[time]]-2)*2</f>
        <v>-1.20906</v>
      </c>
      <c r="M647">
        <v>87.886399999999995</v>
      </c>
      <c r="N647">
        <v>32.923499999999997</v>
      </c>
      <c r="O647">
        <f>Table3484[[#This Row],[CFNM]]/Table3484[[#This Row],[CAREA]]</f>
        <v>0.37461427479109394</v>
      </c>
      <c r="P647">
        <v>2.60453</v>
      </c>
      <c r="Q647">
        <f>-(Table4485[[#This Row],[time]]-2)*2</f>
        <v>-1.20906</v>
      </c>
      <c r="R647">
        <v>86.911000000000001</v>
      </c>
      <c r="S647">
        <v>43.348700000000001</v>
      </c>
      <c r="T647">
        <f>Table4485[[#This Row],[CFNM]]/Table4485[[#This Row],[CAREA]]</f>
        <v>0.49877115670053274</v>
      </c>
      <c r="U647">
        <v>2.60453</v>
      </c>
      <c r="V647">
        <f>-(Table5486[[#This Row],[time]]-2)*2</f>
        <v>-1.20906</v>
      </c>
      <c r="W647">
        <v>57.112299999999998</v>
      </c>
      <c r="X647">
        <v>52.866700000000002</v>
      </c>
      <c r="Y647">
        <f>Table5486[[#This Row],[CFNM]]/Table5486[[#This Row],[CAREA]]</f>
        <v>0.92566224788705764</v>
      </c>
      <c r="Z647">
        <v>2.60453</v>
      </c>
      <c r="AA647">
        <f>-(Table6487[[#This Row],[time]]-2)*2</f>
        <v>-1.20906</v>
      </c>
      <c r="AB647">
        <v>68.419600000000003</v>
      </c>
      <c r="AC647">
        <v>69.902500000000003</v>
      </c>
      <c r="AD647">
        <f>Table6487[[#This Row],[CFNM]]/Table6487[[#This Row],[CAREA]]</f>
        <v>1.0216736139936509</v>
      </c>
      <c r="AE647">
        <v>2.60453</v>
      </c>
      <c r="AF647">
        <f>-(Table7488[[#This Row],[time]]-2)*2</f>
        <v>-1.20906</v>
      </c>
      <c r="AG647">
        <v>75.952500000000001</v>
      </c>
      <c r="AH647">
        <v>58.645200000000003</v>
      </c>
      <c r="AI647">
        <f>Table7488[[#This Row],[CFNM]]/Table7488[[#This Row],[CAREA]]</f>
        <v>0.77212994963957737</v>
      </c>
      <c r="AJ647">
        <v>2.60453</v>
      </c>
      <c r="AK647">
        <f>-(Table8489[[#This Row],[time]]-2)*2</f>
        <v>-1.20906</v>
      </c>
      <c r="AL647">
        <v>77.232100000000003</v>
      </c>
      <c r="AM647">
        <v>59.2562</v>
      </c>
      <c r="AN647">
        <f>Table8489[[#This Row],[CFNM]]/Table8489[[#This Row],[CAREA]]</f>
        <v>0.76724833327075137</v>
      </c>
    </row>
    <row r="648" spans="1:40">
      <c r="A648">
        <v>2.65273</v>
      </c>
      <c r="B648">
        <f>-(Table1482[[#This Row],[time]]-2)*2</f>
        <v>-1.3054600000000001</v>
      </c>
      <c r="C648">
        <v>90.205600000000004</v>
      </c>
      <c r="D648">
        <v>27.694099999999999</v>
      </c>
      <c r="E648">
        <f>Table1482[[#This Row],[CFNM]]/Table1482[[#This Row],[CAREA]]</f>
        <v>0.3070108729391523</v>
      </c>
      <c r="F648">
        <v>2.65273</v>
      </c>
      <c r="G648">
        <f>-(Table2483[[#This Row],[time]]-2)*2</f>
        <v>-1.3054600000000001</v>
      </c>
      <c r="H648">
        <v>101.488</v>
      </c>
      <c r="I648">
        <v>24.584399999999999</v>
      </c>
      <c r="J648">
        <f>Table2483[[#This Row],[CFNM]]/Table2483[[#This Row],[CAREA]]</f>
        <v>0.24223947658836512</v>
      </c>
      <c r="K648">
        <v>2.65273</v>
      </c>
      <c r="L648">
        <f>-(Table3484[[#This Row],[time]]-2)*2</f>
        <v>-1.3054600000000001</v>
      </c>
      <c r="M648">
        <v>87.126300000000001</v>
      </c>
      <c r="N648">
        <v>36.096400000000003</v>
      </c>
      <c r="O648">
        <f>Table3484[[#This Row],[CFNM]]/Table3484[[#This Row],[CAREA]]</f>
        <v>0.41429970054966186</v>
      </c>
      <c r="P648">
        <v>2.65273</v>
      </c>
      <c r="Q648">
        <f>-(Table4485[[#This Row],[time]]-2)*2</f>
        <v>-1.3054600000000001</v>
      </c>
      <c r="R648">
        <v>86.557000000000002</v>
      </c>
      <c r="S648">
        <v>47.445</v>
      </c>
      <c r="T648">
        <f>Table4485[[#This Row],[CFNM]]/Table4485[[#This Row],[CAREA]]</f>
        <v>0.5481359104405189</v>
      </c>
      <c r="U648">
        <v>2.65273</v>
      </c>
      <c r="V648">
        <f>-(Table5486[[#This Row],[time]]-2)*2</f>
        <v>-1.3054600000000001</v>
      </c>
      <c r="W648">
        <v>51.316400000000002</v>
      </c>
      <c r="X648">
        <v>57.548900000000003</v>
      </c>
      <c r="Y648">
        <f>Table5486[[#This Row],[CFNM]]/Table5486[[#This Row],[CAREA]]</f>
        <v>1.1214524011816884</v>
      </c>
      <c r="Z648">
        <v>2.65273</v>
      </c>
      <c r="AA648">
        <f>-(Table6487[[#This Row],[time]]-2)*2</f>
        <v>-1.3054600000000001</v>
      </c>
      <c r="AB648">
        <v>62.743699999999997</v>
      </c>
      <c r="AC648">
        <v>75.201599999999999</v>
      </c>
      <c r="AD648">
        <f>Table6487[[#This Row],[CFNM]]/Table6487[[#This Row],[CAREA]]</f>
        <v>1.1985522052413231</v>
      </c>
      <c r="AE648">
        <v>2.65273</v>
      </c>
      <c r="AF648">
        <f>-(Table7488[[#This Row],[time]]-2)*2</f>
        <v>-1.3054600000000001</v>
      </c>
      <c r="AG648">
        <v>75.112700000000004</v>
      </c>
      <c r="AH648">
        <v>62.611800000000002</v>
      </c>
      <c r="AI648">
        <f>Table7488[[#This Row],[CFNM]]/Table7488[[#This Row],[CAREA]]</f>
        <v>0.83357142001286066</v>
      </c>
      <c r="AJ648">
        <v>2.65273</v>
      </c>
      <c r="AK648">
        <f>-(Table8489[[#This Row],[time]]-2)*2</f>
        <v>-1.3054600000000001</v>
      </c>
      <c r="AL648">
        <v>76.884900000000002</v>
      </c>
      <c r="AM648">
        <v>63.078499999999998</v>
      </c>
      <c r="AN648">
        <f>Table8489[[#This Row],[CFNM]]/Table8489[[#This Row],[CAREA]]</f>
        <v>0.82042767825671881</v>
      </c>
    </row>
    <row r="649" spans="1:40">
      <c r="A649">
        <v>2.7006199999999998</v>
      </c>
      <c r="B649">
        <f>-(Table1482[[#This Row],[time]]-2)*2</f>
        <v>-1.4012399999999996</v>
      </c>
      <c r="C649">
        <v>90.183499999999995</v>
      </c>
      <c r="D649">
        <v>30.120100000000001</v>
      </c>
      <c r="E649">
        <f>Table1482[[#This Row],[CFNM]]/Table1482[[#This Row],[CAREA]]</f>
        <v>0.33398681577006883</v>
      </c>
      <c r="F649">
        <v>2.7006199999999998</v>
      </c>
      <c r="G649">
        <f>-(Table2483[[#This Row],[time]]-2)*2</f>
        <v>-1.4012399999999996</v>
      </c>
      <c r="H649">
        <v>102.14</v>
      </c>
      <c r="I649">
        <v>26.208200000000001</v>
      </c>
      <c r="J649">
        <f>Table2483[[#This Row],[CFNM]]/Table2483[[#This Row],[CAREA]]</f>
        <v>0.25659095359310752</v>
      </c>
      <c r="K649">
        <v>2.7006199999999998</v>
      </c>
      <c r="L649">
        <f>-(Table3484[[#This Row],[time]]-2)*2</f>
        <v>-1.4012399999999996</v>
      </c>
      <c r="M649">
        <v>85.953800000000001</v>
      </c>
      <c r="N649">
        <v>39.5473</v>
      </c>
      <c r="O649">
        <f>Table3484[[#This Row],[CFNM]]/Table3484[[#This Row],[CAREA]]</f>
        <v>0.46009949531027133</v>
      </c>
      <c r="P649">
        <v>2.7006199999999998</v>
      </c>
      <c r="Q649">
        <f>-(Table4485[[#This Row],[time]]-2)*2</f>
        <v>-1.4012399999999996</v>
      </c>
      <c r="R649">
        <v>86.209900000000005</v>
      </c>
      <c r="S649">
        <v>51.693800000000003</v>
      </c>
      <c r="T649">
        <f>Table4485[[#This Row],[CFNM]]/Table4485[[#This Row],[CAREA]]</f>
        <v>0.59962718898873568</v>
      </c>
      <c r="U649">
        <v>2.7006199999999998</v>
      </c>
      <c r="V649">
        <f>-(Table5486[[#This Row],[time]]-2)*2</f>
        <v>-1.4012399999999996</v>
      </c>
      <c r="W649">
        <v>47.476500000000001</v>
      </c>
      <c r="X649">
        <v>62.281399999999998</v>
      </c>
      <c r="Y649">
        <f>Table5486[[#This Row],[CFNM]]/Table5486[[#This Row],[CAREA]]</f>
        <v>1.311836382210146</v>
      </c>
      <c r="Z649">
        <v>2.7006199999999998</v>
      </c>
      <c r="AA649">
        <f>-(Table6487[[#This Row],[time]]-2)*2</f>
        <v>-1.4012399999999996</v>
      </c>
      <c r="AB649">
        <v>58.229900000000001</v>
      </c>
      <c r="AC649">
        <v>80.567099999999996</v>
      </c>
      <c r="AD649">
        <f>Table6487[[#This Row],[CFNM]]/Table6487[[#This Row],[CAREA]]</f>
        <v>1.3836036125770437</v>
      </c>
      <c r="AE649">
        <v>2.7006199999999998</v>
      </c>
      <c r="AF649">
        <f>-(Table7488[[#This Row],[time]]-2)*2</f>
        <v>-1.4012399999999996</v>
      </c>
      <c r="AG649">
        <v>74.2791</v>
      </c>
      <c r="AH649">
        <v>66.742400000000004</v>
      </c>
      <c r="AI649">
        <f>Table7488[[#This Row],[CFNM]]/Table7488[[#This Row],[CAREA]]</f>
        <v>0.89853538882404338</v>
      </c>
      <c r="AJ649">
        <v>2.7006199999999998</v>
      </c>
      <c r="AK649">
        <f>-(Table8489[[#This Row],[time]]-2)*2</f>
        <v>-1.4012399999999996</v>
      </c>
      <c r="AL649">
        <v>76.593999999999994</v>
      </c>
      <c r="AM649">
        <v>67.085599999999999</v>
      </c>
      <c r="AN649">
        <f>Table8489[[#This Row],[CFNM]]/Table8489[[#This Row],[CAREA]]</f>
        <v>0.87585972791602484</v>
      </c>
    </row>
    <row r="650" spans="1:40">
      <c r="A650">
        <v>2.75176</v>
      </c>
      <c r="B650">
        <f>-(Table1482[[#This Row],[time]]-2)*2</f>
        <v>-1.50352</v>
      </c>
      <c r="C650">
        <v>89.122699999999995</v>
      </c>
      <c r="D650">
        <v>32.857300000000002</v>
      </c>
      <c r="E650">
        <f>Table1482[[#This Row],[CFNM]]/Table1482[[#This Row],[CAREA]]</f>
        <v>0.36867487183399966</v>
      </c>
      <c r="F650">
        <v>2.75176</v>
      </c>
      <c r="G650">
        <f>-(Table2483[[#This Row],[time]]-2)*2</f>
        <v>-1.50352</v>
      </c>
      <c r="H650">
        <v>102.5</v>
      </c>
      <c r="I650">
        <v>27.959599999999998</v>
      </c>
      <c r="J650">
        <f>Table2483[[#This Row],[CFNM]]/Table2483[[#This Row],[CAREA]]</f>
        <v>0.27277658536585364</v>
      </c>
      <c r="K650">
        <v>2.75176</v>
      </c>
      <c r="L650">
        <f>-(Table3484[[#This Row],[time]]-2)*2</f>
        <v>-1.50352</v>
      </c>
      <c r="M650">
        <v>84.897599999999997</v>
      </c>
      <c r="N650">
        <v>43.251300000000001</v>
      </c>
      <c r="O650">
        <f>Table3484[[#This Row],[CFNM]]/Table3484[[#This Row],[CAREA]]</f>
        <v>0.50945256403007866</v>
      </c>
      <c r="P650">
        <v>2.75176</v>
      </c>
      <c r="Q650">
        <f>-(Table4485[[#This Row],[time]]-2)*2</f>
        <v>-1.50352</v>
      </c>
      <c r="R650">
        <v>85.927800000000005</v>
      </c>
      <c r="S650">
        <v>56.102200000000003</v>
      </c>
      <c r="T650">
        <f>Table4485[[#This Row],[CFNM]]/Table4485[[#This Row],[CAREA]]</f>
        <v>0.65289929452400741</v>
      </c>
      <c r="U650">
        <v>2.75176</v>
      </c>
      <c r="V650">
        <f>-(Table5486[[#This Row],[time]]-2)*2</f>
        <v>-1.50352</v>
      </c>
      <c r="W650">
        <v>42.637500000000003</v>
      </c>
      <c r="X650">
        <v>67.010999999999996</v>
      </c>
      <c r="Y650">
        <f>Table5486[[#This Row],[CFNM]]/Table5486[[#This Row],[CAREA]]</f>
        <v>1.5716446789797711</v>
      </c>
      <c r="Z650">
        <v>2.75176</v>
      </c>
      <c r="AA650">
        <f>-(Table6487[[#This Row],[time]]-2)*2</f>
        <v>-1.50352</v>
      </c>
      <c r="AB650">
        <v>55.326999999999998</v>
      </c>
      <c r="AC650">
        <v>85.9739</v>
      </c>
      <c r="AD650">
        <f>Table6487[[#This Row],[CFNM]]/Table6487[[#This Row],[CAREA]]</f>
        <v>1.553923039384026</v>
      </c>
      <c r="AE650">
        <v>2.75176</v>
      </c>
      <c r="AF650">
        <f>-(Table7488[[#This Row],[time]]-2)*2</f>
        <v>-1.50352</v>
      </c>
      <c r="AG650">
        <v>73.536500000000004</v>
      </c>
      <c r="AH650">
        <v>70.834999999999994</v>
      </c>
      <c r="AI650">
        <f>Table7488[[#This Row],[CFNM]]/Table7488[[#This Row],[CAREA]]</f>
        <v>0.96326314143316571</v>
      </c>
      <c r="AJ650">
        <v>2.75176</v>
      </c>
      <c r="AK650">
        <f>-(Table8489[[#This Row],[time]]-2)*2</f>
        <v>-1.50352</v>
      </c>
      <c r="AL650">
        <v>76.245400000000004</v>
      </c>
      <c r="AM650">
        <v>71.279300000000006</v>
      </c>
      <c r="AN650">
        <f>Table8489[[#This Row],[CFNM]]/Table8489[[#This Row],[CAREA]]</f>
        <v>0.93486689033043313</v>
      </c>
    </row>
    <row r="651" spans="1:40">
      <c r="A651">
        <v>2.80444</v>
      </c>
      <c r="B651">
        <f>-(Table1482[[#This Row],[time]]-2)*2</f>
        <v>-1.6088800000000001</v>
      </c>
      <c r="C651">
        <v>87.219099999999997</v>
      </c>
      <c r="D651">
        <v>35.259799999999998</v>
      </c>
      <c r="E651">
        <f>Table1482[[#This Row],[CFNM]]/Table1482[[#This Row],[CAREA]]</f>
        <v>0.40426695528846318</v>
      </c>
      <c r="F651">
        <v>2.80444</v>
      </c>
      <c r="G651">
        <f>-(Table2483[[#This Row],[time]]-2)*2</f>
        <v>-1.6088800000000001</v>
      </c>
      <c r="H651">
        <v>101.303</v>
      </c>
      <c r="I651">
        <v>29.466899999999999</v>
      </c>
      <c r="J651">
        <f>Table2483[[#This Row],[CFNM]]/Table2483[[#This Row],[CAREA]]</f>
        <v>0.29087884860270674</v>
      </c>
      <c r="K651">
        <v>2.80444</v>
      </c>
      <c r="L651">
        <f>-(Table3484[[#This Row],[time]]-2)*2</f>
        <v>-1.6088800000000001</v>
      </c>
      <c r="M651">
        <v>83.945099999999996</v>
      </c>
      <c r="N651">
        <v>46.4846</v>
      </c>
      <c r="O651">
        <f>Table3484[[#This Row],[CFNM]]/Table3484[[#This Row],[CAREA]]</f>
        <v>0.55375001042347916</v>
      </c>
      <c r="P651">
        <v>2.80444</v>
      </c>
      <c r="Q651">
        <f>-(Table4485[[#This Row],[time]]-2)*2</f>
        <v>-1.6088800000000001</v>
      </c>
      <c r="R651">
        <v>85.665199999999999</v>
      </c>
      <c r="S651">
        <v>59.597000000000001</v>
      </c>
      <c r="T651">
        <f>Table4485[[#This Row],[CFNM]]/Table4485[[#This Row],[CAREA]]</f>
        <v>0.69569673566395696</v>
      </c>
      <c r="U651">
        <v>2.80444</v>
      </c>
      <c r="V651">
        <f>-(Table5486[[#This Row],[time]]-2)*2</f>
        <v>-1.6088800000000001</v>
      </c>
      <c r="W651">
        <v>39.974600000000002</v>
      </c>
      <c r="X651">
        <v>70.866100000000003</v>
      </c>
      <c r="Y651">
        <f>Table5486[[#This Row],[CFNM]]/Table5486[[#This Row],[CAREA]]</f>
        <v>1.7727782141659953</v>
      </c>
      <c r="Z651">
        <v>2.80444</v>
      </c>
      <c r="AA651">
        <f>-(Table6487[[#This Row],[time]]-2)*2</f>
        <v>-1.6088800000000001</v>
      </c>
      <c r="AB651">
        <v>53.010399999999997</v>
      </c>
      <c r="AC651">
        <v>90.550700000000006</v>
      </c>
      <c r="AD651">
        <f>Table6487[[#This Row],[CFNM]]/Table6487[[#This Row],[CAREA]]</f>
        <v>1.7081685857869402</v>
      </c>
      <c r="AE651">
        <v>2.80444</v>
      </c>
      <c r="AF651">
        <f>-(Table7488[[#This Row],[time]]-2)*2</f>
        <v>-1.6088800000000001</v>
      </c>
      <c r="AG651">
        <v>72.918499999999995</v>
      </c>
      <c r="AH651">
        <v>74.194500000000005</v>
      </c>
      <c r="AI651">
        <f>Table7488[[#This Row],[CFNM]]/Table7488[[#This Row],[CAREA]]</f>
        <v>1.0174989885968584</v>
      </c>
      <c r="AJ651">
        <v>2.80444</v>
      </c>
      <c r="AK651">
        <f>-(Table8489[[#This Row],[time]]-2)*2</f>
        <v>-1.6088800000000001</v>
      </c>
      <c r="AL651">
        <v>75.881699999999995</v>
      </c>
      <c r="AM651">
        <v>74.787199999999999</v>
      </c>
      <c r="AN651">
        <f>Table8489[[#This Row],[CFNM]]/Table8489[[#This Row],[CAREA]]</f>
        <v>0.98557623247765935</v>
      </c>
    </row>
    <row r="652" spans="1:40">
      <c r="A652">
        <v>2.8583699999999999</v>
      </c>
      <c r="B652">
        <f>-(Table1482[[#This Row],[time]]-2)*2</f>
        <v>-1.7167399999999997</v>
      </c>
      <c r="C652">
        <v>84.619299999999996</v>
      </c>
      <c r="D652">
        <v>38.115200000000002</v>
      </c>
      <c r="E652">
        <f>Table1482[[#This Row],[CFNM]]/Table1482[[#This Row],[CAREA]]</f>
        <v>0.45043152094144012</v>
      </c>
      <c r="F652">
        <v>2.8583699999999999</v>
      </c>
      <c r="G652">
        <f>-(Table2483[[#This Row],[time]]-2)*2</f>
        <v>-1.7167399999999997</v>
      </c>
      <c r="H652">
        <v>100.139</v>
      </c>
      <c r="I652">
        <v>31.372599999999998</v>
      </c>
      <c r="J652">
        <f>Table2483[[#This Row],[CFNM]]/Table2483[[#This Row],[CAREA]]</f>
        <v>0.31329052616862563</v>
      </c>
      <c r="K652">
        <v>2.8583699999999999</v>
      </c>
      <c r="L652">
        <f>-(Table3484[[#This Row],[time]]-2)*2</f>
        <v>-1.7167399999999997</v>
      </c>
      <c r="M652">
        <v>82.890600000000006</v>
      </c>
      <c r="N652">
        <v>50.257800000000003</v>
      </c>
      <c r="O652">
        <f>Table3484[[#This Row],[CFNM]]/Table3484[[#This Row],[CAREA]]</f>
        <v>0.60631482942577319</v>
      </c>
      <c r="P652">
        <v>2.8583699999999999</v>
      </c>
      <c r="Q652">
        <f>-(Table4485[[#This Row],[time]]-2)*2</f>
        <v>-1.7167399999999997</v>
      </c>
      <c r="R652">
        <v>85.339299999999994</v>
      </c>
      <c r="S652">
        <v>63.9161</v>
      </c>
      <c r="T652">
        <f>Table4485[[#This Row],[CFNM]]/Table4485[[#This Row],[CAREA]]</f>
        <v>0.74896442787789452</v>
      </c>
      <c r="U652">
        <v>2.8583699999999999</v>
      </c>
      <c r="V652">
        <f>-(Table5486[[#This Row],[time]]-2)*2</f>
        <v>-1.7167399999999997</v>
      </c>
      <c r="W652">
        <v>38.573700000000002</v>
      </c>
      <c r="X652">
        <v>75.171700000000001</v>
      </c>
      <c r="Y652">
        <f>Table5486[[#This Row],[CFNM]]/Table5486[[#This Row],[CAREA]]</f>
        <v>1.9487811643684685</v>
      </c>
      <c r="Z652">
        <v>2.8583699999999999</v>
      </c>
      <c r="AA652">
        <f>-(Table6487[[#This Row],[time]]-2)*2</f>
        <v>-1.7167399999999997</v>
      </c>
      <c r="AB652">
        <v>50.180900000000001</v>
      </c>
      <c r="AC652">
        <v>95.392099999999999</v>
      </c>
      <c r="AD652">
        <f>Table6487[[#This Row],[CFNM]]/Table6487[[#This Row],[CAREA]]</f>
        <v>1.9009643111223593</v>
      </c>
      <c r="AE652">
        <v>2.8583699999999999</v>
      </c>
      <c r="AF652">
        <f>-(Table7488[[#This Row],[time]]-2)*2</f>
        <v>-1.7167399999999997</v>
      </c>
      <c r="AG652">
        <v>72.222200000000001</v>
      </c>
      <c r="AH652">
        <v>78.081400000000002</v>
      </c>
      <c r="AI652">
        <f>Table7488[[#This Row],[CFNM]]/Table7488[[#This Row],[CAREA]]</f>
        <v>1.0811274095776644</v>
      </c>
      <c r="AJ652">
        <v>2.8583699999999999</v>
      </c>
      <c r="AK652">
        <f>-(Table8489[[#This Row],[time]]-2)*2</f>
        <v>-1.7167399999999997</v>
      </c>
      <c r="AL652">
        <v>75.565299999999993</v>
      </c>
      <c r="AM652">
        <v>78.888300000000001</v>
      </c>
      <c r="AN652">
        <f>Table8489[[#This Row],[CFNM]]/Table8489[[#This Row],[CAREA]]</f>
        <v>1.0439752108441309</v>
      </c>
    </row>
    <row r="653" spans="1:40">
      <c r="A653">
        <v>2.9134199999999999</v>
      </c>
      <c r="B653">
        <f>-(Table1482[[#This Row],[time]]-2)*2</f>
        <v>-1.8268399999999998</v>
      </c>
      <c r="C653">
        <v>82.856399999999994</v>
      </c>
      <c r="D653">
        <v>40.691800000000001</v>
      </c>
      <c r="E653">
        <f>Table1482[[#This Row],[CFNM]]/Table1482[[#This Row],[CAREA]]</f>
        <v>0.49111233411058175</v>
      </c>
      <c r="F653">
        <v>2.9134199999999999</v>
      </c>
      <c r="G653">
        <f>-(Table2483[[#This Row],[time]]-2)*2</f>
        <v>-1.8268399999999998</v>
      </c>
      <c r="H653">
        <v>99.842500000000001</v>
      </c>
      <c r="I653">
        <v>33.572600000000001</v>
      </c>
      <c r="J653">
        <f>Table2483[[#This Row],[CFNM]]/Table2483[[#This Row],[CAREA]]</f>
        <v>0.33625560257405412</v>
      </c>
      <c r="K653">
        <v>2.9134199999999999</v>
      </c>
      <c r="L653">
        <f>-(Table3484[[#This Row],[time]]-2)*2</f>
        <v>-1.8268399999999998</v>
      </c>
      <c r="M653">
        <v>82.197400000000002</v>
      </c>
      <c r="N653">
        <v>54.071899999999999</v>
      </c>
      <c r="O653">
        <f>Table3484[[#This Row],[CFNM]]/Table3484[[#This Row],[CAREA]]</f>
        <v>0.65782980970200999</v>
      </c>
      <c r="P653">
        <v>2.9134199999999999</v>
      </c>
      <c r="Q653">
        <f>-(Table4485[[#This Row],[time]]-2)*2</f>
        <v>-1.8268399999999998</v>
      </c>
      <c r="R653">
        <v>84.9495</v>
      </c>
      <c r="S653">
        <v>67.937799999999996</v>
      </c>
      <c r="T653">
        <f>Table4485[[#This Row],[CFNM]]/Table4485[[#This Row],[CAREA]]</f>
        <v>0.79974337694748054</v>
      </c>
      <c r="U653">
        <v>2.9134199999999999</v>
      </c>
      <c r="V653">
        <f>-(Table5486[[#This Row],[time]]-2)*2</f>
        <v>-1.8268399999999998</v>
      </c>
      <c r="W653">
        <v>37.0685</v>
      </c>
      <c r="X653">
        <v>79.701999999999998</v>
      </c>
      <c r="Y653">
        <f>Table5486[[#This Row],[CFNM]]/Table5486[[#This Row],[CAREA]]</f>
        <v>2.150127466717024</v>
      </c>
      <c r="Z653">
        <v>2.9134199999999999</v>
      </c>
      <c r="AA653">
        <f>-(Table6487[[#This Row],[time]]-2)*2</f>
        <v>-1.8268399999999998</v>
      </c>
      <c r="AB653">
        <v>47.759300000000003</v>
      </c>
      <c r="AC653">
        <v>100.117</v>
      </c>
      <c r="AD653">
        <f>Table6487[[#This Row],[CFNM]]/Table6487[[#This Row],[CAREA]]</f>
        <v>2.09628281821551</v>
      </c>
      <c r="AE653">
        <v>2.9134199999999999</v>
      </c>
      <c r="AF653">
        <f>-(Table7488[[#This Row],[time]]-2)*2</f>
        <v>-1.8268399999999998</v>
      </c>
      <c r="AG653">
        <v>71.6554</v>
      </c>
      <c r="AH653">
        <v>81.702200000000005</v>
      </c>
      <c r="AI653">
        <f>Table7488[[#This Row],[CFNM]]/Table7488[[#This Row],[CAREA]]</f>
        <v>1.1402099492850504</v>
      </c>
      <c r="AJ653">
        <v>2.9134199999999999</v>
      </c>
      <c r="AK653">
        <f>-(Table8489[[#This Row],[time]]-2)*2</f>
        <v>-1.8268399999999998</v>
      </c>
      <c r="AL653">
        <v>75.240200000000002</v>
      </c>
      <c r="AM653">
        <v>82.701700000000002</v>
      </c>
      <c r="AN653">
        <f>Table8489[[#This Row],[CFNM]]/Table8489[[#This Row],[CAREA]]</f>
        <v>1.099169061219933</v>
      </c>
    </row>
    <row r="654" spans="1:40">
      <c r="A654">
        <v>2.9619599999999999</v>
      </c>
      <c r="B654">
        <f>-(Table1482[[#This Row],[time]]-2)*2</f>
        <v>-1.9239199999999999</v>
      </c>
      <c r="C654">
        <v>81.377499999999998</v>
      </c>
      <c r="D654">
        <v>44.137999999999998</v>
      </c>
      <c r="E654">
        <f>Table1482[[#This Row],[CFNM]]/Table1482[[#This Row],[CAREA]]</f>
        <v>0.5423857945992443</v>
      </c>
      <c r="F654">
        <v>2.9619599999999999</v>
      </c>
      <c r="G654">
        <f>-(Table2483[[#This Row],[time]]-2)*2</f>
        <v>-1.9239199999999999</v>
      </c>
      <c r="H654">
        <v>99.662499999999994</v>
      </c>
      <c r="I654">
        <v>36.154499999999999</v>
      </c>
      <c r="J654">
        <f>Table2483[[#This Row],[CFNM]]/Table2483[[#This Row],[CAREA]]</f>
        <v>0.36276934654458798</v>
      </c>
      <c r="K654">
        <v>2.9619599999999999</v>
      </c>
      <c r="L654">
        <f>-(Table3484[[#This Row],[time]]-2)*2</f>
        <v>-1.9239199999999999</v>
      </c>
      <c r="M654">
        <v>81.359800000000007</v>
      </c>
      <c r="N654">
        <v>59.183100000000003</v>
      </c>
      <c r="O654">
        <f>Table3484[[#This Row],[CFNM]]/Table3484[[#This Row],[CAREA]]</f>
        <v>0.72742435453381149</v>
      </c>
      <c r="P654">
        <v>2.9619599999999999</v>
      </c>
      <c r="Q654">
        <f>-(Table4485[[#This Row],[time]]-2)*2</f>
        <v>-1.9239199999999999</v>
      </c>
      <c r="R654">
        <v>84.536600000000007</v>
      </c>
      <c r="S654">
        <v>72.641599999999997</v>
      </c>
      <c r="T654">
        <f>Table4485[[#This Row],[CFNM]]/Table4485[[#This Row],[CAREA]]</f>
        <v>0.859291715067793</v>
      </c>
      <c r="U654">
        <v>2.9619599999999999</v>
      </c>
      <c r="V654">
        <f>-(Table5486[[#This Row],[time]]-2)*2</f>
        <v>-1.9239199999999999</v>
      </c>
      <c r="W654">
        <v>35.583100000000002</v>
      </c>
      <c r="X654">
        <v>84.538600000000002</v>
      </c>
      <c r="Y654">
        <f>Table5486[[#This Row],[CFNM]]/Table5486[[#This Row],[CAREA]]</f>
        <v>2.3758076165370641</v>
      </c>
      <c r="Z654">
        <v>2.9619599999999999</v>
      </c>
      <c r="AA654">
        <f>-(Table6487[[#This Row],[time]]-2)*2</f>
        <v>-1.9239199999999999</v>
      </c>
      <c r="AB654">
        <v>45.042400000000001</v>
      </c>
      <c r="AC654">
        <v>106.154</v>
      </c>
      <c r="AD654">
        <f>Table6487[[#This Row],[CFNM]]/Table6487[[#This Row],[CAREA]]</f>
        <v>2.356757188782125</v>
      </c>
      <c r="AE654">
        <v>2.9619599999999999</v>
      </c>
      <c r="AF654">
        <f>-(Table7488[[#This Row],[time]]-2)*2</f>
        <v>-1.9239199999999999</v>
      </c>
      <c r="AG654">
        <v>70.878600000000006</v>
      </c>
      <c r="AH654">
        <v>86.278300000000002</v>
      </c>
      <c r="AI654">
        <f>Table7488[[#This Row],[CFNM]]/Table7488[[#This Row],[CAREA]]</f>
        <v>1.2172686819434921</v>
      </c>
      <c r="AJ654">
        <v>2.9619599999999999</v>
      </c>
      <c r="AK654">
        <f>-(Table8489[[#This Row],[time]]-2)*2</f>
        <v>-1.9239199999999999</v>
      </c>
      <c r="AL654">
        <v>74.741</v>
      </c>
      <c r="AM654">
        <v>87.432299999999998</v>
      </c>
      <c r="AN654">
        <f>Table8489[[#This Row],[CFNM]]/Table8489[[#This Row],[CAREA]]</f>
        <v>1.1698037221872868</v>
      </c>
    </row>
    <row r="655" spans="1:40">
      <c r="A655">
        <v>3</v>
      </c>
      <c r="B655">
        <f>-(Table1482[[#This Row],[time]]-2)*2</f>
        <v>-2</v>
      </c>
      <c r="C655">
        <v>80.456699999999998</v>
      </c>
      <c r="D655">
        <v>46.003900000000002</v>
      </c>
      <c r="E655">
        <f>Table1482[[#This Row],[CFNM]]/Table1482[[#This Row],[CAREA]]</f>
        <v>0.57178457480856171</v>
      </c>
      <c r="F655">
        <v>3</v>
      </c>
      <c r="G655">
        <f>-(Table2483[[#This Row],[time]]-2)*2</f>
        <v>-2</v>
      </c>
      <c r="H655">
        <v>98.879900000000006</v>
      </c>
      <c r="I655">
        <v>37.594000000000001</v>
      </c>
      <c r="J655">
        <f>Table2483[[#This Row],[CFNM]]/Table2483[[#This Row],[CAREA]]</f>
        <v>0.38019860456978616</v>
      </c>
      <c r="K655">
        <v>3</v>
      </c>
      <c r="L655">
        <f>-(Table3484[[#This Row],[time]]-2)*2</f>
        <v>-2</v>
      </c>
      <c r="M655">
        <v>80.945400000000006</v>
      </c>
      <c r="N655">
        <v>61.918399999999998</v>
      </c>
      <c r="O655">
        <f>Table3484[[#This Row],[CFNM]]/Table3484[[#This Row],[CAREA]]</f>
        <v>0.76494031779446381</v>
      </c>
      <c r="P655">
        <v>3</v>
      </c>
      <c r="Q655">
        <f>-(Table4485[[#This Row],[time]]-2)*2</f>
        <v>-2</v>
      </c>
      <c r="R655">
        <v>84.2577</v>
      </c>
      <c r="S655">
        <v>75.382499999999993</v>
      </c>
      <c r="T655">
        <f>Table4485[[#This Row],[CFNM]]/Table4485[[#This Row],[CAREA]]</f>
        <v>0.89466600678632335</v>
      </c>
      <c r="U655">
        <v>3</v>
      </c>
      <c r="V655">
        <f>-(Table5486[[#This Row],[time]]-2)*2</f>
        <v>-2</v>
      </c>
      <c r="W655">
        <v>33.838000000000001</v>
      </c>
      <c r="X655">
        <v>87.419799999999995</v>
      </c>
      <c r="Y655">
        <f>Table5486[[#This Row],[CFNM]]/Table5486[[#This Row],[CAREA]]</f>
        <v>2.5834801111176779</v>
      </c>
      <c r="Z655">
        <v>3</v>
      </c>
      <c r="AA655">
        <f>-(Table6487[[#This Row],[time]]-2)*2</f>
        <v>-2</v>
      </c>
      <c r="AB655">
        <v>43.083300000000001</v>
      </c>
      <c r="AC655">
        <v>110.31100000000001</v>
      </c>
      <c r="AD655">
        <f>Table6487[[#This Row],[CFNM]]/Table6487[[#This Row],[CAREA]]</f>
        <v>2.5604120390035119</v>
      </c>
      <c r="AE655">
        <v>3</v>
      </c>
      <c r="AF655">
        <f>-(Table7488[[#This Row],[time]]-2)*2</f>
        <v>-2</v>
      </c>
      <c r="AG655">
        <v>70.468100000000007</v>
      </c>
      <c r="AH655">
        <v>89.034599999999998</v>
      </c>
      <c r="AI655">
        <f>Table7488[[#This Row],[CFNM]]/Table7488[[#This Row],[CAREA]]</f>
        <v>1.263473827164348</v>
      </c>
      <c r="AJ655">
        <v>3</v>
      </c>
      <c r="AK655">
        <f>-(Table8489[[#This Row],[time]]-2)*2</f>
        <v>-2</v>
      </c>
      <c r="AL655">
        <v>74.473600000000005</v>
      </c>
      <c r="AM655">
        <v>90.308099999999996</v>
      </c>
      <c r="AN655">
        <f>Table8489[[#This Row],[CFNM]]/Table8489[[#This Row],[CAREA]]</f>
        <v>1.2126189683324022</v>
      </c>
    </row>
    <row r="657" spans="1:40">
      <c r="A657" t="s">
        <v>67</v>
      </c>
      <c r="E657" t="s">
        <v>2</v>
      </c>
    </row>
    <row r="658" spans="1:40">
      <c r="A658" t="s">
        <v>68</v>
      </c>
      <c r="E658" t="s">
        <v>4</v>
      </c>
      <c r="F658" t="s">
        <v>5</v>
      </c>
    </row>
    <row r="660" spans="1:40">
      <c r="A660" t="s">
        <v>7</v>
      </c>
      <c r="F660" t="s">
        <v>8</v>
      </c>
      <c r="K660" t="s">
        <v>9</v>
      </c>
      <c r="P660" t="s">
        <v>26</v>
      </c>
      <c r="U660" t="s">
        <v>11</v>
      </c>
      <c r="Z660" t="s">
        <v>12</v>
      </c>
      <c r="AE660" t="s">
        <v>13</v>
      </c>
      <c r="AJ660" t="s">
        <v>14</v>
      </c>
    </row>
    <row r="661" spans="1:40">
      <c r="A661" t="s">
        <v>15</v>
      </c>
      <c r="B661" t="s">
        <v>16</v>
      </c>
      <c r="C661" t="s">
        <v>20</v>
      </c>
      <c r="D661" t="s">
        <v>18</v>
      </c>
      <c r="E661" t="s">
        <v>19</v>
      </c>
      <c r="F661" t="s">
        <v>15</v>
      </c>
      <c r="G661" t="s">
        <v>16</v>
      </c>
      <c r="H661" t="s">
        <v>20</v>
      </c>
      <c r="I661" t="s">
        <v>18</v>
      </c>
      <c r="J661" t="s">
        <v>19</v>
      </c>
      <c r="K661" t="s">
        <v>15</v>
      </c>
      <c r="L661" t="s">
        <v>16</v>
      </c>
      <c r="M661" t="s">
        <v>20</v>
      </c>
      <c r="N661" t="s">
        <v>18</v>
      </c>
      <c r="O661" t="s">
        <v>19</v>
      </c>
      <c r="P661" t="s">
        <v>15</v>
      </c>
      <c r="Q661" t="s">
        <v>16</v>
      </c>
      <c r="R661" t="s">
        <v>20</v>
      </c>
      <c r="S661" t="s">
        <v>18</v>
      </c>
      <c r="T661" t="s">
        <v>19</v>
      </c>
      <c r="U661" t="s">
        <v>15</v>
      </c>
      <c r="V661" t="s">
        <v>16</v>
      </c>
      <c r="W661" t="s">
        <v>20</v>
      </c>
      <c r="X661" t="s">
        <v>18</v>
      </c>
      <c r="Y661" t="s">
        <v>19</v>
      </c>
      <c r="Z661" t="s">
        <v>15</v>
      </c>
      <c r="AA661" t="s">
        <v>16</v>
      </c>
      <c r="AB661" t="s">
        <v>20</v>
      </c>
      <c r="AC661" t="s">
        <v>18</v>
      </c>
      <c r="AD661" t="s">
        <v>19</v>
      </c>
      <c r="AE661" t="s">
        <v>15</v>
      </c>
      <c r="AF661" t="s">
        <v>16</v>
      </c>
      <c r="AG661" t="s">
        <v>20</v>
      </c>
      <c r="AH661" t="s">
        <v>18</v>
      </c>
      <c r="AI661" t="s">
        <v>19</v>
      </c>
      <c r="AJ661" t="s">
        <v>15</v>
      </c>
      <c r="AK661" t="s">
        <v>16</v>
      </c>
      <c r="AL661" t="s">
        <v>20</v>
      </c>
      <c r="AM661" t="s">
        <v>18</v>
      </c>
      <c r="AN661" t="s">
        <v>19</v>
      </c>
    </row>
    <row r="662" spans="1:40">
      <c r="A662">
        <v>2</v>
      </c>
      <c r="B662">
        <f>(Table110490[[#This Row],[time]]-2)*2</f>
        <v>0</v>
      </c>
      <c r="C662">
        <v>80.561000000000007</v>
      </c>
      <c r="D662">
        <v>3.9823499999999998</v>
      </c>
      <c r="E662" s="2">
        <f>Table110490[[#This Row],[CFNM]]/Table110490[[#This Row],[CAREA]]</f>
        <v>4.9432727994935512E-2</v>
      </c>
      <c r="F662">
        <v>2</v>
      </c>
      <c r="G662">
        <f>(Table211491[[#This Row],[time]]-2)*2</f>
        <v>0</v>
      </c>
      <c r="H662">
        <v>87.831800000000001</v>
      </c>
      <c r="I662">
        <v>3.84921E-3</v>
      </c>
      <c r="J662" s="2">
        <f>Table211491[[#This Row],[CFNM]]/Table211491[[#This Row],[CAREA]]</f>
        <v>4.382478783310828E-5</v>
      </c>
      <c r="K662">
        <v>2</v>
      </c>
      <c r="L662">
        <f>(Table312492[[#This Row],[time]]-2)*2</f>
        <v>0</v>
      </c>
      <c r="M662">
        <v>85.166700000000006</v>
      </c>
      <c r="N662">
        <v>3.7005300000000001E-3</v>
      </c>
      <c r="O662">
        <f>Table312492[[#This Row],[CFNM]]/Table312492[[#This Row],[CAREA]]</f>
        <v>4.3450433091807004E-5</v>
      </c>
      <c r="P662">
        <v>2</v>
      </c>
      <c r="Q662">
        <f>(Table413493[[#This Row],[time]]-2)*2</f>
        <v>0</v>
      </c>
      <c r="R662">
        <v>79.101699999999994</v>
      </c>
      <c r="S662">
        <v>4.5258399999999997E-3</v>
      </c>
      <c r="T662">
        <f>Table413493[[#This Row],[CFNM]]/Table413493[[#This Row],[CAREA]]</f>
        <v>5.7215458074858061E-5</v>
      </c>
      <c r="U662">
        <v>2</v>
      </c>
      <c r="V662">
        <f>(Table514494[[#This Row],[time]]-2)*2</f>
        <v>0</v>
      </c>
      <c r="W662">
        <v>83.227800000000002</v>
      </c>
      <c r="X662">
        <v>3.5063800000000001</v>
      </c>
      <c r="Y662">
        <f>Table514494[[#This Row],[CFNM]]/Table514494[[#This Row],[CAREA]]</f>
        <v>4.2129913322231274E-2</v>
      </c>
      <c r="Z662">
        <v>2</v>
      </c>
      <c r="AA662">
        <f>(Table615495[[#This Row],[time]]-2)*2</f>
        <v>0</v>
      </c>
      <c r="AB662">
        <v>83.949600000000004</v>
      </c>
      <c r="AC662">
        <v>6.2742100000000001</v>
      </c>
      <c r="AD662">
        <f>Table615495[[#This Row],[CFNM]]/Table615495[[#This Row],[CAREA]]</f>
        <v>7.4737818881805265E-2</v>
      </c>
      <c r="AE662">
        <v>2</v>
      </c>
      <c r="AF662">
        <f>(Table716496[[#This Row],[time]]-2)*2</f>
        <v>0</v>
      </c>
      <c r="AG662">
        <v>78.459999999999994</v>
      </c>
      <c r="AH662">
        <v>14.707599999999999</v>
      </c>
      <c r="AI662">
        <f>Table716496[[#This Row],[CFNM]]/Table716496[[#This Row],[CAREA]]</f>
        <v>0.1874534794799898</v>
      </c>
      <c r="AJ662">
        <v>2</v>
      </c>
      <c r="AK662">
        <f>(Table817497[[#This Row],[time]]-2)*2</f>
        <v>0</v>
      </c>
      <c r="AL662">
        <v>83.006</v>
      </c>
      <c r="AM662">
        <v>14.6488</v>
      </c>
      <c r="AN662">
        <f>Table817497[[#This Row],[CFNM]]/Table817497[[#This Row],[CAREA]]</f>
        <v>0.17647880876081246</v>
      </c>
    </row>
    <row r="663" spans="1:40">
      <c r="A663">
        <v>2.0512600000000001</v>
      </c>
      <c r="B663">
        <f>(Table110490[[#This Row],[time]]-2)*2</f>
        <v>0.10252000000000017</v>
      </c>
      <c r="C663">
        <v>89.714799999999997</v>
      </c>
      <c r="D663">
        <v>8.7960100000000008</v>
      </c>
      <c r="E663">
        <f>Table110490[[#This Row],[CFNM]]/Table110490[[#This Row],[CAREA]]</f>
        <v>9.8044135415784259E-2</v>
      </c>
      <c r="F663">
        <v>2.0512600000000001</v>
      </c>
      <c r="G663">
        <f>(Table211491[[#This Row],[time]]-2)*2</f>
        <v>0.10252000000000017</v>
      </c>
      <c r="H663">
        <v>95.691699999999997</v>
      </c>
      <c r="I663">
        <v>2.4576099999999999</v>
      </c>
      <c r="J663">
        <f>Table211491[[#This Row],[CFNM]]/Table211491[[#This Row],[CAREA]]</f>
        <v>2.5682582710935223E-2</v>
      </c>
      <c r="K663">
        <v>2.0512600000000001</v>
      </c>
      <c r="L663">
        <f>(Table312492[[#This Row],[time]]-2)*2</f>
        <v>0.10252000000000017</v>
      </c>
      <c r="M663">
        <v>87.855000000000004</v>
      </c>
      <c r="N663">
        <v>1.5753600000000001</v>
      </c>
      <c r="O663">
        <f>Table312492[[#This Row],[CFNM]]/Table312492[[#This Row],[CAREA]]</f>
        <v>1.7931364179614138E-2</v>
      </c>
      <c r="P663">
        <v>2.0512600000000001</v>
      </c>
      <c r="Q663">
        <f>(Table413493[[#This Row],[time]]-2)*2</f>
        <v>0.10252000000000017</v>
      </c>
      <c r="R663">
        <v>85.348600000000005</v>
      </c>
      <c r="S663">
        <v>3.7911800000000002</v>
      </c>
      <c r="T663">
        <f>Table413493[[#This Row],[CFNM]]/Table413493[[#This Row],[CAREA]]</f>
        <v>4.4419943619461832E-2</v>
      </c>
      <c r="U663">
        <v>2.0512600000000001</v>
      </c>
      <c r="V663">
        <f>(Table514494[[#This Row],[time]]-2)*2</f>
        <v>0.10252000000000017</v>
      </c>
      <c r="W663">
        <v>82.387</v>
      </c>
      <c r="X663">
        <v>2.6195499999999998</v>
      </c>
      <c r="Y663">
        <f>Table514494[[#This Row],[CFNM]]/Table514494[[#This Row],[CAREA]]</f>
        <v>3.1795671647225895E-2</v>
      </c>
      <c r="Z663">
        <v>2.0512600000000001</v>
      </c>
      <c r="AA663">
        <f>(Table615495[[#This Row],[time]]-2)*2</f>
        <v>0.10252000000000017</v>
      </c>
      <c r="AB663">
        <v>88.409300000000002</v>
      </c>
      <c r="AC663">
        <v>7.7527999999999997</v>
      </c>
      <c r="AD663">
        <f>Table615495[[#This Row],[CFNM]]/Table615495[[#This Row],[CAREA]]</f>
        <v>8.7692131936346063E-2</v>
      </c>
      <c r="AE663">
        <v>2.0512600000000001</v>
      </c>
      <c r="AF663">
        <f>(Table716496[[#This Row],[time]]-2)*2</f>
        <v>0.10252000000000017</v>
      </c>
      <c r="AG663">
        <v>78.622600000000006</v>
      </c>
      <c r="AH663">
        <v>18.8919</v>
      </c>
      <c r="AI663">
        <f>Table716496[[#This Row],[CFNM]]/Table716496[[#This Row],[CAREA]]</f>
        <v>0.24028587200118029</v>
      </c>
      <c r="AJ663">
        <v>2.0512600000000001</v>
      </c>
      <c r="AK663">
        <f>(Table817497[[#This Row],[time]]-2)*2</f>
        <v>0.10252000000000017</v>
      </c>
      <c r="AL663">
        <v>83.359899999999996</v>
      </c>
      <c r="AM663">
        <v>18.1755</v>
      </c>
      <c r="AN663">
        <f>Table817497[[#This Row],[CFNM]]/Table817497[[#This Row],[CAREA]]</f>
        <v>0.21803648996699854</v>
      </c>
    </row>
    <row r="664" spans="1:40">
      <c r="A664">
        <v>2.1153300000000002</v>
      </c>
      <c r="B664">
        <f>(Table110490[[#This Row],[time]]-2)*2</f>
        <v>0.23066000000000031</v>
      </c>
      <c r="C664">
        <v>88.610299999999995</v>
      </c>
      <c r="D664">
        <v>8.0322999999999993</v>
      </c>
      <c r="E664">
        <f>Table110490[[#This Row],[CFNM]]/Table110490[[#This Row],[CAREA]]</f>
        <v>9.0647475519211651E-2</v>
      </c>
      <c r="F664">
        <v>2.1153300000000002</v>
      </c>
      <c r="G664">
        <f>(Table211491[[#This Row],[time]]-2)*2</f>
        <v>0.23066000000000031</v>
      </c>
      <c r="H664">
        <v>95.044600000000003</v>
      </c>
      <c r="I664">
        <v>1.4552799999999999</v>
      </c>
      <c r="J664">
        <f>Table211491[[#This Row],[CFNM]]/Table211491[[#This Row],[CAREA]]</f>
        <v>1.5311548473032659E-2</v>
      </c>
      <c r="K664">
        <v>2.1153300000000002</v>
      </c>
      <c r="L664">
        <f>(Table312492[[#This Row],[time]]-2)*2</f>
        <v>0.23066000000000031</v>
      </c>
      <c r="M664">
        <v>85.990700000000004</v>
      </c>
      <c r="N664">
        <v>0.15828600000000001</v>
      </c>
      <c r="O664">
        <f>Table312492[[#This Row],[CFNM]]/Table312492[[#This Row],[CAREA]]</f>
        <v>1.8407339398330285E-3</v>
      </c>
      <c r="P664">
        <v>2.1153300000000002</v>
      </c>
      <c r="Q664">
        <f>(Table413493[[#This Row],[time]]-2)*2</f>
        <v>0.23066000000000031</v>
      </c>
      <c r="R664">
        <v>83.669200000000004</v>
      </c>
      <c r="S664">
        <v>2.0204499999999999</v>
      </c>
      <c r="T664">
        <f>Table413493[[#This Row],[CFNM]]/Table413493[[#This Row],[CAREA]]</f>
        <v>2.4148073604145847E-2</v>
      </c>
      <c r="U664">
        <v>2.1153300000000002</v>
      </c>
      <c r="V664">
        <f>(Table514494[[#This Row],[time]]-2)*2</f>
        <v>0.23066000000000031</v>
      </c>
      <c r="W664">
        <v>80.822500000000005</v>
      </c>
      <c r="X664">
        <v>0.798566</v>
      </c>
      <c r="Y664">
        <f>Table514494[[#This Row],[CFNM]]/Table514494[[#This Row],[CAREA]]</f>
        <v>9.8804911998515259E-3</v>
      </c>
      <c r="Z664">
        <v>2.1153300000000002</v>
      </c>
      <c r="AA664">
        <f>(Table615495[[#This Row],[time]]-2)*2</f>
        <v>0.23066000000000031</v>
      </c>
      <c r="AB664">
        <v>87.745999999999995</v>
      </c>
      <c r="AC664">
        <v>4.0018599999999998</v>
      </c>
      <c r="AD664">
        <f>Table615495[[#This Row],[CFNM]]/Table615495[[#This Row],[CAREA]]</f>
        <v>4.5607321131447588E-2</v>
      </c>
      <c r="AE664">
        <v>2.1153300000000002</v>
      </c>
      <c r="AF664">
        <f>(Table716496[[#This Row],[time]]-2)*2</f>
        <v>0.23066000000000031</v>
      </c>
      <c r="AG664">
        <v>78.344800000000006</v>
      </c>
      <c r="AH664">
        <v>18.430199999999999</v>
      </c>
      <c r="AI664">
        <f>Table716496[[#This Row],[CFNM]]/Table716496[[#This Row],[CAREA]]</f>
        <v>0.23524471311433556</v>
      </c>
      <c r="AJ664">
        <v>2.1153300000000002</v>
      </c>
      <c r="AK664">
        <f>(Table817497[[#This Row],[time]]-2)*2</f>
        <v>0.23066000000000031</v>
      </c>
      <c r="AL664">
        <v>83.611800000000002</v>
      </c>
      <c r="AM664">
        <v>17.4115</v>
      </c>
      <c r="AN664">
        <f>Table817497[[#This Row],[CFNM]]/Table817497[[#This Row],[CAREA]]</f>
        <v>0.20824213807142053</v>
      </c>
    </row>
    <row r="665" spans="1:40">
      <c r="A665">
        <v>2.16533</v>
      </c>
      <c r="B665">
        <f>(Table110490[[#This Row],[time]]-2)*2</f>
        <v>0.33065999999999995</v>
      </c>
      <c r="C665">
        <v>88.148899999999998</v>
      </c>
      <c r="D665">
        <v>7.7997500000000004</v>
      </c>
      <c r="E665">
        <f>Table110490[[#This Row],[CFNM]]/Table110490[[#This Row],[CAREA]]</f>
        <v>8.8483804108729663E-2</v>
      </c>
      <c r="F665">
        <v>2.16533</v>
      </c>
      <c r="G665">
        <f>(Table211491[[#This Row],[time]]-2)*2</f>
        <v>0.33065999999999995</v>
      </c>
      <c r="H665">
        <v>94.421899999999994</v>
      </c>
      <c r="I665">
        <v>1.0825400000000001</v>
      </c>
      <c r="J665">
        <f>Table211491[[#This Row],[CFNM]]/Table211491[[#This Row],[CAREA]]</f>
        <v>1.1464924980327659E-2</v>
      </c>
      <c r="K665">
        <v>2.16533</v>
      </c>
      <c r="L665">
        <f>(Table312492[[#This Row],[time]]-2)*2</f>
        <v>0.33065999999999995</v>
      </c>
      <c r="M665">
        <v>85.396799999999999</v>
      </c>
      <c r="N665">
        <v>5.3080100000000002E-3</v>
      </c>
      <c r="O665">
        <f>Table312492[[#This Row],[CFNM]]/Table312492[[#This Row],[CAREA]]</f>
        <v>6.2157012909148829E-5</v>
      </c>
      <c r="P665">
        <v>2.16533</v>
      </c>
      <c r="Q665">
        <f>(Table413493[[#This Row],[time]]-2)*2</f>
        <v>0.33065999999999995</v>
      </c>
      <c r="R665">
        <v>82.974900000000005</v>
      </c>
      <c r="S665">
        <v>1.48584</v>
      </c>
      <c r="T665">
        <f>Table413493[[#This Row],[CFNM]]/Table413493[[#This Row],[CAREA]]</f>
        <v>1.7907102027239562E-2</v>
      </c>
      <c r="U665">
        <v>2.16533</v>
      </c>
      <c r="V665">
        <f>(Table514494[[#This Row],[time]]-2)*2</f>
        <v>0.33065999999999995</v>
      </c>
      <c r="W665">
        <v>80.510199999999998</v>
      </c>
      <c r="X665">
        <v>0.56572299999999998</v>
      </c>
      <c r="Y665">
        <f>Table514494[[#This Row],[CFNM]]/Table514494[[#This Row],[CAREA]]</f>
        <v>7.0267245640925E-3</v>
      </c>
      <c r="Z665">
        <v>2.16533</v>
      </c>
      <c r="AA665">
        <f>(Table615495[[#This Row],[time]]-2)*2</f>
        <v>0.33065999999999995</v>
      </c>
      <c r="AB665">
        <v>86.734899999999996</v>
      </c>
      <c r="AC665">
        <v>2.74499</v>
      </c>
      <c r="AD665">
        <f>Table615495[[#This Row],[CFNM]]/Table615495[[#This Row],[CAREA]]</f>
        <v>3.1648044789352382E-2</v>
      </c>
      <c r="AE665">
        <v>2.16533</v>
      </c>
      <c r="AF665">
        <f>(Table716496[[#This Row],[time]]-2)*2</f>
        <v>0.33065999999999995</v>
      </c>
      <c r="AG665">
        <v>78.152199999999993</v>
      </c>
      <c r="AH665">
        <v>18.171199999999999</v>
      </c>
      <c r="AI665">
        <f>Table716496[[#This Row],[CFNM]]/Table716496[[#This Row],[CAREA]]</f>
        <v>0.23251040917594132</v>
      </c>
      <c r="AJ665">
        <v>2.16533</v>
      </c>
      <c r="AK665">
        <f>(Table817497[[#This Row],[time]]-2)*2</f>
        <v>0.33065999999999995</v>
      </c>
      <c r="AL665">
        <v>83.770300000000006</v>
      </c>
      <c r="AM665">
        <v>16.835999999999999</v>
      </c>
      <c r="AN665">
        <f>Table817497[[#This Row],[CFNM]]/Table817497[[#This Row],[CAREA]]</f>
        <v>0.20097815096758634</v>
      </c>
    </row>
    <row r="666" spans="1:40">
      <c r="A666">
        <v>2.2246999999999999</v>
      </c>
      <c r="B666">
        <f>(Table110490[[#This Row],[time]]-2)*2</f>
        <v>0.4493999999999998</v>
      </c>
      <c r="C666">
        <v>87.728999999999999</v>
      </c>
      <c r="D666">
        <v>7.7427599999999996</v>
      </c>
      <c r="E666">
        <f>Table110490[[#This Row],[CFNM]]/Table110490[[#This Row],[CAREA]]</f>
        <v>8.8257702698081586E-2</v>
      </c>
      <c r="F666">
        <v>2.2246999999999999</v>
      </c>
      <c r="G666">
        <f>(Table211491[[#This Row],[time]]-2)*2</f>
        <v>0.4493999999999998</v>
      </c>
      <c r="H666">
        <v>94.014399999999995</v>
      </c>
      <c r="I666">
        <v>0.96916500000000005</v>
      </c>
      <c r="J666">
        <f>Table211491[[#This Row],[CFNM]]/Table211491[[#This Row],[CAREA]]</f>
        <v>1.0308686754369545E-2</v>
      </c>
      <c r="K666">
        <v>2.2246999999999999</v>
      </c>
      <c r="L666">
        <f>(Table312492[[#This Row],[time]]-2)*2</f>
        <v>0.4493999999999998</v>
      </c>
      <c r="M666">
        <v>84.943100000000001</v>
      </c>
      <c r="N666">
        <v>4.8731299999999998E-3</v>
      </c>
      <c r="O666">
        <f>Table312492[[#This Row],[CFNM]]/Table312492[[#This Row],[CAREA]]</f>
        <v>5.7369344890874004E-5</v>
      </c>
      <c r="P666">
        <v>2.2246999999999999</v>
      </c>
      <c r="Q666">
        <f>(Table413493[[#This Row],[time]]-2)*2</f>
        <v>0.4493999999999998</v>
      </c>
      <c r="R666">
        <v>82.430400000000006</v>
      </c>
      <c r="S666">
        <v>1.22699</v>
      </c>
      <c r="T666">
        <f>Table413493[[#This Row],[CFNM]]/Table413493[[#This Row],[CAREA]]</f>
        <v>1.4885163726003998E-2</v>
      </c>
      <c r="U666">
        <v>2.2246999999999999</v>
      </c>
      <c r="V666">
        <f>(Table514494[[#This Row],[time]]-2)*2</f>
        <v>0.4493999999999998</v>
      </c>
      <c r="W666">
        <v>79.752300000000005</v>
      </c>
      <c r="X666">
        <v>0.41694199999999998</v>
      </c>
      <c r="Y666">
        <f>Table514494[[#This Row],[CFNM]]/Table514494[[#This Row],[CAREA]]</f>
        <v>5.2279620775827146E-3</v>
      </c>
      <c r="Z666">
        <v>2.2246999999999999</v>
      </c>
      <c r="AA666">
        <f>(Table615495[[#This Row],[time]]-2)*2</f>
        <v>0.4493999999999998</v>
      </c>
      <c r="AB666">
        <v>85.127399999999994</v>
      </c>
      <c r="AC666">
        <v>1.8456999999999999</v>
      </c>
      <c r="AD666">
        <f>Table615495[[#This Row],[CFNM]]/Table615495[[#This Row],[CAREA]]</f>
        <v>2.1681620723762268E-2</v>
      </c>
      <c r="AE666">
        <v>2.2246999999999999</v>
      </c>
      <c r="AF666">
        <f>(Table716496[[#This Row],[time]]-2)*2</f>
        <v>0.4493999999999998</v>
      </c>
      <c r="AG666">
        <v>78.0154</v>
      </c>
      <c r="AH666">
        <v>17.849</v>
      </c>
      <c r="AI666">
        <f>Table716496[[#This Row],[CFNM]]/Table716496[[#This Row],[CAREA]]</f>
        <v>0.22878816233717958</v>
      </c>
      <c r="AJ666">
        <v>2.2246999999999999</v>
      </c>
      <c r="AK666">
        <f>(Table817497[[#This Row],[time]]-2)*2</f>
        <v>0.4493999999999998</v>
      </c>
      <c r="AL666">
        <v>83.951999999999998</v>
      </c>
      <c r="AM666">
        <v>16.248100000000001</v>
      </c>
      <c r="AN666">
        <f>Table817497[[#This Row],[CFNM]]/Table817497[[#This Row],[CAREA]]</f>
        <v>0.19354035639413</v>
      </c>
    </row>
    <row r="667" spans="1:40">
      <c r="A667">
        <v>2.2668900000000001</v>
      </c>
      <c r="B667">
        <f>(Table110490[[#This Row],[time]]-2)*2</f>
        <v>0.53378000000000014</v>
      </c>
      <c r="C667">
        <v>86.936700000000002</v>
      </c>
      <c r="D667">
        <v>7.5589500000000003</v>
      </c>
      <c r="E667">
        <f>Table110490[[#This Row],[CFNM]]/Table110490[[#This Row],[CAREA]]</f>
        <v>8.6947744738413116E-2</v>
      </c>
      <c r="F667">
        <v>2.2668900000000001</v>
      </c>
      <c r="G667">
        <f>(Table211491[[#This Row],[time]]-2)*2</f>
        <v>0.53378000000000014</v>
      </c>
      <c r="H667">
        <v>93.422399999999996</v>
      </c>
      <c r="I667">
        <v>0.77488599999999996</v>
      </c>
      <c r="J667">
        <f>Table211491[[#This Row],[CFNM]]/Table211491[[#This Row],[CAREA]]</f>
        <v>8.2944347394200962E-3</v>
      </c>
      <c r="K667">
        <v>2.2668900000000001</v>
      </c>
      <c r="L667">
        <f>(Table312492[[#This Row],[time]]-2)*2</f>
        <v>0.53378000000000014</v>
      </c>
      <c r="M667">
        <v>84.443399999999997</v>
      </c>
      <c r="N667">
        <v>4.7634399999999999E-3</v>
      </c>
      <c r="O667">
        <f>Table312492[[#This Row],[CFNM]]/Table312492[[#This Row],[CAREA]]</f>
        <v>5.6409855595582367E-5</v>
      </c>
      <c r="P667">
        <v>2.2668900000000001</v>
      </c>
      <c r="Q667">
        <f>(Table413493[[#This Row],[time]]-2)*2</f>
        <v>0.53378000000000014</v>
      </c>
      <c r="R667">
        <v>81.837800000000001</v>
      </c>
      <c r="S667">
        <v>1.00505</v>
      </c>
      <c r="T667">
        <f>Table413493[[#This Row],[CFNM]]/Table413493[[#This Row],[CAREA]]</f>
        <v>1.2280999733619428E-2</v>
      </c>
      <c r="U667">
        <v>2.2668900000000001</v>
      </c>
      <c r="V667">
        <f>(Table514494[[#This Row],[time]]-2)*2</f>
        <v>0.53378000000000014</v>
      </c>
      <c r="W667">
        <v>79.251300000000001</v>
      </c>
      <c r="X667">
        <v>0.282551</v>
      </c>
      <c r="Y667">
        <f>Table514494[[#This Row],[CFNM]]/Table514494[[#This Row],[CAREA]]</f>
        <v>3.5652538191802531E-3</v>
      </c>
      <c r="Z667">
        <v>2.2668900000000001</v>
      </c>
      <c r="AA667">
        <f>(Table615495[[#This Row],[time]]-2)*2</f>
        <v>0.53378000000000014</v>
      </c>
      <c r="AB667">
        <v>83.164400000000001</v>
      </c>
      <c r="AC667">
        <v>1.1634500000000001</v>
      </c>
      <c r="AD667">
        <f>Table615495[[#This Row],[CFNM]]/Table615495[[#This Row],[CAREA]]</f>
        <v>1.3989760041556243E-2</v>
      </c>
      <c r="AE667">
        <v>2.2668900000000001</v>
      </c>
      <c r="AF667">
        <f>(Table716496[[#This Row],[time]]-2)*2</f>
        <v>0.53378000000000014</v>
      </c>
      <c r="AG667">
        <v>77.741900000000001</v>
      </c>
      <c r="AH667">
        <v>17.4497</v>
      </c>
      <c r="AI667">
        <f>Table716496[[#This Row],[CFNM]]/Table716496[[#This Row],[CAREA]]</f>
        <v>0.22445682444087423</v>
      </c>
      <c r="AJ667">
        <v>2.2668900000000001</v>
      </c>
      <c r="AK667">
        <f>(Table817497[[#This Row],[time]]-2)*2</f>
        <v>0.53378000000000014</v>
      </c>
      <c r="AL667">
        <v>84.215699999999998</v>
      </c>
      <c r="AM667">
        <v>15.5777</v>
      </c>
      <c r="AN667">
        <f>Table817497[[#This Row],[CFNM]]/Table817497[[#This Row],[CAREA]]</f>
        <v>0.18497382317073896</v>
      </c>
    </row>
    <row r="668" spans="1:40">
      <c r="A668">
        <v>2.3262700000000001</v>
      </c>
      <c r="B668">
        <f>(Table110490[[#This Row],[time]]-2)*2</f>
        <v>0.65254000000000012</v>
      </c>
      <c r="C668">
        <v>86.326700000000002</v>
      </c>
      <c r="D668">
        <v>7.4204499999999998</v>
      </c>
      <c r="E668">
        <f>Table110490[[#This Row],[CFNM]]/Table110490[[#This Row],[CAREA]]</f>
        <v>8.5957762777912269E-2</v>
      </c>
      <c r="F668">
        <v>2.3262700000000001</v>
      </c>
      <c r="G668">
        <f>(Table211491[[#This Row],[time]]-2)*2</f>
        <v>0.65254000000000012</v>
      </c>
      <c r="H668">
        <v>93.045100000000005</v>
      </c>
      <c r="I668">
        <v>0.63964900000000002</v>
      </c>
      <c r="J668">
        <f>Table211491[[#This Row],[CFNM]]/Table211491[[#This Row],[CAREA]]</f>
        <v>6.8746124191386756E-3</v>
      </c>
      <c r="K668">
        <v>2.3262700000000001</v>
      </c>
      <c r="L668">
        <f>(Table312492[[#This Row],[time]]-2)*2</f>
        <v>0.65254000000000012</v>
      </c>
      <c r="M668">
        <v>84.029399999999995</v>
      </c>
      <c r="N668">
        <v>4.6654299999999999E-3</v>
      </c>
      <c r="O668">
        <f>Table312492[[#This Row],[CFNM]]/Table312492[[#This Row],[CAREA]]</f>
        <v>5.5521400843038272E-5</v>
      </c>
      <c r="P668">
        <v>2.3262700000000001</v>
      </c>
      <c r="Q668">
        <f>(Table413493[[#This Row],[time]]-2)*2</f>
        <v>0.65254000000000012</v>
      </c>
      <c r="R668">
        <v>81.528099999999995</v>
      </c>
      <c r="S668">
        <v>0.84865999999999997</v>
      </c>
      <c r="T668">
        <f>Table413493[[#This Row],[CFNM]]/Table413493[[#This Row],[CAREA]]</f>
        <v>1.0409417121213422E-2</v>
      </c>
      <c r="U668">
        <v>2.3262700000000001</v>
      </c>
      <c r="V668">
        <f>(Table514494[[#This Row],[time]]-2)*2</f>
        <v>0.65254000000000012</v>
      </c>
      <c r="W668">
        <v>78.897499999999994</v>
      </c>
      <c r="X668">
        <v>0.19144700000000001</v>
      </c>
      <c r="Y668">
        <f>Table514494[[#This Row],[CFNM]]/Table514494[[#This Row],[CAREA]]</f>
        <v>2.4265280902436709E-3</v>
      </c>
      <c r="Z668">
        <v>2.3262700000000001</v>
      </c>
      <c r="AA668">
        <f>(Table615495[[#This Row],[time]]-2)*2</f>
        <v>0.65254000000000012</v>
      </c>
      <c r="AB668">
        <v>82.127700000000004</v>
      </c>
      <c r="AC668">
        <v>0.73896799999999996</v>
      </c>
      <c r="AD668">
        <f>Table615495[[#This Row],[CFNM]]/Table615495[[#This Row],[CAREA]]</f>
        <v>8.9977924622265081E-3</v>
      </c>
      <c r="AE668">
        <v>2.3262700000000001</v>
      </c>
      <c r="AF668">
        <f>(Table716496[[#This Row],[time]]-2)*2</f>
        <v>0.65254000000000012</v>
      </c>
      <c r="AG668">
        <v>77.672799999999995</v>
      </c>
      <c r="AH668">
        <v>17.133400000000002</v>
      </c>
      <c r="AI668">
        <f>Table716496[[#This Row],[CFNM]]/Table716496[[#This Row],[CAREA]]</f>
        <v>0.22058429720571426</v>
      </c>
      <c r="AJ668">
        <v>2.3262700000000001</v>
      </c>
      <c r="AK668">
        <f>(Table817497[[#This Row],[time]]-2)*2</f>
        <v>0.65254000000000012</v>
      </c>
      <c r="AL668">
        <v>84.1755</v>
      </c>
      <c r="AM668">
        <v>15.081</v>
      </c>
      <c r="AN668">
        <f>Table817497[[#This Row],[CFNM]]/Table817497[[#This Row],[CAREA]]</f>
        <v>0.17916139494270897</v>
      </c>
    </row>
    <row r="669" spans="1:40">
      <c r="A669">
        <v>2.3684599999999998</v>
      </c>
      <c r="B669">
        <f>(Table110490[[#This Row],[time]]-2)*2</f>
        <v>0.73691999999999958</v>
      </c>
      <c r="C669">
        <v>85.674199999999999</v>
      </c>
      <c r="D669">
        <v>7.2699199999999999</v>
      </c>
      <c r="E669">
        <f>Table110490[[#This Row],[CFNM]]/Table110490[[#This Row],[CAREA]]</f>
        <v>8.4855417383529697E-2</v>
      </c>
      <c r="F669">
        <v>2.3684599999999998</v>
      </c>
      <c r="G669">
        <f>(Table211491[[#This Row],[time]]-2)*2</f>
        <v>0.73691999999999958</v>
      </c>
      <c r="H669">
        <v>92.569000000000003</v>
      </c>
      <c r="I669">
        <v>0.542381</v>
      </c>
      <c r="J669">
        <f>Table211491[[#This Row],[CFNM]]/Table211491[[#This Row],[CAREA]]</f>
        <v>5.8592077261286173E-3</v>
      </c>
      <c r="K669">
        <v>2.3684599999999998</v>
      </c>
      <c r="L669">
        <f>(Table312492[[#This Row],[time]]-2)*2</f>
        <v>0.73691999999999958</v>
      </c>
      <c r="M669">
        <v>83.431700000000006</v>
      </c>
      <c r="N669">
        <v>4.5232500000000004E-3</v>
      </c>
      <c r="O669">
        <f>Table312492[[#This Row],[CFNM]]/Table312492[[#This Row],[CAREA]]</f>
        <v>5.4215004608560056E-5</v>
      </c>
      <c r="P669">
        <v>2.3684599999999998</v>
      </c>
      <c r="Q669">
        <f>(Table413493[[#This Row],[time]]-2)*2</f>
        <v>0.73691999999999958</v>
      </c>
      <c r="R669">
        <v>81.059299999999993</v>
      </c>
      <c r="S669">
        <v>0.59661399999999998</v>
      </c>
      <c r="T669">
        <f>Table413493[[#This Row],[CFNM]]/Table413493[[#This Row],[CAREA]]</f>
        <v>7.3602165328346039E-3</v>
      </c>
      <c r="U669">
        <v>2.3684599999999998</v>
      </c>
      <c r="V669">
        <f>(Table514494[[#This Row],[time]]-2)*2</f>
        <v>0.73691999999999958</v>
      </c>
      <c r="W669">
        <v>78.296300000000002</v>
      </c>
      <c r="X669">
        <v>7.10866E-2</v>
      </c>
      <c r="Y669">
        <f>Table514494[[#This Row],[CFNM]]/Table514494[[#This Row],[CAREA]]</f>
        <v>9.0791774323946341E-4</v>
      </c>
      <c r="Z669">
        <v>2.3684599999999998</v>
      </c>
      <c r="AA669">
        <f>(Table615495[[#This Row],[time]]-2)*2</f>
        <v>0.73691999999999958</v>
      </c>
      <c r="AB669">
        <v>81.152600000000007</v>
      </c>
      <c r="AC669">
        <v>0.37626700000000002</v>
      </c>
      <c r="AD669">
        <f>Table615495[[#This Row],[CFNM]]/Table615495[[#This Row],[CAREA]]</f>
        <v>4.6365365989506184E-3</v>
      </c>
      <c r="AE669">
        <v>2.3684599999999998</v>
      </c>
      <c r="AF669">
        <f>(Table716496[[#This Row],[time]]-2)*2</f>
        <v>0.73691999999999958</v>
      </c>
      <c r="AG669">
        <v>77.756799999999998</v>
      </c>
      <c r="AH669">
        <v>16.680099999999999</v>
      </c>
      <c r="AI669">
        <f>Table716496[[#This Row],[CFNM]]/Table716496[[#This Row],[CAREA]]</f>
        <v>0.21451628667846412</v>
      </c>
      <c r="AJ669">
        <v>2.3684599999999998</v>
      </c>
      <c r="AK669">
        <f>(Table817497[[#This Row],[time]]-2)*2</f>
        <v>0.73691999999999958</v>
      </c>
      <c r="AL669">
        <v>84.198599999999999</v>
      </c>
      <c r="AM669">
        <v>14.3612</v>
      </c>
      <c r="AN669">
        <f>Table817497[[#This Row],[CFNM]]/Table817497[[#This Row],[CAREA]]</f>
        <v>0.17056340604238077</v>
      </c>
    </row>
    <row r="670" spans="1:40">
      <c r="A670">
        <v>2.4278300000000002</v>
      </c>
      <c r="B670">
        <f>(Table110490[[#This Row],[time]]-2)*2</f>
        <v>0.85566000000000031</v>
      </c>
      <c r="C670">
        <v>85.076999999999998</v>
      </c>
      <c r="D670">
        <v>7.1047099999999999</v>
      </c>
      <c r="E670">
        <f>Table110490[[#This Row],[CFNM]]/Table110490[[#This Row],[CAREA]]</f>
        <v>8.3509174042338111E-2</v>
      </c>
      <c r="F670">
        <v>2.4278300000000002</v>
      </c>
      <c r="G670">
        <f>(Table211491[[#This Row],[time]]-2)*2</f>
        <v>0.85566000000000031</v>
      </c>
      <c r="H670">
        <v>92.019099999999995</v>
      </c>
      <c r="I670">
        <v>0.55446200000000001</v>
      </c>
      <c r="J670">
        <f>Table211491[[#This Row],[CFNM]]/Table211491[[#This Row],[CAREA]]</f>
        <v>6.0255099213098158E-3</v>
      </c>
      <c r="K670">
        <v>2.4278300000000002</v>
      </c>
      <c r="L670">
        <f>(Table312492[[#This Row],[time]]-2)*2</f>
        <v>0.85566000000000031</v>
      </c>
      <c r="M670">
        <v>82.868200000000002</v>
      </c>
      <c r="N670">
        <v>4.3630600000000002E-3</v>
      </c>
      <c r="O670">
        <f>Table312492[[#This Row],[CFNM]]/Table312492[[#This Row],[CAREA]]</f>
        <v>5.2650594558588221E-5</v>
      </c>
      <c r="P670">
        <v>2.4278300000000002</v>
      </c>
      <c r="Q670">
        <f>(Table413493[[#This Row],[time]]-2)*2</f>
        <v>0.85566000000000031</v>
      </c>
      <c r="R670">
        <v>80.495699999999999</v>
      </c>
      <c r="S670">
        <v>0.298452</v>
      </c>
      <c r="T670">
        <f>Table413493[[#This Row],[CFNM]]/Table413493[[#This Row],[CAREA]]</f>
        <v>3.7076763106600723E-3</v>
      </c>
      <c r="U670">
        <v>2.4278300000000002</v>
      </c>
      <c r="V670">
        <f>(Table514494[[#This Row],[time]]-2)*2</f>
        <v>0.85566000000000031</v>
      </c>
      <c r="W670">
        <v>77.231999999999999</v>
      </c>
      <c r="X670">
        <v>5.1418100000000001E-3</v>
      </c>
      <c r="Y670">
        <f>Table514494[[#This Row],[CFNM]]/Table514494[[#This Row],[CAREA]]</f>
        <v>6.6576160140874256E-5</v>
      </c>
      <c r="Z670">
        <v>2.4278300000000002</v>
      </c>
      <c r="AA670">
        <f>(Table615495[[#This Row],[time]]-2)*2</f>
        <v>0.85566000000000031</v>
      </c>
      <c r="AB670">
        <v>79.028400000000005</v>
      </c>
      <c r="AC670">
        <v>0.10810699999999999</v>
      </c>
      <c r="AD670">
        <f>Table615495[[#This Row],[CFNM]]/Table615495[[#This Row],[CAREA]]</f>
        <v>1.3679512681517023E-3</v>
      </c>
      <c r="AE670">
        <v>2.4278300000000002</v>
      </c>
      <c r="AF670">
        <f>(Table716496[[#This Row],[time]]-2)*2</f>
        <v>0.85566000000000031</v>
      </c>
      <c r="AG670">
        <v>77.852500000000006</v>
      </c>
      <c r="AH670">
        <v>16.160900000000002</v>
      </c>
      <c r="AI670">
        <f>Table716496[[#This Row],[CFNM]]/Table716496[[#This Row],[CAREA]]</f>
        <v>0.20758357149738288</v>
      </c>
      <c r="AJ670">
        <v>2.4278300000000002</v>
      </c>
      <c r="AK670">
        <f>(Table817497[[#This Row],[time]]-2)*2</f>
        <v>0.85566000000000031</v>
      </c>
      <c r="AL670">
        <v>84.136499999999998</v>
      </c>
      <c r="AM670">
        <v>13.6205</v>
      </c>
      <c r="AN670">
        <f>Table817497[[#This Row],[CFNM]]/Table817497[[#This Row],[CAREA]]</f>
        <v>0.16188574518787921</v>
      </c>
    </row>
    <row r="671" spans="1:40">
      <c r="A671">
        <v>2.4542000000000002</v>
      </c>
      <c r="B671">
        <f>(Table110490[[#This Row],[time]]-2)*2</f>
        <v>0.90840000000000032</v>
      </c>
      <c r="C671">
        <v>84.679100000000005</v>
      </c>
      <c r="D671">
        <v>7.0091400000000004</v>
      </c>
      <c r="E671">
        <f>Table110490[[#This Row],[CFNM]]/Table110490[[#This Row],[CAREA]]</f>
        <v>8.2772962868051261E-2</v>
      </c>
      <c r="F671">
        <v>2.4542000000000002</v>
      </c>
      <c r="G671">
        <f>(Table211491[[#This Row],[time]]-2)*2</f>
        <v>0.90840000000000032</v>
      </c>
      <c r="H671">
        <v>91.673100000000005</v>
      </c>
      <c r="I671">
        <v>0.56648699999999996</v>
      </c>
      <c r="J671">
        <f>Table211491[[#This Row],[CFNM]]/Table211491[[#This Row],[CAREA]]</f>
        <v>6.179424498571554E-3</v>
      </c>
      <c r="K671">
        <v>2.4542000000000002</v>
      </c>
      <c r="L671">
        <f>(Table312492[[#This Row],[time]]-2)*2</f>
        <v>0.90840000000000032</v>
      </c>
      <c r="M671">
        <v>82.575400000000002</v>
      </c>
      <c r="N671">
        <v>4.2847400000000004E-3</v>
      </c>
      <c r="O671">
        <f>Table312492[[#This Row],[CFNM]]/Table312492[[#This Row],[CAREA]]</f>
        <v>5.1888819188281257E-5</v>
      </c>
      <c r="P671">
        <v>2.4542000000000002</v>
      </c>
      <c r="Q671">
        <f>(Table413493[[#This Row],[time]]-2)*2</f>
        <v>0.90840000000000032</v>
      </c>
      <c r="R671">
        <v>80.261700000000005</v>
      </c>
      <c r="S671">
        <v>0.15326500000000001</v>
      </c>
      <c r="T671">
        <f>Table413493[[#This Row],[CFNM]]/Table413493[[#This Row],[CAREA]]</f>
        <v>1.9095658327695525E-3</v>
      </c>
      <c r="U671">
        <v>2.4542000000000002</v>
      </c>
      <c r="V671">
        <f>(Table514494[[#This Row],[time]]-2)*2</f>
        <v>0.90840000000000032</v>
      </c>
      <c r="W671">
        <v>76.895799999999994</v>
      </c>
      <c r="X671">
        <v>4.6713099999999997E-3</v>
      </c>
      <c r="Y671">
        <f>Table514494[[#This Row],[CFNM]]/Table514494[[#This Row],[CAREA]]</f>
        <v>6.0748571443433841E-5</v>
      </c>
      <c r="Z671">
        <v>2.4542000000000002</v>
      </c>
      <c r="AA671">
        <f>(Table615495[[#This Row],[time]]-2)*2</f>
        <v>0.90840000000000032</v>
      </c>
      <c r="AB671">
        <v>77.937299999999993</v>
      </c>
      <c r="AC671">
        <v>4.1979599999999997E-3</v>
      </c>
      <c r="AD671">
        <f>Table615495[[#This Row],[CFNM]]/Table615495[[#This Row],[CAREA]]</f>
        <v>5.3863297804773838E-5</v>
      </c>
      <c r="AE671">
        <v>2.4542000000000002</v>
      </c>
      <c r="AF671">
        <f>(Table716496[[#This Row],[time]]-2)*2</f>
        <v>0.90840000000000032</v>
      </c>
      <c r="AG671">
        <v>77.971100000000007</v>
      </c>
      <c r="AH671">
        <v>15.9053</v>
      </c>
      <c r="AI671">
        <f>Table716496[[#This Row],[CFNM]]/Table716496[[#This Row],[CAREA]]</f>
        <v>0.20398968335703868</v>
      </c>
      <c r="AJ671">
        <v>2.4542000000000002</v>
      </c>
      <c r="AK671">
        <f>(Table817497[[#This Row],[time]]-2)*2</f>
        <v>0.90840000000000032</v>
      </c>
      <c r="AL671">
        <v>84.079899999999995</v>
      </c>
      <c r="AM671">
        <v>13.259</v>
      </c>
      <c r="AN671">
        <f>Table817497[[#This Row],[CFNM]]/Table817497[[#This Row],[CAREA]]</f>
        <v>0.15769523988491901</v>
      </c>
    </row>
    <row r="672" spans="1:40">
      <c r="A672">
        <v>2.5061499999999999</v>
      </c>
      <c r="B672">
        <f>(Table110490[[#This Row],[time]]-2)*2</f>
        <v>1.0122999999999998</v>
      </c>
      <c r="C672">
        <v>84.030100000000004</v>
      </c>
      <c r="D672">
        <v>6.9151100000000003</v>
      </c>
      <c r="E672">
        <f>Table110490[[#This Row],[CFNM]]/Table110490[[#This Row],[CAREA]]</f>
        <v>8.2293249680769148E-2</v>
      </c>
      <c r="F672">
        <v>2.5061499999999999</v>
      </c>
      <c r="G672">
        <f>(Table211491[[#This Row],[time]]-2)*2</f>
        <v>1.0122999999999998</v>
      </c>
      <c r="H672">
        <v>91.247100000000003</v>
      </c>
      <c r="I672">
        <v>0.58328899999999995</v>
      </c>
      <c r="J672">
        <f>Table211491[[#This Row],[CFNM]]/Table211491[[#This Row],[CAREA]]</f>
        <v>6.3924113752656239E-3</v>
      </c>
      <c r="K672">
        <v>2.5061499999999999</v>
      </c>
      <c r="L672">
        <f>(Table312492[[#This Row],[time]]-2)*2</f>
        <v>1.0122999999999998</v>
      </c>
      <c r="M672">
        <v>82.254999999999995</v>
      </c>
      <c r="N672">
        <v>4.1975800000000002E-3</v>
      </c>
      <c r="O672">
        <f>Table312492[[#This Row],[CFNM]]/Table312492[[#This Row],[CAREA]]</f>
        <v>5.1031305087836613E-5</v>
      </c>
      <c r="P672">
        <v>2.5061499999999999</v>
      </c>
      <c r="Q672">
        <f>(Table413493[[#This Row],[time]]-2)*2</f>
        <v>1.0122999999999998</v>
      </c>
      <c r="R672">
        <v>79.951099999999997</v>
      </c>
      <c r="S672">
        <v>7.3099599999999999E-3</v>
      </c>
      <c r="T672">
        <f>Table413493[[#This Row],[CFNM]]/Table413493[[#This Row],[CAREA]]</f>
        <v>9.1430386823946136E-5</v>
      </c>
      <c r="U672">
        <v>2.5061499999999999</v>
      </c>
      <c r="V672">
        <f>(Table514494[[#This Row],[time]]-2)*2</f>
        <v>1.0122999999999998</v>
      </c>
      <c r="W672">
        <v>76.522999999999996</v>
      </c>
      <c r="X672">
        <v>4.36558E-3</v>
      </c>
      <c r="Y672">
        <f>Table514494[[#This Row],[CFNM]]/Table514494[[#This Row],[CAREA]]</f>
        <v>5.7049253165714889E-5</v>
      </c>
      <c r="Z672">
        <v>2.5061499999999999</v>
      </c>
      <c r="AA672">
        <f>(Table615495[[#This Row],[time]]-2)*2</f>
        <v>1.0122999999999998</v>
      </c>
      <c r="AB672">
        <v>77.377399999999994</v>
      </c>
      <c r="AC672">
        <v>3.8991299999999998E-3</v>
      </c>
      <c r="AD672">
        <f>Table615495[[#This Row],[CFNM]]/Table615495[[#This Row],[CAREA]]</f>
        <v>5.0391070260825511E-5</v>
      </c>
      <c r="AE672">
        <v>2.5061499999999999</v>
      </c>
      <c r="AF672">
        <f>(Table716496[[#This Row],[time]]-2)*2</f>
        <v>1.0122999999999998</v>
      </c>
      <c r="AG672">
        <v>78.099900000000005</v>
      </c>
      <c r="AH672">
        <v>15.5563</v>
      </c>
      <c r="AI672">
        <f>Table716496[[#This Row],[CFNM]]/Table716496[[#This Row],[CAREA]]</f>
        <v>0.19918463403922412</v>
      </c>
      <c r="AJ672">
        <v>2.5061499999999999</v>
      </c>
      <c r="AK672">
        <f>(Table817497[[#This Row],[time]]-2)*2</f>
        <v>1.0122999999999998</v>
      </c>
      <c r="AL672">
        <v>83.674899999999994</v>
      </c>
      <c r="AM672">
        <v>12.783899999999999</v>
      </c>
      <c r="AN672">
        <f>Table817497[[#This Row],[CFNM]]/Table817497[[#This Row],[CAREA]]</f>
        <v>0.15278058294661839</v>
      </c>
    </row>
    <row r="673" spans="1:40">
      <c r="A673">
        <v>2.5507599999999999</v>
      </c>
      <c r="B673">
        <f>(Table110490[[#This Row],[time]]-2)*2</f>
        <v>1.1015199999999998</v>
      </c>
      <c r="C673">
        <v>83.570499999999996</v>
      </c>
      <c r="D673">
        <v>6.8152499999999998</v>
      </c>
      <c r="E673">
        <f>Table110490[[#This Row],[CFNM]]/Table110490[[#This Row],[CAREA]]</f>
        <v>8.1550906121179129E-2</v>
      </c>
      <c r="F673">
        <v>2.5507599999999999</v>
      </c>
      <c r="G673">
        <f>(Table211491[[#This Row],[time]]-2)*2</f>
        <v>1.1015199999999998</v>
      </c>
      <c r="H673">
        <v>90.761300000000006</v>
      </c>
      <c r="I673">
        <v>0.62085599999999996</v>
      </c>
      <c r="J673">
        <f>Table211491[[#This Row],[CFNM]]/Table211491[[#This Row],[CAREA]]</f>
        <v>6.8405366604488912E-3</v>
      </c>
      <c r="K673">
        <v>2.5507599999999999</v>
      </c>
      <c r="L673">
        <f>(Table312492[[#This Row],[time]]-2)*2</f>
        <v>1.1015199999999998</v>
      </c>
      <c r="M673">
        <v>81.855999999999995</v>
      </c>
      <c r="N673">
        <v>4.0822100000000002E-3</v>
      </c>
      <c r="O673">
        <f>Table312492[[#This Row],[CFNM]]/Table312492[[#This Row],[CAREA]]</f>
        <v>4.9870626465989058E-5</v>
      </c>
      <c r="P673">
        <v>2.5507599999999999</v>
      </c>
      <c r="Q673">
        <f>(Table413493[[#This Row],[time]]-2)*2</f>
        <v>1.1015199999999998</v>
      </c>
      <c r="R673">
        <v>79.501300000000001</v>
      </c>
      <c r="S673">
        <v>5.8829700000000004E-3</v>
      </c>
      <c r="T673">
        <f>Table413493[[#This Row],[CFNM]]/Table413493[[#This Row],[CAREA]]</f>
        <v>7.3998412604573763E-5</v>
      </c>
      <c r="U673">
        <v>2.5507599999999999</v>
      </c>
      <c r="V673">
        <f>(Table514494[[#This Row],[time]]-2)*2</f>
        <v>1.1015199999999998</v>
      </c>
      <c r="W673">
        <v>74.785200000000003</v>
      </c>
      <c r="X673">
        <v>4.2482900000000001E-3</v>
      </c>
      <c r="Y673">
        <f>Table514494[[#This Row],[CFNM]]/Table514494[[#This Row],[CAREA]]</f>
        <v>5.6806560656386556E-5</v>
      </c>
      <c r="Z673">
        <v>2.5507599999999999</v>
      </c>
      <c r="AA673">
        <f>(Table615495[[#This Row],[time]]-2)*2</f>
        <v>1.1015199999999998</v>
      </c>
      <c r="AB673">
        <v>76.421499999999995</v>
      </c>
      <c r="AC673">
        <v>3.7068700000000001E-3</v>
      </c>
      <c r="AD673">
        <f>Table615495[[#This Row],[CFNM]]/Table615495[[#This Row],[CAREA]]</f>
        <v>4.8505590704186653E-5</v>
      </c>
      <c r="AE673">
        <v>2.5507599999999999</v>
      </c>
      <c r="AF673">
        <f>(Table716496[[#This Row],[time]]-2)*2</f>
        <v>1.1015199999999998</v>
      </c>
      <c r="AG673">
        <v>78.150199999999998</v>
      </c>
      <c r="AH673">
        <v>15.0685</v>
      </c>
      <c r="AI673">
        <f>Table716496[[#This Row],[CFNM]]/Table716496[[#This Row],[CAREA]]</f>
        <v>0.19281460572077871</v>
      </c>
      <c r="AJ673">
        <v>2.5507599999999999</v>
      </c>
      <c r="AK673">
        <f>(Table817497[[#This Row],[time]]-2)*2</f>
        <v>1.1015199999999998</v>
      </c>
      <c r="AL673">
        <v>83.599400000000003</v>
      </c>
      <c r="AM673">
        <v>12.1028</v>
      </c>
      <c r="AN673">
        <f>Table817497[[#This Row],[CFNM]]/Table817497[[#This Row],[CAREA]]</f>
        <v>0.14477137395722936</v>
      </c>
    </row>
    <row r="674" spans="1:40">
      <c r="A674">
        <v>2.60453</v>
      </c>
      <c r="B674">
        <f>(Table110490[[#This Row],[time]]-2)*2</f>
        <v>1.20906</v>
      </c>
      <c r="C674">
        <v>82.992999999999995</v>
      </c>
      <c r="D674">
        <v>6.6785100000000002</v>
      </c>
      <c r="E674">
        <f>Table110490[[#This Row],[CFNM]]/Table110490[[#This Row],[CAREA]]</f>
        <v>8.0470762594435682E-2</v>
      </c>
      <c r="F674">
        <v>2.60453</v>
      </c>
      <c r="G674">
        <f>(Table211491[[#This Row],[time]]-2)*2</f>
        <v>1.20906</v>
      </c>
      <c r="H674">
        <v>90.238900000000001</v>
      </c>
      <c r="I674">
        <v>0.64953399999999994</v>
      </c>
      <c r="J674">
        <f>Table211491[[#This Row],[CFNM]]/Table211491[[#This Row],[CAREA]]</f>
        <v>7.197937918126218E-3</v>
      </c>
      <c r="K674">
        <v>2.60453</v>
      </c>
      <c r="L674">
        <f>(Table312492[[#This Row],[time]]-2)*2</f>
        <v>1.20906</v>
      </c>
      <c r="M674">
        <v>81.421499999999995</v>
      </c>
      <c r="N674">
        <v>3.96335E-3</v>
      </c>
      <c r="O674">
        <f>Table312492[[#This Row],[CFNM]]/Table312492[[#This Row],[CAREA]]</f>
        <v>4.8676946506758048E-5</v>
      </c>
      <c r="P674">
        <v>2.60453</v>
      </c>
      <c r="Q674">
        <f>(Table413493[[#This Row],[time]]-2)*2</f>
        <v>1.20906</v>
      </c>
      <c r="R674">
        <v>78.651799999999994</v>
      </c>
      <c r="S674">
        <v>5.51967E-3</v>
      </c>
      <c r="T674">
        <f>Table413493[[#This Row],[CFNM]]/Table413493[[#This Row],[CAREA]]</f>
        <v>7.017855916838521E-5</v>
      </c>
      <c r="U674">
        <v>2.60453</v>
      </c>
      <c r="V674">
        <f>(Table514494[[#This Row],[time]]-2)*2</f>
        <v>1.20906</v>
      </c>
      <c r="W674">
        <v>73.752600000000001</v>
      </c>
      <c r="X674">
        <v>4.1331199999999997E-3</v>
      </c>
      <c r="Y674">
        <f>Table514494[[#This Row],[CFNM]]/Table514494[[#This Row],[CAREA]]</f>
        <v>5.6040329425674482E-5</v>
      </c>
      <c r="Z674">
        <v>2.60453</v>
      </c>
      <c r="AA674">
        <f>(Table615495[[#This Row],[time]]-2)*2</f>
        <v>1.20906</v>
      </c>
      <c r="AB674">
        <v>75.995900000000006</v>
      </c>
      <c r="AC674">
        <v>3.52784E-3</v>
      </c>
      <c r="AD674">
        <f>Table615495[[#This Row],[CFNM]]/Table615495[[#This Row],[CAREA]]</f>
        <v>4.6421451683577661E-5</v>
      </c>
      <c r="AE674">
        <v>2.60453</v>
      </c>
      <c r="AF674">
        <f>(Table716496[[#This Row],[time]]-2)*2</f>
        <v>1.20906</v>
      </c>
      <c r="AG674">
        <v>78.246200000000002</v>
      </c>
      <c r="AH674">
        <v>14.491</v>
      </c>
      <c r="AI674">
        <f>Table716496[[#This Row],[CFNM]]/Table716496[[#This Row],[CAREA]]</f>
        <v>0.18519749201878175</v>
      </c>
      <c r="AJ674">
        <v>2.60453</v>
      </c>
      <c r="AK674">
        <f>(Table817497[[#This Row],[time]]-2)*2</f>
        <v>1.20906</v>
      </c>
      <c r="AL674">
        <v>83.518699999999995</v>
      </c>
      <c r="AM674">
        <v>11.3721</v>
      </c>
      <c r="AN674">
        <f>Table817497[[#This Row],[CFNM]]/Table817497[[#This Row],[CAREA]]</f>
        <v>0.13616232053420371</v>
      </c>
    </row>
    <row r="675" spans="1:40">
      <c r="A675">
        <v>2.65273</v>
      </c>
      <c r="B675">
        <f>(Table110490[[#This Row],[time]]-2)*2</f>
        <v>1.3054600000000001</v>
      </c>
      <c r="C675">
        <v>82.515100000000004</v>
      </c>
      <c r="D675">
        <v>6.5038799999999997</v>
      </c>
      <c r="E675">
        <f>Table110490[[#This Row],[CFNM]]/Table110490[[#This Row],[CAREA]]</f>
        <v>7.8820482554102206E-2</v>
      </c>
      <c r="F675">
        <v>2.65273</v>
      </c>
      <c r="G675">
        <f>(Table211491[[#This Row],[time]]-2)*2</f>
        <v>1.3054600000000001</v>
      </c>
      <c r="H675">
        <v>89.638400000000004</v>
      </c>
      <c r="I675">
        <v>0.692689</v>
      </c>
      <c r="J675">
        <f>Table211491[[#This Row],[CFNM]]/Table211491[[#This Row],[CAREA]]</f>
        <v>7.7275921926317293E-3</v>
      </c>
      <c r="K675">
        <v>2.65273</v>
      </c>
      <c r="L675">
        <f>(Table312492[[#This Row],[time]]-2)*2</f>
        <v>1.3054600000000001</v>
      </c>
      <c r="M675">
        <v>81.008399999999995</v>
      </c>
      <c r="N675">
        <v>3.8347300000000002E-3</v>
      </c>
      <c r="O675">
        <f>Table312492[[#This Row],[CFNM]]/Table312492[[#This Row],[CAREA]]</f>
        <v>4.7337436611511896E-5</v>
      </c>
      <c r="P675">
        <v>2.65273</v>
      </c>
      <c r="Q675">
        <f>(Table413493[[#This Row],[time]]-2)*2</f>
        <v>1.3054600000000001</v>
      </c>
      <c r="R675">
        <v>78.222800000000007</v>
      </c>
      <c r="S675">
        <v>5.3811199999999997E-3</v>
      </c>
      <c r="T675">
        <f>Table413493[[#This Row],[CFNM]]/Table413493[[#This Row],[CAREA]]</f>
        <v>6.8792219148381274E-5</v>
      </c>
      <c r="U675">
        <v>2.65273</v>
      </c>
      <c r="V675">
        <f>(Table514494[[#This Row],[time]]-2)*2</f>
        <v>1.3054600000000001</v>
      </c>
      <c r="W675">
        <v>73.185900000000004</v>
      </c>
      <c r="X675">
        <v>4.0100300000000004E-3</v>
      </c>
      <c r="Y675">
        <f>Table514494[[#This Row],[CFNM]]/Table514494[[#This Row],[CAREA]]</f>
        <v>5.4792384871949381E-5</v>
      </c>
      <c r="Z675">
        <v>2.65273</v>
      </c>
      <c r="AA675">
        <f>(Table615495[[#This Row],[time]]-2)*2</f>
        <v>1.3054600000000001</v>
      </c>
      <c r="AB675">
        <v>75.326599999999999</v>
      </c>
      <c r="AC675">
        <v>3.3397000000000001E-3</v>
      </c>
      <c r="AD675">
        <f>Table615495[[#This Row],[CFNM]]/Table615495[[#This Row],[CAREA]]</f>
        <v>4.4336263683745185E-5</v>
      </c>
      <c r="AE675">
        <v>2.65273</v>
      </c>
      <c r="AF675">
        <f>(Table716496[[#This Row],[time]]-2)*2</f>
        <v>1.3054600000000001</v>
      </c>
      <c r="AG675">
        <v>78.356399999999994</v>
      </c>
      <c r="AH675">
        <v>13.777699999999999</v>
      </c>
      <c r="AI675">
        <f>Table716496[[#This Row],[CFNM]]/Table716496[[#This Row],[CAREA]]</f>
        <v>0.1758337544859131</v>
      </c>
      <c r="AJ675">
        <v>2.65273</v>
      </c>
      <c r="AK675">
        <f>(Table817497[[#This Row],[time]]-2)*2</f>
        <v>1.3054600000000001</v>
      </c>
      <c r="AL675">
        <v>83.431899999999999</v>
      </c>
      <c r="AM675">
        <v>10.5945</v>
      </c>
      <c r="AN675">
        <f>Table817497[[#This Row],[CFNM]]/Table817497[[#This Row],[CAREA]]</f>
        <v>0.12698380355715261</v>
      </c>
    </row>
    <row r="676" spans="1:40">
      <c r="A676">
        <v>2.7006199999999998</v>
      </c>
      <c r="B676">
        <f>(Table110490[[#This Row],[time]]-2)*2</f>
        <v>1.4012399999999996</v>
      </c>
      <c r="C676">
        <v>82.129199999999997</v>
      </c>
      <c r="D676">
        <v>6.3949400000000001</v>
      </c>
      <c r="E676">
        <f>Table110490[[#This Row],[CFNM]]/Table110490[[#This Row],[CAREA]]</f>
        <v>7.786438927933062E-2</v>
      </c>
      <c r="F676">
        <v>2.7006199999999998</v>
      </c>
      <c r="G676">
        <f>(Table211491[[#This Row],[time]]-2)*2</f>
        <v>1.4012399999999996</v>
      </c>
      <c r="H676">
        <v>89.244500000000002</v>
      </c>
      <c r="I676">
        <v>0.72670000000000001</v>
      </c>
      <c r="J676">
        <f>Table211491[[#This Row],[CFNM]]/Table211491[[#This Row],[CAREA]]</f>
        <v>8.1427987158872537E-3</v>
      </c>
      <c r="K676">
        <v>2.7006199999999998</v>
      </c>
      <c r="L676">
        <f>(Table312492[[#This Row],[time]]-2)*2</f>
        <v>1.4012399999999996</v>
      </c>
      <c r="M676">
        <v>80.708200000000005</v>
      </c>
      <c r="N676">
        <v>3.7372899999999999E-3</v>
      </c>
      <c r="O676">
        <f>Table312492[[#This Row],[CFNM]]/Table312492[[#This Row],[CAREA]]</f>
        <v>4.6306199370076397E-5</v>
      </c>
      <c r="P676">
        <v>2.7006199999999998</v>
      </c>
      <c r="Q676">
        <f>(Table413493[[#This Row],[time]]-2)*2</f>
        <v>1.4012399999999996</v>
      </c>
      <c r="R676">
        <v>77.950199999999995</v>
      </c>
      <c r="S676">
        <v>5.2834600000000002E-3</v>
      </c>
      <c r="T676">
        <f>Table413493[[#This Row],[CFNM]]/Table413493[[#This Row],[CAREA]]</f>
        <v>6.7779941552427065E-5</v>
      </c>
      <c r="U676">
        <v>2.7006199999999998</v>
      </c>
      <c r="V676">
        <f>(Table514494[[#This Row],[time]]-2)*2</f>
        <v>1.4012399999999996</v>
      </c>
      <c r="W676">
        <v>72.801400000000001</v>
      </c>
      <c r="X676">
        <v>3.9201799999999997E-3</v>
      </c>
      <c r="Y676">
        <f>Table514494[[#This Row],[CFNM]]/Table514494[[#This Row],[CAREA]]</f>
        <v>5.3847590843033232E-5</v>
      </c>
      <c r="Z676">
        <v>2.7006199999999998</v>
      </c>
      <c r="AA676">
        <f>(Table615495[[#This Row],[time]]-2)*2</f>
        <v>1.4012399999999996</v>
      </c>
      <c r="AB676">
        <v>74.2029</v>
      </c>
      <c r="AC676">
        <v>3.21405E-3</v>
      </c>
      <c r="AD676">
        <f>Table615495[[#This Row],[CFNM]]/Table615495[[#This Row],[CAREA]]</f>
        <v>4.3314344857141703E-5</v>
      </c>
      <c r="AE676">
        <v>2.7006199999999998</v>
      </c>
      <c r="AF676">
        <f>(Table716496[[#This Row],[time]]-2)*2</f>
        <v>1.4012399999999996</v>
      </c>
      <c r="AG676">
        <v>78.353999999999999</v>
      </c>
      <c r="AH676">
        <v>13.2098</v>
      </c>
      <c r="AI676">
        <f>Table716496[[#This Row],[CFNM]]/Table716496[[#This Row],[CAREA]]</f>
        <v>0.16859126528320187</v>
      </c>
      <c r="AJ676">
        <v>2.7006199999999998</v>
      </c>
      <c r="AK676">
        <f>(Table817497[[#This Row],[time]]-2)*2</f>
        <v>1.4012399999999996</v>
      </c>
      <c r="AL676">
        <v>83.364099999999993</v>
      </c>
      <c r="AM676">
        <v>10.121700000000001</v>
      </c>
      <c r="AN676">
        <f>Table817497[[#This Row],[CFNM]]/Table817497[[#This Row],[CAREA]]</f>
        <v>0.1214155733703117</v>
      </c>
    </row>
    <row r="677" spans="1:40">
      <c r="A677">
        <v>2.75176</v>
      </c>
      <c r="B677">
        <f>(Table110490[[#This Row],[time]]-2)*2</f>
        <v>1.50352</v>
      </c>
      <c r="C677">
        <v>81.601600000000005</v>
      </c>
      <c r="D677">
        <v>6.2144300000000001</v>
      </c>
      <c r="E677">
        <f>Table110490[[#This Row],[CFNM]]/Table110490[[#This Row],[CAREA]]</f>
        <v>7.6155737142408975E-2</v>
      </c>
      <c r="F677">
        <v>2.75176</v>
      </c>
      <c r="G677">
        <f>(Table211491[[#This Row],[time]]-2)*2</f>
        <v>1.50352</v>
      </c>
      <c r="H677">
        <v>88.707999999999998</v>
      </c>
      <c r="I677">
        <v>0.775814</v>
      </c>
      <c r="J677">
        <f>Table211491[[#This Row],[CFNM]]/Table211491[[#This Row],[CAREA]]</f>
        <v>8.7457050096947288E-3</v>
      </c>
      <c r="K677">
        <v>2.75176</v>
      </c>
      <c r="L677">
        <f>(Table312492[[#This Row],[time]]-2)*2</f>
        <v>1.50352</v>
      </c>
      <c r="M677">
        <v>80.137</v>
      </c>
      <c r="N677">
        <v>3.6024899999999999E-3</v>
      </c>
      <c r="O677">
        <f>Table312492[[#This Row],[CFNM]]/Table312492[[#This Row],[CAREA]]</f>
        <v>4.4954141033480166E-5</v>
      </c>
      <c r="P677">
        <v>2.75176</v>
      </c>
      <c r="Q677">
        <f>(Table413493[[#This Row],[time]]-2)*2</f>
        <v>1.50352</v>
      </c>
      <c r="R677">
        <v>77.569599999999994</v>
      </c>
      <c r="S677">
        <v>5.1444899999999998E-3</v>
      </c>
      <c r="T677">
        <f>Table413493[[#This Row],[CFNM]]/Table413493[[#This Row],[CAREA]]</f>
        <v>6.6320955632103305E-5</v>
      </c>
      <c r="U677">
        <v>2.75176</v>
      </c>
      <c r="V677">
        <f>(Table514494[[#This Row],[time]]-2)*2</f>
        <v>1.50352</v>
      </c>
      <c r="W677">
        <v>71.441999999999993</v>
      </c>
      <c r="X677">
        <v>3.7991399999999999E-3</v>
      </c>
      <c r="Y677">
        <f>Table514494[[#This Row],[CFNM]]/Table514494[[#This Row],[CAREA]]</f>
        <v>5.317796254304191E-5</v>
      </c>
      <c r="Z677">
        <v>2.75176</v>
      </c>
      <c r="AA677">
        <f>(Table615495[[#This Row],[time]]-2)*2</f>
        <v>1.50352</v>
      </c>
      <c r="AB677">
        <v>73.401499999999999</v>
      </c>
      <c r="AC677">
        <v>3.0473800000000001E-3</v>
      </c>
      <c r="AD677">
        <f>Table615495[[#This Row],[CFNM]]/Table615495[[#This Row],[CAREA]]</f>
        <v>4.1516590260417021E-5</v>
      </c>
      <c r="AE677">
        <v>2.75176</v>
      </c>
      <c r="AF677">
        <f>(Table716496[[#This Row],[time]]-2)*2</f>
        <v>1.50352</v>
      </c>
      <c r="AG677">
        <v>78.397599999999997</v>
      </c>
      <c r="AH677">
        <v>12.3795</v>
      </c>
      <c r="AI677">
        <f>Table716496[[#This Row],[CFNM]]/Table716496[[#This Row],[CAREA]]</f>
        <v>0.15790661959039562</v>
      </c>
      <c r="AJ677">
        <v>2.75176</v>
      </c>
      <c r="AK677">
        <f>(Table817497[[#This Row],[time]]-2)*2</f>
        <v>1.50352</v>
      </c>
      <c r="AL677">
        <v>83.263300000000001</v>
      </c>
      <c r="AM677">
        <v>9.4668799999999997</v>
      </c>
      <c r="AN677">
        <f>Table817497[[#This Row],[CFNM]]/Table817497[[#This Row],[CAREA]]</f>
        <v>0.11369811189323507</v>
      </c>
    </row>
    <row r="678" spans="1:40">
      <c r="A678">
        <v>2.80444</v>
      </c>
      <c r="B678">
        <f>(Table110490[[#This Row],[time]]-2)*2</f>
        <v>1.6088800000000001</v>
      </c>
      <c r="C678">
        <v>80.908799999999999</v>
      </c>
      <c r="D678">
        <v>6.0142699999999998</v>
      </c>
      <c r="E678">
        <f>Table110490[[#This Row],[CFNM]]/Table110490[[#This Row],[CAREA]]</f>
        <v>7.4333941425407377E-2</v>
      </c>
      <c r="F678">
        <v>2.80444</v>
      </c>
      <c r="G678">
        <f>(Table211491[[#This Row],[time]]-2)*2</f>
        <v>1.6088800000000001</v>
      </c>
      <c r="H678">
        <v>88.142600000000002</v>
      </c>
      <c r="I678">
        <v>0.80886899999999995</v>
      </c>
      <c r="J678">
        <f>Table211491[[#This Row],[CFNM]]/Table211491[[#This Row],[CAREA]]</f>
        <v>9.176822557991255E-3</v>
      </c>
      <c r="K678">
        <v>2.80444</v>
      </c>
      <c r="L678">
        <f>(Table312492[[#This Row],[time]]-2)*2</f>
        <v>1.6088800000000001</v>
      </c>
      <c r="M678">
        <v>79.691800000000001</v>
      </c>
      <c r="N678">
        <v>3.4671900000000002E-3</v>
      </c>
      <c r="O678">
        <f>Table312492[[#This Row],[CFNM]]/Table312492[[#This Row],[CAREA]]</f>
        <v>4.3507487595963451E-5</v>
      </c>
      <c r="P678">
        <v>2.80444</v>
      </c>
      <c r="Q678">
        <f>(Table413493[[#This Row],[time]]-2)*2</f>
        <v>1.6088800000000001</v>
      </c>
      <c r="R678">
        <v>76.757599999999996</v>
      </c>
      <c r="S678">
        <v>5.0112300000000002E-3</v>
      </c>
      <c r="T678">
        <f>Table413493[[#This Row],[CFNM]]/Table413493[[#This Row],[CAREA]]</f>
        <v>6.5286434177202002E-5</v>
      </c>
      <c r="U678">
        <v>2.80444</v>
      </c>
      <c r="V678">
        <f>(Table514494[[#This Row],[time]]-2)*2</f>
        <v>1.6088800000000001</v>
      </c>
      <c r="W678">
        <v>70.832599999999999</v>
      </c>
      <c r="X678">
        <v>3.6822999999999999E-3</v>
      </c>
      <c r="Y678">
        <f>Table514494[[#This Row],[CFNM]]/Table514494[[#This Row],[CAREA]]</f>
        <v>5.1985949972187947E-5</v>
      </c>
      <c r="Z678">
        <v>2.80444</v>
      </c>
      <c r="AA678">
        <f>(Table615495[[#This Row],[time]]-2)*2</f>
        <v>1.6088800000000001</v>
      </c>
      <c r="AB678">
        <v>72.305899999999994</v>
      </c>
      <c r="AC678">
        <v>2.8875200000000002E-3</v>
      </c>
      <c r="AD678">
        <f>Table615495[[#This Row],[CFNM]]/Table615495[[#This Row],[CAREA]]</f>
        <v>3.9934777106709143E-5</v>
      </c>
      <c r="AE678">
        <v>2.80444</v>
      </c>
      <c r="AF678">
        <f>(Table716496[[#This Row],[time]]-2)*2</f>
        <v>1.6088800000000001</v>
      </c>
      <c r="AG678">
        <v>78.438100000000006</v>
      </c>
      <c r="AH678">
        <v>11.5421</v>
      </c>
      <c r="AI678">
        <f>Table716496[[#This Row],[CFNM]]/Table716496[[#This Row],[CAREA]]</f>
        <v>0.14714915328137729</v>
      </c>
      <c r="AJ678">
        <v>2.80444</v>
      </c>
      <c r="AK678">
        <f>(Table817497[[#This Row],[time]]-2)*2</f>
        <v>1.6088800000000001</v>
      </c>
      <c r="AL678">
        <v>83.138499999999993</v>
      </c>
      <c r="AM678">
        <v>8.8203600000000009</v>
      </c>
      <c r="AN678">
        <f>Table817497[[#This Row],[CFNM]]/Table817497[[#This Row],[CAREA]]</f>
        <v>0.10609236394690789</v>
      </c>
    </row>
    <row r="679" spans="1:40">
      <c r="A679">
        <v>2.8583699999999999</v>
      </c>
      <c r="B679">
        <f>(Table110490[[#This Row],[time]]-2)*2</f>
        <v>1.7167399999999997</v>
      </c>
      <c r="C679">
        <v>79.824700000000007</v>
      </c>
      <c r="D679">
        <v>5.8321800000000001</v>
      </c>
      <c r="E679">
        <f>Table110490[[#This Row],[CFNM]]/Table110490[[#This Row],[CAREA]]</f>
        <v>7.3062347869769631E-2</v>
      </c>
      <c r="F679">
        <v>2.8583699999999999</v>
      </c>
      <c r="G679">
        <f>(Table211491[[#This Row],[time]]-2)*2</f>
        <v>1.7167399999999997</v>
      </c>
      <c r="H679">
        <v>87.731999999999999</v>
      </c>
      <c r="I679">
        <v>0.831592</v>
      </c>
      <c r="J679">
        <f>Table211491[[#This Row],[CFNM]]/Table211491[[#This Row],[CAREA]]</f>
        <v>9.478776273195641E-3</v>
      </c>
      <c r="K679">
        <v>2.8583699999999999</v>
      </c>
      <c r="L679">
        <f>(Table312492[[#This Row],[time]]-2)*2</f>
        <v>1.7167399999999997</v>
      </c>
      <c r="M679">
        <v>79.144300000000001</v>
      </c>
      <c r="N679">
        <v>3.35813E-3</v>
      </c>
      <c r="O679">
        <f>Table312492[[#This Row],[CFNM]]/Table312492[[#This Row],[CAREA]]</f>
        <v>4.2430471935439443E-5</v>
      </c>
      <c r="P679">
        <v>2.8583699999999999</v>
      </c>
      <c r="Q679">
        <f>(Table413493[[#This Row],[time]]-2)*2</f>
        <v>1.7167399999999997</v>
      </c>
      <c r="R679">
        <v>76.4529</v>
      </c>
      <c r="S679">
        <v>4.9018400000000002E-3</v>
      </c>
      <c r="T679">
        <f>Table413493[[#This Row],[CFNM]]/Table413493[[#This Row],[CAREA]]</f>
        <v>6.4115815096615046E-5</v>
      </c>
      <c r="U679">
        <v>2.8583699999999999</v>
      </c>
      <c r="V679">
        <f>(Table514494[[#This Row],[time]]-2)*2</f>
        <v>1.7167399999999997</v>
      </c>
      <c r="W679">
        <v>70.456100000000006</v>
      </c>
      <c r="X679">
        <v>3.5844100000000001E-3</v>
      </c>
      <c r="Y679">
        <f>Table514494[[#This Row],[CFNM]]/Table514494[[#This Row],[CAREA]]</f>
        <v>5.0874374255742223E-5</v>
      </c>
      <c r="Z679">
        <v>2.8583699999999999</v>
      </c>
      <c r="AA679">
        <f>(Table615495[[#This Row],[time]]-2)*2</f>
        <v>1.7167399999999997</v>
      </c>
      <c r="AB679">
        <v>70.676199999999994</v>
      </c>
      <c r="AC679">
        <v>2.7620000000000001E-3</v>
      </c>
      <c r="AD679">
        <f>Table615495[[#This Row],[CFNM]]/Table615495[[#This Row],[CAREA]]</f>
        <v>3.9079633596599709E-5</v>
      </c>
      <c r="AE679">
        <v>2.8583699999999999</v>
      </c>
      <c r="AF679">
        <f>(Table716496[[#This Row],[time]]-2)*2</f>
        <v>1.7167399999999997</v>
      </c>
      <c r="AG679">
        <v>78.442800000000005</v>
      </c>
      <c r="AH679">
        <v>10.9003</v>
      </c>
      <c r="AI679">
        <f>Table716496[[#This Row],[CFNM]]/Table716496[[#This Row],[CAREA]]</f>
        <v>0.13895857873507828</v>
      </c>
      <c r="AJ679">
        <v>2.8583699999999999</v>
      </c>
      <c r="AK679">
        <f>(Table817497[[#This Row],[time]]-2)*2</f>
        <v>1.7167399999999997</v>
      </c>
      <c r="AL679">
        <v>83.048400000000001</v>
      </c>
      <c r="AM679">
        <v>8.2996400000000001</v>
      </c>
      <c r="AN679">
        <f>Table817497[[#This Row],[CFNM]]/Table817497[[#This Row],[CAREA]]</f>
        <v>9.9937385909903143E-2</v>
      </c>
    </row>
    <row r="680" spans="1:40">
      <c r="A680">
        <v>2.9134199999999999</v>
      </c>
      <c r="B680">
        <f>(Table110490[[#This Row],[time]]-2)*2</f>
        <v>1.8268399999999998</v>
      </c>
      <c r="C680">
        <v>79.452600000000004</v>
      </c>
      <c r="D680">
        <v>5.5853400000000004</v>
      </c>
      <c r="E680">
        <f>Table110490[[#This Row],[CFNM]]/Table110490[[#This Row],[CAREA]]</f>
        <v>7.0297762439492234E-2</v>
      </c>
      <c r="F680">
        <v>2.9134199999999999</v>
      </c>
      <c r="G680">
        <f>(Table211491[[#This Row],[time]]-2)*2</f>
        <v>1.8268399999999998</v>
      </c>
      <c r="H680">
        <v>87.218500000000006</v>
      </c>
      <c r="I680">
        <v>0.88849</v>
      </c>
      <c r="J680">
        <f>Table211491[[#This Row],[CFNM]]/Table211491[[#This Row],[CAREA]]</f>
        <v>1.0186944283609554E-2</v>
      </c>
      <c r="K680">
        <v>2.9134199999999999</v>
      </c>
      <c r="L680">
        <f>(Table312492[[#This Row],[time]]-2)*2</f>
        <v>1.8268399999999998</v>
      </c>
      <c r="M680">
        <v>78.706900000000005</v>
      </c>
      <c r="N680">
        <v>3.22105E-3</v>
      </c>
      <c r="O680">
        <f>Table312492[[#This Row],[CFNM]]/Table312492[[#This Row],[CAREA]]</f>
        <v>4.0924620331889578E-5</v>
      </c>
      <c r="P680">
        <v>2.9134199999999999</v>
      </c>
      <c r="Q680">
        <f>(Table413493[[#This Row],[time]]-2)*2</f>
        <v>1.8268399999999998</v>
      </c>
      <c r="R680">
        <v>76.087800000000001</v>
      </c>
      <c r="S680">
        <v>4.7618000000000001E-3</v>
      </c>
      <c r="T680">
        <f>Table413493[[#This Row],[CFNM]]/Table413493[[#This Row],[CAREA]]</f>
        <v>6.2582963366006114E-5</v>
      </c>
      <c r="U680">
        <v>2.9134199999999999</v>
      </c>
      <c r="V680">
        <f>(Table514494[[#This Row],[time]]-2)*2</f>
        <v>1.8268399999999998</v>
      </c>
      <c r="W680">
        <v>69.972399999999993</v>
      </c>
      <c r="X680">
        <v>3.46072E-3</v>
      </c>
      <c r="Y680">
        <f>Table514494[[#This Row],[CFNM]]/Table514494[[#This Row],[CAREA]]</f>
        <v>4.9458357866816062E-5</v>
      </c>
      <c r="Z680">
        <v>2.9134199999999999</v>
      </c>
      <c r="AA680">
        <f>(Table615495[[#This Row],[time]]-2)*2</f>
        <v>1.8268399999999998</v>
      </c>
      <c r="AB680">
        <v>70.011499999999998</v>
      </c>
      <c r="AC680">
        <v>2.6093100000000001E-3</v>
      </c>
      <c r="AD680">
        <f>Table615495[[#This Row],[CFNM]]/Table615495[[#This Row],[CAREA]]</f>
        <v>3.7269734257943338E-5</v>
      </c>
      <c r="AE680">
        <v>2.9134199999999999</v>
      </c>
      <c r="AF680">
        <f>(Table716496[[#This Row],[time]]-2)*2</f>
        <v>1.8268399999999998</v>
      </c>
      <c r="AG680">
        <v>78.311400000000006</v>
      </c>
      <c r="AH680">
        <v>10.040699999999999</v>
      </c>
      <c r="AI680">
        <f>Table716496[[#This Row],[CFNM]]/Table716496[[#This Row],[CAREA]]</f>
        <v>0.12821504914993218</v>
      </c>
      <c r="AJ680">
        <v>2.9134199999999999</v>
      </c>
      <c r="AK680">
        <f>(Table817497[[#This Row],[time]]-2)*2</f>
        <v>1.8268399999999998</v>
      </c>
      <c r="AL680">
        <v>82.963800000000006</v>
      </c>
      <c r="AM680">
        <v>7.5697000000000001</v>
      </c>
      <c r="AN680">
        <f>Table817497[[#This Row],[CFNM]]/Table817497[[#This Row],[CAREA]]</f>
        <v>9.1240999086348501E-2</v>
      </c>
    </row>
    <row r="681" spans="1:40">
      <c r="A681">
        <v>2.9619599999999999</v>
      </c>
      <c r="B681">
        <f>(Table110490[[#This Row],[time]]-2)*2</f>
        <v>1.9239199999999999</v>
      </c>
      <c r="C681">
        <v>78.684399999999997</v>
      </c>
      <c r="D681">
        <v>5.3484100000000003</v>
      </c>
      <c r="E681">
        <f>Table110490[[#This Row],[CFNM]]/Table110490[[#This Row],[CAREA]]</f>
        <v>6.7972939998271587E-2</v>
      </c>
      <c r="F681">
        <v>2.9619599999999999</v>
      </c>
      <c r="G681">
        <f>(Table211491[[#This Row],[time]]-2)*2</f>
        <v>1.9239199999999999</v>
      </c>
      <c r="H681">
        <v>86.740600000000001</v>
      </c>
      <c r="I681">
        <v>0.92492600000000003</v>
      </c>
      <c r="J681">
        <f>Table211491[[#This Row],[CFNM]]/Table211491[[#This Row],[CAREA]]</f>
        <v>1.0663126609684508E-2</v>
      </c>
      <c r="K681">
        <v>2.9619599999999999</v>
      </c>
      <c r="L681">
        <f>(Table312492[[#This Row],[time]]-2)*2</f>
        <v>1.9239199999999999</v>
      </c>
      <c r="M681">
        <v>78.309700000000007</v>
      </c>
      <c r="N681">
        <v>3.0985700000000001E-3</v>
      </c>
      <c r="O681">
        <f>Table312492[[#This Row],[CFNM]]/Table312492[[#This Row],[CAREA]]</f>
        <v>3.9568150561169304E-5</v>
      </c>
      <c r="P681">
        <v>2.9619599999999999</v>
      </c>
      <c r="Q681">
        <f>(Table413493[[#This Row],[time]]-2)*2</f>
        <v>1.9239199999999999</v>
      </c>
      <c r="R681">
        <v>75.799499999999995</v>
      </c>
      <c r="S681">
        <v>4.6364900000000001E-3</v>
      </c>
      <c r="T681">
        <f>Table413493[[#This Row],[CFNM]]/Table413493[[#This Row],[CAREA]]</f>
        <v>6.1167817729668408E-5</v>
      </c>
      <c r="U681">
        <v>2.9619599999999999</v>
      </c>
      <c r="V681">
        <f>(Table514494[[#This Row],[time]]-2)*2</f>
        <v>1.9239199999999999</v>
      </c>
      <c r="W681">
        <v>69.558800000000005</v>
      </c>
      <c r="X681">
        <v>3.3505000000000002E-3</v>
      </c>
      <c r="Y681">
        <f>Table514494[[#This Row],[CFNM]]/Table514494[[#This Row],[CAREA]]</f>
        <v>4.8167880987021055E-5</v>
      </c>
      <c r="Z681">
        <v>2.9619599999999999</v>
      </c>
      <c r="AA681">
        <f>(Table615495[[#This Row],[time]]-2)*2</f>
        <v>1.9239199999999999</v>
      </c>
      <c r="AB681">
        <v>67.936300000000003</v>
      </c>
      <c r="AC681">
        <v>2.4751999999999999E-3</v>
      </c>
      <c r="AD681">
        <f>Table615495[[#This Row],[CFNM]]/Table615495[[#This Row],[CAREA]]</f>
        <v>3.6434130207267688E-5</v>
      </c>
      <c r="AE681">
        <v>2.9619599999999999</v>
      </c>
      <c r="AF681">
        <f>(Table716496[[#This Row],[time]]-2)*2</f>
        <v>1.9239199999999999</v>
      </c>
      <c r="AG681">
        <v>78.194999999999993</v>
      </c>
      <c r="AH681">
        <v>9.2199799999999996</v>
      </c>
      <c r="AI681">
        <f>Table716496[[#This Row],[CFNM]]/Table716496[[#This Row],[CAREA]]</f>
        <v>0.11791009655348808</v>
      </c>
      <c r="AJ681">
        <v>2.9619599999999999</v>
      </c>
      <c r="AK681">
        <f>(Table817497[[#This Row],[time]]-2)*2</f>
        <v>1.9239199999999999</v>
      </c>
      <c r="AL681">
        <v>82.869699999999995</v>
      </c>
      <c r="AM681">
        <v>6.9167300000000003</v>
      </c>
      <c r="AN681">
        <f>Table817497[[#This Row],[CFNM]]/Table817497[[#This Row],[CAREA]]</f>
        <v>8.3465126578230658E-2</v>
      </c>
    </row>
    <row r="682" spans="1:40">
      <c r="A682">
        <v>3</v>
      </c>
      <c r="B682">
        <f>(Table110490[[#This Row],[time]]-2)*2</f>
        <v>2</v>
      </c>
      <c r="C682">
        <v>77.846900000000005</v>
      </c>
      <c r="D682">
        <v>5.1166499999999999</v>
      </c>
      <c r="E682">
        <f>Table110490[[#This Row],[CFNM]]/Table110490[[#This Row],[CAREA]]</f>
        <v>6.5727087398470579E-2</v>
      </c>
      <c r="F682">
        <v>3</v>
      </c>
      <c r="G682">
        <f>(Table211491[[#This Row],[time]]-2)*2</f>
        <v>2</v>
      </c>
      <c r="H682">
        <v>86.329499999999996</v>
      </c>
      <c r="I682">
        <v>0.94435599999999997</v>
      </c>
      <c r="J682">
        <f>Table211491[[#This Row],[CFNM]]/Table211491[[#This Row],[CAREA]]</f>
        <v>1.0938972193746054E-2</v>
      </c>
      <c r="K682">
        <v>3</v>
      </c>
      <c r="L682">
        <f>(Table312492[[#This Row],[time]]-2)*2</f>
        <v>2</v>
      </c>
      <c r="M682">
        <v>77.933999999999997</v>
      </c>
      <c r="N682">
        <v>2.98701E-3</v>
      </c>
      <c r="O682">
        <f>Table312492[[#This Row],[CFNM]]/Table312492[[#This Row],[CAREA]]</f>
        <v>3.8327430903071831E-5</v>
      </c>
      <c r="P682">
        <v>3</v>
      </c>
      <c r="Q682">
        <f>(Table413493[[#This Row],[time]]-2)*2</f>
        <v>2</v>
      </c>
      <c r="R682">
        <v>75.533500000000004</v>
      </c>
      <c r="S682">
        <v>4.5195799999999996E-3</v>
      </c>
      <c r="T682">
        <f>Table413493[[#This Row],[CFNM]]/Table413493[[#This Row],[CAREA]]</f>
        <v>5.9835437256316724E-5</v>
      </c>
      <c r="U682">
        <v>3</v>
      </c>
      <c r="V682">
        <f>(Table514494[[#This Row],[time]]-2)*2</f>
        <v>2</v>
      </c>
      <c r="W682">
        <v>68.855199999999996</v>
      </c>
      <c r="X682">
        <v>3.2456899999999999E-3</v>
      </c>
      <c r="Y682">
        <f>Table514494[[#This Row],[CFNM]]/Table514494[[#This Row],[CAREA]]</f>
        <v>4.7137906795710419E-5</v>
      </c>
      <c r="Z682">
        <v>3</v>
      </c>
      <c r="AA682">
        <f>(Table615495[[#This Row],[time]]-2)*2</f>
        <v>2</v>
      </c>
      <c r="AB682">
        <v>66.267700000000005</v>
      </c>
      <c r="AC682">
        <v>2.35331E-3</v>
      </c>
      <c r="AD682">
        <f>Table615495[[#This Row],[CFNM]]/Table615495[[#This Row],[CAREA]]</f>
        <v>3.5512172596906183E-5</v>
      </c>
      <c r="AE682">
        <v>3</v>
      </c>
      <c r="AF682">
        <f>(Table716496[[#This Row],[time]]-2)*2</f>
        <v>2</v>
      </c>
      <c r="AG682">
        <v>78.016999999999996</v>
      </c>
      <c r="AH682">
        <v>8.4647000000000006</v>
      </c>
      <c r="AI682">
        <f>Table716496[[#This Row],[CFNM]]/Table716496[[#This Row],[CAREA]]</f>
        <v>0.10849814783957344</v>
      </c>
      <c r="AJ682">
        <v>3</v>
      </c>
      <c r="AK682">
        <f>(Table817497[[#This Row],[time]]-2)*2</f>
        <v>2</v>
      </c>
      <c r="AL682">
        <v>82.771600000000007</v>
      </c>
      <c r="AM682">
        <v>6.3022499999999999</v>
      </c>
      <c r="AN682">
        <f>Table817497[[#This Row],[CFNM]]/Table817497[[#This Row],[CAREA]]</f>
        <v>7.6140246171392117E-2</v>
      </c>
    </row>
    <row r="685" spans="1:40">
      <c r="A685" s="1" t="s">
        <v>69</v>
      </c>
    </row>
    <row r="686" spans="1:40">
      <c r="A686" t="s">
        <v>70</v>
      </c>
      <c r="F686" t="s">
        <v>2</v>
      </c>
    </row>
    <row r="687" spans="1:40">
      <c r="F687" t="s">
        <v>4</v>
      </c>
      <c r="G687" t="s">
        <v>5</v>
      </c>
    </row>
    <row r="690" spans="1:40">
      <c r="A690" t="s">
        <v>7</v>
      </c>
      <c r="F690" t="s">
        <v>8</v>
      </c>
      <c r="K690" t="s">
        <v>9</v>
      </c>
      <c r="P690" t="s">
        <v>26</v>
      </c>
      <c r="U690" t="s">
        <v>11</v>
      </c>
      <c r="Z690" t="s">
        <v>12</v>
      </c>
      <c r="AE690" t="s">
        <v>13</v>
      </c>
      <c r="AJ690" t="s">
        <v>14</v>
      </c>
    </row>
    <row r="691" spans="1:40">
      <c r="A691" t="s">
        <v>15</v>
      </c>
      <c r="B691" t="s">
        <v>16</v>
      </c>
      <c r="C691" t="s">
        <v>20</v>
      </c>
      <c r="D691" t="s">
        <v>18</v>
      </c>
      <c r="E691" t="s">
        <v>19</v>
      </c>
      <c r="F691" t="s">
        <v>15</v>
      </c>
      <c r="G691" t="s">
        <v>16</v>
      </c>
      <c r="H691" t="s">
        <v>20</v>
      </c>
      <c r="I691" t="s">
        <v>18</v>
      </c>
      <c r="J691" t="s">
        <v>19</v>
      </c>
      <c r="K691" t="s">
        <v>15</v>
      </c>
      <c r="L691" t="s">
        <v>16</v>
      </c>
      <c r="M691" t="s">
        <v>20</v>
      </c>
      <c r="N691" t="s">
        <v>18</v>
      </c>
      <c r="O691" t="s">
        <v>19</v>
      </c>
      <c r="P691" t="s">
        <v>15</v>
      </c>
      <c r="Q691" t="s">
        <v>16</v>
      </c>
      <c r="R691" t="s">
        <v>20</v>
      </c>
      <c r="S691" t="s">
        <v>18</v>
      </c>
      <c r="T691" t="s">
        <v>19</v>
      </c>
      <c r="U691" t="s">
        <v>15</v>
      </c>
      <c r="V691" t="s">
        <v>16</v>
      </c>
      <c r="W691" t="s">
        <v>20</v>
      </c>
      <c r="X691" t="s">
        <v>18</v>
      </c>
      <c r="Y691" t="s">
        <v>19</v>
      </c>
      <c r="Z691" t="s">
        <v>15</v>
      </c>
      <c r="AA691" t="s">
        <v>16</v>
      </c>
      <c r="AB691" t="s">
        <v>20</v>
      </c>
      <c r="AC691" t="s">
        <v>18</v>
      </c>
      <c r="AD691" t="s">
        <v>19</v>
      </c>
      <c r="AE691" t="s">
        <v>15</v>
      </c>
      <c r="AF691" t="s">
        <v>16</v>
      </c>
      <c r="AG691" t="s">
        <v>20</v>
      </c>
      <c r="AH691" t="s">
        <v>18</v>
      </c>
      <c r="AI691" t="s">
        <v>19</v>
      </c>
      <c r="AJ691" t="s">
        <v>15</v>
      </c>
      <c r="AK691" t="s">
        <v>16</v>
      </c>
      <c r="AL691" t="s">
        <v>20</v>
      </c>
      <c r="AM691" t="s">
        <v>18</v>
      </c>
      <c r="AN691" t="s">
        <v>19</v>
      </c>
    </row>
    <row r="692" spans="1:40">
      <c r="A692">
        <v>2</v>
      </c>
      <c r="B692">
        <f>-(Table1498[[#This Row],[time]]-2)*2</f>
        <v>0</v>
      </c>
      <c r="C692">
        <v>89.938400000000001</v>
      </c>
      <c r="D692">
        <v>9.7723600000000008</v>
      </c>
      <c r="E692" s="2">
        <f>Table1498[[#This Row],[CFNM]]/Table1498[[#This Row],[CAREA]]</f>
        <v>0.10865614687386034</v>
      </c>
      <c r="F692">
        <v>2</v>
      </c>
      <c r="G692">
        <f>-(Table2499[[#This Row],[time]]-2)*2</f>
        <v>0</v>
      </c>
      <c r="H692">
        <v>94.646000000000001</v>
      </c>
      <c r="I692">
        <v>2.6699700000000002</v>
      </c>
      <c r="J692" s="2">
        <f>Table2499[[#This Row],[CFNM]]/Table2499[[#This Row],[CAREA]]</f>
        <v>2.8210066986454792E-2</v>
      </c>
      <c r="K692">
        <v>2</v>
      </c>
      <c r="L692">
        <f>-(Table3500[[#This Row],[time]]-2)*2</f>
        <v>0</v>
      </c>
      <c r="M692">
        <v>88.069500000000005</v>
      </c>
      <c r="N692">
        <v>3.05586</v>
      </c>
      <c r="O692">
        <f>Table3500[[#This Row],[CFNM]]/Table3500[[#This Row],[CAREA]]</f>
        <v>3.4698278064483161E-2</v>
      </c>
      <c r="P692">
        <v>2</v>
      </c>
      <c r="Q692">
        <f>-(Table4501[[#This Row],[time]]-2)*2</f>
        <v>0</v>
      </c>
      <c r="R692">
        <v>85.109300000000005</v>
      </c>
      <c r="S692">
        <v>5.3593999999999999</v>
      </c>
      <c r="T692">
        <f>Table4501[[#This Row],[CFNM]]/Table4501[[#This Row],[CAREA]]</f>
        <v>6.2970791676115301E-2</v>
      </c>
      <c r="U692">
        <v>2</v>
      </c>
      <c r="V692">
        <f>-(Table5502[[#This Row],[time]]-2)*2</f>
        <v>0</v>
      </c>
      <c r="W692">
        <v>82.472200000000001</v>
      </c>
      <c r="X692">
        <v>7.9013</v>
      </c>
      <c r="Y692">
        <f>Table5502[[#This Row],[CFNM]]/Table5502[[#This Row],[CAREA]]</f>
        <v>9.580561692303588E-2</v>
      </c>
      <c r="Z692">
        <v>2</v>
      </c>
      <c r="AA692">
        <f>-(Table6503[[#This Row],[time]]-2)*2</f>
        <v>0</v>
      </c>
      <c r="AB692">
        <v>88.875200000000007</v>
      </c>
      <c r="AC692">
        <v>14.234400000000001</v>
      </c>
      <c r="AD692">
        <f>Table6503[[#This Row],[CFNM]]/Table6503[[#This Row],[CAREA]]</f>
        <v>0.16016166489639405</v>
      </c>
      <c r="AE692">
        <v>2</v>
      </c>
      <c r="AF692">
        <f>-(Table7504[[#This Row],[time]]-2)*2</f>
        <v>0</v>
      </c>
      <c r="AG692">
        <v>77.929299999999998</v>
      </c>
      <c r="AH692">
        <v>21.065899999999999</v>
      </c>
      <c r="AI692">
        <f>Table7504[[#This Row],[CFNM]]/Table7504[[#This Row],[CAREA]]</f>
        <v>0.27032066244660224</v>
      </c>
      <c r="AJ692">
        <v>2</v>
      </c>
      <c r="AK692">
        <f>-(Table8505[[#This Row],[time]]-2)*2</f>
        <v>0</v>
      </c>
      <c r="AL692">
        <v>83.325199999999995</v>
      </c>
      <c r="AM692">
        <v>21.034700000000001</v>
      </c>
      <c r="AN692">
        <f>Table8505[[#This Row],[CFNM]]/Table8505[[#This Row],[CAREA]]</f>
        <v>0.25244103824533276</v>
      </c>
    </row>
    <row r="693" spans="1:40">
      <c r="A693">
        <v>2.0512600000000001</v>
      </c>
      <c r="B693">
        <f>-(Table1498[[#This Row],[time]]-2)*2</f>
        <v>-0.10252000000000017</v>
      </c>
      <c r="C693">
        <v>89.365799999999993</v>
      </c>
      <c r="D693">
        <v>10.097300000000001</v>
      </c>
      <c r="E693">
        <f>Table1498[[#This Row],[CFNM]]/Table1498[[#This Row],[CAREA]]</f>
        <v>0.11298841391225728</v>
      </c>
      <c r="F693">
        <v>2.0512600000000001</v>
      </c>
      <c r="G693">
        <f>-(Table2499[[#This Row],[time]]-2)*2</f>
        <v>-0.10252000000000017</v>
      </c>
      <c r="H693">
        <v>94.594200000000001</v>
      </c>
      <c r="I693">
        <v>2.7297199999999999</v>
      </c>
      <c r="J693">
        <f>Table2499[[#This Row],[CFNM]]/Table2499[[#This Row],[CAREA]]</f>
        <v>2.885716037558328E-2</v>
      </c>
      <c r="K693">
        <v>2.0512600000000001</v>
      </c>
      <c r="L693">
        <f>-(Table3500[[#This Row],[time]]-2)*2</f>
        <v>-0.10252000000000017</v>
      </c>
      <c r="M693">
        <v>87.581999999999994</v>
      </c>
      <c r="N693">
        <v>3.57124</v>
      </c>
      <c r="O693">
        <f>Table3500[[#This Row],[CFNM]]/Table3500[[#This Row],[CAREA]]</f>
        <v>4.0775958530291617E-2</v>
      </c>
      <c r="P693">
        <v>2.0512600000000001</v>
      </c>
      <c r="Q693">
        <f>-(Table4501[[#This Row],[time]]-2)*2</f>
        <v>-0.10252000000000017</v>
      </c>
      <c r="R693">
        <v>85.181299999999993</v>
      </c>
      <c r="S693">
        <v>6.0413699999999997</v>
      </c>
      <c r="T693">
        <f>Table4501[[#This Row],[CFNM]]/Table4501[[#This Row],[CAREA]]</f>
        <v>7.0923665170641914E-2</v>
      </c>
      <c r="U693">
        <v>2.0512600000000001</v>
      </c>
      <c r="V693">
        <f>-(Table5502[[#This Row],[time]]-2)*2</f>
        <v>-0.10252000000000017</v>
      </c>
      <c r="W693">
        <v>82.554100000000005</v>
      </c>
      <c r="X693">
        <v>9.5416000000000007</v>
      </c>
      <c r="Y693">
        <f>Table5502[[#This Row],[CFNM]]/Table5502[[#This Row],[CAREA]]</f>
        <v>0.11557996513801252</v>
      </c>
      <c r="Z693">
        <v>2.0512600000000001</v>
      </c>
      <c r="AA693">
        <f>-(Table6503[[#This Row],[time]]-2)*2</f>
        <v>-0.10252000000000017</v>
      </c>
      <c r="AB693">
        <v>88.932299999999998</v>
      </c>
      <c r="AC693">
        <v>16.318000000000001</v>
      </c>
      <c r="AD693">
        <f>Table6503[[#This Row],[CFNM]]/Table6503[[#This Row],[CAREA]]</f>
        <v>0.18348788910215974</v>
      </c>
      <c r="AE693">
        <v>2.0512600000000001</v>
      </c>
      <c r="AF693">
        <f>-(Table7504[[#This Row],[time]]-2)*2</f>
        <v>-0.10252000000000017</v>
      </c>
      <c r="AG693">
        <v>78.041399999999996</v>
      </c>
      <c r="AH693">
        <v>22.5122</v>
      </c>
      <c r="AI693">
        <f>Table7504[[#This Row],[CFNM]]/Table7504[[#This Row],[CAREA]]</f>
        <v>0.28846484045647569</v>
      </c>
      <c r="AJ693">
        <v>2.0512600000000001</v>
      </c>
      <c r="AK693">
        <f>-(Table8505[[#This Row],[time]]-2)*2</f>
        <v>-0.10252000000000017</v>
      </c>
      <c r="AL693">
        <v>83.242099999999994</v>
      </c>
      <c r="AM693">
        <v>22.5974</v>
      </c>
      <c r="AN693">
        <f>Table8505[[#This Row],[CFNM]]/Table8505[[#This Row],[CAREA]]</f>
        <v>0.2714660009778706</v>
      </c>
    </row>
    <row r="694" spans="1:40">
      <c r="A694">
        <v>2.1153300000000002</v>
      </c>
      <c r="B694">
        <f>-(Table1498[[#This Row],[time]]-2)*2</f>
        <v>-0.23066000000000031</v>
      </c>
      <c r="C694">
        <v>89.287899999999993</v>
      </c>
      <c r="D694">
        <v>10.910500000000001</v>
      </c>
      <c r="E694">
        <f>Table1498[[#This Row],[CFNM]]/Table1498[[#This Row],[CAREA]]</f>
        <v>0.12219460867597963</v>
      </c>
      <c r="F694">
        <v>2.1153300000000002</v>
      </c>
      <c r="G694">
        <f>-(Table2499[[#This Row],[time]]-2)*2</f>
        <v>-0.23066000000000031</v>
      </c>
      <c r="H694">
        <v>94.332700000000003</v>
      </c>
      <c r="I694">
        <v>2.8671099999999998</v>
      </c>
      <c r="J694">
        <f>Table2499[[#This Row],[CFNM]]/Table2499[[#This Row],[CAREA]]</f>
        <v>3.0393596282095179E-2</v>
      </c>
      <c r="K694">
        <v>2.1153300000000002</v>
      </c>
      <c r="L694">
        <f>-(Table3500[[#This Row],[time]]-2)*2</f>
        <v>-0.23066000000000031</v>
      </c>
      <c r="M694">
        <v>87.602800000000002</v>
      </c>
      <c r="N694">
        <v>4.7709900000000003</v>
      </c>
      <c r="O694">
        <f>Table3500[[#This Row],[CFNM]]/Table3500[[#This Row],[CAREA]]</f>
        <v>5.4461615382156735E-2</v>
      </c>
      <c r="P694">
        <v>2.1153300000000002</v>
      </c>
      <c r="Q694">
        <f>-(Table4501[[#This Row],[time]]-2)*2</f>
        <v>-0.23066000000000031</v>
      </c>
      <c r="R694">
        <v>85.364500000000007</v>
      </c>
      <c r="S694">
        <v>7.6018400000000002</v>
      </c>
      <c r="T694">
        <f>Table4501[[#This Row],[CFNM]]/Table4501[[#This Row],[CAREA]]</f>
        <v>8.9051537817242524E-2</v>
      </c>
      <c r="U694">
        <v>2.1153300000000002</v>
      </c>
      <c r="V694">
        <f>-(Table5502[[#This Row],[time]]-2)*2</f>
        <v>-0.23066000000000031</v>
      </c>
      <c r="W694">
        <v>82.167599999999993</v>
      </c>
      <c r="X694">
        <v>13.786099999999999</v>
      </c>
      <c r="Y694">
        <f>Table5502[[#This Row],[CFNM]]/Table5502[[#This Row],[CAREA]]</f>
        <v>0.16778024428120086</v>
      </c>
      <c r="Z694">
        <v>2.1153300000000002</v>
      </c>
      <c r="AA694">
        <f>-(Table6503[[#This Row],[time]]-2)*2</f>
        <v>-0.23066000000000031</v>
      </c>
      <c r="AB694">
        <v>88.938000000000002</v>
      </c>
      <c r="AC694">
        <v>21.403400000000001</v>
      </c>
      <c r="AD694">
        <f>Table6503[[#This Row],[CFNM]]/Table6503[[#This Row],[CAREA]]</f>
        <v>0.24065528795340574</v>
      </c>
      <c r="AE694">
        <v>2.1153300000000002</v>
      </c>
      <c r="AF694">
        <f>-(Table7504[[#This Row],[time]]-2)*2</f>
        <v>-0.23066000000000031</v>
      </c>
      <c r="AG694">
        <v>78.602500000000006</v>
      </c>
      <c r="AH694">
        <v>24.359100000000002</v>
      </c>
      <c r="AI694">
        <f>Table7504[[#This Row],[CFNM]]/Table7504[[#This Row],[CAREA]]</f>
        <v>0.30990235679526734</v>
      </c>
      <c r="AJ694">
        <v>2.1153300000000002</v>
      </c>
      <c r="AK694">
        <f>-(Table8505[[#This Row],[time]]-2)*2</f>
        <v>-0.23066000000000031</v>
      </c>
      <c r="AL694">
        <v>83.084000000000003</v>
      </c>
      <c r="AM694">
        <v>24.8065</v>
      </c>
      <c r="AN694">
        <f>Table8505[[#This Row],[CFNM]]/Table8505[[#This Row],[CAREA]]</f>
        <v>0.2985713254056136</v>
      </c>
    </row>
    <row r="695" spans="1:40">
      <c r="A695">
        <v>2.16533</v>
      </c>
      <c r="B695">
        <f>-(Table1498[[#This Row],[time]]-2)*2</f>
        <v>-0.33065999999999995</v>
      </c>
      <c r="C695">
        <v>88.898899999999998</v>
      </c>
      <c r="D695">
        <v>11.7112</v>
      </c>
      <c r="E695">
        <f>Table1498[[#This Row],[CFNM]]/Table1498[[#This Row],[CAREA]]</f>
        <v>0.13173616321461795</v>
      </c>
      <c r="F695">
        <v>2.16533</v>
      </c>
      <c r="G695">
        <f>-(Table2499[[#This Row],[time]]-2)*2</f>
        <v>-0.33065999999999995</v>
      </c>
      <c r="H695">
        <v>94.084699999999998</v>
      </c>
      <c r="I695">
        <v>3.13978</v>
      </c>
      <c r="J695">
        <f>Table2499[[#This Row],[CFNM]]/Table2499[[#This Row],[CAREA]]</f>
        <v>3.3371844731396288E-2</v>
      </c>
      <c r="K695">
        <v>2.16533</v>
      </c>
      <c r="L695">
        <f>-(Table3500[[#This Row],[time]]-2)*2</f>
        <v>-0.33065999999999995</v>
      </c>
      <c r="M695">
        <v>87.686099999999996</v>
      </c>
      <c r="N695">
        <v>5.9290900000000004</v>
      </c>
      <c r="O695">
        <f>Table3500[[#This Row],[CFNM]]/Table3500[[#This Row],[CAREA]]</f>
        <v>6.7617216411723191E-2</v>
      </c>
      <c r="P695">
        <v>2.16533</v>
      </c>
      <c r="Q695">
        <f>-(Table4501[[#This Row],[time]]-2)*2</f>
        <v>-0.33065999999999995</v>
      </c>
      <c r="R695">
        <v>85.5184</v>
      </c>
      <c r="S695">
        <v>9.1949500000000004</v>
      </c>
      <c r="T695">
        <f>Table4501[[#This Row],[CFNM]]/Table4501[[#This Row],[CAREA]]</f>
        <v>0.10752013601751202</v>
      </c>
      <c r="U695">
        <v>2.16533</v>
      </c>
      <c r="V695">
        <f>-(Table5502[[#This Row],[time]]-2)*2</f>
        <v>-0.33065999999999995</v>
      </c>
      <c r="W695">
        <v>81.874600000000001</v>
      </c>
      <c r="X695">
        <v>17.941600000000001</v>
      </c>
      <c r="Y695">
        <f>Table5502[[#This Row],[CFNM]]/Table5502[[#This Row],[CAREA]]</f>
        <v>0.21913511638530145</v>
      </c>
      <c r="Z695">
        <v>2.16533</v>
      </c>
      <c r="AA695">
        <f>-(Table6503[[#This Row],[time]]-2)*2</f>
        <v>-0.33065999999999995</v>
      </c>
      <c r="AB695">
        <v>88.884</v>
      </c>
      <c r="AC695">
        <v>26.277799999999999</v>
      </c>
      <c r="AD695">
        <f>Table6503[[#This Row],[CFNM]]/Table6503[[#This Row],[CAREA]]</f>
        <v>0.29564151028306557</v>
      </c>
      <c r="AE695">
        <v>2.16533</v>
      </c>
      <c r="AF695">
        <f>-(Table7504[[#This Row],[time]]-2)*2</f>
        <v>-0.33065999999999995</v>
      </c>
      <c r="AG695">
        <v>78.848500000000001</v>
      </c>
      <c r="AH695">
        <v>26.391500000000001</v>
      </c>
      <c r="AI695">
        <f>Table7504[[#This Row],[CFNM]]/Table7504[[#This Row],[CAREA]]</f>
        <v>0.33471150370647507</v>
      </c>
      <c r="AJ695">
        <v>2.16533</v>
      </c>
      <c r="AK695">
        <f>-(Table8505[[#This Row],[time]]-2)*2</f>
        <v>-0.33065999999999995</v>
      </c>
      <c r="AL695">
        <v>82.865799999999993</v>
      </c>
      <c r="AM695">
        <v>27.454000000000001</v>
      </c>
      <c r="AN695">
        <f>Table8505[[#This Row],[CFNM]]/Table8505[[#This Row],[CAREA]]</f>
        <v>0.33130676346574828</v>
      </c>
    </row>
    <row r="696" spans="1:40">
      <c r="A696">
        <v>2.2246999999999999</v>
      </c>
      <c r="B696">
        <f>-(Table1498[[#This Row],[time]]-2)*2</f>
        <v>-0.4493999999999998</v>
      </c>
      <c r="C696">
        <v>88.344300000000004</v>
      </c>
      <c r="D696">
        <v>12.7182</v>
      </c>
      <c r="E696">
        <f>Table1498[[#This Row],[CFNM]]/Table1498[[#This Row],[CAREA]]</f>
        <v>0.14396174965447683</v>
      </c>
      <c r="F696">
        <v>2.2246999999999999</v>
      </c>
      <c r="G696">
        <f>-(Table2499[[#This Row],[time]]-2)*2</f>
        <v>-0.4493999999999998</v>
      </c>
      <c r="H696">
        <v>93.590999999999994</v>
      </c>
      <c r="I696">
        <v>3.5708099999999998</v>
      </c>
      <c r="J696">
        <f>Table2499[[#This Row],[CFNM]]/Table2499[[#This Row],[CAREA]]</f>
        <v>3.8153348078340865E-2</v>
      </c>
      <c r="K696">
        <v>2.2246999999999999</v>
      </c>
      <c r="L696">
        <f>-(Table3500[[#This Row],[time]]-2)*2</f>
        <v>-0.4493999999999998</v>
      </c>
      <c r="M696">
        <v>87.8005</v>
      </c>
      <c r="N696">
        <v>7.3877100000000002</v>
      </c>
      <c r="O696">
        <f>Table3500[[#This Row],[CFNM]]/Table3500[[#This Row],[CAREA]]</f>
        <v>8.414200374713128E-2</v>
      </c>
      <c r="P696">
        <v>2.2246999999999999</v>
      </c>
      <c r="Q696">
        <f>-(Table4501[[#This Row],[time]]-2)*2</f>
        <v>-0.4493999999999998</v>
      </c>
      <c r="R696">
        <v>86.329300000000003</v>
      </c>
      <c r="S696">
        <v>11.2224</v>
      </c>
      <c r="T696">
        <f>Table4501[[#This Row],[CFNM]]/Table4501[[#This Row],[CAREA]]</f>
        <v>0.12999526232692724</v>
      </c>
      <c r="U696">
        <v>2.2246999999999999</v>
      </c>
      <c r="V696">
        <f>-(Table5502[[#This Row],[time]]-2)*2</f>
        <v>-0.4493999999999998</v>
      </c>
      <c r="W696">
        <v>81.739199999999997</v>
      </c>
      <c r="X696">
        <v>22.744599999999998</v>
      </c>
      <c r="Y696">
        <f>Table5502[[#This Row],[CFNM]]/Table5502[[#This Row],[CAREA]]</f>
        <v>0.27825816743985748</v>
      </c>
      <c r="Z696">
        <v>2.2246999999999999</v>
      </c>
      <c r="AA696">
        <f>-(Table6503[[#This Row],[time]]-2)*2</f>
        <v>-0.4493999999999998</v>
      </c>
      <c r="AB696">
        <v>89.29</v>
      </c>
      <c r="AC696">
        <v>32.189300000000003</v>
      </c>
      <c r="AD696">
        <f>Table6503[[#This Row],[CFNM]]/Table6503[[#This Row],[CAREA]]</f>
        <v>0.36050285586291858</v>
      </c>
      <c r="AE696">
        <v>2.2246999999999999</v>
      </c>
      <c r="AF696">
        <f>-(Table7504[[#This Row],[time]]-2)*2</f>
        <v>-0.4493999999999998</v>
      </c>
      <c r="AG696">
        <v>79.3035</v>
      </c>
      <c r="AH696">
        <v>29.492799999999999</v>
      </c>
      <c r="AI696">
        <f>Table7504[[#This Row],[CFNM]]/Table7504[[#This Row],[CAREA]]</f>
        <v>0.37189783553058819</v>
      </c>
      <c r="AJ696">
        <v>2.2246999999999999</v>
      </c>
      <c r="AK696">
        <f>-(Table8505[[#This Row],[time]]-2)*2</f>
        <v>-0.4493999999999998</v>
      </c>
      <c r="AL696">
        <v>82.585700000000003</v>
      </c>
      <c r="AM696">
        <v>31.574000000000002</v>
      </c>
      <c r="AN696">
        <f>Table8505[[#This Row],[CFNM]]/Table8505[[#This Row],[CAREA]]</f>
        <v>0.38231800420653939</v>
      </c>
    </row>
    <row r="697" spans="1:40">
      <c r="A697">
        <v>2.2668900000000001</v>
      </c>
      <c r="B697">
        <f>-(Table1498[[#This Row],[time]]-2)*2</f>
        <v>-0.53378000000000014</v>
      </c>
      <c r="C697">
        <v>88.208200000000005</v>
      </c>
      <c r="D697">
        <v>13.187200000000001</v>
      </c>
      <c r="E697">
        <f>Table1498[[#This Row],[CFNM]]/Table1498[[#This Row],[CAREA]]</f>
        <v>0.1495008400579538</v>
      </c>
      <c r="F697">
        <v>2.2668900000000001</v>
      </c>
      <c r="G697">
        <f>-(Table2499[[#This Row],[time]]-2)*2</f>
        <v>-0.53378000000000014</v>
      </c>
      <c r="H697">
        <v>93.44</v>
      </c>
      <c r="I697">
        <v>3.8244699999999998</v>
      </c>
      <c r="J697">
        <f>Table2499[[#This Row],[CFNM]]/Table2499[[#This Row],[CAREA]]</f>
        <v>4.0929687499999999E-2</v>
      </c>
      <c r="K697">
        <v>2.2668900000000001</v>
      </c>
      <c r="L697">
        <f>-(Table3500[[#This Row],[time]]-2)*2</f>
        <v>-0.53378000000000014</v>
      </c>
      <c r="M697">
        <v>87.850200000000001</v>
      </c>
      <c r="N697">
        <v>8.0612399999999997</v>
      </c>
      <c r="O697">
        <f>Table3500[[#This Row],[CFNM]]/Table3500[[#This Row],[CAREA]]</f>
        <v>9.1761202592595112E-2</v>
      </c>
      <c r="P697">
        <v>2.2668900000000001</v>
      </c>
      <c r="Q697">
        <f>-(Table4501[[#This Row],[time]]-2)*2</f>
        <v>-0.53378000000000014</v>
      </c>
      <c r="R697">
        <v>86.410899999999998</v>
      </c>
      <c r="S697">
        <v>12.1686</v>
      </c>
      <c r="T697">
        <f>Table4501[[#This Row],[CFNM]]/Table4501[[#This Row],[CAREA]]</f>
        <v>0.14082251197476245</v>
      </c>
      <c r="U697">
        <v>2.2668900000000001</v>
      </c>
      <c r="V697">
        <f>-(Table5502[[#This Row],[time]]-2)*2</f>
        <v>-0.53378000000000014</v>
      </c>
      <c r="W697">
        <v>81.473799999999997</v>
      </c>
      <c r="X697">
        <v>24.541499999999999</v>
      </c>
      <c r="Y697">
        <f>Table5502[[#This Row],[CFNM]]/Table5502[[#This Row],[CAREA]]</f>
        <v>0.30121953315053429</v>
      </c>
      <c r="Z697">
        <v>2.2668900000000001</v>
      </c>
      <c r="AA697">
        <f>-(Table6503[[#This Row],[time]]-2)*2</f>
        <v>-0.53378000000000014</v>
      </c>
      <c r="AB697">
        <v>88.947400000000002</v>
      </c>
      <c r="AC697">
        <v>34.459499999999998</v>
      </c>
      <c r="AD697">
        <f>Table6503[[#This Row],[CFNM]]/Table6503[[#This Row],[CAREA]]</f>
        <v>0.38741435949786052</v>
      </c>
      <c r="AE697">
        <v>2.2668900000000001</v>
      </c>
      <c r="AF697">
        <f>-(Table7504[[#This Row],[time]]-2)*2</f>
        <v>-0.53378000000000014</v>
      </c>
      <c r="AG697">
        <v>79.483500000000006</v>
      </c>
      <c r="AH697">
        <v>30.947299999999998</v>
      </c>
      <c r="AI697">
        <f>Table7504[[#This Row],[CFNM]]/Table7504[[#This Row],[CAREA]]</f>
        <v>0.38935502336963013</v>
      </c>
      <c r="AJ697">
        <v>2.2668900000000001</v>
      </c>
      <c r="AK697">
        <f>-(Table8505[[#This Row],[time]]-2)*2</f>
        <v>-0.53378000000000014</v>
      </c>
      <c r="AL697">
        <v>82.462000000000003</v>
      </c>
      <c r="AM697">
        <v>33.470799999999997</v>
      </c>
      <c r="AN697">
        <f>Table8505[[#This Row],[CFNM]]/Table8505[[#This Row],[CAREA]]</f>
        <v>0.40589362372971788</v>
      </c>
    </row>
    <row r="698" spans="1:40">
      <c r="A698">
        <v>2.3262700000000001</v>
      </c>
      <c r="B698">
        <f>-(Table1498[[#This Row],[time]]-2)*2</f>
        <v>-0.65254000000000012</v>
      </c>
      <c r="C698">
        <v>87.895700000000005</v>
      </c>
      <c r="D698">
        <v>14.385899999999999</v>
      </c>
      <c r="E698">
        <f>Table1498[[#This Row],[CFNM]]/Table1498[[#This Row],[CAREA]]</f>
        <v>0.16367012265673975</v>
      </c>
      <c r="F698">
        <v>2.3262700000000001</v>
      </c>
      <c r="G698">
        <f>-(Table2499[[#This Row],[time]]-2)*2</f>
        <v>-0.65254000000000012</v>
      </c>
      <c r="H698">
        <v>93.169600000000003</v>
      </c>
      <c r="I698">
        <v>4.7722199999999999</v>
      </c>
      <c r="J698">
        <f>Table2499[[#This Row],[CFNM]]/Table2499[[#This Row],[CAREA]]</f>
        <v>5.1220784461884564E-2</v>
      </c>
      <c r="K698">
        <v>2.3262700000000001</v>
      </c>
      <c r="L698">
        <f>-(Table3500[[#This Row],[time]]-2)*2</f>
        <v>-0.65254000000000012</v>
      </c>
      <c r="M698">
        <v>87.9833</v>
      </c>
      <c r="N698">
        <v>9.7615400000000001</v>
      </c>
      <c r="O698">
        <f>Table3500[[#This Row],[CFNM]]/Table3500[[#This Row],[CAREA]]</f>
        <v>0.1109476457464087</v>
      </c>
      <c r="P698">
        <v>2.3262700000000001</v>
      </c>
      <c r="Q698">
        <f>-(Table4501[[#This Row],[time]]-2)*2</f>
        <v>-0.65254000000000012</v>
      </c>
      <c r="R698">
        <v>86.810500000000005</v>
      </c>
      <c r="S698">
        <v>14.6387</v>
      </c>
      <c r="T698">
        <f>Table4501[[#This Row],[CFNM]]/Table4501[[#This Row],[CAREA]]</f>
        <v>0.16862821893664937</v>
      </c>
      <c r="U698">
        <v>2.3262700000000001</v>
      </c>
      <c r="V698">
        <f>-(Table5502[[#This Row],[time]]-2)*2</f>
        <v>-0.65254000000000012</v>
      </c>
      <c r="W698">
        <v>80.640799999999999</v>
      </c>
      <c r="X698">
        <v>28.3262</v>
      </c>
      <c r="Y698">
        <f>Table5502[[#This Row],[CFNM]]/Table5502[[#This Row],[CAREA]]</f>
        <v>0.35126387635043305</v>
      </c>
      <c r="Z698">
        <v>2.3262700000000001</v>
      </c>
      <c r="AA698">
        <f>-(Table6503[[#This Row],[time]]-2)*2</f>
        <v>-0.65254000000000012</v>
      </c>
      <c r="AB698">
        <v>88.712299999999999</v>
      </c>
      <c r="AC698">
        <v>39.555399999999999</v>
      </c>
      <c r="AD698">
        <f>Table6503[[#This Row],[CFNM]]/Table6503[[#This Row],[CAREA]]</f>
        <v>0.44588405440959145</v>
      </c>
      <c r="AE698">
        <v>2.3262700000000001</v>
      </c>
      <c r="AF698">
        <f>-(Table7504[[#This Row],[time]]-2)*2</f>
        <v>-0.65254000000000012</v>
      </c>
      <c r="AG698">
        <v>79.844099999999997</v>
      </c>
      <c r="AH698">
        <v>34.938800000000001</v>
      </c>
      <c r="AI698">
        <f>Table7504[[#This Row],[CFNM]]/Table7504[[#This Row],[CAREA]]</f>
        <v>0.43758774912610954</v>
      </c>
      <c r="AJ698">
        <v>2.3262700000000001</v>
      </c>
      <c r="AK698">
        <f>-(Table8505[[#This Row],[time]]-2)*2</f>
        <v>-0.65254000000000012</v>
      </c>
      <c r="AL698">
        <v>82.158600000000007</v>
      </c>
      <c r="AM698">
        <v>38.216000000000001</v>
      </c>
      <c r="AN698">
        <f>Table8505[[#This Row],[CFNM]]/Table8505[[#This Row],[CAREA]]</f>
        <v>0.4651491140306675</v>
      </c>
    </row>
    <row r="699" spans="1:40">
      <c r="A699">
        <v>2.3684599999999998</v>
      </c>
      <c r="B699">
        <f>-(Table1498[[#This Row],[time]]-2)*2</f>
        <v>-0.73691999999999958</v>
      </c>
      <c r="C699">
        <v>87.526899999999998</v>
      </c>
      <c r="D699">
        <v>15.033200000000001</v>
      </c>
      <c r="E699">
        <f>Table1498[[#This Row],[CFNM]]/Table1498[[#This Row],[CAREA]]</f>
        <v>0.17175519754498333</v>
      </c>
      <c r="F699">
        <v>2.3684599999999998</v>
      </c>
      <c r="G699">
        <f>-(Table2499[[#This Row],[time]]-2)*2</f>
        <v>-0.73691999999999958</v>
      </c>
      <c r="H699">
        <v>92.963899999999995</v>
      </c>
      <c r="I699">
        <v>5.3398199999999996</v>
      </c>
      <c r="J699">
        <f>Table2499[[#This Row],[CFNM]]/Table2499[[#This Row],[CAREA]]</f>
        <v>5.7439715846688874E-2</v>
      </c>
      <c r="K699">
        <v>2.3684599999999998</v>
      </c>
      <c r="L699">
        <f>-(Table3500[[#This Row],[time]]-2)*2</f>
        <v>-0.73691999999999958</v>
      </c>
      <c r="M699">
        <v>88.065899999999999</v>
      </c>
      <c r="N699">
        <v>10.7197</v>
      </c>
      <c r="O699">
        <f>Table3500[[#This Row],[CFNM]]/Table3500[[#This Row],[CAREA]]</f>
        <v>0.12172361833581442</v>
      </c>
      <c r="P699">
        <v>2.3684599999999998</v>
      </c>
      <c r="Q699">
        <f>-(Table4501[[#This Row],[time]]-2)*2</f>
        <v>-0.73691999999999958</v>
      </c>
      <c r="R699">
        <v>86.884100000000004</v>
      </c>
      <c r="S699">
        <v>16.011500000000002</v>
      </c>
      <c r="T699">
        <f>Table4501[[#This Row],[CFNM]]/Table4501[[#This Row],[CAREA]]</f>
        <v>0.18428573237220619</v>
      </c>
      <c r="U699">
        <v>2.3684599999999998</v>
      </c>
      <c r="V699">
        <f>-(Table5502[[#This Row],[time]]-2)*2</f>
        <v>-0.73691999999999958</v>
      </c>
      <c r="W699">
        <v>79.712100000000007</v>
      </c>
      <c r="X699">
        <v>30.17</v>
      </c>
      <c r="Y699">
        <f>Table5502[[#This Row],[CFNM]]/Table5502[[#This Row],[CAREA]]</f>
        <v>0.37848708038051937</v>
      </c>
      <c r="Z699">
        <v>2.3684599999999998</v>
      </c>
      <c r="AA699">
        <f>-(Table6503[[#This Row],[time]]-2)*2</f>
        <v>-0.73691999999999958</v>
      </c>
      <c r="AB699">
        <v>88.221800000000002</v>
      </c>
      <c r="AC699">
        <v>42.209099999999999</v>
      </c>
      <c r="AD699">
        <f>Table6503[[#This Row],[CFNM]]/Table6503[[#This Row],[CAREA]]</f>
        <v>0.47844296987819335</v>
      </c>
      <c r="AE699">
        <v>2.3684599999999998</v>
      </c>
      <c r="AF699">
        <f>-(Table7504[[#This Row],[time]]-2)*2</f>
        <v>-0.73691999999999958</v>
      </c>
      <c r="AG699">
        <v>80.016499999999994</v>
      </c>
      <c r="AH699">
        <v>37.328000000000003</v>
      </c>
      <c r="AI699">
        <f>Table7504[[#This Row],[CFNM]]/Table7504[[#This Row],[CAREA]]</f>
        <v>0.46650378359463368</v>
      </c>
      <c r="AJ699">
        <v>2.3684599999999998</v>
      </c>
      <c r="AK699">
        <f>-(Table8505[[#This Row],[time]]-2)*2</f>
        <v>-0.73691999999999958</v>
      </c>
      <c r="AL699">
        <v>82.004599999999996</v>
      </c>
      <c r="AM699">
        <v>40.762099999999997</v>
      </c>
      <c r="AN699">
        <f>Table8505[[#This Row],[CFNM]]/Table8505[[#This Row],[CAREA]]</f>
        <v>0.49707089602290599</v>
      </c>
    </row>
    <row r="700" spans="1:40">
      <c r="A700">
        <v>2.4278300000000002</v>
      </c>
      <c r="B700">
        <f>-(Table1498[[#This Row],[time]]-2)*2</f>
        <v>-0.85566000000000031</v>
      </c>
      <c r="C700">
        <v>87.329599999999999</v>
      </c>
      <c r="D700">
        <v>15.904199999999999</v>
      </c>
      <c r="E700">
        <f>Table1498[[#This Row],[CFNM]]/Table1498[[#This Row],[CAREA]]</f>
        <v>0.18211694545721038</v>
      </c>
      <c r="F700">
        <v>2.4278300000000002</v>
      </c>
      <c r="G700">
        <f>-(Table2499[[#This Row],[time]]-2)*2</f>
        <v>-0.85566000000000031</v>
      </c>
      <c r="H700">
        <v>92.900700000000001</v>
      </c>
      <c r="I700">
        <v>6.1686300000000003</v>
      </c>
      <c r="J700">
        <f>Table2499[[#This Row],[CFNM]]/Table2499[[#This Row],[CAREA]]</f>
        <v>6.640025317354982E-2</v>
      </c>
      <c r="K700">
        <v>2.4278300000000002</v>
      </c>
      <c r="L700">
        <f>-(Table3500[[#This Row],[time]]-2)*2</f>
        <v>-0.85566000000000031</v>
      </c>
      <c r="M700">
        <v>88.202699999999993</v>
      </c>
      <c r="N700">
        <v>12.1355</v>
      </c>
      <c r="O700">
        <f>Table3500[[#This Row],[CFNM]]/Table3500[[#This Row],[CAREA]]</f>
        <v>0.1375864911164851</v>
      </c>
      <c r="P700">
        <v>2.4278300000000002</v>
      </c>
      <c r="Q700">
        <f>-(Table4501[[#This Row],[time]]-2)*2</f>
        <v>-0.85566000000000031</v>
      </c>
      <c r="R700">
        <v>87.016000000000005</v>
      </c>
      <c r="S700">
        <v>17.972999999999999</v>
      </c>
      <c r="T700">
        <f>Table4501[[#This Row],[CFNM]]/Table4501[[#This Row],[CAREA]]</f>
        <v>0.20654822101682446</v>
      </c>
      <c r="U700">
        <v>2.4278300000000002</v>
      </c>
      <c r="V700">
        <f>-(Table5502[[#This Row],[time]]-2)*2</f>
        <v>-0.85566000000000031</v>
      </c>
      <c r="W700">
        <v>79.072800000000001</v>
      </c>
      <c r="X700">
        <v>32.521700000000003</v>
      </c>
      <c r="Y700">
        <f>Table5502[[#This Row],[CFNM]]/Table5502[[#This Row],[CAREA]]</f>
        <v>0.4112880788336824</v>
      </c>
      <c r="Z700">
        <v>2.4278300000000002</v>
      </c>
      <c r="AA700">
        <f>-(Table6503[[#This Row],[time]]-2)*2</f>
        <v>-0.85566000000000031</v>
      </c>
      <c r="AB700">
        <v>87.538899999999998</v>
      </c>
      <c r="AC700">
        <v>45.727400000000003</v>
      </c>
      <c r="AD700">
        <f>Table6503[[#This Row],[CFNM]]/Table6503[[#This Row],[CAREA]]</f>
        <v>0.52236662786486932</v>
      </c>
      <c r="AE700">
        <v>2.4278300000000002</v>
      </c>
      <c r="AF700">
        <f>-(Table7504[[#This Row],[time]]-2)*2</f>
        <v>-0.85566000000000031</v>
      </c>
      <c r="AG700">
        <v>80.181399999999996</v>
      </c>
      <c r="AH700">
        <v>40.732799999999997</v>
      </c>
      <c r="AI700">
        <f>Table7504[[#This Row],[CFNM]]/Table7504[[#This Row],[CAREA]]</f>
        <v>0.50800809165217864</v>
      </c>
      <c r="AJ700">
        <v>2.4278300000000002</v>
      </c>
      <c r="AK700">
        <f>-(Table8505[[#This Row],[time]]-2)*2</f>
        <v>-0.85566000000000031</v>
      </c>
      <c r="AL700">
        <v>81.189800000000005</v>
      </c>
      <c r="AM700">
        <v>44.186199999999999</v>
      </c>
      <c r="AN700">
        <f>Table8505[[#This Row],[CFNM]]/Table8505[[#This Row],[CAREA]]</f>
        <v>0.54423338892323914</v>
      </c>
    </row>
    <row r="701" spans="1:40">
      <c r="A701">
        <v>2.4542000000000002</v>
      </c>
      <c r="B701">
        <f>-(Table1498[[#This Row],[time]]-2)*2</f>
        <v>-0.90840000000000032</v>
      </c>
      <c r="C701">
        <v>87.046199999999999</v>
      </c>
      <c r="D701">
        <v>16.8797</v>
      </c>
      <c r="E701">
        <f>Table1498[[#This Row],[CFNM]]/Table1498[[#This Row],[CAREA]]</f>
        <v>0.19391656384770387</v>
      </c>
      <c r="F701">
        <v>2.4542000000000002</v>
      </c>
      <c r="G701">
        <f>-(Table2499[[#This Row],[time]]-2)*2</f>
        <v>-0.90840000000000032</v>
      </c>
      <c r="H701">
        <v>92.843100000000007</v>
      </c>
      <c r="I701">
        <v>7.0533799999999998</v>
      </c>
      <c r="J701">
        <f>Table2499[[#This Row],[CFNM]]/Table2499[[#This Row],[CAREA]]</f>
        <v>7.597096607071499E-2</v>
      </c>
      <c r="K701">
        <v>2.4542000000000002</v>
      </c>
      <c r="L701">
        <f>-(Table3500[[#This Row],[time]]-2)*2</f>
        <v>-0.90840000000000032</v>
      </c>
      <c r="M701">
        <v>88.421599999999998</v>
      </c>
      <c r="N701">
        <v>13.907</v>
      </c>
      <c r="O701">
        <f>Table3500[[#This Row],[CFNM]]/Table3500[[#This Row],[CAREA]]</f>
        <v>0.1572805739773992</v>
      </c>
      <c r="P701">
        <v>2.4542000000000002</v>
      </c>
      <c r="Q701">
        <f>-(Table4501[[#This Row],[time]]-2)*2</f>
        <v>-0.90840000000000032</v>
      </c>
      <c r="R701">
        <v>87.205600000000004</v>
      </c>
      <c r="S701">
        <v>20.2151</v>
      </c>
      <c r="T701">
        <f>Table4501[[#This Row],[CFNM]]/Table4501[[#This Row],[CAREA]]</f>
        <v>0.23180965442586254</v>
      </c>
      <c r="U701">
        <v>2.4542000000000002</v>
      </c>
      <c r="V701">
        <f>-(Table5502[[#This Row],[time]]-2)*2</f>
        <v>-0.90840000000000032</v>
      </c>
      <c r="W701">
        <v>78.109700000000004</v>
      </c>
      <c r="X701">
        <v>35.213999999999999</v>
      </c>
      <c r="Y701">
        <f>Table5502[[#This Row],[CFNM]]/Table5502[[#This Row],[CAREA]]</f>
        <v>0.45082749005565248</v>
      </c>
      <c r="Z701">
        <v>2.4542000000000002</v>
      </c>
      <c r="AA701">
        <f>-(Table6503[[#This Row],[time]]-2)*2</f>
        <v>-0.90840000000000032</v>
      </c>
      <c r="AB701">
        <v>86.723699999999994</v>
      </c>
      <c r="AC701">
        <v>49.471200000000003</v>
      </c>
      <c r="AD701">
        <f>Table6503[[#This Row],[CFNM]]/Table6503[[#This Row],[CAREA]]</f>
        <v>0.5704461410202748</v>
      </c>
      <c r="AE701">
        <v>2.4542000000000002</v>
      </c>
      <c r="AF701">
        <f>-(Table7504[[#This Row],[time]]-2)*2</f>
        <v>-0.90840000000000032</v>
      </c>
      <c r="AG701">
        <v>80.204300000000003</v>
      </c>
      <c r="AH701">
        <v>44.584400000000002</v>
      </c>
      <c r="AI701">
        <f>Table7504[[#This Row],[CFNM]]/Table7504[[#This Row],[CAREA]]</f>
        <v>0.55588540764023875</v>
      </c>
      <c r="AJ701">
        <v>2.4542000000000002</v>
      </c>
      <c r="AK701">
        <f>-(Table8505[[#This Row],[time]]-2)*2</f>
        <v>-0.90840000000000032</v>
      </c>
      <c r="AL701">
        <v>81.011600000000001</v>
      </c>
      <c r="AM701">
        <v>48.034799999999997</v>
      </c>
      <c r="AN701">
        <f>Table8505[[#This Row],[CFNM]]/Table8505[[#This Row],[CAREA]]</f>
        <v>0.59293730774358233</v>
      </c>
    </row>
    <row r="702" spans="1:40">
      <c r="A702">
        <v>2.5061499999999999</v>
      </c>
      <c r="B702">
        <f>-(Table1498[[#This Row],[time]]-2)*2</f>
        <v>-1.0122999999999998</v>
      </c>
      <c r="C702">
        <v>86.986599999999996</v>
      </c>
      <c r="D702">
        <v>17.7742</v>
      </c>
      <c r="E702">
        <f>Table1498[[#This Row],[CFNM]]/Table1498[[#This Row],[CAREA]]</f>
        <v>0.20433262134627633</v>
      </c>
      <c r="F702">
        <v>2.5061499999999999</v>
      </c>
      <c r="G702">
        <f>-(Table2499[[#This Row],[time]]-2)*2</f>
        <v>-1.0122999999999998</v>
      </c>
      <c r="H702">
        <v>92.800399999999996</v>
      </c>
      <c r="I702">
        <v>7.89642</v>
      </c>
      <c r="J702">
        <f>Table2499[[#This Row],[CFNM]]/Table2499[[#This Row],[CAREA]]</f>
        <v>8.5090365989801769E-2</v>
      </c>
      <c r="K702">
        <v>2.5061499999999999</v>
      </c>
      <c r="L702">
        <f>-(Table3500[[#This Row],[time]]-2)*2</f>
        <v>-1.0122999999999998</v>
      </c>
      <c r="M702">
        <v>88.717399999999998</v>
      </c>
      <c r="N702">
        <v>15.754300000000001</v>
      </c>
      <c r="O702">
        <f>Table3500[[#This Row],[CFNM]]/Table3500[[#This Row],[CAREA]]</f>
        <v>0.1775784682598904</v>
      </c>
      <c r="P702">
        <v>2.5061499999999999</v>
      </c>
      <c r="Q702">
        <f>-(Table4501[[#This Row],[time]]-2)*2</f>
        <v>-1.0122999999999998</v>
      </c>
      <c r="R702">
        <v>87.440899999999999</v>
      </c>
      <c r="S702">
        <v>22.477900000000002</v>
      </c>
      <c r="T702">
        <f>Table4501[[#This Row],[CFNM]]/Table4501[[#This Row],[CAREA]]</f>
        <v>0.25706391402650247</v>
      </c>
      <c r="U702">
        <v>2.5061499999999999</v>
      </c>
      <c r="V702">
        <f>-(Table5502[[#This Row],[time]]-2)*2</f>
        <v>-1.0122999999999998</v>
      </c>
      <c r="W702">
        <v>77.240799999999993</v>
      </c>
      <c r="X702">
        <v>37.7958</v>
      </c>
      <c r="Y702">
        <f>Table5502[[#This Row],[CFNM]]/Table5502[[#This Row],[CAREA]]</f>
        <v>0.48932429493221202</v>
      </c>
      <c r="Z702">
        <v>2.5061499999999999</v>
      </c>
      <c r="AA702">
        <f>-(Table6503[[#This Row],[time]]-2)*2</f>
        <v>-1.0122999999999998</v>
      </c>
      <c r="AB702">
        <v>85.106899999999996</v>
      </c>
      <c r="AC702">
        <v>53.042099999999998</v>
      </c>
      <c r="AD702">
        <f>Table6503[[#This Row],[CFNM]]/Table6503[[#This Row],[CAREA]]</f>
        <v>0.62324088881160045</v>
      </c>
      <c r="AE702">
        <v>2.5061499999999999</v>
      </c>
      <c r="AF702">
        <f>-(Table7504[[#This Row],[time]]-2)*2</f>
        <v>-1.0122999999999998</v>
      </c>
      <c r="AG702">
        <v>80.090100000000007</v>
      </c>
      <c r="AH702">
        <v>48.386000000000003</v>
      </c>
      <c r="AI702">
        <f>Table7504[[#This Row],[CFNM]]/Table7504[[#This Row],[CAREA]]</f>
        <v>0.60414458216433742</v>
      </c>
      <c r="AJ702">
        <v>2.5061499999999999</v>
      </c>
      <c r="AK702">
        <f>-(Table8505[[#This Row],[time]]-2)*2</f>
        <v>-1.0122999999999998</v>
      </c>
      <c r="AL702">
        <v>80.844200000000001</v>
      </c>
      <c r="AM702">
        <v>51.749400000000001</v>
      </c>
      <c r="AN702">
        <f>Table8505[[#This Row],[CFNM]]/Table8505[[#This Row],[CAREA]]</f>
        <v>0.64011271062117014</v>
      </c>
    </row>
    <row r="703" spans="1:40">
      <c r="A703">
        <v>2.5507599999999999</v>
      </c>
      <c r="B703">
        <f>-(Table1498[[#This Row],[time]]-2)*2</f>
        <v>-1.1015199999999998</v>
      </c>
      <c r="C703">
        <v>86.961500000000001</v>
      </c>
      <c r="D703">
        <v>18.543500000000002</v>
      </c>
      <c r="E703">
        <f>Table1498[[#This Row],[CFNM]]/Table1498[[#This Row],[CAREA]]</f>
        <v>0.21323804212208852</v>
      </c>
      <c r="F703">
        <v>2.5507599999999999</v>
      </c>
      <c r="G703">
        <f>-(Table2499[[#This Row],[time]]-2)*2</f>
        <v>-1.1015199999999998</v>
      </c>
      <c r="H703">
        <v>92.781300000000002</v>
      </c>
      <c r="I703">
        <v>8.6461199999999998</v>
      </c>
      <c r="J703">
        <f>Table2499[[#This Row],[CFNM]]/Table2499[[#This Row],[CAREA]]</f>
        <v>9.318817477228708E-2</v>
      </c>
      <c r="K703">
        <v>2.5507599999999999</v>
      </c>
      <c r="L703">
        <f>-(Table3500[[#This Row],[time]]-2)*2</f>
        <v>-1.1015199999999998</v>
      </c>
      <c r="M703">
        <v>88.941100000000006</v>
      </c>
      <c r="N703">
        <v>17.5288</v>
      </c>
      <c r="O703">
        <f>Table3500[[#This Row],[CFNM]]/Table3500[[#This Row],[CAREA]]</f>
        <v>0.19708323823294291</v>
      </c>
      <c r="P703">
        <v>2.5507599999999999</v>
      </c>
      <c r="Q703">
        <f>-(Table4501[[#This Row],[time]]-2)*2</f>
        <v>-1.1015199999999998</v>
      </c>
      <c r="R703">
        <v>87.618700000000004</v>
      </c>
      <c r="S703">
        <v>24.591799999999999</v>
      </c>
      <c r="T703">
        <f>Table4501[[#This Row],[CFNM]]/Table4501[[#This Row],[CAREA]]</f>
        <v>0.28066839613004985</v>
      </c>
      <c r="U703">
        <v>2.5507599999999999</v>
      </c>
      <c r="V703">
        <f>-(Table5502[[#This Row],[time]]-2)*2</f>
        <v>-1.1015199999999998</v>
      </c>
      <c r="W703">
        <v>76.2834</v>
      </c>
      <c r="X703">
        <v>40.086300000000001</v>
      </c>
      <c r="Y703">
        <f>Table5502[[#This Row],[CFNM]]/Table5502[[#This Row],[CAREA]]</f>
        <v>0.52549178458222889</v>
      </c>
      <c r="Z703">
        <v>2.5507599999999999</v>
      </c>
      <c r="AA703">
        <f>-(Table6503[[#This Row],[time]]-2)*2</f>
        <v>-1.1015199999999998</v>
      </c>
      <c r="AB703">
        <v>84.369699999999995</v>
      </c>
      <c r="AC703">
        <v>56.210599999999999</v>
      </c>
      <c r="AD703">
        <f>Table6503[[#This Row],[CFNM]]/Table6503[[#This Row],[CAREA]]</f>
        <v>0.66624155354351156</v>
      </c>
      <c r="AE703">
        <v>2.5507599999999999</v>
      </c>
      <c r="AF703">
        <f>-(Table7504[[#This Row],[time]]-2)*2</f>
        <v>-1.1015199999999998</v>
      </c>
      <c r="AG703">
        <v>79.888900000000007</v>
      </c>
      <c r="AH703">
        <v>51.828099999999999</v>
      </c>
      <c r="AI703">
        <f>Table7504[[#This Row],[CFNM]]/Table7504[[#This Row],[CAREA]]</f>
        <v>0.64875220462417171</v>
      </c>
      <c r="AJ703">
        <v>2.5507599999999999</v>
      </c>
      <c r="AK703">
        <f>-(Table8505[[#This Row],[time]]-2)*2</f>
        <v>-1.1015199999999998</v>
      </c>
      <c r="AL703">
        <v>80.672399999999996</v>
      </c>
      <c r="AM703">
        <v>55.117699999999999</v>
      </c>
      <c r="AN703">
        <f>Table8505[[#This Row],[CFNM]]/Table8505[[#This Row],[CAREA]]</f>
        <v>0.68322871267000862</v>
      </c>
    </row>
    <row r="704" spans="1:40">
      <c r="A704">
        <v>2.60453</v>
      </c>
      <c r="B704">
        <f>-(Table1498[[#This Row],[time]]-2)*2</f>
        <v>-1.20906</v>
      </c>
      <c r="C704">
        <v>86.961100000000002</v>
      </c>
      <c r="D704">
        <v>19.242699999999999</v>
      </c>
      <c r="E704">
        <f>Table1498[[#This Row],[CFNM]]/Table1498[[#This Row],[CAREA]]</f>
        <v>0.22127939963960896</v>
      </c>
      <c r="F704">
        <v>2.60453</v>
      </c>
      <c r="G704">
        <f>-(Table2499[[#This Row],[time]]-2)*2</f>
        <v>-1.20906</v>
      </c>
      <c r="H704">
        <v>92.780199999999994</v>
      </c>
      <c r="I704">
        <v>9.3595000000000006</v>
      </c>
      <c r="J704">
        <f>Table2499[[#This Row],[CFNM]]/Table2499[[#This Row],[CAREA]]</f>
        <v>0.10087820461693336</v>
      </c>
      <c r="K704">
        <v>2.60453</v>
      </c>
      <c r="L704">
        <f>-(Table3500[[#This Row],[time]]-2)*2</f>
        <v>-1.20906</v>
      </c>
      <c r="M704">
        <v>89.203800000000001</v>
      </c>
      <c r="N704">
        <v>19.282800000000002</v>
      </c>
      <c r="O704">
        <f>Table3500[[#This Row],[CFNM]]/Table3500[[#This Row],[CAREA]]</f>
        <v>0.21616567904057901</v>
      </c>
      <c r="P704">
        <v>2.60453</v>
      </c>
      <c r="Q704">
        <f>-(Table4501[[#This Row],[time]]-2)*2</f>
        <v>-1.20906</v>
      </c>
      <c r="R704">
        <v>87.831900000000005</v>
      </c>
      <c r="S704">
        <v>26.667300000000001</v>
      </c>
      <c r="T704">
        <f>Table4501[[#This Row],[CFNM]]/Table4501[[#This Row],[CAREA]]</f>
        <v>0.30361747838769287</v>
      </c>
      <c r="U704">
        <v>2.60453</v>
      </c>
      <c r="V704">
        <f>-(Table5502[[#This Row],[time]]-2)*2</f>
        <v>-1.20906</v>
      </c>
      <c r="W704">
        <v>75.354100000000003</v>
      </c>
      <c r="X704">
        <v>42.301099999999998</v>
      </c>
      <c r="Y704">
        <f>Table5502[[#This Row],[CFNM]]/Table5502[[#This Row],[CAREA]]</f>
        <v>0.56136427878509587</v>
      </c>
      <c r="Z704">
        <v>2.60453</v>
      </c>
      <c r="AA704">
        <f>-(Table6503[[#This Row],[time]]-2)*2</f>
        <v>-1.20906</v>
      </c>
      <c r="AB704">
        <v>83.625100000000003</v>
      </c>
      <c r="AC704">
        <v>59.227899999999998</v>
      </c>
      <c r="AD704">
        <f>Table6503[[#This Row],[CFNM]]/Table6503[[#This Row],[CAREA]]</f>
        <v>0.70825505739305539</v>
      </c>
      <c r="AE704">
        <v>2.60453</v>
      </c>
      <c r="AF704">
        <f>-(Table7504[[#This Row],[time]]-2)*2</f>
        <v>-1.20906</v>
      </c>
      <c r="AG704">
        <v>79.492599999999996</v>
      </c>
      <c r="AH704">
        <v>55.144100000000002</v>
      </c>
      <c r="AI704">
        <f>Table7504[[#This Row],[CFNM]]/Table7504[[#This Row],[CAREA]]</f>
        <v>0.69370104890266526</v>
      </c>
      <c r="AJ704">
        <v>2.60453</v>
      </c>
      <c r="AK704">
        <f>-(Table8505[[#This Row],[time]]-2)*2</f>
        <v>-1.20906</v>
      </c>
      <c r="AL704">
        <v>80.487200000000001</v>
      </c>
      <c r="AM704">
        <v>58.330100000000002</v>
      </c>
      <c r="AN704">
        <f>Table8505[[#This Row],[CFNM]]/Table8505[[#This Row],[CAREA]]</f>
        <v>0.72471274935641938</v>
      </c>
    </row>
    <row r="705" spans="1:40">
      <c r="A705">
        <v>2.65273</v>
      </c>
      <c r="B705">
        <f>-(Table1498[[#This Row],[time]]-2)*2</f>
        <v>-1.3054600000000001</v>
      </c>
      <c r="C705">
        <v>86.996700000000004</v>
      </c>
      <c r="D705">
        <v>20.040700000000001</v>
      </c>
      <c r="E705">
        <f>Table1498[[#This Row],[CFNM]]/Table1498[[#This Row],[CAREA]]</f>
        <v>0.23036161141744457</v>
      </c>
      <c r="F705">
        <v>2.65273</v>
      </c>
      <c r="G705">
        <f>-(Table2499[[#This Row],[time]]-2)*2</f>
        <v>-1.3054600000000001</v>
      </c>
      <c r="H705">
        <v>92.835599999999999</v>
      </c>
      <c r="I705">
        <v>10.382400000000001</v>
      </c>
      <c r="J705">
        <f>Table2499[[#This Row],[CFNM]]/Table2499[[#This Row],[CAREA]]</f>
        <v>0.11183640758502127</v>
      </c>
      <c r="K705">
        <v>2.65273</v>
      </c>
      <c r="L705">
        <f>-(Table3500[[#This Row],[time]]-2)*2</f>
        <v>-1.3054600000000001</v>
      </c>
      <c r="M705">
        <v>89.394900000000007</v>
      </c>
      <c r="N705">
        <v>21.485299999999999</v>
      </c>
      <c r="O705">
        <f>Table3500[[#This Row],[CFNM]]/Table3500[[#This Row],[CAREA]]</f>
        <v>0.24034145124610012</v>
      </c>
      <c r="P705">
        <v>2.65273</v>
      </c>
      <c r="Q705">
        <f>-(Table4501[[#This Row],[time]]-2)*2</f>
        <v>-1.3054600000000001</v>
      </c>
      <c r="R705">
        <v>88.052899999999994</v>
      </c>
      <c r="S705">
        <v>29.4605</v>
      </c>
      <c r="T705">
        <f>Table4501[[#This Row],[CFNM]]/Table4501[[#This Row],[CAREA]]</f>
        <v>0.33457728251993973</v>
      </c>
      <c r="U705">
        <v>2.65273</v>
      </c>
      <c r="V705">
        <f>-(Table5502[[#This Row],[time]]-2)*2</f>
        <v>-1.3054600000000001</v>
      </c>
      <c r="W705">
        <v>74.243099999999998</v>
      </c>
      <c r="X705">
        <v>45.5199</v>
      </c>
      <c r="Y705">
        <f>Table5502[[#This Row],[CFNM]]/Table5502[[#This Row],[CAREA]]</f>
        <v>0.6131196030338173</v>
      </c>
      <c r="Z705">
        <v>2.65273</v>
      </c>
      <c r="AA705">
        <f>-(Table6503[[#This Row],[time]]-2)*2</f>
        <v>-1.3054600000000001</v>
      </c>
      <c r="AB705">
        <v>82.742500000000007</v>
      </c>
      <c r="AC705">
        <v>63.635199999999998</v>
      </c>
      <c r="AD705">
        <f>Table6503[[#This Row],[CFNM]]/Table6503[[#This Row],[CAREA]]</f>
        <v>0.76907514276218381</v>
      </c>
      <c r="AE705">
        <v>2.65273</v>
      </c>
      <c r="AF705">
        <f>-(Table7504[[#This Row],[time]]-2)*2</f>
        <v>-1.3054600000000001</v>
      </c>
      <c r="AG705">
        <v>78.746099999999998</v>
      </c>
      <c r="AH705">
        <v>59.344700000000003</v>
      </c>
      <c r="AI705">
        <f>Table7504[[#This Row],[CFNM]]/Table7504[[#This Row],[CAREA]]</f>
        <v>0.75362081423714955</v>
      </c>
      <c r="AJ705">
        <v>2.65273</v>
      </c>
      <c r="AK705">
        <f>-(Table8505[[#This Row],[time]]-2)*2</f>
        <v>-1.3054600000000001</v>
      </c>
      <c r="AL705">
        <v>79.063599999999994</v>
      </c>
      <c r="AM705">
        <v>62.367600000000003</v>
      </c>
      <c r="AN705">
        <f>Table8505[[#This Row],[CFNM]]/Table8505[[#This Row],[CAREA]]</f>
        <v>0.78882823448464279</v>
      </c>
    </row>
    <row r="706" spans="1:40">
      <c r="A706">
        <v>2.7006199999999998</v>
      </c>
      <c r="B706">
        <f>-(Table1498[[#This Row],[time]]-2)*2</f>
        <v>-1.4012399999999996</v>
      </c>
      <c r="C706">
        <v>87.043099999999995</v>
      </c>
      <c r="D706">
        <v>20.701000000000001</v>
      </c>
      <c r="E706">
        <f>Table1498[[#This Row],[CFNM]]/Table1498[[#This Row],[CAREA]]</f>
        <v>0.2378247098276601</v>
      </c>
      <c r="F706">
        <v>2.7006199999999998</v>
      </c>
      <c r="G706">
        <f>-(Table2499[[#This Row],[time]]-2)*2</f>
        <v>-1.4012399999999996</v>
      </c>
      <c r="H706">
        <v>92.911299999999997</v>
      </c>
      <c r="I706">
        <v>11.2257</v>
      </c>
      <c r="J706">
        <f>Table2499[[#This Row],[CFNM]]/Table2499[[#This Row],[CAREA]]</f>
        <v>0.12082168692075129</v>
      </c>
      <c r="K706">
        <v>2.7006199999999998</v>
      </c>
      <c r="L706">
        <f>-(Table3500[[#This Row],[time]]-2)*2</f>
        <v>-1.4012399999999996</v>
      </c>
      <c r="M706">
        <v>89.375500000000002</v>
      </c>
      <c r="N706">
        <v>23.398299999999999</v>
      </c>
      <c r="O706">
        <f>Table3500[[#This Row],[CFNM]]/Table3500[[#This Row],[CAREA]]</f>
        <v>0.26179769623666438</v>
      </c>
      <c r="P706">
        <v>2.7006199999999998</v>
      </c>
      <c r="Q706">
        <f>-(Table4501[[#This Row],[time]]-2)*2</f>
        <v>-1.4012399999999996</v>
      </c>
      <c r="R706">
        <v>88.499700000000004</v>
      </c>
      <c r="S706">
        <v>31.900099999999998</v>
      </c>
      <c r="T706">
        <f>Table4501[[#This Row],[CFNM]]/Table4501[[#This Row],[CAREA]]</f>
        <v>0.36045432922371484</v>
      </c>
      <c r="U706">
        <v>2.7006199999999998</v>
      </c>
      <c r="V706">
        <f>-(Table5502[[#This Row],[time]]-2)*2</f>
        <v>-1.4012399999999996</v>
      </c>
      <c r="W706">
        <v>73.356499999999997</v>
      </c>
      <c r="X706">
        <v>48.331899999999997</v>
      </c>
      <c r="Y706">
        <f>Table5502[[#This Row],[CFNM]]/Table5502[[#This Row],[CAREA]]</f>
        <v>0.65886322275462983</v>
      </c>
      <c r="Z706">
        <v>2.7006199999999998</v>
      </c>
      <c r="AA706">
        <f>-(Table6503[[#This Row],[time]]-2)*2</f>
        <v>-1.4012399999999996</v>
      </c>
      <c r="AB706">
        <v>81.953199999999995</v>
      </c>
      <c r="AC706">
        <v>67.465299999999999</v>
      </c>
      <c r="AD706">
        <f>Table6503[[#This Row],[CFNM]]/Table6503[[#This Row],[CAREA]]</f>
        <v>0.82321739724623322</v>
      </c>
      <c r="AE706">
        <v>2.7006199999999998</v>
      </c>
      <c r="AF706">
        <f>-(Table7504[[#This Row],[time]]-2)*2</f>
        <v>-1.4012399999999996</v>
      </c>
      <c r="AG706">
        <v>77.997799999999998</v>
      </c>
      <c r="AH706">
        <v>62.93</v>
      </c>
      <c r="AI706">
        <f>Table7504[[#This Row],[CFNM]]/Table7504[[#This Row],[CAREA]]</f>
        <v>0.80681762818951308</v>
      </c>
      <c r="AJ706">
        <v>2.7006199999999998</v>
      </c>
      <c r="AK706">
        <f>-(Table8505[[#This Row],[time]]-2)*2</f>
        <v>-1.4012399999999996</v>
      </c>
      <c r="AL706">
        <v>78.924700000000001</v>
      </c>
      <c r="AM706">
        <v>65.836699999999993</v>
      </c>
      <c r="AN706">
        <f>Table8505[[#This Row],[CFNM]]/Table8505[[#This Row],[CAREA]]</f>
        <v>0.83417105164796312</v>
      </c>
    </row>
    <row r="707" spans="1:40">
      <c r="A707">
        <v>2.75176</v>
      </c>
      <c r="B707">
        <f>-(Table1498[[#This Row],[time]]-2)*2</f>
        <v>-1.50352</v>
      </c>
      <c r="C707">
        <v>87.122</v>
      </c>
      <c r="D707">
        <v>21.354199999999999</v>
      </c>
      <c r="E707">
        <f>Table1498[[#This Row],[CFNM]]/Table1498[[#This Row],[CAREA]]</f>
        <v>0.2451068616422947</v>
      </c>
      <c r="F707">
        <v>2.75176</v>
      </c>
      <c r="G707">
        <f>-(Table2499[[#This Row],[time]]-2)*2</f>
        <v>-1.50352</v>
      </c>
      <c r="H707">
        <v>93.024699999999996</v>
      </c>
      <c r="I707">
        <v>12.1052</v>
      </c>
      <c r="J707">
        <f>Table2499[[#This Row],[CFNM]]/Table2499[[#This Row],[CAREA]]</f>
        <v>0.13012887974914189</v>
      </c>
      <c r="K707">
        <v>2.75176</v>
      </c>
      <c r="L707">
        <f>-(Table3500[[#This Row],[time]]-2)*2</f>
        <v>-1.50352</v>
      </c>
      <c r="M707">
        <v>89.311700000000002</v>
      </c>
      <c r="N707">
        <v>25.4436</v>
      </c>
      <c r="O707">
        <f>Table3500[[#This Row],[CFNM]]/Table3500[[#This Row],[CAREA]]</f>
        <v>0.28488540695116094</v>
      </c>
      <c r="P707">
        <v>2.75176</v>
      </c>
      <c r="Q707">
        <f>-(Table4501[[#This Row],[time]]-2)*2</f>
        <v>-1.50352</v>
      </c>
      <c r="R707">
        <v>88.449299999999994</v>
      </c>
      <c r="S707">
        <v>34.461599999999997</v>
      </c>
      <c r="T707">
        <f>Table4501[[#This Row],[CFNM]]/Table4501[[#This Row],[CAREA]]</f>
        <v>0.38961981609803581</v>
      </c>
      <c r="U707">
        <v>2.75176</v>
      </c>
      <c r="V707">
        <f>-(Table5502[[#This Row],[time]]-2)*2</f>
        <v>-1.50352</v>
      </c>
      <c r="W707">
        <v>72.384600000000006</v>
      </c>
      <c r="X707">
        <v>51.161900000000003</v>
      </c>
      <c r="Y707">
        <f>Table5502[[#This Row],[CFNM]]/Table5502[[#This Row],[CAREA]]</f>
        <v>0.70680642015014239</v>
      </c>
      <c r="Z707">
        <v>2.75176</v>
      </c>
      <c r="AA707">
        <f>-(Table6503[[#This Row],[time]]-2)*2</f>
        <v>-1.50352</v>
      </c>
      <c r="AB707">
        <v>81.123900000000006</v>
      </c>
      <c r="AC707">
        <v>71.408600000000007</v>
      </c>
      <c r="AD707">
        <f>Table6503[[#This Row],[CFNM]]/Table6503[[#This Row],[CAREA]]</f>
        <v>0.88024121128298816</v>
      </c>
      <c r="AE707">
        <v>2.75176</v>
      </c>
      <c r="AF707">
        <f>-(Table7504[[#This Row],[time]]-2)*2</f>
        <v>-1.50352</v>
      </c>
      <c r="AG707">
        <v>77.316699999999997</v>
      </c>
      <c r="AH707">
        <v>66.472899999999996</v>
      </c>
      <c r="AI707">
        <f>Table7504[[#This Row],[CFNM]]/Table7504[[#This Row],[CAREA]]</f>
        <v>0.85974828206584086</v>
      </c>
      <c r="AJ707">
        <v>2.75176</v>
      </c>
      <c r="AK707">
        <f>-(Table8505[[#This Row],[time]]-2)*2</f>
        <v>-1.50352</v>
      </c>
      <c r="AL707">
        <v>78.7971</v>
      </c>
      <c r="AM707">
        <v>69.378299999999996</v>
      </c>
      <c r="AN707">
        <f>Table8505[[#This Row],[CFNM]]/Table8505[[#This Row],[CAREA]]</f>
        <v>0.88046768218627325</v>
      </c>
    </row>
    <row r="708" spans="1:40">
      <c r="A708">
        <v>2.80444</v>
      </c>
      <c r="B708">
        <f>-(Table1498[[#This Row],[time]]-2)*2</f>
        <v>-1.6088800000000001</v>
      </c>
      <c r="C708">
        <v>87.241799999999998</v>
      </c>
      <c r="D708">
        <v>22.072099999999999</v>
      </c>
      <c r="E708">
        <f>Table1498[[#This Row],[CFNM]]/Table1498[[#This Row],[CAREA]]</f>
        <v>0.2529991357353929</v>
      </c>
      <c r="F708">
        <v>2.80444</v>
      </c>
      <c r="G708">
        <f>-(Table2499[[#This Row],[time]]-2)*2</f>
        <v>-1.6088800000000001</v>
      </c>
      <c r="H708">
        <v>93.197199999999995</v>
      </c>
      <c r="I708">
        <v>13.1523</v>
      </c>
      <c r="J708">
        <f>Table2499[[#This Row],[CFNM]]/Table2499[[#This Row],[CAREA]]</f>
        <v>0.14112333846939609</v>
      </c>
      <c r="K708">
        <v>2.80444</v>
      </c>
      <c r="L708">
        <f>-(Table3500[[#This Row],[time]]-2)*2</f>
        <v>-1.6088800000000001</v>
      </c>
      <c r="M708">
        <v>89.658600000000007</v>
      </c>
      <c r="N708">
        <v>27.7011</v>
      </c>
      <c r="O708">
        <f>Table3500[[#This Row],[CFNM]]/Table3500[[#This Row],[CAREA]]</f>
        <v>0.30896199583754375</v>
      </c>
      <c r="P708">
        <v>2.80444</v>
      </c>
      <c r="Q708">
        <f>-(Table4501[[#This Row],[time]]-2)*2</f>
        <v>-1.6088800000000001</v>
      </c>
      <c r="R708">
        <v>88.427599999999998</v>
      </c>
      <c r="S708">
        <v>37.336599999999997</v>
      </c>
      <c r="T708">
        <f>Table4501[[#This Row],[CFNM]]/Table4501[[#This Row],[CAREA]]</f>
        <v>0.42222790169585062</v>
      </c>
      <c r="U708">
        <v>2.80444</v>
      </c>
      <c r="V708">
        <f>-(Table5502[[#This Row],[time]]-2)*2</f>
        <v>-1.6088800000000001</v>
      </c>
      <c r="W708">
        <v>70.659400000000005</v>
      </c>
      <c r="X708">
        <v>54.258699999999997</v>
      </c>
      <c r="Y708">
        <f>Table5502[[#This Row],[CFNM]]/Table5502[[#This Row],[CAREA]]</f>
        <v>0.76789075480403168</v>
      </c>
      <c r="Z708">
        <v>2.80444</v>
      </c>
      <c r="AA708">
        <f>-(Table6503[[#This Row],[time]]-2)*2</f>
        <v>-1.6088800000000001</v>
      </c>
      <c r="AB708">
        <v>80.256500000000003</v>
      </c>
      <c r="AC708">
        <v>75.655299999999997</v>
      </c>
      <c r="AD708">
        <f>Table6503[[#This Row],[CFNM]]/Table6503[[#This Row],[CAREA]]</f>
        <v>0.94266881810196057</v>
      </c>
      <c r="AE708">
        <v>2.80444</v>
      </c>
      <c r="AF708">
        <f>-(Table7504[[#This Row],[time]]-2)*2</f>
        <v>-1.6088800000000001</v>
      </c>
      <c r="AG708">
        <v>76.563400000000001</v>
      </c>
      <c r="AH708">
        <v>70.268699999999995</v>
      </c>
      <c r="AI708">
        <f>Table7504[[#This Row],[CFNM]]/Table7504[[#This Row],[CAREA]]</f>
        <v>0.91778447665594776</v>
      </c>
      <c r="AJ708">
        <v>2.80444</v>
      </c>
      <c r="AK708">
        <f>-(Table8505[[#This Row],[time]]-2)*2</f>
        <v>-1.6088800000000001</v>
      </c>
      <c r="AL708">
        <v>78.621200000000002</v>
      </c>
      <c r="AM708">
        <v>73.206199999999995</v>
      </c>
      <c r="AN708">
        <f>Table8505[[#This Row],[CFNM]]/Table8505[[#This Row],[CAREA]]</f>
        <v>0.9311254470804311</v>
      </c>
    </row>
    <row r="709" spans="1:40">
      <c r="A709">
        <v>2.8583699999999999</v>
      </c>
      <c r="B709">
        <f>-(Table1498[[#This Row],[time]]-2)*2</f>
        <v>-1.7167399999999997</v>
      </c>
      <c r="C709">
        <v>87.594800000000006</v>
      </c>
      <c r="D709">
        <v>22.724699999999999</v>
      </c>
      <c r="E709">
        <f>Table1498[[#This Row],[CFNM]]/Table1498[[#This Row],[CAREA]]</f>
        <v>0.25942978350313028</v>
      </c>
      <c r="F709">
        <v>2.8583699999999999</v>
      </c>
      <c r="G709">
        <f>-(Table2499[[#This Row],[time]]-2)*2</f>
        <v>-1.7167399999999997</v>
      </c>
      <c r="H709">
        <v>93.446899999999999</v>
      </c>
      <c r="I709">
        <v>14.227399999999999</v>
      </c>
      <c r="J709">
        <f>Table2499[[#This Row],[CFNM]]/Table2499[[#This Row],[CAREA]]</f>
        <v>0.15225117152093862</v>
      </c>
      <c r="K709">
        <v>2.8583699999999999</v>
      </c>
      <c r="L709">
        <f>-(Table3500[[#This Row],[time]]-2)*2</f>
        <v>-1.7167399999999997</v>
      </c>
      <c r="M709">
        <v>89.490700000000004</v>
      </c>
      <c r="N709">
        <v>29.9953</v>
      </c>
      <c r="O709">
        <f>Table3500[[#This Row],[CFNM]]/Table3500[[#This Row],[CAREA]]</f>
        <v>0.33517784529565642</v>
      </c>
      <c r="P709">
        <v>2.8583699999999999</v>
      </c>
      <c r="Q709">
        <f>-(Table4501[[#This Row],[time]]-2)*2</f>
        <v>-1.7167399999999997</v>
      </c>
      <c r="R709">
        <v>88.354799999999997</v>
      </c>
      <c r="S709">
        <v>40.365000000000002</v>
      </c>
      <c r="T709">
        <f>Table4501[[#This Row],[CFNM]]/Table4501[[#This Row],[CAREA]]</f>
        <v>0.45685124067962357</v>
      </c>
      <c r="U709">
        <v>2.8583699999999999</v>
      </c>
      <c r="V709">
        <f>-(Table5502[[#This Row],[time]]-2)*2</f>
        <v>-1.7167399999999997</v>
      </c>
      <c r="W709">
        <v>69.548699999999997</v>
      </c>
      <c r="X709">
        <v>57.296799999999998</v>
      </c>
      <c r="Y709">
        <f>Table5502[[#This Row],[CFNM]]/Table5502[[#This Row],[CAREA]]</f>
        <v>0.82383710982376379</v>
      </c>
      <c r="Z709">
        <v>2.8583699999999999</v>
      </c>
      <c r="AA709">
        <f>-(Table6503[[#This Row],[time]]-2)*2</f>
        <v>-1.7167399999999997</v>
      </c>
      <c r="AB709">
        <v>78.637699999999995</v>
      </c>
      <c r="AC709">
        <v>79.941199999999995</v>
      </c>
      <c r="AD709">
        <f>Table6503[[#This Row],[CFNM]]/Table6503[[#This Row],[CAREA]]</f>
        <v>1.0165760188815289</v>
      </c>
      <c r="AE709">
        <v>2.8583699999999999</v>
      </c>
      <c r="AF709">
        <f>-(Table7504[[#This Row],[time]]-2)*2</f>
        <v>-1.7167399999999997</v>
      </c>
      <c r="AG709">
        <v>75.875200000000007</v>
      </c>
      <c r="AH709">
        <v>74.052700000000002</v>
      </c>
      <c r="AI709">
        <f>Table7504[[#This Row],[CFNM]]/Table7504[[#This Row],[CAREA]]</f>
        <v>0.97598029395639152</v>
      </c>
      <c r="AJ709">
        <v>2.8583699999999999</v>
      </c>
      <c r="AK709">
        <f>-(Table8505[[#This Row],[time]]-2)*2</f>
        <v>-1.7167399999999997</v>
      </c>
      <c r="AL709">
        <v>78.389600000000002</v>
      </c>
      <c r="AM709">
        <v>77.016999999999996</v>
      </c>
      <c r="AN709">
        <f>Table8505[[#This Row],[CFNM]]/Table8505[[#This Row],[CAREA]]</f>
        <v>0.98249002418688192</v>
      </c>
    </row>
    <row r="710" spans="1:40">
      <c r="A710">
        <v>2.9134199999999999</v>
      </c>
      <c r="B710">
        <f>-(Table1498[[#This Row],[time]]-2)*2</f>
        <v>-1.8268399999999998</v>
      </c>
      <c r="C710">
        <v>87.876000000000005</v>
      </c>
      <c r="D710">
        <v>23.248200000000001</v>
      </c>
      <c r="E710">
        <f>Table1498[[#This Row],[CFNM]]/Table1498[[#This Row],[CAREA]]</f>
        <v>0.26455687559743274</v>
      </c>
      <c r="F710">
        <v>2.9134199999999999</v>
      </c>
      <c r="G710">
        <f>-(Table2499[[#This Row],[time]]-2)*2</f>
        <v>-1.8268399999999998</v>
      </c>
      <c r="H710">
        <v>93.875100000000003</v>
      </c>
      <c r="I710">
        <v>15.376799999999999</v>
      </c>
      <c r="J710">
        <f>Table2499[[#This Row],[CFNM]]/Table2499[[#This Row],[CAREA]]</f>
        <v>0.16380062444673826</v>
      </c>
      <c r="K710">
        <v>2.9134199999999999</v>
      </c>
      <c r="L710">
        <f>-(Table3500[[#This Row],[time]]-2)*2</f>
        <v>-1.8268399999999998</v>
      </c>
      <c r="M710">
        <v>89.434399999999997</v>
      </c>
      <c r="N710">
        <v>32.233899999999998</v>
      </c>
      <c r="O710">
        <f>Table3500[[#This Row],[CFNM]]/Table3500[[#This Row],[CAREA]]</f>
        <v>0.3604194806472677</v>
      </c>
      <c r="P710">
        <v>2.9134199999999999</v>
      </c>
      <c r="Q710">
        <f>-(Table4501[[#This Row],[time]]-2)*2</f>
        <v>-1.8268399999999998</v>
      </c>
      <c r="R710">
        <v>88.1995</v>
      </c>
      <c r="S710">
        <v>43.504600000000003</v>
      </c>
      <c r="T710">
        <f>Table4501[[#This Row],[CFNM]]/Table4501[[#This Row],[CAREA]]</f>
        <v>0.49325222932102791</v>
      </c>
      <c r="U710">
        <v>2.9134199999999999</v>
      </c>
      <c r="V710">
        <f>-(Table5502[[#This Row],[time]]-2)*2</f>
        <v>-1.8268399999999998</v>
      </c>
      <c r="W710">
        <v>68.499300000000005</v>
      </c>
      <c r="X710">
        <v>60.246099999999998</v>
      </c>
      <c r="Y710">
        <f>Table5502[[#This Row],[CFNM]]/Table5502[[#This Row],[CAREA]]</f>
        <v>0.87951409722435114</v>
      </c>
      <c r="Z710">
        <v>2.9134199999999999</v>
      </c>
      <c r="AA710">
        <f>-(Table6503[[#This Row],[time]]-2)*2</f>
        <v>-1.8268399999999998</v>
      </c>
      <c r="AB710">
        <v>77.741299999999995</v>
      </c>
      <c r="AC710">
        <v>84.164900000000003</v>
      </c>
      <c r="AD710">
        <f>Table6503[[#This Row],[CFNM]]/Table6503[[#This Row],[CAREA]]</f>
        <v>1.0826278953400574</v>
      </c>
      <c r="AE710">
        <v>2.9134199999999999</v>
      </c>
      <c r="AF710">
        <f>-(Table7504[[#This Row],[time]]-2)*2</f>
        <v>-1.8268399999999998</v>
      </c>
      <c r="AG710">
        <v>75.207300000000004</v>
      </c>
      <c r="AH710">
        <v>77.763199999999998</v>
      </c>
      <c r="AI710">
        <f>Table7504[[#This Row],[CFNM]]/Table7504[[#This Row],[CAREA]]</f>
        <v>1.0339847328650276</v>
      </c>
      <c r="AJ710">
        <v>2.9134199999999999</v>
      </c>
      <c r="AK710">
        <f>-(Table8505[[#This Row],[time]]-2)*2</f>
        <v>-1.8268399999999998</v>
      </c>
      <c r="AL710">
        <v>78.195700000000002</v>
      </c>
      <c r="AM710">
        <v>80.624899999999997</v>
      </c>
      <c r="AN710">
        <f>Table8505[[#This Row],[CFNM]]/Table8505[[#This Row],[CAREA]]</f>
        <v>1.0310656468322426</v>
      </c>
    </row>
    <row r="711" spans="1:40">
      <c r="A711">
        <v>2.9619599999999999</v>
      </c>
      <c r="B711">
        <f>-(Table1498[[#This Row],[time]]-2)*2</f>
        <v>-1.9239199999999999</v>
      </c>
      <c r="C711">
        <v>88.0535</v>
      </c>
      <c r="D711">
        <v>23.747699999999998</v>
      </c>
      <c r="E711">
        <f>Table1498[[#This Row],[CFNM]]/Table1498[[#This Row],[CAREA]]</f>
        <v>0.2696962642030129</v>
      </c>
      <c r="F711">
        <v>2.9619599999999999</v>
      </c>
      <c r="G711">
        <f>-(Table2499[[#This Row],[time]]-2)*2</f>
        <v>-1.9239199999999999</v>
      </c>
      <c r="H711">
        <v>94.391300000000001</v>
      </c>
      <c r="I711">
        <v>16.586200000000002</v>
      </c>
      <c r="J711">
        <f>Table2499[[#This Row],[CFNM]]/Table2499[[#This Row],[CAREA]]</f>
        <v>0.17571746548675568</v>
      </c>
      <c r="K711">
        <v>2.9619599999999999</v>
      </c>
      <c r="L711">
        <f>-(Table3500[[#This Row],[time]]-2)*2</f>
        <v>-1.9239199999999999</v>
      </c>
      <c r="M711">
        <v>89.242000000000004</v>
      </c>
      <c r="N711">
        <v>34.660200000000003</v>
      </c>
      <c r="O711">
        <f>Table3500[[#This Row],[CFNM]]/Table3500[[#This Row],[CAREA]]</f>
        <v>0.38838439299881222</v>
      </c>
      <c r="P711">
        <v>2.9619599999999999</v>
      </c>
      <c r="Q711">
        <f>-(Table4501[[#This Row],[time]]-2)*2</f>
        <v>-1.9239199999999999</v>
      </c>
      <c r="R711">
        <v>88.134500000000003</v>
      </c>
      <c r="S711">
        <v>46.888800000000003</v>
      </c>
      <c r="T711">
        <f>Table4501[[#This Row],[CFNM]]/Table4501[[#This Row],[CAREA]]</f>
        <v>0.53201413748305149</v>
      </c>
      <c r="U711">
        <v>2.9619599999999999</v>
      </c>
      <c r="V711">
        <f>-(Table5502[[#This Row],[time]]-2)*2</f>
        <v>-1.9239199999999999</v>
      </c>
      <c r="W711">
        <v>67.457400000000007</v>
      </c>
      <c r="X711">
        <v>63.270899999999997</v>
      </c>
      <c r="Y711">
        <f>Table5502[[#This Row],[CFNM]]/Table5502[[#This Row],[CAREA]]</f>
        <v>0.93793861014506918</v>
      </c>
      <c r="Z711">
        <v>2.9619599999999999</v>
      </c>
      <c r="AA711">
        <f>-(Table6503[[#This Row],[time]]-2)*2</f>
        <v>-1.9239199999999999</v>
      </c>
      <c r="AB711">
        <v>75.383600000000001</v>
      </c>
      <c r="AC711">
        <v>88.537000000000006</v>
      </c>
      <c r="AD711">
        <f>Table6503[[#This Row],[CFNM]]/Table6503[[#This Row],[CAREA]]</f>
        <v>1.1744862277736803</v>
      </c>
      <c r="AE711">
        <v>2.9619599999999999</v>
      </c>
      <c r="AF711">
        <f>-(Table7504[[#This Row],[time]]-2)*2</f>
        <v>-1.9239199999999999</v>
      </c>
      <c r="AG711">
        <v>74.519000000000005</v>
      </c>
      <c r="AH711">
        <v>81.575299999999999</v>
      </c>
      <c r="AI711">
        <f>Table7504[[#This Row],[CFNM]]/Table7504[[#This Row],[CAREA]]</f>
        <v>1.0946912867859202</v>
      </c>
      <c r="AJ711">
        <v>2.9619599999999999</v>
      </c>
      <c r="AK711">
        <f>-(Table8505[[#This Row],[time]]-2)*2</f>
        <v>-1.9239199999999999</v>
      </c>
      <c r="AL711">
        <v>78.043300000000002</v>
      </c>
      <c r="AM711">
        <v>84.183599999999998</v>
      </c>
      <c r="AN711">
        <f>Table8505[[#This Row],[CFNM]]/Table8505[[#This Row],[CAREA]]</f>
        <v>1.0786781184291283</v>
      </c>
    </row>
    <row r="712" spans="1:40">
      <c r="A712">
        <v>3</v>
      </c>
      <c r="B712">
        <f>-(Table1498[[#This Row],[time]]-2)*2</f>
        <v>-2</v>
      </c>
      <c r="C712">
        <v>88.438199999999995</v>
      </c>
      <c r="D712">
        <v>24.249300000000002</v>
      </c>
      <c r="E712">
        <f>Table1498[[#This Row],[CFNM]]/Table1498[[#This Row],[CAREA]]</f>
        <v>0.27419486149650268</v>
      </c>
      <c r="F712">
        <v>3</v>
      </c>
      <c r="G712">
        <f>-(Table2499[[#This Row],[time]]-2)*2</f>
        <v>-2</v>
      </c>
      <c r="H712">
        <v>95.015100000000004</v>
      </c>
      <c r="I712">
        <v>17.851299999999998</v>
      </c>
      <c r="J712">
        <f>Table2499[[#This Row],[CFNM]]/Table2499[[#This Row],[CAREA]]</f>
        <v>0.18787855825021493</v>
      </c>
      <c r="K712">
        <v>3</v>
      </c>
      <c r="L712">
        <f>-(Table3500[[#This Row],[time]]-2)*2</f>
        <v>-2</v>
      </c>
      <c r="M712">
        <v>89.138599999999997</v>
      </c>
      <c r="N712">
        <v>37.063099999999999</v>
      </c>
      <c r="O712">
        <f>Table3500[[#This Row],[CFNM]]/Table3500[[#This Row],[CAREA]]</f>
        <v>0.41579181185255321</v>
      </c>
      <c r="P712">
        <v>3</v>
      </c>
      <c r="Q712">
        <f>-(Table4501[[#This Row],[time]]-2)*2</f>
        <v>-2</v>
      </c>
      <c r="R712">
        <v>87.937600000000003</v>
      </c>
      <c r="S712">
        <v>50.428100000000001</v>
      </c>
      <c r="T712">
        <f>Table4501[[#This Row],[CFNM]]/Table4501[[#This Row],[CAREA]]</f>
        <v>0.57345322137515686</v>
      </c>
      <c r="U712">
        <v>3</v>
      </c>
      <c r="V712">
        <f>-(Table5502[[#This Row],[time]]-2)*2</f>
        <v>-2</v>
      </c>
      <c r="W712">
        <v>66.356700000000004</v>
      </c>
      <c r="X712">
        <v>66.261200000000002</v>
      </c>
      <c r="Y712">
        <f>Table5502[[#This Row],[CFNM]]/Table5502[[#This Row],[CAREA]]</f>
        <v>0.99856080847902318</v>
      </c>
      <c r="Z712">
        <v>3</v>
      </c>
      <c r="AA712">
        <f>-(Table6503[[#This Row],[time]]-2)*2</f>
        <v>-2</v>
      </c>
      <c r="AB712">
        <v>73.185900000000004</v>
      </c>
      <c r="AC712">
        <v>92.874600000000001</v>
      </c>
      <c r="AD712">
        <f>Table6503[[#This Row],[CFNM]]/Table6503[[#This Row],[CAREA]]</f>
        <v>1.269023131504839</v>
      </c>
      <c r="AE712">
        <v>3</v>
      </c>
      <c r="AF712">
        <f>-(Table7504[[#This Row],[time]]-2)*2</f>
        <v>-2</v>
      </c>
      <c r="AG712">
        <v>73.947199999999995</v>
      </c>
      <c r="AH712">
        <v>85.355999999999995</v>
      </c>
      <c r="AI712">
        <f>Table7504[[#This Row],[CFNM]]/Table7504[[#This Row],[CAREA]]</f>
        <v>1.1542830560183481</v>
      </c>
      <c r="AJ712">
        <v>3</v>
      </c>
      <c r="AK712">
        <f>-(Table8505[[#This Row],[time]]-2)*2</f>
        <v>-2</v>
      </c>
      <c r="AL712">
        <v>77.847999999999999</v>
      </c>
      <c r="AM712">
        <v>87.686800000000005</v>
      </c>
      <c r="AN712">
        <f>Table8505[[#This Row],[CFNM]]/Table8505[[#This Row],[CAREA]]</f>
        <v>1.1263847497687802</v>
      </c>
    </row>
    <row r="714" spans="1:40">
      <c r="A714" t="s">
        <v>71</v>
      </c>
      <c r="E714" t="s">
        <v>2</v>
      </c>
    </row>
    <row r="715" spans="1:40">
      <c r="A715" t="s">
        <v>72</v>
      </c>
      <c r="E715" t="s">
        <v>4</v>
      </c>
      <c r="F715" t="s">
        <v>5</v>
      </c>
    </row>
    <row r="717" spans="1:40">
      <c r="A717" t="s">
        <v>7</v>
      </c>
      <c r="F717" t="s">
        <v>8</v>
      </c>
      <c r="K717" t="s">
        <v>9</v>
      </c>
      <c r="P717" t="s">
        <v>26</v>
      </c>
      <c r="U717" t="s">
        <v>11</v>
      </c>
      <c r="Z717" t="s">
        <v>12</v>
      </c>
      <c r="AE717" t="s">
        <v>13</v>
      </c>
      <c r="AJ717" t="s">
        <v>14</v>
      </c>
    </row>
    <row r="718" spans="1:40">
      <c r="A718" t="s">
        <v>15</v>
      </c>
      <c r="B718" t="s">
        <v>16</v>
      </c>
      <c r="C718" t="s">
        <v>20</v>
      </c>
      <c r="D718" t="s">
        <v>18</v>
      </c>
      <c r="E718" t="s">
        <v>19</v>
      </c>
      <c r="F718" t="s">
        <v>15</v>
      </c>
      <c r="G718" t="s">
        <v>16</v>
      </c>
      <c r="H718" t="s">
        <v>20</v>
      </c>
      <c r="I718" t="s">
        <v>18</v>
      </c>
      <c r="J718" t="s">
        <v>19</v>
      </c>
      <c r="K718" t="s">
        <v>15</v>
      </c>
      <c r="L718" t="s">
        <v>16</v>
      </c>
      <c r="M718" t="s">
        <v>20</v>
      </c>
      <c r="N718" t="s">
        <v>18</v>
      </c>
      <c r="O718" t="s">
        <v>19</v>
      </c>
      <c r="P718" t="s">
        <v>15</v>
      </c>
      <c r="Q718" t="s">
        <v>16</v>
      </c>
      <c r="R718" t="s">
        <v>20</v>
      </c>
      <c r="S718" t="s">
        <v>18</v>
      </c>
      <c r="T718" t="s">
        <v>19</v>
      </c>
      <c r="U718" t="s">
        <v>15</v>
      </c>
      <c r="V718" t="s">
        <v>16</v>
      </c>
      <c r="W718" t="s">
        <v>20</v>
      </c>
      <c r="X718" t="s">
        <v>18</v>
      </c>
      <c r="Y718" t="s">
        <v>19</v>
      </c>
      <c r="Z718" t="s">
        <v>15</v>
      </c>
      <c r="AA718" t="s">
        <v>16</v>
      </c>
      <c r="AB718" t="s">
        <v>20</v>
      </c>
      <c r="AC718" t="s">
        <v>18</v>
      </c>
      <c r="AD718" t="s">
        <v>19</v>
      </c>
      <c r="AE718" t="s">
        <v>15</v>
      </c>
      <c r="AF718" t="s">
        <v>16</v>
      </c>
      <c r="AG718" t="s">
        <v>20</v>
      </c>
      <c r="AH718" t="s">
        <v>18</v>
      </c>
      <c r="AI718" t="s">
        <v>19</v>
      </c>
      <c r="AJ718" t="s">
        <v>15</v>
      </c>
      <c r="AK718" t="s">
        <v>16</v>
      </c>
      <c r="AL718" t="s">
        <v>20</v>
      </c>
      <c r="AM718" t="s">
        <v>18</v>
      </c>
      <c r="AN718" t="s">
        <v>19</v>
      </c>
    </row>
    <row r="719" spans="1:40">
      <c r="A719">
        <v>2</v>
      </c>
      <c r="B719">
        <f>(Table110506[[#This Row],[time]]-2)*2</f>
        <v>0</v>
      </c>
      <c r="C719">
        <v>89.938400000000001</v>
      </c>
      <c r="D719">
        <v>9.7723600000000008</v>
      </c>
      <c r="E719" s="2">
        <f>Table110506[[#This Row],[CFNM]]/Table110506[[#This Row],[CAREA]]</f>
        <v>0.10865614687386034</v>
      </c>
      <c r="F719">
        <v>2</v>
      </c>
      <c r="G719">
        <f>(Table211507[[#This Row],[time]]-2)*2</f>
        <v>0</v>
      </c>
      <c r="H719">
        <v>94.646000000000001</v>
      </c>
      <c r="I719">
        <v>2.6699700000000002</v>
      </c>
      <c r="J719" s="2">
        <f>Table211507[[#This Row],[CFNM]]/Table211507[[#This Row],[CAREA]]</f>
        <v>2.8210066986454792E-2</v>
      </c>
      <c r="K719">
        <v>2</v>
      </c>
      <c r="L719">
        <f>(Table312508[[#This Row],[time]]-2)*2</f>
        <v>0</v>
      </c>
      <c r="M719">
        <v>88.069500000000005</v>
      </c>
      <c r="N719">
        <v>3.05586</v>
      </c>
      <c r="O719">
        <f>Table312508[[#This Row],[CFNM]]/Table312508[[#This Row],[CAREA]]</f>
        <v>3.4698278064483161E-2</v>
      </c>
      <c r="P719">
        <v>2</v>
      </c>
      <c r="Q719">
        <f>(Table413509[[#This Row],[time]]-2)*2</f>
        <v>0</v>
      </c>
      <c r="R719">
        <v>85.109300000000005</v>
      </c>
      <c r="S719">
        <v>5.3593999999999999</v>
      </c>
      <c r="T719">
        <f>Table413509[[#This Row],[CFNM]]/Table413509[[#This Row],[CAREA]]</f>
        <v>6.2970791676115301E-2</v>
      </c>
      <c r="U719">
        <v>2</v>
      </c>
      <c r="V719">
        <f>(Table514510[[#This Row],[time]]-2)*2</f>
        <v>0</v>
      </c>
      <c r="W719">
        <v>82.472200000000001</v>
      </c>
      <c r="X719">
        <v>7.9013</v>
      </c>
      <c r="Y719">
        <f>Table514510[[#This Row],[CFNM]]/Table514510[[#This Row],[CAREA]]</f>
        <v>9.580561692303588E-2</v>
      </c>
      <c r="Z719">
        <v>2</v>
      </c>
      <c r="AA719">
        <f>(Table615511[[#This Row],[time]]-2)*2</f>
        <v>0</v>
      </c>
      <c r="AB719">
        <v>88.875200000000007</v>
      </c>
      <c r="AC719">
        <v>14.234400000000001</v>
      </c>
      <c r="AD719">
        <f>Table615511[[#This Row],[CFNM]]/Table615511[[#This Row],[CAREA]]</f>
        <v>0.16016166489639405</v>
      </c>
      <c r="AE719">
        <v>2</v>
      </c>
      <c r="AF719">
        <f>(Table716512[[#This Row],[time]]-2)*2</f>
        <v>0</v>
      </c>
      <c r="AG719">
        <v>77.929299999999998</v>
      </c>
      <c r="AH719">
        <v>21.065899999999999</v>
      </c>
      <c r="AI719">
        <f>Table716512[[#This Row],[CFNM]]/Table716512[[#This Row],[CAREA]]</f>
        <v>0.27032066244660224</v>
      </c>
      <c r="AJ719">
        <v>2</v>
      </c>
      <c r="AK719">
        <f>(Table817513[[#This Row],[time]]-2)*2</f>
        <v>0</v>
      </c>
      <c r="AL719">
        <v>83.325199999999995</v>
      </c>
      <c r="AM719">
        <v>21.034700000000001</v>
      </c>
      <c r="AN719">
        <f>Table817513[[#This Row],[CFNM]]/Table817513[[#This Row],[CAREA]]</f>
        <v>0.25244103824533276</v>
      </c>
    </row>
    <row r="720" spans="1:40">
      <c r="A720">
        <v>2.0512600000000001</v>
      </c>
      <c r="B720">
        <f>(Table110506[[#This Row],[time]]-2)*2</f>
        <v>0.10252000000000017</v>
      </c>
      <c r="C720">
        <v>89.957499999999996</v>
      </c>
      <c r="D720">
        <v>9.7303499999999996</v>
      </c>
      <c r="E720">
        <f>Table110506[[#This Row],[CFNM]]/Table110506[[#This Row],[CAREA]]</f>
        <v>0.10816607842592335</v>
      </c>
      <c r="F720">
        <v>2.0512600000000001</v>
      </c>
      <c r="G720">
        <f>(Table211507[[#This Row],[time]]-2)*2</f>
        <v>0.10252000000000017</v>
      </c>
      <c r="H720">
        <v>94.656000000000006</v>
      </c>
      <c r="I720">
        <v>2.7082999999999999</v>
      </c>
      <c r="J720">
        <f>Table211507[[#This Row],[CFNM]]/Table211507[[#This Row],[CAREA]]</f>
        <v>2.8612026707234617E-2</v>
      </c>
      <c r="K720">
        <v>2.0512600000000001</v>
      </c>
      <c r="L720">
        <f>(Table312508[[#This Row],[time]]-2)*2</f>
        <v>0.10252000000000017</v>
      </c>
      <c r="M720">
        <v>88.125799999999998</v>
      </c>
      <c r="N720">
        <v>2.8572799999999998</v>
      </c>
      <c r="O720">
        <f>Table312508[[#This Row],[CFNM]]/Table312508[[#This Row],[CAREA]]</f>
        <v>3.242274112688906E-2</v>
      </c>
      <c r="P720">
        <v>2.0512600000000001</v>
      </c>
      <c r="Q720">
        <f>(Table413509[[#This Row],[time]]-2)*2</f>
        <v>0.10252000000000017</v>
      </c>
      <c r="R720">
        <v>85.169600000000003</v>
      </c>
      <c r="S720">
        <v>5.2113300000000002</v>
      </c>
      <c r="T720">
        <f>Table413509[[#This Row],[CFNM]]/Table413509[[#This Row],[CAREA]]</f>
        <v>6.1187677293306535E-2</v>
      </c>
      <c r="U720">
        <v>2.0512600000000001</v>
      </c>
      <c r="V720">
        <f>(Table514510[[#This Row],[time]]-2)*2</f>
        <v>0.10252000000000017</v>
      </c>
      <c r="W720">
        <v>82.601200000000006</v>
      </c>
      <c r="X720">
        <v>6.9624899999999998</v>
      </c>
      <c r="Y720">
        <f>Table514510[[#This Row],[CFNM]]/Table514510[[#This Row],[CAREA]]</f>
        <v>8.4290421930916251E-2</v>
      </c>
      <c r="Z720">
        <v>2.0512600000000001</v>
      </c>
      <c r="AA720">
        <f>(Table615511[[#This Row],[time]]-2)*2</f>
        <v>0.10252000000000017</v>
      </c>
      <c r="AB720">
        <v>88.832700000000003</v>
      </c>
      <c r="AC720">
        <v>13.1335</v>
      </c>
      <c r="AD720">
        <f>Table615511[[#This Row],[CFNM]]/Table615511[[#This Row],[CAREA]]</f>
        <v>0.14784533173032002</v>
      </c>
      <c r="AE720">
        <v>2.0512600000000001</v>
      </c>
      <c r="AF720">
        <f>(Table716512[[#This Row],[time]]-2)*2</f>
        <v>0.10252000000000017</v>
      </c>
      <c r="AG720">
        <v>77.850399999999993</v>
      </c>
      <c r="AH720">
        <v>19.7577</v>
      </c>
      <c r="AI720">
        <f>Table716512[[#This Row],[CFNM]]/Table716512[[#This Row],[CAREA]]</f>
        <v>0.25379060351648808</v>
      </c>
      <c r="AJ720">
        <v>2.0512600000000001</v>
      </c>
      <c r="AK720">
        <f>(Table817513[[#This Row],[time]]-2)*2</f>
        <v>0.10252000000000017</v>
      </c>
      <c r="AL720">
        <v>83.400199999999998</v>
      </c>
      <c r="AM720">
        <v>19.6313</v>
      </c>
      <c r="AN720">
        <f>Table817513[[#This Row],[CFNM]]/Table817513[[#This Row],[CAREA]]</f>
        <v>0.23538672569130531</v>
      </c>
    </row>
    <row r="721" spans="1:40">
      <c r="A721">
        <v>2.1153300000000002</v>
      </c>
      <c r="B721">
        <f>(Table110506[[#This Row],[time]]-2)*2</f>
        <v>0.23066000000000031</v>
      </c>
      <c r="C721">
        <v>90.136200000000002</v>
      </c>
      <c r="D721">
        <v>9.3995800000000003</v>
      </c>
      <c r="E721">
        <f>Table110506[[#This Row],[CFNM]]/Table110506[[#This Row],[CAREA]]</f>
        <v>0.10428196440497825</v>
      </c>
      <c r="F721">
        <v>2.1153300000000002</v>
      </c>
      <c r="G721">
        <f>(Table211507[[#This Row],[time]]-2)*2</f>
        <v>0.23066000000000031</v>
      </c>
      <c r="H721">
        <v>94.691400000000002</v>
      </c>
      <c r="I721">
        <v>2.7442500000000001</v>
      </c>
      <c r="J721">
        <f>Table211507[[#This Row],[CFNM]]/Table211507[[#This Row],[CAREA]]</f>
        <v>2.8980984545587035E-2</v>
      </c>
      <c r="K721">
        <v>2.1153300000000002</v>
      </c>
      <c r="L721">
        <f>(Table312508[[#This Row],[time]]-2)*2</f>
        <v>0.23066000000000031</v>
      </c>
      <c r="M721">
        <v>88.180099999999996</v>
      </c>
      <c r="N721">
        <v>2.2201900000000001</v>
      </c>
      <c r="O721">
        <f>Table312508[[#This Row],[CFNM]]/Table312508[[#This Row],[CAREA]]</f>
        <v>2.5177902950892551E-2</v>
      </c>
      <c r="P721">
        <v>2.1153300000000002</v>
      </c>
      <c r="Q721">
        <f>(Table413509[[#This Row],[time]]-2)*2</f>
        <v>0.23066000000000031</v>
      </c>
      <c r="R721">
        <v>85.165400000000005</v>
      </c>
      <c r="S721">
        <v>4.52583</v>
      </c>
      <c r="T721">
        <f>Table413509[[#This Row],[CFNM]]/Table413509[[#This Row],[CAREA]]</f>
        <v>5.3141651421821534E-2</v>
      </c>
      <c r="U721">
        <v>2.1153300000000002</v>
      </c>
      <c r="V721">
        <f>(Table514510[[#This Row],[time]]-2)*2</f>
        <v>0.23066000000000031</v>
      </c>
      <c r="W721">
        <v>82.931700000000006</v>
      </c>
      <c r="X721">
        <v>4.40733</v>
      </c>
      <c r="Y721">
        <f>Table514510[[#This Row],[CFNM]]/Table514510[[#This Row],[CAREA]]</f>
        <v>5.3144093271933403E-2</v>
      </c>
      <c r="Z721">
        <v>2.1153300000000002</v>
      </c>
      <c r="AA721">
        <f>(Table615511[[#This Row],[time]]-2)*2</f>
        <v>0.23066000000000031</v>
      </c>
      <c r="AB721">
        <v>88.652199999999993</v>
      </c>
      <c r="AC721">
        <v>9.9320199999999996</v>
      </c>
      <c r="AD721">
        <f>Table615511[[#This Row],[CFNM]]/Table615511[[#This Row],[CAREA]]</f>
        <v>0.11203354231479873</v>
      </c>
      <c r="AE721">
        <v>2.1153300000000002</v>
      </c>
      <c r="AF721">
        <f>(Table716512[[#This Row],[time]]-2)*2</f>
        <v>0.23066000000000031</v>
      </c>
      <c r="AG721">
        <v>77.760900000000007</v>
      </c>
      <c r="AH721">
        <v>18.2502</v>
      </c>
      <c r="AI721">
        <f>Table716512[[#This Row],[CFNM]]/Table716512[[#This Row],[CAREA]]</f>
        <v>0.23469635768104533</v>
      </c>
      <c r="AJ721">
        <v>2.1153300000000002</v>
      </c>
      <c r="AK721">
        <f>(Table817513[[#This Row],[time]]-2)*2</f>
        <v>0.23066000000000031</v>
      </c>
      <c r="AL721">
        <v>83.540999999999997</v>
      </c>
      <c r="AM721">
        <v>17.955200000000001</v>
      </c>
      <c r="AN721">
        <f>Table817513[[#This Row],[CFNM]]/Table817513[[#This Row],[CAREA]]</f>
        <v>0.21492680240839829</v>
      </c>
    </row>
    <row r="722" spans="1:40">
      <c r="A722">
        <v>2.16533</v>
      </c>
      <c r="B722">
        <f>(Table110506[[#This Row],[time]]-2)*2</f>
        <v>0.33065999999999995</v>
      </c>
      <c r="C722">
        <v>90.864400000000003</v>
      </c>
      <c r="D722">
        <v>9.1507799999999992</v>
      </c>
      <c r="E722">
        <f>Table110506[[#This Row],[CFNM]]/Table110506[[#This Row],[CAREA]]</f>
        <v>0.10070808809610804</v>
      </c>
      <c r="F722">
        <v>2.16533</v>
      </c>
      <c r="G722">
        <f>(Table211507[[#This Row],[time]]-2)*2</f>
        <v>0.33065999999999995</v>
      </c>
      <c r="H722">
        <v>94.786199999999994</v>
      </c>
      <c r="I722">
        <v>2.7607499999999998</v>
      </c>
      <c r="J722">
        <f>Table211507[[#This Row],[CFNM]]/Table211507[[#This Row],[CAREA]]</f>
        <v>2.912607531476101E-2</v>
      </c>
      <c r="K722">
        <v>2.16533</v>
      </c>
      <c r="L722">
        <f>(Table312508[[#This Row],[time]]-2)*2</f>
        <v>0.33065999999999995</v>
      </c>
      <c r="M722">
        <v>88.192099999999996</v>
      </c>
      <c r="N722">
        <v>1.61622</v>
      </c>
      <c r="O722">
        <f>Table312508[[#This Row],[CFNM]]/Table312508[[#This Row],[CAREA]]</f>
        <v>1.8326131252118953E-2</v>
      </c>
      <c r="P722">
        <v>2.16533</v>
      </c>
      <c r="Q722">
        <f>(Table413509[[#This Row],[time]]-2)*2</f>
        <v>0.33065999999999995</v>
      </c>
      <c r="R722">
        <v>85.099299999999999</v>
      </c>
      <c r="S722">
        <v>3.7948200000000001</v>
      </c>
      <c r="T722">
        <f>Table413509[[#This Row],[CFNM]]/Table413509[[#This Row],[CAREA]]</f>
        <v>4.4592846239628295E-2</v>
      </c>
      <c r="U722">
        <v>2.16533</v>
      </c>
      <c r="V722">
        <f>(Table514510[[#This Row],[time]]-2)*2</f>
        <v>0.33065999999999995</v>
      </c>
      <c r="W722">
        <v>82.938999999999993</v>
      </c>
      <c r="X722">
        <v>2.38097</v>
      </c>
      <c r="Y722">
        <f>Table514510[[#This Row],[CFNM]]/Table514510[[#This Row],[CAREA]]</f>
        <v>2.8707483813405037E-2</v>
      </c>
      <c r="Z722">
        <v>2.16533</v>
      </c>
      <c r="AA722">
        <f>(Table615511[[#This Row],[time]]-2)*2</f>
        <v>0.33065999999999995</v>
      </c>
      <c r="AB722">
        <v>88.516599999999997</v>
      </c>
      <c r="AC722">
        <v>6.9221500000000002</v>
      </c>
      <c r="AD722">
        <f>Table615511[[#This Row],[CFNM]]/Table615511[[#This Row],[CAREA]]</f>
        <v>7.8201715836351604E-2</v>
      </c>
      <c r="AE722">
        <v>2.16533</v>
      </c>
      <c r="AF722">
        <f>(Table716512[[#This Row],[time]]-2)*2</f>
        <v>0.33065999999999995</v>
      </c>
      <c r="AG722">
        <v>77.704400000000007</v>
      </c>
      <c r="AH722">
        <v>17.157599999999999</v>
      </c>
      <c r="AI722">
        <f>Table716512[[#This Row],[CFNM]]/Table716512[[#This Row],[CAREA]]</f>
        <v>0.22080602900221863</v>
      </c>
      <c r="AJ722">
        <v>2.16533</v>
      </c>
      <c r="AK722">
        <f>(Table817513[[#This Row],[time]]-2)*2</f>
        <v>0.33065999999999995</v>
      </c>
      <c r="AL722">
        <v>83.6434</v>
      </c>
      <c r="AM722">
        <v>16.7059</v>
      </c>
      <c r="AN722">
        <f>Table817513[[#This Row],[CFNM]]/Table817513[[#This Row],[CAREA]]</f>
        <v>0.1997276533474249</v>
      </c>
    </row>
    <row r="723" spans="1:40">
      <c r="A723">
        <v>2.2246999999999999</v>
      </c>
      <c r="B723">
        <f>(Table110506[[#This Row],[time]]-2)*2</f>
        <v>0.4493999999999998</v>
      </c>
      <c r="C723">
        <v>91.142099999999999</v>
      </c>
      <c r="D723">
        <v>8.8675599999999992</v>
      </c>
      <c r="E723">
        <f>Table110506[[#This Row],[CFNM]]/Table110506[[#This Row],[CAREA]]</f>
        <v>9.7293786296343832E-2</v>
      </c>
      <c r="F723">
        <v>2.2246999999999999</v>
      </c>
      <c r="G723">
        <f>(Table211507[[#This Row],[time]]-2)*2</f>
        <v>0.4493999999999998</v>
      </c>
      <c r="H723">
        <v>95.525800000000004</v>
      </c>
      <c r="I723">
        <v>2.7698200000000002</v>
      </c>
      <c r="J723">
        <f>Table211507[[#This Row],[CFNM]]/Table211507[[#This Row],[CAREA]]</f>
        <v>2.899551744136139E-2</v>
      </c>
      <c r="K723">
        <v>2.2246999999999999</v>
      </c>
      <c r="L723">
        <f>(Table312508[[#This Row],[time]]-2)*2</f>
        <v>0.4493999999999998</v>
      </c>
      <c r="M723">
        <v>88.117699999999999</v>
      </c>
      <c r="N723">
        <v>0.94146700000000005</v>
      </c>
      <c r="O723">
        <f>Table312508[[#This Row],[CFNM]]/Table312508[[#This Row],[CAREA]]</f>
        <v>1.0684198520842011E-2</v>
      </c>
      <c r="P723">
        <v>2.2246999999999999</v>
      </c>
      <c r="Q723">
        <f>(Table413509[[#This Row],[time]]-2)*2</f>
        <v>0.4493999999999998</v>
      </c>
      <c r="R723">
        <v>85.000299999999996</v>
      </c>
      <c r="S723">
        <v>2.9218199999999999</v>
      </c>
      <c r="T723">
        <f>Table413509[[#This Row],[CFNM]]/Table413509[[#This Row],[CAREA]]</f>
        <v>3.4374231620358985E-2</v>
      </c>
      <c r="U723">
        <v>2.2246999999999999</v>
      </c>
      <c r="V723">
        <f>(Table514510[[#This Row],[time]]-2)*2</f>
        <v>0.4493999999999998</v>
      </c>
      <c r="W723">
        <v>82.2453</v>
      </c>
      <c r="X723">
        <v>0.79880700000000004</v>
      </c>
      <c r="Y723">
        <f>Table514510[[#This Row],[CFNM]]/Table514510[[#This Row],[CAREA]]</f>
        <v>9.7124942093955533E-3</v>
      </c>
      <c r="Z723">
        <v>2.2246999999999999</v>
      </c>
      <c r="AA723">
        <f>(Table615511[[#This Row],[time]]-2)*2</f>
        <v>0.4493999999999998</v>
      </c>
      <c r="AB723">
        <v>87.983000000000004</v>
      </c>
      <c r="AC723">
        <v>4.0427600000000004</v>
      </c>
      <c r="AD723">
        <f>Table615511[[#This Row],[CFNM]]/Table615511[[#This Row],[CAREA]]</f>
        <v>4.5949331120784698E-2</v>
      </c>
      <c r="AE723">
        <v>2.2246999999999999</v>
      </c>
      <c r="AF723">
        <f>(Table716512[[#This Row],[time]]-2)*2</f>
        <v>0.4493999999999998</v>
      </c>
      <c r="AG723">
        <v>77.623199999999997</v>
      </c>
      <c r="AH723">
        <v>16.1051</v>
      </c>
      <c r="AI723">
        <f>Table716512[[#This Row],[CFNM]]/Table716512[[#This Row],[CAREA]]</f>
        <v>0.20747791897267828</v>
      </c>
      <c r="AJ723">
        <v>2.2246999999999999</v>
      </c>
      <c r="AK723">
        <f>(Table817513[[#This Row],[time]]-2)*2</f>
        <v>0.4493999999999998</v>
      </c>
      <c r="AL723">
        <v>83.727400000000003</v>
      </c>
      <c r="AM723">
        <v>15.502599999999999</v>
      </c>
      <c r="AN723">
        <f>Table817513[[#This Row],[CFNM]]/Table817513[[#This Row],[CAREA]]</f>
        <v>0.18515563602834914</v>
      </c>
    </row>
    <row r="724" spans="1:40">
      <c r="A724">
        <v>2.2668900000000001</v>
      </c>
      <c r="B724">
        <f>(Table110506[[#This Row],[time]]-2)*2</f>
        <v>0.53378000000000014</v>
      </c>
      <c r="C724">
        <v>91.359700000000004</v>
      </c>
      <c r="D724">
        <v>8.2344799999999996</v>
      </c>
      <c r="E724">
        <f>Table110506[[#This Row],[CFNM]]/Table110506[[#This Row],[CAREA]]</f>
        <v>9.0132520137434766E-2</v>
      </c>
      <c r="F724">
        <v>2.2668900000000001</v>
      </c>
      <c r="G724">
        <f>(Table211507[[#This Row],[time]]-2)*2</f>
        <v>0.53378000000000014</v>
      </c>
      <c r="H724">
        <v>95.389700000000005</v>
      </c>
      <c r="I724">
        <v>2.4437000000000002</v>
      </c>
      <c r="J724">
        <f>Table211507[[#This Row],[CFNM]]/Table211507[[#This Row],[CAREA]]</f>
        <v>2.5618069875468736E-2</v>
      </c>
      <c r="K724">
        <v>2.2668900000000001</v>
      </c>
      <c r="L724">
        <f>(Table312508[[#This Row],[time]]-2)*2</f>
        <v>0.53378000000000014</v>
      </c>
      <c r="M724">
        <v>87.31</v>
      </c>
      <c r="N724">
        <v>0.12839400000000001</v>
      </c>
      <c r="O724">
        <f>Table312508[[#This Row],[CFNM]]/Table312508[[#This Row],[CAREA]]</f>
        <v>1.4705532012369718E-3</v>
      </c>
      <c r="P724">
        <v>2.2668900000000001</v>
      </c>
      <c r="Q724">
        <f>(Table413509[[#This Row],[time]]-2)*2</f>
        <v>0.53378000000000014</v>
      </c>
      <c r="R724">
        <v>84.705200000000005</v>
      </c>
      <c r="S724">
        <v>1.4485600000000001</v>
      </c>
      <c r="T724">
        <f>Table413509[[#This Row],[CFNM]]/Table413509[[#This Row],[CAREA]]</f>
        <v>1.7101193315168371E-2</v>
      </c>
      <c r="U724">
        <v>2.2668900000000001</v>
      </c>
      <c r="V724">
        <f>(Table514510[[#This Row],[time]]-2)*2</f>
        <v>0.53378000000000014</v>
      </c>
      <c r="W724">
        <v>80.788700000000006</v>
      </c>
      <c r="X724">
        <v>0.338088</v>
      </c>
      <c r="Y724">
        <f>Table514510[[#This Row],[CFNM]]/Table514510[[#This Row],[CAREA]]</f>
        <v>4.184842682206793E-3</v>
      </c>
      <c r="Z724">
        <v>2.2668900000000001</v>
      </c>
      <c r="AA724">
        <f>(Table615511[[#This Row],[time]]-2)*2</f>
        <v>0.53378000000000014</v>
      </c>
      <c r="AB724">
        <v>86.763999999999996</v>
      </c>
      <c r="AC724">
        <v>2.6217600000000001</v>
      </c>
      <c r="AD724">
        <f>Table615511[[#This Row],[CFNM]]/Table615511[[#This Row],[CAREA]]</f>
        <v>3.0217140749619661E-2</v>
      </c>
      <c r="AE724">
        <v>2.2668900000000001</v>
      </c>
      <c r="AF724">
        <f>(Table716512[[#This Row],[time]]-2)*2</f>
        <v>0.53378000000000014</v>
      </c>
      <c r="AG724">
        <v>77.477099999999993</v>
      </c>
      <c r="AH724">
        <v>15.225300000000001</v>
      </c>
      <c r="AI724">
        <f>Table716512[[#This Row],[CFNM]]/Table716512[[#This Row],[CAREA]]</f>
        <v>0.19651355045555399</v>
      </c>
      <c r="AJ724">
        <v>2.2668900000000001</v>
      </c>
      <c r="AK724">
        <f>(Table817513[[#This Row],[time]]-2)*2</f>
        <v>0.53378000000000014</v>
      </c>
      <c r="AL724">
        <v>83.766900000000007</v>
      </c>
      <c r="AM724">
        <v>14.3736</v>
      </c>
      <c r="AN724">
        <f>Table817513[[#This Row],[CFNM]]/Table817513[[#This Row],[CAREA]]</f>
        <v>0.17159044921084579</v>
      </c>
    </row>
    <row r="725" spans="1:40">
      <c r="A725">
        <v>2.3262700000000001</v>
      </c>
      <c r="B725">
        <f>(Table110506[[#This Row],[time]]-2)*2</f>
        <v>0.65254000000000012</v>
      </c>
      <c r="C725">
        <v>91.620199999999997</v>
      </c>
      <c r="D725">
        <v>7.6787599999999996</v>
      </c>
      <c r="E725">
        <f>Table110506[[#This Row],[CFNM]]/Table110506[[#This Row],[CAREA]]</f>
        <v>8.3810775353033495E-2</v>
      </c>
      <c r="F725">
        <v>2.3262700000000001</v>
      </c>
      <c r="G725">
        <f>(Table211507[[#This Row],[time]]-2)*2</f>
        <v>0.65254000000000012</v>
      </c>
      <c r="H725">
        <v>95.350999999999999</v>
      </c>
      <c r="I725">
        <v>2.0699200000000002</v>
      </c>
      <c r="J725">
        <f>Table211507[[#This Row],[CFNM]]/Table211507[[#This Row],[CAREA]]</f>
        <v>2.1708424662562533E-2</v>
      </c>
      <c r="K725">
        <v>2.3262700000000001</v>
      </c>
      <c r="L725">
        <f>(Table312508[[#This Row],[time]]-2)*2</f>
        <v>0.65254000000000012</v>
      </c>
      <c r="M725">
        <v>86.793199999999999</v>
      </c>
      <c r="N725">
        <v>4.0810400000000002E-3</v>
      </c>
      <c r="O725">
        <f>Table312508[[#This Row],[CFNM]]/Table312508[[#This Row],[CAREA]]</f>
        <v>4.7020273477645715E-5</v>
      </c>
      <c r="P725">
        <v>2.3262700000000001</v>
      </c>
      <c r="Q725">
        <f>(Table413509[[#This Row],[time]]-2)*2</f>
        <v>0.65254000000000012</v>
      </c>
      <c r="R725">
        <v>84.154499999999999</v>
      </c>
      <c r="S725">
        <v>0.31882700000000003</v>
      </c>
      <c r="T725">
        <f>Table413509[[#This Row],[CFNM]]/Table413509[[#This Row],[CAREA]]</f>
        <v>3.788591222097452E-3</v>
      </c>
      <c r="U725">
        <v>2.3262700000000001</v>
      </c>
      <c r="V725">
        <f>(Table514510[[#This Row],[time]]-2)*2</f>
        <v>0.65254000000000012</v>
      </c>
      <c r="W725">
        <v>80.682900000000004</v>
      </c>
      <c r="X725">
        <v>0.16734099999999999</v>
      </c>
      <c r="Y725">
        <f>Table514510[[#This Row],[CFNM]]/Table514510[[#This Row],[CAREA]]</f>
        <v>2.0740578239007274E-3</v>
      </c>
      <c r="Z725">
        <v>2.3262700000000001</v>
      </c>
      <c r="AA725">
        <f>(Table615511[[#This Row],[time]]-2)*2</f>
        <v>0.65254000000000012</v>
      </c>
      <c r="AB725">
        <v>84.970299999999995</v>
      </c>
      <c r="AC725">
        <v>1.72753</v>
      </c>
      <c r="AD725">
        <f>Table615511[[#This Row],[CFNM]]/Table615511[[#This Row],[CAREA]]</f>
        <v>2.0330986238721059E-2</v>
      </c>
      <c r="AE725">
        <v>2.3262700000000001</v>
      </c>
      <c r="AF725">
        <f>(Table716512[[#This Row],[time]]-2)*2</f>
        <v>0.65254000000000012</v>
      </c>
      <c r="AG725">
        <v>77.644300000000001</v>
      </c>
      <c r="AH725">
        <v>14.410500000000001</v>
      </c>
      <c r="AI725">
        <f>Table716512[[#This Row],[CFNM]]/Table716512[[#This Row],[CAREA]]</f>
        <v>0.18559636702243437</v>
      </c>
      <c r="AJ725">
        <v>2.3262700000000001</v>
      </c>
      <c r="AK725">
        <f>(Table817513[[#This Row],[time]]-2)*2</f>
        <v>0.65254000000000012</v>
      </c>
      <c r="AL725">
        <v>83.760499999999993</v>
      </c>
      <c r="AM725">
        <v>13.3096</v>
      </c>
      <c r="AN725">
        <f>Table817513[[#This Row],[CFNM]]/Table817513[[#This Row],[CAREA]]</f>
        <v>0.15890067513923628</v>
      </c>
    </row>
    <row r="726" spans="1:40">
      <c r="A726">
        <v>2.3684599999999998</v>
      </c>
      <c r="B726">
        <f>(Table110506[[#This Row],[time]]-2)*2</f>
        <v>0.73691999999999958</v>
      </c>
      <c r="C726">
        <v>91.292699999999996</v>
      </c>
      <c r="D726">
        <v>6.7428900000000001</v>
      </c>
      <c r="E726">
        <f>Table110506[[#This Row],[CFNM]]/Table110506[[#This Row],[CAREA]]</f>
        <v>7.3860122441334303E-2</v>
      </c>
      <c r="F726">
        <v>2.3684599999999998</v>
      </c>
      <c r="G726">
        <f>(Table211507[[#This Row],[time]]-2)*2</f>
        <v>0.73691999999999958</v>
      </c>
      <c r="H726">
        <v>95.344899999999996</v>
      </c>
      <c r="I726">
        <v>1.8627400000000001</v>
      </c>
      <c r="J726">
        <f>Table211507[[#This Row],[CFNM]]/Table211507[[#This Row],[CAREA]]</f>
        <v>1.9536860387917972E-2</v>
      </c>
      <c r="K726">
        <v>2.3684599999999998</v>
      </c>
      <c r="L726">
        <f>(Table312508[[#This Row],[time]]-2)*2</f>
        <v>0.73691999999999958</v>
      </c>
      <c r="M726">
        <v>86.391199999999998</v>
      </c>
      <c r="N726">
        <v>3.6750099999999998E-3</v>
      </c>
      <c r="O726">
        <f>Table312508[[#This Row],[CFNM]]/Table312508[[#This Row],[CAREA]]</f>
        <v>4.2539170656270542E-5</v>
      </c>
      <c r="P726">
        <v>2.3684599999999998</v>
      </c>
      <c r="Q726">
        <f>(Table413509[[#This Row],[time]]-2)*2</f>
        <v>0.73691999999999958</v>
      </c>
      <c r="R726">
        <v>83.070099999999996</v>
      </c>
      <c r="S726">
        <v>5.2346900000000002E-3</v>
      </c>
      <c r="T726">
        <f>Table413509[[#This Row],[CFNM]]/Table413509[[#This Row],[CAREA]]</f>
        <v>6.3015332833354009E-5</v>
      </c>
      <c r="U726">
        <v>2.3684599999999998</v>
      </c>
      <c r="V726">
        <f>(Table514510[[#This Row],[time]]-2)*2</f>
        <v>0.73691999999999958</v>
      </c>
      <c r="W726">
        <v>80.297899999999998</v>
      </c>
      <c r="X726">
        <v>5.7045799999999999E-3</v>
      </c>
      <c r="Y726">
        <f>Table514510[[#This Row],[CFNM]]/Table514510[[#This Row],[CAREA]]</f>
        <v>7.1042704728268107E-5</v>
      </c>
      <c r="Z726">
        <v>2.3684599999999998</v>
      </c>
      <c r="AA726">
        <f>(Table615511[[#This Row],[time]]-2)*2</f>
        <v>0.73691999999999958</v>
      </c>
      <c r="AB726">
        <v>84.640100000000004</v>
      </c>
      <c r="AC726">
        <v>1.3324400000000001</v>
      </c>
      <c r="AD726">
        <f>Table615511[[#This Row],[CFNM]]/Table615511[[#This Row],[CAREA]]</f>
        <v>1.574241996405959E-2</v>
      </c>
      <c r="AE726">
        <v>2.3684599999999998</v>
      </c>
      <c r="AF726">
        <f>(Table716512[[#This Row],[time]]-2)*2</f>
        <v>0.73691999999999958</v>
      </c>
      <c r="AG726">
        <v>77.677499999999995</v>
      </c>
      <c r="AH726">
        <v>13.500500000000001</v>
      </c>
      <c r="AI726">
        <f>Table716512[[#This Row],[CFNM]]/Table716512[[#This Row],[CAREA]]</f>
        <v>0.1738019374979885</v>
      </c>
      <c r="AJ726">
        <v>2.3684599999999998</v>
      </c>
      <c r="AK726">
        <f>(Table817513[[#This Row],[time]]-2)*2</f>
        <v>0.73691999999999958</v>
      </c>
      <c r="AL726">
        <v>83.775499999999994</v>
      </c>
      <c r="AM726">
        <v>12.378500000000001</v>
      </c>
      <c r="AN726">
        <f>Table817513[[#This Row],[CFNM]]/Table817513[[#This Row],[CAREA]]</f>
        <v>0.14775799607283754</v>
      </c>
    </row>
    <row r="727" spans="1:40">
      <c r="A727">
        <v>2.4278300000000002</v>
      </c>
      <c r="B727">
        <f>(Table110506[[#This Row],[time]]-2)*2</f>
        <v>0.85566000000000031</v>
      </c>
      <c r="C727">
        <v>91.332099999999997</v>
      </c>
      <c r="D727">
        <v>5.7739700000000003</v>
      </c>
      <c r="E727">
        <f>Table110506[[#This Row],[CFNM]]/Table110506[[#This Row],[CAREA]]</f>
        <v>6.3219503329059554E-2</v>
      </c>
      <c r="F727">
        <v>2.4278300000000002</v>
      </c>
      <c r="G727">
        <f>(Table211507[[#This Row],[time]]-2)*2</f>
        <v>0.85566000000000031</v>
      </c>
      <c r="H727">
        <v>95.294600000000003</v>
      </c>
      <c r="I727">
        <v>1.46804</v>
      </c>
      <c r="J727">
        <f>Table211507[[#This Row],[CFNM]]/Table211507[[#This Row],[CAREA]]</f>
        <v>1.5405280047347909E-2</v>
      </c>
      <c r="K727">
        <v>2.4278300000000002</v>
      </c>
      <c r="L727">
        <f>(Table312508[[#This Row],[time]]-2)*2</f>
        <v>0.85566000000000031</v>
      </c>
      <c r="M727">
        <v>85.178700000000006</v>
      </c>
      <c r="N727">
        <v>3.3132700000000001E-3</v>
      </c>
      <c r="O727">
        <f>Table312508[[#This Row],[CFNM]]/Table312508[[#This Row],[CAREA]]</f>
        <v>3.8897870007407951E-5</v>
      </c>
      <c r="P727">
        <v>2.4278300000000002</v>
      </c>
      <c r="Q727">
        <f>(Table413509[[#This Row],[time]]-2)*2</f>
        <v>0.85566000000000031</v>
      </c>
      <c r="R727">
        <v>81.805300000000003</v>
      </c>
      <c r="S727">
        <v>4.6797499999999999E-3</v>
      </c>
      <c r="T727">
        <f>Table413509[[#This Row],[CFNM]]/Table413509[[#This Row],[CAREA]]</f>
        <v>5.7205951203650614E-5</v>
      </c>
      <c r="U727">
        <v>2.4278300000000002</v>
      </c>
      <c r="V727">
        <f>(Table514510[[#This Row],[time]]-2)*2</f>
        <v>0.85566000000000031</v>
      </c>
      <c r="W727">
        <v>79.949399999999997</v>
      </c>
      <c r="X727">
        <v>4.8774500000000002E-3</v>
      </c>
      <c r="Y727">
        <f>Table514510[[#This Row],[CFNM]]/Table514510[[#This Row],[CAREA]]</f>
        <v>6.1006711745178831E-5</v>
      </c>
      <c r="Z727">
        <v>2.4278300000000002</v>
      </c>
      <c r="AA727">
        <f>(Table615511[[#This Row],[time]]-2)*2</f>
        <v>0.85566000000000031</v>
      </c>
      <c r="AB727">
        <v>84.302800000000005</v>
      </c>
      <c r="AC727">
        <v>0.93357800000000002</v>
      </c>
      <c r="AD727">
        <f>Table615511[[#This Row],[CFNM]]/Table615511[[#This Row],[CAREA]]</f>
        <v>1.1074104300213041E-2</v>
      </c>
      <c r="AE727">
        <v>2.4278300000000002</v>
      </c>
      <c r="AF727">
        <f>(Table716512[[#This Row],[time]]-2)*2</f>
        <v>0.85566000000000031</v>
      </c>
      <c r="AG727">
        <v>77.650199999999998</v>
      </c>
      <c r="AH727">
        <v>12.6492</v>
      </c>
      <c r="AI727">
        <f>Table716512[[#This Row],[CFNM]]/Table716512[[#This Row],[CAREA]]</f>
        <v>0.16289977360006802</v>
      </c>
      <c r="AJ727">
        <v>2.4278300000000002</v>
      </c>
      <c r="AK727">
        <f>(Table817513[[#This Row],[time]]-2)*2</f>
        <v>0.85566000000000031</v>
      </c>
      <c r="AL727">
        <v>83.814999999999998</v>
      </c>
      <c r="AM727">
        <v>11.4735</v>
      </c>
      <c r="AN727">
        <f>Table817513[[#This Row],[CFNM]]/Table817513[[#This Row],[CAREA]]</f>
        <v>0.13689077134164529</v>
      </c>
    </row>
    <row r="728" spans="1:40">
      <c r="A728">
        <v>2.4542000000000002</v>
      </c>
      <c r="B728">
        <f>(Table110506[[#This Row],[time]]-2)*2</f>
        <v>0.90840000000000032</v>
      </c>
      <c r="C728">
        <v>90.818299999999994</v>
      </c>
      <c r="D728">
        <v>4.5030999999999999</v>
      </c>
      <c r="E728">
        <f>Table110506[[#This Row],[CFNM]]/Table110506[[#This Row],[CAREA]]</f>
        <v>4.9583619160455547E-2</v>
      </c>
      <c r="F728">
        <v>2.4542000000000002</v>
      </c>
      <c r="G728">
        <f>(Table211507[[#This Row],[time]]-2)*2</f>
        <v>0.90840000000000032</v>
      </c>
      <c r="H728">
        <v>95.172700000000006</v>
      </c>
      <c r="I728">
        <v>0.67179599999999995</v>
      </c>
      <c r="J728">
        <f>Table211507[[#This Row],[CFNM]]/Table211507[[#This Row],[CAREA]]</f>
        <v>7.0587048596919061E-3</v>
      </c>
      <c r="K728">
        <v>2.4542000000000002</v>
      </c>
      <c r="L728">
        <f>(Table312508[[#This Row],[time]]-2)*2</f>
        <v>0.90840000000000032</v>
      </c>
      <c r="M728">
        <v>83.312600000000003</v>
      </c>
      <c r="N728">
        <v>3.10129E-3</v>
      </c>
      <c r="O728">
        <f>Table312508[[#This Row],[CFNM]]/Table312508[[#This Row],[CAREA]]</f>
        <v>3.7224741515689103E-5</v>
      </c>
      <c r="P728">
        <v>2.4542000000000002</v>
      </c>
      <c r="Q728">
        <f>(Table413509[[#This Row],[time]]-2)*2</f>
        <v>0.90840000000000032</v>
      </c>
      <c r="R728">
        <v>81.628399999999999</v>
      </c>
      <c r="S728">
        <v>4.42151E-3</v>
      </c>
      <c r="T728">
        <f>Table413509[[#This Row],[CFNM]]/Table413509[[#This Row],[CAREA]]</f>
        <v>5.4166319565249354E-5</v>
      </c>
      <c r="U728">
        <v>2.4542000000000002</v>
      </c>
      <c r="V728">
        <f>(Table514510[[#This Row],[time]]-2)*2</f>
        <v>0.90840000000000032</v>
      </c>
      <c r="W728">
        <v>79.605199999999996</v>
      </c>
      <c r="X728">
        <v>4.5577300000000003E-3</v>
      </c>
      <c r="Y728">
        <f>Table514510[[#This Row],[CFNM]]/Table514510[[#This Row],[CAREA]]</f>
        <v>5.7254174350419326E-5</v>
      </c>
      <c r="Z728">
        <v>2.4542000000000002</v>
      </c>
      <c r="AA728">
        <f>(Table615511[[#This Row],[time]]-2)*2</f>
        <v>0.90840000000000032</v>
      </c>
      <c r="AB728">
        <v>82.585800000000006</v>
      </c>
      <c r="AC728">
        <v>0.50439800000000001</v>
      </c>
      <c r="AD728">
        <f>Table615511[[#This Row],[CFNM]]/Table615511[[#This Row],[CAREA]]</f>
        <v>6.107563285698025E-3</v>
      </c>
      <c r="AE728">
        <v>2.4542000000000002</v>
      </c>
      <c r="AF728">
        <f>(Table716512[[#This Row],[time]]-2)*2</f>
        <v>0.90840000000000032</v>
      </c>
      <c r="AG728">
        <v>77.688900000000004</v>
      </c>
      <c r="AH728">
        <v>11.895300000000001</v>
      </c>
      <c r="AI728">
        <f>Table716512[[#This Row],[CFNM]]/Table716512[[#This Row],[CAREA]]</f>
        <v>0.15311453759803526</v>
      </c>
      <c r="AJ728">
        <v>2.4542000000000002</v>
      </c>
      <c r="AK728">
        <f>(Table817513[[#This Row],[time]]-2)*2</f>
        <v>0.90840000000000032</v>
      </c>
      <c r="AL728">
        <v>83.809399999999997</v>
      </c>
      <c r="AM728">
        <v>10.613</v>
      </c>
      <c r="AN728">
        <f>Table817513[[#This Row],[CFNM]]/Table817513[[#This Row],[CAREA]]</f>
        <v>0.12663257343448348</v>
      </c>
    </row>
    <row r="729" spans="1:40">
      <c r="A729">
        <v>2.5061499999999999</v>
      </c>
      <c r="B729">
        <f>(Table110506[[#This Row],[time]]-2)*2</f>
        <v>1.0122999999999998</v>
      </c>
      <c r="C729">
        <v>90.529899999999998</v>
      </c>
      <c r="D729">
        <v>3.4409200000000002</v>
      </c>
      <c r="E729">
        <f>Table110506[[#This Row],[CFNM]]/Table110506[[#This Row],[CAREA]]</f>
        <v>3.8008657913021007E-2</v>
      </c>
      <c r="F729">
        <v>2.5061499999999999</v>
      </c>
      <c r="G729">
        <f>(Table211507[[#This Row],[time]]-2)*2</f>
        <v>1.0122999999999998</v>
      </c>
      <c r="H729">
        <v>95.003799999999998</v>
      </c>
      <c r="I729">
        <v>0.16080700000000001</v>
      </c>
      <c r="J729">
        <f>Table211507[[#This Row],[CFNM]]/Table211507[[#This Row],[CAREA]]</f>
        <v>1.6926375576555887E-3</v>
      </c>
      <c r="K729">
        <v>2.5061499999999999</v>
      </c>
      <c r="L729">
        <f>(Table312508[[#This Row],[time]]-2)*2</f>
        <v>1.0122999999999998</v>
      </c>
      <c r="M729">
        <v>82.228700000000003</v>
      </c>
      <c r="N729">
        <v>2.9154599999999999E-3</v>
      </c>
      <c r="O729">
        <f>Table312508[[#This Row],[CFNM]]/Table312508[[#This Row],[CAREA]]</f>
        <v>3.5455503978537903E-5</v>
      </c>
      <c r="P729">
        <v>2.5061499999999999</v>
      </c>
      <c r="Q729">
        <f>(Table413509[[#This Row],[time]]-2)*2</f>
        <v>1.0122999999999998</v>
      </c>
      <c r="R729">
        <v>81.4131</v>
      </c>
      <c r="S729">
        <v>4.2111500000000003E-3</v>
      </c>
      <c r="T729">
        <f>Table413509[[#This Row],[CFNM]]/Table413509[[#This Row],[CAREA]]</f>
        <v>5.1725705076947081E-5</v>
      </c>
      <c r="U729">
        <v>2.5061499999999999</v>
      </c>
      <c r="V729">
        <f>(Table514510[[#This Row],[time]]-2)*2</f>
        <v>1.0122999999999998</v>
      </c>
      <c r="W729">
        <v>79.256900000000002</v>
      </c>
      <c r="X729">
        <v>4.4703199999999998E-3</v>
      </c>
      <c r="Y729">
        <f>Table514510[[#This Row],[CFNM]]/Table514510[[#This Row],[CAREA]]</f>
        <v>5.6402912553985834E-5</v>
      </c>
      <c r="Z729">
        <v>2.5061499999999999</v>
      </c>
      <c r="AA729">
        <f>(Table615511[[#This Row],[time]]-2)*2</f>
        <v>1.0122999999999998</v>
      </c>
      <c r="AB729">
        <v>81.573499999999996</v>
      </c>
      <c r="AC729">
        <v>0.269345</v>
      </c>
      <c r="AD729">
        <f>Table615511[[#This Row],[CFNM]]/Table615511[[#This Row],[CAREA]]</f>
        <v>3.3018688667275525E-3</v>
      </c>
      <c r="AE729">
        <v>2.5061499999999999</v>
      </c>
      <c r="AF729">
        <f>(Table716512[[#This Row],[time]]-2)*2</f>
        <v>1.0122999999999998</v>
      </c>
      <c r="AG729">
        <v>77.773700000000005</v>
      </c>
      <c r="AH729">
        <v>11.1256</v>
      </c>
      <c r="AI729">
        <f>Table716512[[#This Row],[CFNM]]/Table716512[[#This Row],[CAREA]]</f>
        <v>0.14305092852725279</v>
      </c>
      <c r="AJ729">
        <v>2.5061499999999999</v>
      </c>
      <c r="AK729">
        <f>(Table817513[[#This Row],[time]]-2)*2</f>
        <v>1.0122999999999998</v>
      </c>
      <c r="AL729">
        <v>83.761799999999994</v>
      </c>
      <c r="AM729">
        <v>9.7487300000000001</v>
      </c>
      <c r="AN729">
        <f>Table817513[[#This Row],[CFNM]]/Table817513[[#This Row],[CAREA]]</f>
        <v>0.116386347953363</v>
      </c>
    </row>
    <row r="730" spans="1:40">
      <c r="A730">
        <v>2.5507599999999999</v>
      </c>
      <c r="B730">
        <f>(Table110506[[#This Row],[time]]-2)*2</f>
        <v>1.1015199999999998</v>
      </c>
      <c r="C730">
        <v>89.674000000000007</v>
      </c>
      <c r="D730">
        <v>2.5186999999999999</v>
      </c>
      <c r="E730">
        <f>Table110506[[#This Row],[CFNM]]/Table110506[[#This Row],[CAREA]]</f>
        <v>2.8087293975957352E-2</v>
      </c>
      <c r="F730">
        <v>2.5507599999999999</v>
      </c>
      <c r="G730">
        <f>(Table211507[[#This Row],[time]]-2)*2</f>
        <v>1.1015199999999998</v>
      </c>
      <c r="H730">
        <v>94.721699999999998</v>
      </c>
      <c r="I730">
        <v>4.9851100000000001E-3</v>
      </c>
      <c r="J730">
        <f>Table211507[[#This Row],[CFNM]]/Table211507[[#This Row],[CAREA]]</f>
        <v>5.2629017426840949E-5</v>
      </c>
      <c r="K730">
        <v>2.5507599999999999</v>
      </c>
      <c r="L730">
        <f>(Table312508[[#This Row],[time]]-2)*2</f>
        <v>1.1015199999999998</v>
      </c>
      <c r="M730">
        <v>81.034700000000001</v>
      </c>
      <c r="N730">
        <v>2.7271499999999998E-3</v>
      </c>
      <c r="O730">
        <f>Table312508[[#This Row],[CFNM]]/Table312508[[#This Row],[CAREA]]</f>
        <v>3.3654101267728517E-5</v>
      </c>
      <c r="P730">
        <v>2.5507599999999999</v>
      </c>
      <c r="Q730">
        <f>(Table413509[[#This Row],[time]]-2)*2</f>
        <v>1.1015199999999998</v>
      </c>
      <c r="R730">
        <v>80.842399999999998</v>
      </c>
      <c r="S730">
        <v>4.0355599999999997E-3</v>
      </c>
      <c r="T730">
        <f>Table413509[[#This Row],[CFNM]]/Table413509[[#This Row],[CAREA]]</f>
        <v>4.9918854462509772E-5</v>
      </c>
      <c r="U730">
        <v>2.5507599999999999</v>
      </c>
      <c r="V730">
        <f>(Table514510[[#This Row],[time]]-2)*2</f>
        <v>1.1015199999999998</v>
      </c>
      <c r="W730">
        <v>78.979399999999998</v>
      </c>
      <c r="X730">
        <v>4.3764099999999998E-3</v>
      </c>
      <c r="Y730">
        <f>Table514510[[#This Row],[CFNM]]/Table514510[[#This Row],[CAREA]]</f>
        <v>5.5412044153285538E-5</v>
      </c>
      <c r="Z730">
        <v>2.5507599999999999</v>
      </c>
      <c r="AA730">
        <f>(Table615511[[#This Row],[time]]-2)*2</f>
        <v>1.1015199999999998</v>
      </c>
      <c r="AB730">
        <v>80.844399999999993</v>
      </c>
      <c r="AC730">
        <v>9.4657900000000003E-2</v>
      </c>
      <c r="AD730">
        <f>Table615511[[#This Row],[CFNM]]/Table615511[[#This Row],[CAREA]]</f>
        <v>1.1708652671056994E-3</v>
      </c>
      <c r="AE730">
        <v>2.5507599999999999</v>
      </c>
      <c r="AF730">
        <f>(Table716512[[#This Row],[time]]-2)*2</f>
        <v>1.1015199999999998</v>
      </c>
      <c r="AG730">
        <v>77.801599999999993</v>
      </c>
      <c r="AH730">
        <v>10.3269</v>
      </c>
      <c r="AI730">
        <f>Table716512[[#This Row],[CFNM]]/Table716512[[#This Row],[CAREA]]</f>
        <v>0.13273377411261467</v>
      </c>
      <c r="AJ730">
        <v>2.5507599999999999</v>
      </c>
      <c r="AK730">
        <f>(Table817513[[#This Row],[time]]-2)*2</f>
        <v>1.1015199999999998</v>
      </c>
      <c r="AL730">
        <v>83.729500000000002</v>
      </c>
      <c r="AM730">
        <v>8.8712499999999999</v>
      </c>
      <c r="AN730">
        <f>Table817513[[#This Row],[CFNM]]/Table817513[[#This Row],[CAREA]]</f>
        <v>0.10595130748422002</v>
      </c>
    </row>
    <row r="731" spans="1:40">
      <c r="A731">
        <v>2.60453</v>
      </c>
      <c r="B731">
        <f>(Table110506[[#This Row],[time]]-2)*2</f>
        <v>1.20906</v>
      </c>
      <c r="C731">
        <v>88.830100000000002</v>
      </c>
      <c r="D731">
        <v>1.6057300000000001</v>
      </c>
      <c r="E731">
        <f>Table110506[[#This Row],[CFNM]]/Table110506[[#This Row],[CAREA]]</f>
        <v>1.8076417790816403E-2</v>
      </c>
      <c r="F731">
        <v>2.60453</v>
      </c>
      <c r="G731">
        <f>(Table211507[[#This Row],[time]]-2)*2</f>
        <v>1.20906</v>
      </c>
      <c r="H731">
        <v>93.877099999999999</v>
      </c>
      <c r="I731">
        <v>4.5954799999999999E-3</v>
      </c>
      <c r="J731">
        <f>Table211507[[#This Row],[CFNM]]/Table211507[[#This Row],[CAREA]]</f>
        <v>4.8952087356767519E-5</v>
      </c>
      <c r="K731">
        <v>2.60453</v>
      </c>
      <c r="L731">
        <f>(Table312508[[#This Row],[time]]-2)*2</f>
        <v>1.20906</v>
      </c>
      <c r="M731">
        <v>77.812700000000007</v>
      </c>
      <c r="N731">
        <v>2.5091900000000001E-3</v>
      </c>
      <c r="O731">
        <f>Table312508[[#This Row],[CFNM]]/Table312508[[#This Row],[CAREA]]</f>
        <v>3.2246535591233821E-5</v>
      </c>
      <c r="P731">
        <v>2.60453</v>
      </c>
      <c r="Q731">
        <f>(Table413509[[#This Row],[time]]-2)*2</f>
        <v>1.20906</v>
      </c>
      <c r="R731">
        <v>80.530500000000004</v>
      </c>
      <c r="S731">
        <v>3.85031E-3</v>
      </c>
      <c r="T731">
        <f>Table413509[[#This Row],[CFNM]]/Table413509[[#This Row],[CAREA]]</f>
        <v>4.7811822849727741E-5</v>
      </c>
      <c r="U731">
        <v>2.60453</v>
      </c>
      <c r="V731">
        <f>(Table514510[[#This Row],[time]]-2)*2</f>
        <v>1.20906</v>
      </c>
      <c r="W731">
        <v>78.252300000000005</v>
      </c>
      <c r="X731">
        <v>4.2638900000000002E-3</v>
      </c>
      <c r="Y731">
        <f>Table514510[[#This Row],[CFNM]]/Table514510[[#This Row],[CAREA]]</f>
        <v>5.4489005434984019E-5</v>
      </c>
      <c r="Z731">
        <v>2.60453</v>
      </c>
      <c r="AA731">
        <f>(Table615511[[#This Row],[time]]-2)*2</f>
        <v>1.20906</v>
      </c>
      <c r="AB731">
        <v>78.863799999999998</v>
      </c>
      <c r="AC731">
        <v>4.0074400000000001E-3</v>
      </c>
      <c r="AD731">
        <f>Table615511[[#This Row],[CFNM]]/Table615511[[#This Row],[CAREA]]</f>
        <v>5.0814695715905145E-5</v>
      </c>
      <c r="AE731">
        <v>2.60453</v>
      </c>
      <c r="AF731">
        <f>(Table716512[[#This Row],[time]]-2)*2</f>
        <v>1.20906</v>
      </c>
      <c r="AG731">
        <v>77.804100000000005</v>
      </c>
      <c r="AH731">
        <v>9.3708600000000004</v>
      </c>
      <c r="AI731">
        <f>Table716512[[#This Row],[CFNM]]/Table716512[[#This Row],[CAREA]]</f>
        <v>0.12044172479342348</v>
      </c>
      <c r="AJ731">
        <v>2.60453</v>
      </c>
      <c r="AK731">
        <f>(Table817513[[#This Row],[time]]-2)*2</f>
        <v>1.20906</v>
      </c>
      <c r="AL731">
        <v>83.680300000000003</v>
      </c>
      <c r="AM731">
        <v>7.8532299999999999</v>
      </c>
      <c r="AN731">
        <f>Table817513[[#This Row],[CFNM]]/Table817513[[#This Row],[CAREA]]</f>
        <v>9.3848014407214117E-2</v>
      </c>
    </row>
    <row r="732" spans="1:40">
      <c r="A732">
        <v>2.65273</v>
      </c>
      <c r="B732">
        <f>(Table110506[[#This Row],[time]]-2)*2</f>
        <v>1.3054600000000001</v>
      </c>
      <c r="C732">
        <v>87.880799999999994</v>
      </c>
      <c r="D732">
        <v>1.1026100000000001</v>
      </c>
      <c r="E732">
        <f>Table110506[[#This Row],[CFNM]]/Table110506[[#This Row],[CAREA]]</f>
        <v>1.2546654104195686E-2</v>
      </c>
      <c r="F732">
        <v>2.65273</v>
      </c>
      <c r="G732">
        <f>(Table211507[[#This Row],[time]]-2)*2</f>
        <v>1.3054600000000001</v>
      </c>
      <c r="H732">
        <v>93.593299999999999</v>
      </c>
      <c r="I732">
        <v>4.2871999999999997E-3</v>
      </c>
      <c r="J732">
        <f>Table211507[[#This Row],[CFNM]]/Table211507[[#This Row],[CAREA]]</f>
        <v>4.5806697701651717E-5</v>
      </c>
      <c r="K732">
        <v>2.65273</v>
      </c>
      <c r="L732">
        <f>(Table312508[[#This Row],[time]]-2)*2</f>
        <v>1.3054600000000001</v>
      </c>
      <c r="M732">
        <v>76.737700000000004</v>
      </c>
      <c r="N732">
        <v>2.36484E-3</v>
      </c>
      <c r="O732">
        <f>Table312508[[#This Row],[CFNM]]/Table312508[[#This Row],[CAREA]]</f>
        <v>3.0817186337354387E-5</v>
      </c>
      <c r="P732">
        <v>2.65273</v>
      </c>
      <c r="Q732">
        <f>(Table413509[[#This Row],[time]]-2)*2</f>
        <v>1.3054600000000001</v>
      </c>
      <c r="R732">
        <v>80.181399999999996</v>
      </c>
      <c r="S732">
        <v>3.72587E-3</v>
      </c>
      <c r="T732">
        <f>Table413509[[#This Row],[CFNM]]/Table413509[[#This Row],[CAREA]]</f>
        <v>4.6468008790068523E-5</v>
      </c>
      <c r="U732">
        <v>2.65273</v>
      </c>
      <c r="V732">
        <f>(Table514510[[#This Row],[time]]-2)*2</f>
        <v>1.3054600000000001</v>
      </c>
      <c r="W732">
        <v>77.990399999999994</v>
      </c>
      <c r="X732">
        <v>4.1897100000000001E-3</v>
      </c>
      <c r="Y732">
        <f>Table514510[[#This Row],[CFNM]]/Table514510[[#This Row],[CAREA]]</f>
        <v>5.3720842565238805E-5</v>
      </c>
      <c r="Z732">
        <v>2.65273</v>
      </c>
      <c r="AA732">
        <f>(Table615511[[#This Row],[time]]-2)*2</f>
        <v>1.3054600000000001</v>
      </c>
      <c r="AB732">
        <v>77.921400000000006</v>
      </c>
      <c r="AC732">
        <v>3.7915800000000001E-3</v>
      </c>
      <c r="AD732">
        <f>Table615511[[#This Row],[CFNM]]/Table615511[[#This Row],[CAREA]]</f>
        <v>4.8659033333590001E-5</v>
      </c>
      <c r="AE732">
        <v>2.65273</v>
      </c>
      <c r="AF732">
        <f>(Table716512[[#This Row],[time]]-2)*2</f>
        <v>1.3054600000000001</v>
      </c>
      <c r="AG732">
        <v>77.861699999999999</v>
      </c>
      <c r="AH732">
        <v>8.6756100000000007</v>
      </c>
      <c r="AI732">
        <f>Table716512[[#This Row],[CFNM]]/Table716512[[#This Row],[CAREA]]</f>
        <v>0.11142333136831074</v>
      </c>
      <c r="AJ732">
        <v>2.65273</v>
      </c>
      <c r="AK732">
        <f>(Table817513[[#This Row],[time]]-2)*2</f>
        <v>1.3054600000000001</v>
      </c>
      <c r="AL732">
        <v>83.679599999999994</v>
      </c>
      <c r="AM732">
        <v>7.12744</v>
      </c>
      <c r="AN732">
        <f>Table817513[[#This Row],[CFNM]]/Table817513[[#This Row],[CAREA]]</f>
        <v>8.5175359346842006E-2</v>
      </c>
    </row>
    <row r="733" spans="1:40">
      <c r="A733">
        <v>2.7006199999999998</v>
      </c>
      <c r="B733">
        <f>(Table110506[[#This Row],[time]]-2)*2</f>
        <v>1.4012399999999996</v>
      </c>
      <c r="C733">
        <v>87.061000000000007</v>
      </c>
      <c r="D733">
        <v>0.65994799999999998</v>
      </c>
      <c r="E733">
        <f>Table110506[[#This Row],[CFNM]]/Table110506[[#This Row],[CAREA]]</f>
        <v>7.5802942764268723E-3</v>
      </c>
      <c r="F733">
        <v>2.7006199999999998</v>
      </c>
      <c r="G733">
        <f>(Table211507[[#This Row],[time]]-2)*2</f>
        <v>1.4012399999999996</v>
      </c>
      <c r="H733">
        <v>92.999300000000005</v>
      </c>
      <c r="I733">
        <v>3.9971099999999999E-3</v>
      </c>
      <c r="J733">
        <f>Table211507[[#This Row],[CFNM]]/Table211507[[#This Row],[CAREA]]</f>
        <v>4.2980000924738142E-5</v>
      </c>
      <c r="K733">
        <v>2.7006199999999998</v>
      </c>
      <c r="L733">
        <f>(Table312508[[#This Row],[time]]-2)*2</f>
        <v>1.4012399999999996</v>
      </c>
      <c r="M733">
        <v>75.989099999999993</v>
      </c>
      <c r="N733">
        <v>2.24164E-3</v>
      </c>
      <c r="O733">
        <f>Table312508[[#This Row],[CFNM]]/Table312508[[#This Row],[CAREA]]</f>
        <v>2.9499494006377234E-5</v>
      </c>
      <c r="P733">
        <v>2.7006199999999998</v>
      </c>
      <c r="Q733">
        <f>(Table413509[[#This Row],[time]]-2)*2</f>
        <v>1.4012399999999996</v>
      </c>
      <c r="R733">
        <v>80.109099999999998</v>
      </c>
      <c r="S733">
        <v>3.6115100000000001E-3</v>
      </c>
      <c r="T733">
        <f>Table413509[[#This Row],[CFNM]]/Table413509[[#This Row],[CAREA]]</f>
        <v>4.5082393885338869E-5</v>
      </c>
      <c r="U733">
        <v>2.7006199999999998</v>
      </c>
      <c r="V733">
        <f>(Table514510[[#This Row],[time]]-2)*2</f>
        <v>1.4012399999999996</v>
      </c>
      <c r="W733">
        <v>77.544499999999999</v>
      </c>
      <c r="X733">
        <v>4.1204400000000004E-3</v>
      </c>
      <c r="Y733">
        <f>Table514510[[#This Row],[CFNM]]/Table514510[[#This Row],[CAREA]]</f>
        <v>5.3136457131066684E-5</v>
      </c>
      <c r="Z733">
        <v>2.7006199999999998</v>
      </c>
      <c r="AA733">
        <f>(Table615511[[#This Row],[time]]-2)*2</f>
        <v>1.4012399999999996</v>
      </c>
      <c r="AB733">
        <v>77.0779</v>
      </c>
      <c r="AC733">
        <v>3.6649600000000001E-3</v>
      </c>
      <c r="AD733">
        <f>Table615511[[#This Row],[CFNM]]/Table615511[[#This Row],[CAREA]]</f>
        <v>4.7548778573365392E-5</v>
      </c>
      <c r="AE733">
        <v>2.7006199999999998</v>
      </c>
      <c r="AF733">
        <f>(Table716512[[#This Row],[time]]-2)*2</f>
        <v>1.4012399999999996</v>
      </c>
      <c r="AG733">
        <v>77.907399999999996</v>
      </c>
      <c r="AH733">
        <v>8.0273099999999999</v>
      </c>
      <c r="AI733">
        <f>Table716512[[#This Row],[CFNM]]/Table716512[[#This Row],[CAREA]]</f>
        <v>0.10303655365215628</v>
      </c>
      <c r="AJ733">
        <v>2.7006199999999998</v>
      </c>
      <c r="AK733">
        <f>(Table817513[[#This Row],[time]]-2)*2</f>
        <v>1.4012399999999996</v>
      </c>
      <c r="AL733">
        <v>83.64</v>
      </c>
      <c r="AM733">
        <v>6.4553000000000003</v>
      </c>
      <c r="AN733">
        <f>Table817513[[#This Row],[CFNM]]/Table817513[[#This Row],[CAREA]]</f>
        <v>7.7179579148732663E-2</v>
      </c>
    </row>
    <row r="734" spans="1:40">
      <c r="A734">
        <v>2.75176</v>
      </c>
      <c r="B734">
        <f>(Table110506[[#This Row],[time]]-2)*2</f>
        <v>1.50352</v>
      </c>
      <c r="C734">
        <v>86.659800000000004</v>
      </c>
      <c r="D734">
        <v>9.6382300000000004E-2</v>
      </c>
      <c r="E734">
        <f>Table110506[[#This Row],[CFNM]]/Table110506[[#This Row],[CAREA]]</f>
        <v>1.1121915813329826E-3</v>
      </c>
      <c r="F734">
        <v>2.75176</v>
      </c>
      <c r="G734">
        <f>(Table211507[[#This Row],[time]]-2)*2</f>
        <v>1.50352</v>
      </c>
      <c r="H734">
        <v>91.768100000000004</v>
      </c>
      <c r="I734">
        <v>3.6004399999999999E-3</v>
      </c>
      <c r="J734">
        <f>Table211507[[#This Row],[CFNM]]/Table211507[[#This Row],[CAREA]]</f>
        <v>3.9234112943386642E-5</v>
      </c>
      <c r="K734">
        <v>2.75176</v>
      </c>
      <c r="L734">
        <f>(Table312508[[#This Row],[time]]-2)*2</f>
        <v>1.50352</v>
      </c>
      <c r="M734">
        <v>74.5411</v>
      </c>
      <c r="N734">
        <v>2.0850600000000001E-3</v>
      </c>
      <c r="O734">
        <f>Table312508[[#This Row],[CFNM]]/Table312508[[#This Row],[CAREA]]</f>
        <v>2.7971951044457356E-5</v>
      </c>
      <c r="P734">
        <v>2.75176</v>
      </c>
      <c r="Q734">
        <f>(Table413509[[#This Row],[time]]-2)*2</f>
        <v>1.50352</v>
      </c>
      <c r="R734">
        <v>80.010599999999997</v>
      </c>
      <c r="S734">
        <v>3.4640199999999999E-3</v>
      </c>
      <c r="T734">
        <f>Table413509[[#This Row],[CFNM]]/Table413509[[#This Row],[CAREA]]</f>
        <v>4.3294513476964306E-5</v>
      </c>
      <c r="U734">
        <v>2.75176</v>
      </c>
      <c r="V734">
        <f>(Table514510[[#This Row],[time]]-2)*2</f>
        <v>1.50352</v>
      </c>
      <c r="W734">
        <v>75.878299999999996</v>
      </c>
      <c r="X734">
        <v>4.0297299999999996E-3</v>
      </c>
      <c r="Y734">
        <f>Table514510[[#This Row],[CFNM]]/Table514510[[#This Row],[CAREA]]</f>
        <v>5.3107805525426897E-5</v>
      </c>
      <c r="Z734">
        <v>2.75176</v>
      </c>
      <c r="AA734">
        <f>(Table615511[[#This Row],[time]]-2)*2</f>
        <v>1.50352</v>
      </c>
      <c r="AB734">
        <v>76.775599999999997</v>
      </c>
      <c r="AC734">
        <v>3.50411E-3</v>
      </c>
      <c r="AD734">
        <f>Table615511[[#This Row],[CFNM]]/Table615511[[#This Row],[CAREA]]</f>
        <v>4.5640932796357175E-5</v>
      </c>
      <c r="AE734">
        <v>2.75176</v>
      </c>
      <c r="AF734">
        <f>(Table716512[[#This Row],[time]]-2)*2</f>
        <v>1.50352</v>
      </c>
      <c r="AG734">
        <v>77.918199999999999</v>
      </c>
      <c r="AH734">
        <v>7.1524700000000001</v>
      </c>
      <c r="AI734">
        <f>Table716512[[#This Row],[CFNM]]/Table716512[[#This Row],[CAREA]]</f>
        <v>9.1794599977925564E-2</v>
      </c>
      <c r="AJ734">
        <v>2.75176</v>
      </c>
      <c r="AK734">
        <f>(Table817513[[#This Row],[time]]-2)*2</f>
        <v>1.50352</v>
      </c>
      <c r="AL734">
        <v>83.157399999999996</v>
      </c>
      <c r="AM734">
        <v>5.6928700000000001</v>
      </c>
      <c r="AN734">
        <f>Table817513[[#This Row],[CFNM]]/Table817513[[#This Row],[CAREA]]</f>
        <v>6.8458970578685732E-2</v>
      </c>
    </row>
    <row r="735" spans="1:40">
      <c r="A735">
        <v>2.80444</v>
      </c>
      <c r="B735">
        <f>(Table110506[[#This Row],[time]]-2)*2</f>
        <v>1.6088800000000001</v>
      </c>
      <c r="C735">
        <v>85.787700000000001</v>
      </c>
      <c r="D735">
        <v>3.8092999999999998E-3</v>
      </c>
      <c r="E735">
        <f>Table110506[[#This Row],[CFNM]]/Table110506[[#This Row],[CAREA]]</f>
        <v>4.4403801477367968E-5</v>
      </c>
      <c r="F735">
        <v>2.80444</v>
      </c>
      <c r="G735">
        <f>(Table211507[[#This Row],[time]]-2)*2</f>
        <v>1.6088800000000001</v>
      </c>
      <c r="H735">
        <v>88.847999999999999</v>
      </c>
      <c r="I735">
        <v>3.2255299999999999E-3</v>
      </c>
      <c r="J735">
        <f>Table211507[[#This Row],[CFNM]]/Table211507[[#This Row],[CAREA]]</f>
        <v>3.6303912299657844E-5</v>
      </c>
      <c r="K735">
        <v>2.80444</v>
      </c>
      <c r="L735">
        <f>(Table312508[[#This Row],[time]]-2)*2</f>
        <v>1.6088800000000001</v>
      </c>
      <c r="M735">
        <v>72.740300000000005</v>
      </c>
      <c r="N735">
        <v>1.95279E-3</v>
      </c>
      <c r="O735">
        <f>Table312508[[#This Row],[CFNM]]/Table312508[[#This Row],[CAREA]]</f>
        <v>2.6846053700630873E-5</v>
      </c>
      <c r="P735">
        <v>2.80444</v>
      </c>
      <c r="Q735">
        <f>(Table413509[[#This Row],[time]]-2)*2</f>
        <v>1.6088800000000001</v>
      </c>
      <c r="R735">
        <v>79.909000000000006</v>
      </c>
      <c r="S735">
        <v>3.31299E-3</v>
      </c>
      <c r="T735">
        <f>Table413509[[#This Row],[CFNM]]/Table413509[[#This Row],[CAREA]]</f>
        <v>4.145953522131424E-5</v>
      </c>
      <c r="U735">
        <v>2.80444</v>
      </c>
      <c r="V735">
        <f>(Table514510[[#This Row],[time]]-2)*2</f>
        <v>1.6088800000000001</v>
      </c>
      <c r="W735">
        <v>75.569199999999995</v>
      </c>
      <c r="X735">
        <v>3.9476199999999998E-3</v>
      </c>
      <c r="Y735">
        <f>Table514510[[#This Row],[CFNM]]/Table514510[[#This Row],[CAREA]]</f>
        <v>5.2238478110129521E-5</v>
      </c>
      <c r="Z735">
        <v>2.80444</v>
      </c>
      <c r="AA735">
        <f>(Table615511[[#This Row],[time]]-2)*2</f>
        <v>1.6088800000000001</v>
      </c>
      <c r="AB735">
        <v>74.695099999999996</v>
      </c>
      <c r="AC735">
        <v>3.3484000000000001E-3</v>
      </c>
      <c r="AD735">
        <f>Table615511[[#This Row],[CFNM]]/Table615511[[#This Row],[CAREA]]</f>
        <v>4.4827572357490656E-5</v>
      </c>
      <c r="AE735">
        <v>2.80444</v>
      </c>
      <c r="AF735">
        <f>(Table716512[[#This Row],[time]]-2)*2</f>
        <v>1.6088800000000001</v>
      </c>
      <c r="AG735">
        <v>77.980400000000003</v>
      </c>
      <c r="AH735">
        <v>6.2813100000000004</v>
      </c>
      <c r="AI735">
        <f>Table716512[[#This Row],[CFNM]]/Table716512[[#This Row],[CAREA]]</f>
        <v>8.054985611769111E-2</v>
      </c>
      <c r="AJ735">
        <v>2.80444</v>
      </c>
      <c r="AK735">
        <f>(Table817513[[#This Row],[time]]-2)*2</f>
        <v>1.6088800000000001</v>
      </c>
      <c r="AL735">
        <v>83.0792</v>
      </c>
      <c r="AM735">
        <v>5.0252400000000002</v>
      </c>
      <c r="AN735">
        <f>Table817513[[#This Row],[CFNM]]/Table817513[[#This Row],[CAREA]]</f>
        <v>6.0487342198769369E-2</v>
      </c>
    </row>
    <row r="736" spans="1:40">
      <c r="A736">
        <v>2.8583699999999999</v>
      </c>
      <c r="B736">
        <f>(Table110506[[#This Row],[time]]-2)*2</f>
        <v>1.7167399999999997</v>
      </c>
      <c r="C736">
        <v>84.832499999999996</v>
      </c>
      <c r="D736">
        <v>3.5680199999999999E-3</v>
      </c>
      <c r="E736">
        <f>Table110506[[#This Row],[CFNM]]/Table110506[[#This Row],[CAREA]]</f>
        <v>4.2059588011670054E-5</v>
      </c>
      <c r="F736">
        <v>2.8583699999999999</v>
      </c>
      <c r="G736">
        <f>(Table211507[[#This Row],[time]]-2)*2</f>
        <v>1.7167399999999997</v>
      </c>
      <c r="H736">
        <v>88.069400000000002</v>
      </c>
      <c r="I736">
        <v>2.9302400000000002E-3</v>
      </c>
      <c r="J736">
        <f>Table211507[[#This Row],[CFNM]]/Table211507[[#This Row],[CAREA]]</f>
        <v>3.3271942354552207E-5</v>
      </c>
      <c r="K736">
        <v>2.8583699999999999</v>
      </c>
      <c r="L736">
        <f>(Table312508[[#This Row],[time]]-2)*2</f>
        <v>1.7167399999999997</v>
      </c>
      <c r="M736">
        <v>68.749099999999999</v>
      </c>
      <c r="N736">
        <v>1.8237800000000001E-3</v>
      </c>
      <c r="O736">
        <f>Table312508[[#This Row],[CFNM]]/Table312508[[#This Row],[CAREA]]</f>
        <v>2.6528056367283356E-5</v>
      </c>
      <c r="P736">
        <v>2.8583699999999999</v>
      </c>
      <c r="Q736">
        <f>(Table413509[[#This Row],[time]]-2)*2</f>
        <v>1.7167399999999997</v>
      </c>
      <c r="R736">
        <v>79.768600000000006</v>
      </c>
      <c r="S736">
        <v>3.11751E-3</v>
      </c>
      <c r="T736">
        <f>Table413509[[#This Row],[CFNM]]/Table413509[[#This Row],[CAREA]]</f>
        <v>3.9081919452014953E-5</v>
      </c>
      <c r="U736">
        <v>2.8583699999999999</v>
      </c>
      <c r="V736">
        <f>(Table514510[[#This Row],[time]]-2)*2</f>
        <v>1.7167399999999997</v>
      </c>
      <c r="W736">
        <v>74.4315</v>
      </c>
      <c r="X736">
        <v>3.8665800000000001E-3</v>
      </c>
      <c r="Y736">
        <f>Table514510[[#This Row],[CFNM]]/Table514510[[#This Row],[CAREA]]</f>
        <v>5.1948167106668548E-5</v>
      </c>
      <c r="Z736">
        <v>2.8583699999999999</v>
      </c>
      <c r="AA736">
        <f>(Table615511[[#This Row],[time]]-2)*2</f>
        <v>1.7167399999999997</v>
      </c>
      <c r="AB736">
        <v>72.408100000000005</v>
      </c>
      <c r="AC736">
        <v>3.1638999999999999E-3</v>
      </c>
      <c r="AD736">
        <f>Table615511[[#This Row],[CFNM]]/Table615511[[#This Row],[CAREA]]</f>
        <v>4.3695387670716391E-5</v>
      </c>
      <c r="AE736">
        <v>2.8583699999999999</v>
      </c>
      <c r="AF736">
        <f>(Table716512[[#This Row],[time]]-2)*2</f>
        <v>1.7167399999999997</v>
      </c>
      <c r="AG736">
        <v>78.035799999999995</v>
      </c>
      <c r="AH736">
        <v>5.3070399999999998</v>
      </c>
      <c r="AI736">
        <f>Table716512[[#This Row],[CFNM]]/Table716512[[#This Row],[CAREA]]</f>
        <v>6.8007760540674922E-2</v>
      </c>
      <c r="AJ736">
        <v>2.8583699999999999</v>
      </c>
      <c r="AK736">
        <f>(Table817513[[#This Row],[time]]-2)*2</f>
        <v>1.7167399999999997</v>
      </c>
      <c r="AL736">
        <v>82.977900000000005</v>
      </c>
      <c r="AM736">
        <v>4.3429099999999998</v>
      </c>
      <c r="AN736">
        <f>Table817513[[#This Row],[CFNM]]/Table817513[[#This Row],[CAREA]]</f>
        <v>5.233815268884847E-2</v>
      </c>
    </row>
    <row r="737" spans="1:40">
      <c r="A737">
        <v>2.9134199999999999</v>
      </c>
      <c r="B737">
        <f>(Table110506[[#This Row],[time]]-2)*2</f>
        <v>1.8268399999999998</v>
      </c>
      <c r="C737">
        <v>81.9619</v>
      </c>
      <c r="D737">
        <v>3.3555600000000001E-3</v>
      </c>
      <c r="E737">
        <f>Table110506[[#This Row],[CFNM]]/Table110506[[#This Row],[CAREA]]</f>
        <v>4.0940485762287109E-5</v>
      </c>
      <c r="F737">
        <v>2.9134199999999999</v>
      </c>
      <c r="G737">
        <f>(Table211507[[#This Row],[time]]-2)*2</f>
        <v>1.8268399999999998</v>
      </c>
      <c r="H737">
        <v>87.322599999999994</v>
      </c>
      <c r="I737">
        <v>2.70492E-3</v>
      </c>
      <c r="J737">
        <f>Table211507[[#This Row],[CFNM]]/Table211507[[#This Row],[CAREA]]</f>
        <v>3.0976173407571467E-5</v>
      </c>
      <c r="K737">
        <v>2.9134199999999999</v>
      </c>
      <c r="L737">
        <f>(Table312508[[#This Row],[time]]-2)*2</f>
        <v>1.8268399999999998</v>
      </c>
      <c r="M737">
        <v>66.117500000000007</v>
      </c>
      <c r="N737">
        <v>1.71222E-3</v>
      </c>
      <c r="O737">
        <f>Table312508[[#This Row],[CFNM]]/Table312508[[#This Row],[CAREA]]</f>
        <v>2.5896623435550344E-5</v>
      </c>
      <c r="P737">
        <v>2.9134199999999999</v>
      </c>
      <c r="Q737">
        <f>(Table413509[[#This Row],[time]]-2)*2</f>
        <v>1.8268399999999998</v>
      </c>
      <c r="R737">
        <v>79.627899999999997</v>
      </c>
      <c r="S737">
        <v>2.9437600000000001E-3</v>
      </c>
      <c r="T737">
        <f>Table413509[[#This Row],[CFNM]]/Table413509[[#This Row],[CAREA]]</f>
        <v>3.6968951837232936E-5</v>
      </c>
      <c r="U737">
        <v>2.9134199999999999</v>
      </c>
      <c r="V737">
        <f>(Table514510[[#This Row],[time]]-2)*2</f>
        <v>1.8268399999999998</v>
      </c>
      <c r="W737">
        <v>74.072100000000006</v>
      </c>
      <c r="X737">
        <v>3.7915499999999999E-3</v>
      </c>
      <c r="Y737">
        <f>Table514510[[#This Row],[CFNM]]/Table514510[[#This Row],[CAREA]]</f>
        <v>5.1187289141255606E-5</v>
      </c>
      <c r="Z737">
        <v>2.9134199999999999</v>
      </c>
      <c r="AA737">
        <f>(Table615511[[#This Row],[time]]-2)*2</f>
        <v>1.8268399999999998</v>
      </c>
      <c r="AB737">
        <v>70.224100000000007</v>
      </c>
      <c r="AC737">
        <v>2.9954700000000001E-3</v>
      </c>
      <c r="AD737">
        <f>Table615511[[#This Row],[CFNM]]/Table615511[[#This Row],[CAREA]]</f>
        <v>4.2655868854139816E-5</v>
      </c>
      <c r="AE737">
        <v>2.9134199999999999</v>
      </c>
      <c r="AF737">
        <f>(Table716512[[#This Row],[time]]-2)*2</f>
        <v>1.8268399999999998</v>
      </c>
      <c r="AG737">
        <v>77.971599999999995</v>
      </c>
      <c r="AH737">
        <v>4.4648399999999997</v>
      </c>
      <c r="AI737">
        <f>Table716512[[#This Row],[CFNM]]/Table716512[[#This Row],[CAREA]]</f>
        <v>5.7262387843779017E-2</v>
      </c>
      <c r="AJ737">
        <v>2.9134199999999999</v>
      </c>
      <c r="AK737">
        <f>(Table817513[[#This Row],[time]]-2)*2</f>
        <v>1.8268399999999998</v>
      </c>
      <c r="AL737">
        <v>82.885900000000007</v>
      </c>
      <c r="AM737">
        <v>3.7082600000000001</v>
      </c>
      <c r="AN737">
        <f>Table817513[[#This Row],[CFNM]]/Table817513[[#This Row],[CAREA]]</f>
        <v>4.4739334434445423E-2</v>
      </c>
    </row>
    <row r="738" spans="1:40">
      <c r="A738">
        <v>2.9619599999999999</v>
      </c>
      <c r="B738">
        <f>(Table110506[[#This Row],[time]]-2)*2</f>
        <v>1.9239199999999999</v>
      </c>
      <c r="C738">
        <v>79.909400000000005</v>
      </c>
      <c r="D738">
        <v>3.15417E-3</v>
      </c>
      <c r="E738">
        <f>Table110506[[#This Row],[CFNM]]/Table110506[[#This Row],[CAREA]]</f>
        <v>3.9471826843900716E-5</v>
      </c>
      <c r="F738">
        <v>2.9619599999999999</v>
      </c>
      <c r="G738">
        <f>(Table211507[[#This Row],[time]]-2)*2</f>
        <v>1.9239199999999999</v>
      </c>
      <c r="H738">
        <v>86.085499999999996</v>
      </c>
      <c r="I738">
        <v>2.5290600000000001E-3</v>
      </c>
      <c r="J738">
        <f>Table211507[[#This Row],[CFNM]]/Table211507[[#This Row],[CAREA]]</f>
        <v>2.9378466756887049E-5</v>
      </c>
      <c r="K738">
        <v>2.9619599999999999</v>
      </c>
      <c r="L738">
        <f>(Table312508[[#This Row],[time]]-2)*2</f>
        <v>1.9239199999999999</v>
      </c>
      <c r="M738">
        <v>65.683999999999997</v>
      </c>
      <c r="N738">
        <v>1.5996599999999999E-3</v>
      </c>
      <c r="O738">
        <f>Table312508[[#This Row],[CFNM]]/Table312508[[#This Row],[CAREA]]</f>
        <v>2.4353876134218379E-5</v>
      </c>
      <c r="P738">
        <v>2.9619599999999999</v>
      </c>
      <c r="Q738">
        <f>(Table413509[[#This Row],[time]]-2)*2</f>
        <v>1.9239199999999999</v>
      </c>
      <c r="R738">
        <v>79.468699999999998</v>
      </c>
      <c r="S738">
        <v>2.7700300000000001E-3</v>
      </c>
      <c r="T738">
        <f>Table413509[[#This Row],[CFNM]]/Table413509[[#This Row],[CAREA]]</f>
        <v>3.4856868175772348E-5</v>
      </c>
      <c r="U738">
        <v>2.9619599999999999</v>
      </c>
      <c r="V738">
        <f>(Table514510[[#This Row],[time]]-2)*2</f>
        <v>1.9239199999999999</v>
      </c>
      <c r="W738">
        <v>73.241600000000005</v>
      </c>
      <c r="X738">
        <v>3.7081000000000002E-3</v>
      </c>
      <c r="Y738">
        <f>Table514510[[#This Row],[CFNM]]/Table514510[[#This Row],[CAREA]]</f>
        <v>5.0628331440055926E-5</v>
      </c>
      <c r="Z738">
        <v>2.9619599999999999</v>
      </c>
      <c r="AA738">
        <f>(Table615511[[#This Row],[time]]-2)*2</f>
        <v>1.9239199999999999</v>
      </c>
      <c r="AB738">
        <v>69.073300000000003</v>
      </c>
      <c r="AC738">
        <v>2.8217699999999999E-3</v>
      </c>
      <c r="AD738">
        <f>Table615511[[#This Row],[CFNM]]/Table615511[[#This Row],[CAREA]]</f>
        <v>4.0851819733529448E-5</v>
      </c>
      <c r="AE738">
        <v>2.9619599999999999</v>
      </c>
      <c r="AF738">
        <f>(Table716512[[#This Row],[time]]-2)*2</f>
        <v>1.9239199999999999</v>
      </c>
      <c r="AG738">
        <v>77.804500000000004</v>
      </c>
      <c r="AH738">
        <v>3.56996</v>
      </c>
      <c r="AI738">
        <f>Table716512[[#This Row],[CFNM]]/Table716512[[#This Row],[CAREA]]</f>
        <v>4.58837213785835E-2</v>
      </c>
      <c r="AJ738">
        <v>2.9619599999999999</v>
      </c>
      <c r="AK738">
        <f>(Table817513[[#This Row],[time]]-2)*2</f>
        <v>1.9239199999999999</v>
      </c>
      <c r="AL738">
        <v>82.760499999999993</v>
      </c>
      <c r="AM738">
        <v>3.0959099999999999</v>
      </c>
      <c r="AN738">
        <f>Table817513[[#This Row],[CFNM]]/Table817513[[#This Row],[CAREA]]</f>
        <v>3.7408063025235472E-2</v>
      </c>
    </row>
    <row r="739" spans="1:40">
      <c r="A739">
        <v>3</v>
      </c>
      <c r="B739">
        <f>(Table110506[[#This Row],[time]]-2)*2</f>
        <v>2</v>
      </c>
      <c r="C739">
        <v>78.714699999999993</v>
      </c>
      <c r="D739">
        <v>3.0385400000000002E-3</v>
      </c>
      <c r="E739">
        <f>Table110506[[#This Row],[CFNM]]/Table110506[[#This Row],[CAREA]]</f>
        <v>3.8601938392701752E-5</v>
      </c>
      <c r="F739">
        <v>3</v>
      </c>
      <c r="G739">
        <f>(Table211507[[#This Row],[time]]-2)*2</f>
        <v>2</v>
      </c>
      <c r="H739">
        <v>84.894999999999996</v>
      </c>
      <c r="I739">
        <v>2.44108E-3</v>
      </c>
      <c r="J739">
        <f>Table211507[[#This Row],[CFNM]]/Table211507[[#This Row],[CAREA]]</f>
        <v>2.8754108015784206E-5</v>
      </c>
      <c r="K739">
        <v>3</v>
      </c>
      <c r="L739">
        <f>(Table312508[[#This Row],[time]]-2)*2</f>
        <v>2</v>
      </c>
      <c r="M739">
        <v>64.322500000000005</v>
      </c>
      <c r="N739">
        <v>1.5318199999999999E-3</v>
      </c>
      <c r="O739">
        <f>Table312508[[#This Row],[CFNM]]/Table312508[[#This Row],[CAREA]]</f>
        <v>2.3814683819814215E-5</v>
      </c>
      <c r="P739">
        <v>3</v>
      </c>
      <c r="Q739">
        <f>(Table413509[[#This Row],[time]]-2)*2</f>
        <v>2</v>
      </c>
      <c r="R739">
        <v>79.373900000000006</v>
      </c>
      <c r="S739">
        <v>2.6756599999999998E-3</v>
      </c>
      <c r="T739">
        <f>Table413509[[#This Row],[CFNM]]/Table413509[[#This Row],[CAREA]]</f>
        <v>3.3709569518443715E-5</v>
      </c>
      <c r="U739">
        <v>3</v>
      </c>
      <c r="V739">
        <f>(Table514510[[#This Row],[time]]-2)*2</f>
        <v>2</v>
      </c>
      <c r="W739">
        <v>72.929299999999998</v>
      </c>
      <c r="X739">
        <v>3.6575599999999998E-3</v>
      </c>
      <c r="Y739">
        <f>Table514510[[#This Row],[CFNM]]/Table514510[[#This Row],[CAREA]]</f>
        <v>5.0152133641759894E-5</v>
      </c>
      <c r="Z739">
        <v>3</v>
      </c>
      <c r="AA739">
        <f>(Table615511[[#This Row],[time]]-2)*2</f>
        <v>2</v>
      </c>
      <c r="AB739">
        <v>68.882900000000006</v>
      </c>
      <c r="AC739">
        <v>2.7203000000000001E-3</v>
      </c>
      <c r="AD739">
        <f>Table615511[[#This Row],[CFNM]]/Table615511[[#This Row],[CAREA]]</f>
        <v>3.949165903293851E-5</v>
      </c>
      <c r="AE739">
        <v>3</v>
      </c>
      <c r="AF739">
        <f>(Table716512[[#This Row],[time]]-2)*2</f>
        <v>2</v>
      </c>
      <c r="AG739">
        <v>77.705500000000001</v>
      </c>
      <c r="AH739">
        <v>3.02786</v>
      </c>
      <c r="AI739">
        <f>Table716512[[#This Row],[CFNM]]/Table716512[[#This Row],[CAREA]]</f>
        <v>3.8965838968927552E-2</v>
      </c>
      <c r="AJ739">
        <v>3</v>
      </c>
      <c r="AK739">
        <f>(Table817513[[#This Row],[time]]-2)*2</f>
        <v>2</v>
      </c>
      <c r="AL739">
        <v>82.686999999999998</v>
      </c>
      <c r="AM739">
        <v>2.7481800000000001</v>
      </c>
      <c r="AN739">
        <f>Table817513[[#This Row],[CFNM]]/Table817513[[#This Row],[CAREA]]</f>
        <v>3.3235937934620922E-2</v>
      </c>
    </row>
    <row r="742" spans="1:40">
      <c r="A742" s="1" t="s">
        <v>73</v>
      </c>
    </row>
    <row r="743" spans="1:40">
      <c r="A743" t="s">
        <v>74</v>
      </c>
      <c r="F743" t="s">
        <v>2</v>
      </c>
    </row>
    <row r="744" spans="1:40">
      <c r="F744" t="s">
        <v>4</v>
      </c>
      <c r="G744" t="s">
        <v>5</v>
      </c>
    </row>
    <row r="747" spans="1:40">
      <c r="A747" t="s">
        <v>7</v>
      </c>
      <c r="F747" t="s">
        <v>8</v>
      </c>
      <c r="K747" t="s">
        <v>9</v>
      </c>
      <c r="P747" t="s">
        <v>26</v>
      </c>
      <c r="U747" t="s">
        <v>11</v>
      </c>
      <c r="Z747" t="s">
        <v>12</v>
      </c>
      <c r="AE747" t="s">
        <v>13</v>
      </c>
      <c r="AJ747" t="s">
        <v>14</v>
      </c>
    </row>
    <row r="748" spans="1:40">
      <c r="A748" t="s">
        <v>15</v>
      </c>
      <c r="B748" t="s">
        <v>16</v>
      </c>
      <c r="C748" t="s">
        <v>20</v>
      </c>
      <c r="D748" t="s">
        <v>18</v>
      </c>
      <c r="E748" t="s">
        <v>19</v>
      </c>
      <c r="F748" t="s">
        <v>15</v>
      </c>
      <c r="G748" t="s">
        <v>16</v>
      </c>
      <c r="H748" t="s">
        <v>20</v>
      </c>
      <c r="I748" t="s">
        <v>18</v>
      </c>
      <c r="J748" t="s">
        <v>19</v>
      </c>
      <c r="K748" t="s">
        <v>15</v>
      </c>
      <c r="L748" t="s">
        <v>16</v>
      </c>
      <c r="M748" t="s">
        <v>20</v>
      </c>
      <c r="N748" t="s">
        <v>18</v>
      </c>
      <c r="O748" t="s">
        <v>19</v>
      </c>
      <c r="P748" t="s">
        <v>15</v>
      </c>
      <c r="Q748" t="s">
        <v>16</v>
      </c>
      <c r="R748" t="s">
        <v>20</v>
      </c>
      <c r="S748" t="s">
        <v>18</v>
      </c>
      <c r="T748" t="s">
        <v>19</v>
      </c>
      <c r="U748" t="s">
        <v>15</v>
      </c>
      <c r="V748" t="s">
        <v>16</v>
      </c>
      <c r="W748" t="s">
        <v>20</v>
      </c>
      <c r="X748" t="s">
        <v>18</v>
      </c>
      <c r="Y748" t="s">
        <v>19</v>
      </c>
      <c r="Z748" t="s">
        <v>15</v>
      </c>
      <c r="AA748" t="s">
        <v>16</v>
      </c>
      <c r="AB748" t="s">
        <v>20</v>
      </c>
      <c r="AC748" t="s">
        <v>18</v>
      </c>
      <c r="AD748" t="s">
        <v>19</v>
      </c>
      <c r="AE748" t="s">
        <v>15</v>
      </c>
      <c r="AF748" t="s">
        <v>16</v>
      </c>
      <c r="AG748" t="s">
        <v>20</v>
      </c>
      <c r="AH748" t="s">
        <v>18</v>
      </c>
      <c r="AI748" t="s">
        <v>19</v>
      </c>
      <c r="AJ748" t="s">
        <v>15</v>
      </c>
      <c r="AK748" t="s">
        <v>16</v>
      </c>
      <c r="AL748" t="s">
        <v>20</v>
      </c>
      <c r="AM748" t="s">
        <v>18</v>
      </c>
      <c r="AN748" t="s">
        <v>19</v>
      </c>
    </row>
    <row r="749" spans="1:40">
      <c r="A749">
        <v>2</v>
      </c>
      <c r="B749">
        <f>-(Table1514[[#This Row],[time]]-2)*2</f>
        <v>0</v>
      </c>
      <c r="C749">
        <v>89.597300000000004</v>
      </c>
      <c r="D749">
        <v>7.6775399999999996</v>
      </c>
      <c r="E749" s="2">
        <f>Table1514[[#This Row],[CFNM]]/Table1514[[#This Row],[CAREA]]</f>
        <v>8.5689412515778926E-2</v>
      </c>
      <c r="F749">
        <v>2</v>
      </c>
      <c r="G749">
        <f>-(Table2515[[#This Row],[time]]-2)*2</f>
        <v>0</v>
      </c>
      <c r="H749">
        <v>92.131299999999996</v>
      </c>
      <c r="I749">
        <v>0.23485200000000001</v>
      </c>
      <c r="J749" s="2">
        <f>Table2515[[#This Row],[CFNM]]/Table2515[[#This Row],[CAREA]]</f>
        <v>2.5491011198148731E-3</v>
      </c>
      <c r="K749">
        <v>2</v>
      </c>
      <c r="L749">
        <f>-(Table3516[[#This Row],[time]]-2)*2</f>
        <v>0</v>
      </c>
      <c r="M749">
        <v>87.840900000000005</v>
      </c>
      <c r="N749">
        <v>1.0432900000000001</v>
      </c>
      <c r="O749">
        <f>Table3516[[#This Row],[CFNM]]/Table3516[[#This Row],[CAREA]]</f>
        <v>1.1877041332682156E-2</v>
      </c>
      <c r="P749">
        <v>2</v>
      </c>
      <c r="Q749">
        <f>-(Table4517[[#This Row],[time]]-2)*2</f>
        <v>0</v>
      </c>
      <c r="R749">
        <v>82.212800000000001</v>
      </c>
      <c r="S749">
        <v>1.2537100000000001</v>
      </c>
      <c r="T749">
        <f>Table4517[[#This Row],[CFNM]]/Table4517[[#This Row],[CAREA]]</f>
        <v>1.5249571842827395E-2</v>
      </c>
      <c r="U749">
        <v>2</v>
      </c>
      <c r="V749">
        <f>-(Table5518[[#This Row],[time]]-2)*2</f>
        <v>0</v>
      </c>
      <c r="W749">
        <v>83.035700000000006</v>
      </c>
      <c r="X749">
        <v>4.7089100000000004</v>
      </c>
      <c r="Y749">
        <f>Table5518[[#This Row],[CFNM]]/Table5518[[#This Row],[CAREA]]</f>
        <v>5.6709463519907702E-2</v>
      </c>
      <c r="Z749">
        <v>2</v>
      </c>
      <c r="AA749">
        <f>-(Table6519[[#This Row],[time]]-2)*2</f>
        <v>0</v>
      </c>
      <c r="AB749">
        <v>86.564499999999995</v>
      </c>
      <c r="AC749">
        <v>7.2600199999999999</v>
      </c>
      <c r="AD749">
        <f>Table6519[[#This Row],[CFNM]]/Table6519[[#This Row],[CAREA]]</f>
        <v>8.3868329395999516E-2</v>
      </c>
      <c r="AE749">
        <v>2</v>
      </c>
      <c r="AF749">
        <f>-(Table7520[[#This Row],[time]]-2)*2</f>
        <v>0</v>
      </c>
      <c r="AG749">
        <v>77.847899999999996</v>
      </c>
      <c r="AH749">
        <v>20.320699999999999</v>
      </c>
      <c r="AI749">
        <f>Table7520[[#This Row],[CFNM]]/Table7520[[#This Row],[CAREA]]</f>
        <v>0.26103080494143066</v>
      </c>
      <c r="AJ749">
        <v>2</v>
      </c>
      <c r="AK749">
        <f>-(Table8521[[#This Row],[time]]-2)*2</f>
        <v>0</v>
      </c>
      <c r="AL749">
        <v>83.372500000000002</v>
      </c>
      <c r="AM749">
        <v>19.753900000000002</v>
      </c>
      <c r="AN749">
        <f>Table8521[[#This Row],[CFNM]]/Table8521[[#This Row],[CAREA]]</f>
        <v>0.23693544034303879</v>
      </c>
    </row>
    <row r="750" spans="1:40">
      <c r="A750">
        <v>2.0512600000000001</v>
      </c>
      <c r="B750">
        <f>-(Table1514[[#This Row],[time]]-2)*2</f>
        <v>-0.10252000000000017</v>
      </c>
      <c r="C750">
        <v>91.028000000000006</v>
      </c>
      <c r="D750">
        <v>10.263299999999999</v>
      </c>
      <c r="E750">
        <f>Table1514[[#This Row],[CFNM]]/Table1514[[#This Row],[CAREA]]</f>
        <v>0.11274882453750493</v>
      </c>
      <c r="F750">
        <v>2.0512600000000001</v>
      </c>
      <c r="G750">
        <f>-(Table2515[[#This Row],[time]]-2)*2</f>
        <v>-0.10252000000000017</v>
      </c>
      <c r="H750">
        <v>93.822500000000005</v>
      </c>
      <c r="I750">
        <v>1.9539</v>
      </c>
      <c r="J750">
        <f>Table2515[[#This Row],[CFNM]]/Table2515[[#This Row],[CAREA]]</f>
        <v>2.0825494950571555E-2</v>
      </c>
      <c r="K750">
        <v>2.0512600000000001</v>
      </c>
      <c r="L750">
        <f>-(Table3516[[#This Row],[time]]-2)*2</f>
        <v>-0.10252000000000017</v>
      </c>
      <c r="M750">
        <v>88.721199999999996</v>
      </c>
      <c r="N750">
        <v>3.8022300000000002</v>
      </c>
      <c r="O750">
        <f>Table3516[[#This Row],[CFNM]]/Table3516[[#This Row],[CAREA]]</f>
        <v>4.285593522179592E-2</v>
      </c>
      <c r="P750">
        <v>2.0512600000000001</v>
      </c>
      <c r="Q750">
        <f>-(Table4517[[#This Row],[time]]-2)*2</f>
        <v>-0.10252000000000017</v>
      </c>
      <c r="R750">
        <v>84.180499999999995</v>
      </c>
      <c r="S750">
        <v>5.1770500000000004</v>
      </c>
      <c r="T750">
        <f>Table4517[[#This Row],[CFNM]]/Table4517[[#This Row],[CAREA]]</f>
        <v>6.1499397128788741E-2</v>
      </c>
      <c r="U750">
        <v>2.0512600000000001</v>
      </c>
      <c r="V750">
        <f>-(Table5518[[#This Row],[time]]-2)*2</f>
        <v>-0.10252000000000017</v>
      </c>
      <c r="W750">
        <v>82.396900000000002</v>
      </c>
      <c r="X750">
        <v>9.7184600000000003</v>
      </c>
      <c r="Y750">
        <f>Table5518[[#This Row],[CFNM]]/Table5518[[#This Row],[CAREA]]</f>
        <v>0.11794691305134053</v>
      </c>
      <c r="Z750">
        <v>2.0512600000000001</v>
      </c>
      <c r="AA750">
        <f>-(Table6519[[#This Row],[time]]-2)*2</f>
        <v>-0.10252000000000017</v>
      </c>
      <c r="AB750">
        <v>88.932100000000005</v>
      </c>
      <c r="AC750">
        <v>14.603899999999999</v>
      </c>
      <c r="AD750">
        <f>Table6519[[#This Row],[CFNM]]/Table6519[[#This Row],[CAREA]]</f>
        <v>0.16421404644667109</v>
      </c>
      <c r="AE750">
        <v>2.0512600000000001</v>
      </c>
      <c r="AF750">
        <f>-(Table7520[[#This Row],[time]]-2)*2</f>
        <v>-0.10252000000000017</v>
      </c>
      <c r="AG750">
        <v>78.073300000000003</v>
      </c>
      <c r="AH750">
        <v>22.5472</v>
      </c>
      <c r="AI750">
        <f>Table7520[[#This Row],[CFNM]]/Table7520[[#This Row],[CAREA]]</f>
        <v>0.28879527315996634</v>
      </c>
      <c r="AJ750">
        <v>2.0512600000000001</v>
      </c>
      <c r="AK750">
        <f>-(Table8521[[#This Row],[time]]-2)*2</f>
        <v>-0.10252000000000017</v>
      </c>
      <c r="AL750">
        <v>83.266199999999998</v>
      </c>
      <c r="AM750">
        <v>22.409700000000001</v>
      </c>
      <c r="AN750">
        <f>Table8521[[#This Row],[CFNM]]/Table8521[[#This Row],[CAREA]]</f>
        <v>0.26913321371697041</v>
      </c>
    </row>
    <row r="751" spans="1:40">
      <c r="A751">
        <v>2.1153300000000002</v>
      </c>
      <c r="B751">
        <f>-(Table1514[[#This Row],[time]]-2)*2</f>
        <v>-0.23066000000000031</v>
      </c>
      <c r="C751">
        <v>90.097499999999997</v>
      </c>
      <c r="D751">
        <v>11.3018</v>
      </c>
      <c r="E751">
        <f>Table1514[[#This Row],[CFNM]]/Table1514[[#This Row],[CAREA]]</f>
        <v>0.12543966258775216</v>
      </c>
      <c r="F751">
        <v>2.1153300000000002</v>
      </c>
      <c r="G751">
        <f>-(Table2515[[#This Row],[time]]-2)*2</f>
        <v>-0.23066000000000031</v>
      </c>
      <c r="H751">
        <v>93.554699999999997</v>
      </c>
      <c r="I751">
        <v>2.7020300000000002</v>
      </c>
      <c r="J751">
        <f>Table2515[[#This Row],[CFNM]]/Table2515[[#This Row],[CAREA]]</f>
        <v>2.8881819940633664E-2</v>
      </c>
      <c r="K751">
        <v>2.1153300000000002</v>
      </c>
      <c r="L751">
        <f>-(Table3516[[#This Row],[time]]-2)*2</f>
        <v>-0.23066000000000031</v>
      </c>
      <c r="M751">
        <v>88.842399999999998</v>
      </c>
      <c r="N751">
        <v>5.8388900000000001</v>
      </c>
      <c r="O751">
        <f>Table3516[[#This Row],[CFNM]]/Table3516[[#This Row],[CAREA]]</f>
        <v>6.5721885045879003E-2</v>
      </c>
      <c r="P751">
        <v>2.1153300000000002</v>
      </c>
      <c r="Q751">
        <f>-(Table4517[[#This Row],[time]]-2)*2</f>
        <v>-0.23066000000000031</v>
      </c>
      <c r="R751">
        <v>85.121700000000004</v>
      </c>
      <c r="S751">
        <v>7.7695600000000002</v>
      </c>
      <c r="T751">
        <f>Table4517[[#This Row],[CFNM]]/Table4517[[#This Row],[CAREA]]</f>
        <v>9.1275902619426072E-2</v>
      </c>
      <c r="U751">
        <v>2.1153300000000002</v>
      </c>
      <c r="V751">
        <f>-(Table5518[[#This Row],[time]]-2)*2</f>
        <v>-0.23066000000000031</v>
      </c>
      <c r="W751">
        <v>81.894599999999997</v>
      </c>
      <c r="X751">
        <v>16.352599999999999</v>
      </c>
      <c r="Y751">
        <f>Table5518[[#This Row],[CFNM]]/Table5518[[#This Row],[CAREA]]</f>
        <v>0.19967861128816797</v>
      </c>
      <c r="Z751">
        <v>2.1153300000000002</v>
      </c>
      <c r="AA751">
        <f>-(Table6519[[#This Row],[time]]-2)*2</f>
        <v>-0.23066000000000031</v>
      </c>
      <c r="AB751">
        <v>88.981899999999996</v>
      </c>
      <c r="AC751">
        <v>22.8155</v>
      </c>
      <c r="AD751">
        <f>Table6519[[#This Row],[CFNM]]/Table6519[[#This Row],[CAREA]]</f>
        <v>0.25640607809003857</v>
      </c>
      <c r="AE751">
        <v>2.1153300000000002</v>
      </c>
      <c r="AF751">
        <f>-(Table7520[[#This Row],[time]]-2)*2</f>
        <v>-0.23066000000000031</v>
      </c>
      <c r="AG751">
        <v>78.687799999999996</v>
      </c>
      <c r="AH751">
        <v>24.479199999999999</v>
      </c>
      <c r="AI751">
        <f>Table7520[[#This Row],[CFNM]]/Table7520[[#This Row],[CAREA]]</f>
        <v>0.3110926979785939</v>
      </c>
      <c r="AJ751">
        <v>2.1153300000000002</v>
      </c>
      <c r="AK751">
        <f>-(Table8521[[#This Row],[time]]-2)*2</f>
        <v>-0.23066000000000031</v>
      </c>
      <c r="AL751">
        <v>83.042599999999993</v>
      </c>
      <c r="AM751">
        <v>24.9026</v>
      </c>
      <c r="AN751">
        <f>Table8521[[#This Row],[CFNM]]/Table8521[[#This Row],[CAREA]]</f>
        <v>0.29987741231608839</v>
      </c>
    </row>
    <row r="752" spans="1:40">
      <c r="A752">
        <v>2.16533</v>
      </c>
      <c r="B752">
        <f>-(Table1514[[#This Row],[time]]-2)*2</f>
        <v>-0.33065999999999995</v>
      </c>
      <c r="C752">
        <v>89.479600000000005</v>
      </c>
      <c r="D752">
        <v>12.4368</v>
      </c>
      <c r="E752">
        <f>Table1514[[#This Row],[CFNM]]/Table1514[[#This Row],[CAREA]]</f>
        <v>0.13899033969753999</v>
      </c>
      <c r="F752">
        <v>2.16533</v>
      </c>
      <c r="G752">
        <f>-(Table2515[[#This Row],[time]]-2)*2</f>
        <v>-0.33065999999999995</v>
      </c>
      <c r="H752">
        <v>93.1828</v>
      </c>
      <c r="I752">
        <v>3.4076499999999998</v>
      </c>
      <c r="J752">
        <f>Table2515[[#This Row],[CFNM]]/Table2515[[#This Row],[CAREA]]</f>
        <v>3.6569517121185453E-2</v>
      </c>
      <c r="K752">
        <v>2.16533</v>
      </c>
      <c r="L752">
        <f>-(Table3516[[#This Row],[time]]-2)*2</f>
        <v>-0.33065999999999995</v>
      </c>
      <c r="M752">
        <v>88.185299999999998</v>
      </c>
      <c r="N752">
        <v>7.4562099999999996</v>
      </c>
      <c r="O752">
        <f>Table3516[[#This Row],[CFNM]]/Table3516[[#This Row],[CAREA]]</f>
        <v>8.4551620281384757E-2</v>
      </c>
      <c r="P752">
        <v>2.16533</v>
      </c>
      <c r="Q752">
        <f>-(Table4517[[#This Row],[time]]-2)*2</f>
        <v>-0.33065999999999995</v>
      </c>
      <c r="R752">
        <v>85.500100000000003</v>
      </c>
      <c r="S752">
        <v>10.4076</v>
      </c>
      <c r="T752">
        <f>Table4517[[#This Row],[CFNM]]/Table4517[[#This Row],[CAREA]]</f>
        <v>0.12172617341968021</v>
      </c>
      <c r="U752">
        <v>2.16533</v>
      </c>
      <c r="V752">
        <f>-(Table5518[[#This Row],[time]]-2)*2</f>
        <v>-0.33065999999999995</v>
      </c>
      <c r="W752">
        <v>81.743300000000005</v>
      </c>
      <c r="X752">
        <v>21.809200000000001</v>
      </c>
      <c r="Y752">
        <f>Table5518[[#This Row],[CFNM]]/Table5518[[#This Row],[CAREA]]</f>
        <v>0.26680107115812551</v>
      </c>
      <c r="Z752">
        <v>2.16533</v>
      </c>
      <c r="AA752">
        <f>-(Table6519[[#This Row],[time]]-2)*2</f>
        <v>-0.33065999999999995</v>
      </c>
      <c r="AB752">
        <v>88.732799999999997</v>
      </c>
      <c r="AC752">
        <v>29.794899999999998</v>
      </c>
      <c r="AD752">
        <f>Table6519[[#This Row],[CFNM]]/Table6519[[#This Row],[CAREA]]</f>
        <v>0.33578225864618266</v>
      </c>
      <c r="AE752">
        <v>2.16533</v>
      </c>
      <c r="AF752">
        <f>-(Table7520[[#This Row],[time]]-2)*2</f>
        <v>-0.33065999999999995</v>
      </c>
      <c r="AG752">
        <v>79.137</v>
      </c>
      <c r="AH752">
        <v>27.293299999999999</v>
      </c>
      <c r="AI752">
        <f>Table7520[[#This Row],[CFNM]]/Table7520[[#This Row],[CAREA]]</f>
        <v>0.34488671544283961</v>
      </c>
      <c r="AJ752">
        <v>2.16533</v>
      </c>
      <c r="AK752">
        <f>-(Table8521[[#This Row],[time]]-2)*2</f>
        <v>-0.33065999999999995</v>
      </c>
      <c r="AL752">
        <v>82.733099999999993</v>
      </c>
      <c r="AM752">
        <v>28.744</v>
      </c>
      <c r="AN752">
        <f>Table8521[[#This Row],[CFNM]]/Table8521[[#This Row],[CAREA]]</f>
        <v>0.34743047220519963</v>
      </c>
    </row>
    <row r="753" spans="1:40">
      <c r="A753">
        <v>2.2246999999999999</v>
      </c>
      <c r="B753">
        <f>-(Table1514[[#This Row],[time]]-2)*2</f>
        <v>-0.4493999999999998</v>
      </c>
      <c r="C753">
        <v>89.245400000000004</v>
      </c>
      <c r="D753">
        <v>12.9215</v>
      </c>
      <c r="E753">
        <f>Table1514[[#This Row],[CFNM]]/Table1514[[#This Row],[CAREA]]</f>
        <v>0.14478617385321821</v>
      </c>
      <c r="F753">
        <v>2.2246999999999999</v>
      </c>
      <c r="G753">
        <f>-(Table2515[[#This Row],[time]]-2)*2</f>
        <v>-0.4493999999999998</v>
      </c>
      <c r="H753">
        <v>93.126900000000006</v>
      </c>
      <c r="I753">
        <v>3.7515100000000001</v>
      </c>
      <c r="J753">
        <f>Table2515[[#This Row],[CFNM]]/Table2515[[#This Row],[CAREA]]</f>
        <v>4.0283849242270492E-2</v>
      </c>
      <c r="K753">
        <v>2.2246999999999999</v>
      </c>
      <c r="L753">
        <f>-(Table3516[[#This Row],[time]]-2)*2</f>
        <v>-0.4493999999999998</v>
      </c>
      <c r="M753">
        <v>88.246099999999998</v>
      </c>
      <c r="N753">
        <v>8.1865000000000006</v>
      </c>
      <c r="O753">
        <f>Table3516[[#This Row],[CFNM]]/Table3516[[#This Row],[CAREA]]</f>
        <v>9.2768972226534671E-2</v>
      </c>
      <c r="P753">
        <v>2.2246999999999999</v>
      </c>
      <c r="Q753">
        <f>-(Table4517[[#This Row],[time]]-2)*2</f>
        <v>-0.4493999999999998</v>
      </c>
      <c r="R753">
        <v>85.599299999999999</v>
      </c>
      <c r="S753">
        <v>11.58</v>
      </c>
      <c r="T753">
        <f>Table4517[[#This Row],[CFNM]]/Table4517[[#This Row],[CAREA]]</f>
        <v>0.13528148010556162</v>
      </c>
      <c r="U753">
        <v>2.2246999999999999</v>
      </c>
      <c r="V753">
        <f>-(Table5518[[#This Row],[time]]-2)*2</f>
        <v>-0.4493999999999998</v>
      </c>
      <c r="W753">
        <v>81.8613</v>
      </c>
      <c r="X753">
        <v>23.888000000000002</v>
      </c>
      <c r="Y753">
        <f>Table5518[[#This Row],[CFNM]]/Table5518[[#This Row],[CAREA]]</f>
        <v>0.29181066022650509</v>
      </c>
      <c r="Z753">
        <v>2.2246999999999999</v>
      </c>
      <c r="AA753">
        <f>-(Table6519[[#This Row],[time]]-2)*2</f>
        <v>-0.4493999999999998</v>
      </c>
      <c r="AB753">
        <v>88.404399999999995</v>
      </c>
      <c r="AC753">
        <v>32.549900000000001</v>
      </c>
      <c r="AD753">
        <f>Table6519[[#This Row],[CFNM]]/Table6519[[#This Row],[CAREA]]</f>
        <v>0.36819321210256506</v>
      </c>
      <c r="AE753">
        <v>2.2246999999999999</v>
      </c>
      <c r="AF753">
        <f>-(Table7520[[#This Row],[time]]-2)*2</f>
        <v>-0.4493999999999998</v>
      </c>
      <c r="AG753">
        <v>79.323899999999995</v>
      </c>
      <c r="AH753">
        <v>28.697299999999998</v>
      </c>
      <c r="AI753">
        <f>Table7520[[#This Row],[CFNM]]/Table7520[[#This Row],[CAREA]]</f>
        <v>0.3617736898967398</v>
      </c>
      <c r="AJ753">
        <v>2.2246999999999999</v>
      </c>
      <c r="AK753">
        <f>-(Table8521[[#This Row],[time]]-2)*2</f>
        <v>-0.4493999999999998</v>
      </c>
      <c r="AL753">
        <v>82.598600000000005</v>
      </c>
      <c r="AM753">
        <v>30.6617</v>
      </c>
      <c r="AN753">
        <f>Table8521[[#This Row],[CFNM]]/Table8521[[#This Row],[CAREA]]</f>
        <v>0.37121331354284454</v>
      </c>
    </row>
    <row r="754" spans="1:40">
      <c r="A754">
        <v>2.2668900000000001</v>
      </c>
      <c r="B754">
        <f>-(Table1514[[#This Row],[time]]-2)*2</f>
        <v>-0.53378000000000014</v>
      </c>
      <c r="C754">
        <v>88.94</v>
      </c>
      <c r="D754">
        <v>13.8956</v>
      </c>
      <c r="E754">
        <f>Table1514[[#This Row],[CFNM]]/Table1514[[#This Row],[CAREA]]</f>
        <v>0.15623566449291656</v>
      </c>
      <c r="F754">
        <v>2.2668900000000001</v>
      </c>
      <c r="G754">
        <f>-(Table2515[[#This Row],[time]]-2)*2</f>
        <v>-0.53378000000000014</v>
      </c>
      <c r="H754">
        <v>93.103200000000001</v>
      </c>
      <c r="I754">
        <v>4.5866300000000004</v>
      </c>
      <c r="J754">
        <f>Table2515[[#This Row],[CFNM]]/Table2515[[#This Row],[CAREA]]</f>
        <v>4.926393507419724E-2</v>
      </c>
      <c r="K754">
        <v>2.2668900000000001</v>
      </c>
      <c r="L754">
        <f>-(Table3516[[#This Row],[time]]-2)*2</f>
        <v>-0.53378000000000014</v>
      </c>
      <c r="M754">
        <v>88.415000000000006</v>
      </c>
      <c r="N754">
        <v>9.7728900000000003</v>
      </c>
      <c r="O754">
        <f>Table3516[[#This Row],[CFNM]]/Table3516[[#This Row],[CAREA]]</f>
        <v>0.11053429847876491</v>
      </c>
      <c r="P754">
        <v>2.2668900000000001</v>
      </c>
      <c r="Q754">
        <f>-(Table4517[[#This Row],[time]]-2)*2</f>
        <v>-0.53378000000000014</v>
      </c>
      <c r="R754">
        <v>86.496700000000004</v>
      </c>
      <c r="S754">
        <v>14.0204</v>
      </c>
      <c r="T754">
        <f>Table4517[[#This Row],[CFNM]]/Table4517[[#This Row],[CAREA]]</f>
        <v>0.16209173297940846</v>
      </c>
      <c r="U754">
        <v>2.2668900000000001</v>
      </c>
      <c r="V754">
        <f>-(Table5518[[#This Row],[time]]-2)*2</f>
        <v>-0.53378000000000014</v>
      </c>
      <c r="W754">
        <v>80.734399999999994</v>
      </c>
      <c r="X754">
        <v>27.183199999999999</v>
      </c>
      <c r="Y754">
        <f>Table5518[[#This Row],[CFNM]]/Table5518[[#This Row],[CAREA]]</f>
        <v>0.33669910224142374</v>
      </c>
      <c r="Z754">
        <v>2.2668900000000001</v>
      </c>
      <c r="AA754">
        <f>-(Table6519[[#This Row],[time]]-2)*2</f>
        <v>-0.53378000000000014</v>
      </c>
      <c r="AB754">
        <v>88.858000000000004</v>
      </c>
      <c r="AC754">
        <v>37.310699999999997</v>
      </c>
      <c r="AD754">
        <f>Table6519[[#This Row],[CFNM]]/Table6519[[#This Row],[CAREA]]</f>
        <v>0.41989128722230973</v>
      </c>
      <c r="AE754">
        <v>2.2668900000000001</v>
      </c>
      <c r="AF754">
        <f>-(Table7520[[#This Row],[time]]-2)*2</f>
        <v>-0.53378000000000014</v>
      </c>
      <c r="AG754">
        <v>79.720600000000005</v>
      </c>
      <c r="AH754">
        <v>31.8416</v>
      </c>
      <c r="AI754">
        <f>Table7520[[#This Row],[CFNM]]/Table7520[[#This Row],[CAREA]]</f>
        <v>0.39941495673640187</v>
      </c>
      <c r="AJ754">
        <v>2.2668900000000001</v>
      </c>
      <c r="AK754">
        <f>-(Table8521[[#This Row],[time]]-2)*2</f>
        <v>-0.53378000000000014</v>
      </c>
      <c r="AL754">
        <v>82.329899999999995</v>
      </c>
      <c r="AM754">
        <v>34.727800000000002</v>
      </c>
      <c r="AN754">
        <f>Table8521[[#This Row],[CFNM]]/Table8521[[#This Row],[CAREA]]</f>
        <v>0.42181273146208126</v>
      </c>
    </row>
    <row r="755" spans="1:40">
      <c r="A755">
        <v>2.3262700000000001</v>
      </c>
      <c r="B755">
        <f>-(Table1514[[#This Row],[time]]-2)*2</f>
        <v>-0.65254000000000012</v>
      </c>
      <c r="C755">
        <v>88.639399999999995</v>
      </c>
      <c r="D755">
        <v>14.650700000000001</v>
      </c>
      <c r="E755">
        <f>Table1514[[#This Row],[CFNM]]/Table1514[[#This Row],[CAREA]]</f>
        <v>0.16528428667161557</v>
      </c>
      <c r="F755">
        <v>2.3262700000000001</v>
      </c>
      <c r="G755">
        <f>-(Table2515[[#This Row],[time]]-2)*2</f>
        <v>-0.65254000000000012</v>
      </c>
      <c r="H755">
        <v>93.143100000000004</v>
      </c>
      <c r="I755">
        <v>5.3246799999999999</v>
      </c>
      <c r="J755">
        <f>Table2515[[#This Row],[CFNM]]/Table2515[[#This Row],[CAREA]]</f>
        <v>5.7166660761774082E-2</v>
      </c>
      <c r="K755">
        <v>2.3262700000000001</v>
      </c>
      <c r="L755">
        <f>-(Table3516[[#This Row],[time]]-2)*2</f>
        <v>-0.65254000000000012</v>
      </c>
      <c r="M755">
        <v>88.569400000000002</v>
      </c>
      <c r="N755">
        <v>11.154299999999999</v>
      </c>
      <c r="O755">
        <f>Table3516[[#This Row],[CFNM]]/Table3516[[#This Row],[CAREA]]</f>
        <v>0.12593852955987056</v>
      </c>
      <c r="P755">
        <v>2.3262700000000001</v>
      </c>
      <c r="Q755">
        <f>-(Table4517[[#This Row],[time]]-2)*2</f>
        <v>-0.65254000000000012</v>
      </c>
      <c r="R755">
        <v>86.940399999999997</v>
      </c>
      <c r="S755">
        <v>16.0032</v>
      </c>
      <c r="T755">
        <f>Table4517[[#This Row],[CFNM]]/Table4517[[#This Row],[CAREA]]</f>
        <v>0.18407092674981942</v>
      </c>
      <c r="U755">
        <v>2.3262700000000001</v>
      </c>
      <c r="V755">
        <f>-(Table5518[[#This Row],[time]]-2)*2</f>
        <v>-0.65254000000000012</v>
      </c>
      <c r="W755">
        <v>79.623999999999995</v>
      </c>
      <c r="X755">
        <v>29.382000000000001</v>
      </c>
      <c r="Y755">
        <f>Table5518[[#This Row],[CFNM]]/Table5518[[#This Row],[CAREA]]</f>
        <v>0.36900934391640716</v>
      </c>
      <c r="Z755">
        <v>2.3262700000000001</v>
      </c>
      <c r="AA755">
        <f>-(Table6519[[#This Row],[time]]-2)*2</f>
        <v>-0.65254000000000012</v>
      </c>
      <c r="AB755">
        <v>88.179900000000004</v>
      </c>
      <c r="AC755">
        <v>40.659100000000002</v>
      </c>
      <c r="AD755">
        <f>Table6519[[#This Row],[CFNM]]/Table6519[[#This Row],[CAREA]]</f>
        <v>0.46109260727217882</v>
      </c>
      <c r="AE755">
        <v>2.3262700000000001</v>
      </c>
      <c r="AF755">
        <f>-(Table7520[[#This Row],[time]]-2)*2</f>
        <v>-0.65254000000000012</v>
      </c>
      <c r="AG755">
        <v>79.886600000000001</v>
      </c>
      <c r="AH755">
        <v>34.635800000000003</v>
      </c>
      <c r="AI755">
        <f>Table7520[[#This Row],[CFNM]]/Table7520[[#This Row],[CAREA]]</f>
        <v>0.43356207424023557</v>
      </c>
      <c r="AJ755">
        <v>2.3262700000000001</v>
      </c>
      <c r="AK755">
        <f>-(Table8521[[#This Row],[time]]-2)*2</f>
        <v>-0.65254000000000012</v>
      </c>
      <c r="AL755">
        <v>82.117900000000006</v>
      </c>
      <c r="AM755">
        <v>37.8857</v>
      </c>
      <c r="AN755">
        <f>Table8521[[#This Row],[CFNM]]/Table8521[[#This Row],[CAREA]]</f>
        <v>0.46135738980173624</v>
      </c>
    </row>
    <row r="756" spans="1:40">
      <c r="A756">
        <v>2.3684599999999998</v>
      </c>
      <c r="B756">
        <f>-(Table1514[[#This Row],[time]]-2)*2</f>
        <v>-0.73691999999999958</v>
      </c>
      <c r="C756">
        <v>88.380399999999995</v>
      </c>
      <c r="D756">
        <v>15.6015</v>
      </c>
      <c r="E756">
        <f>Table1514[[#This Row],[CFNM]]/Table1514[[#This Row],[CAREA]]</f>
        <v>0.17652669596426357</v>
      </c>
      <c r="F756">
        <v>2.3684599999999998</v>
      </c>
      <c r="G756">
        <f>-(Table2515[[#This Row],[time]]-2)*2</f>
        <v>-0.73691999999999958</v>
      </c>
      <c r="H756">
        <v>93.415999999999997</v>
      </c>
      <c r="I756">
        <v>6.3122699999999998</v>
      </c>
      <c r="J756">
        <f>Table2515[[#This Row],[CFNM]]/Table2515[[#This Row],[CAREA]]</f>
        <v>6.757161514087523E-2</v>
      </c>
      <c r="K756">
        <v>2.3684599999999998</v>
      </c>
      <c r="L756">
        <f>-(Table3516[[#This Row],[time]]-2)*2</f>
        <v>-0.73691999999999958</v>
      </c>
      <c r="M756">
        <v>88.755899999999997</v>
      </c>
      <c r="N756">
        <v>13.1469</v>
      </c>
      <c r="O756">
        <f>Table3516[[#This Row],[CFNM]]/Table3516[[#This Row],[CAREA]]</f>
        <v>0.14812423737464214</v>
      </c>
      <c r="P756">
        <v>2.3684599999999998</v>
      </c>
      <c r="Q756">
        <f>-(Table4517[[#This Row],[time]]-2)*2</f>
        <v>-0.73691999999999958</v>
      </c>
      <c r="R756">
        <v>87.252799999999993</v>
      </c>
      <c r="S756">
        <v>18.561900000000001</v>
      </c>
      <c r="T756">
        <f>Table4517[[#This Row],[CFNM]]/Table4517[[#This Row],[CAREA]]</f>
        <v>0.21273701245117638</v>
      </c>
      <c r="U756">
        <v>2.3684599999999998</v>
      </c>
      <c r="V756">
        <f>-(Table5518[[#This Row],[time]]-2)*2</f>
        <v>-0.73691999999999958</v>
      </c>
      <c r="W756">
        <v>78.735799999999998</v>
      </c>
      <c r="X756">
        <v>31.795999999999999</v>
      </c>
      <c r="Y756">
        <f>Table5518[[#This Row],[CFNM]]/Table5518[[#This Row],[CAREA]]</f>
        <v>0.40383154803786842</v>
      </c>
      <c r="Z756">
        <v>2.3684599999999998</v>
      </c>
      <c r="AA756">
        <f>-(Table6519[[#This Row],[time]]-2)*2</f>
        <v>-0.73691999999999958</v>
      </c>
      <c r="AB756">
        <v>87.221199999999996</v>
      </c>
      <c r="AC756">
        <v>44.582599999999999</v>
      </c>
      <c r="AD756">
        <f>Table6519[[#This Row],[CFNM]]/Table6519[[#This Row],[CAREA]]</f>
        <v>0.51114407965036024</v>
      </c>
      <c r="AE756">
        <v>2.3684599999999998</v>
      </c>
      <c r="AF756">
        <f>-(Table7520[[#This Row],[time]]-2)*2</f>
        <v>-0.73691999999999958</v>
      </c>
      <c r="AG756">
        <v>80.129599999999996</v>
      </c>
      <c r="AH756">
        <v>38.402200000000001</v>
      </c>
      <c r="AI756">
        <f>Table7520[[#This Row],[CFNM]]/Table7520[[#This Row],[CAREA]]</f>
        <v>0.4792511131966215</v>
      </c>
      <c r="AJ756">
        <v>2.3684599999999998</v>
      </c>
      <c r="AK756">
        <f>-(Table8521[[#This Row],[time]]-2)*2</f>
        <v>-0.73691999999999958</v>
      </c>
      <c r="AL756">
        <v>81.882000000000005</v>
      </c>
      <c r="AM756">
        <v>41.736600000000003</v>
      </c>
      <c r="AN756">
        <f>Table8521[[#This Row],[CFNM]]/Table8521[[#This Row],[CAREA]]</f>
        <v>0.50971642119147065</v>
      </c>
    </row>
    <row r="757" spans="1:40">
      <c r="A757">
        <v>2.4278300000000002</v>
      </c>
      <c r="B757">
        <f>-(Table1514[[#This Row],[time]]-2)*2</f>
        <v>-0.85566000000000031</v>
      </c>
      <c r="C757">
        <v>88.460599999999999</v>
      </c>
      <c r="D757">
        <v>16.674099999999999</v>
      </c>
      <c r="E757">
        <f>Table1514[[#This Row],[CFNM]]/Table1514[[#This Row],[CAREA]]</f>
        <v>0.18849182573936871</v>
      </c>
      <c r="F757">
        <v>2.4278300000000002</v>
      </c>
      <c r="G757">
        <f>-(Table2515[[#This Row],[time]]-2)*2</f>
        <v>-0.85566000000000031</v>
      </c>
      <c r="H757">
        <v>93.743399999999994</v>
      </c>
      <c r="I757">
        <v>7.4760099999999996</v>
      </c>
      <c r="J757">
        <f>Table2515[[#This Row],[CFNM]]/Table2515[[#This Row],[CAREA]]</f>
        <v>7.9749721047028377E-2</v>
      </c>
      <c r="K757">
        <v>2.4278300000000002</v>
      </c>
      <c r="L757">
        <f>-(Table3516[[#This Row],[time]]-2)*2</f>
        <v>-0.85566000000000031</v>
      </c>
      <c r="M757">
        <v>89.081800000000001</v>
      </c>
      <c r="N757">
        <v>15.6211</v>
      </c>
      <c r="O757">
        <f>Table3516[[#This Row],[CFNM]]/Table3516[[#This Row],[CAREA]]</f>
        <v>0.17535680688984731</v>
      </c>
      <c r="P757">
        <v>2.4278300000000002</v>
      </c>
      <c r="Q757">
        <f>-(Table4517[[#This Row],[time]]-2)*2</f>
        <v>-0.85566000000000031</v>
      </c>
      <c r="R757">
        <v>87.585700000000003</v>
      </c>
      <c r="S757">
        <v>21.525400000000001</v>
      </c>
      <c r="T757">
        <f>Table4517[[#This Row],[CFNM]]/Table4517[[#This Row],[CAREA]]</f>
        <v>0.24576386327905125</v>
      </c>
      <c r="U757">
        <v>2.4278300000000002</v>
      </c>
      <c r="V757">
        <f>-(Table5518[[#This Row],[time]]-2)*2</f>
        <v>-0.85566000000000031</v>
      </c>
      <c r="W757">
        <v>77.633600000000001</v>
      </c>
      <c r="X757">
        <v>34.614600000000003</v>
      </c>
      <c r="Y757">
        <f>Table5518[[#This Row],[CFNM]]/Table5518[[#This Row],[CAREA]]</f>
        <v>0.44587137528080628</v>
      </c>
      <c r="Z757">
        <v>2.4278300000000002</v>
      </c>
      <c r="AA757">
        <f>-(Table6519[[#This Row],[time]]-2)*2</f>
        <v>-0.85566000000000031</v>
      </c>
      <c r="AB757">
        <v>86.065399999999997</v>
      </c>
      <c r="AC757">
        <v>48.629600000000003</v>
      </c>
      <c r="AD757">
        <f>Table6519[[#This Row],[CFNM]]/Table6519[[#This Row],[CAREA]]</f>
        <v>0.56503077891928699</v>
      </c>
      <c r="AE757">
        <v>2.4278300000000002</v>
      </c>
      <c r="AF757">
        <f>-(Table7520[[#This Row],[time]]-2)*2</f>
        <v>-0.85566000000000031</v>
      </c>
      <c r="AG757">
        <v>80.204599999999999</v>
      </c>
      <c r="AH757">
        <v>42.761400000000002</v>
      </c>
      <c r="AI757">
        <f>Table7520[[#This Row],[CFNM]]/Table7520[[#This Row],[CAREA]]</f>
        <v>0.53315395875049565</v>
      </c>
      <c r="AJ757">
        <v>2.4278300000000002</v>
      </c>
      <c r="AK757">
        <f>-(Table8521[[#This Row],[time]]-2)*2</f>
        <v>-0.85566000000000031</v>
      </c>
      <c r="AL757">
        <v>81.031999999999996</v>
      </c>
      <c r="AM757">
        <v>46.075899999999997</v>
      </c>
      <c r="AN757">
        <f>Table8521[[#This Row],[CFNM]]/Table8521[[#This Row],[CAREA]]</f>
        <v>0.56861363411985388</v>
      </c>
    </row>
    <row r="758" spans="1:40">
      <c r="A758">
        <v>2.4542000000000002</v>
      </c>
      <c r="B758">
        <f>-(Table1514[[#This Row],[time]]-2)*2</f>
        <v>-0.90840000000000032</v>
      </c>
      <c r="C758">
        <v>88.564099999999996</v>
      </c>
      <c r="D758">
        <v>17.286300000000001</v>
      </c>
      <c r="E758">
        <f>Table1514[[#This Row],[CFNM]]/Table1514[[#This Row],[CAREA]]</f>
        <v>0.19518405313213821</v>
      </c>
      <c r="F758">
        <v>2.4542000000000002</v>
      </c>
      <c r="G758">
        <f>-(Table2515[[#This Row],[time]]-2)*2</f>
        <v>-0.90840000000000032</v>
      </c>
      <c r="H758">
        <v>94.063400000000001</v>
      </c>
      <c r="I758">
        <v>8.1772299999999998</v>
      </c>
      <c r="J758">
        <f>Table2515[[#This Row],[CFNM]]/Table2515[[#This Row],[CAREA]]</f>
        <v>8.693317485865916E-2</v>
      </c>
      <c r="K758">
        <v>2.4542000000000002</v>
      </c>
      <c r="L758">
        <f>-(Table3516[[#This Row],[time]]-2)*2</f>
        <v>-0.90840000000000032</v>
      </c>
      <c r="M758">
        <v>89.226299999999995</v>
      </c>
      <c r="N758">
        <v>17.130700000000001</v>
      </c>
      <c r="O758">
        <f>Table3516[[#This Row],[CFNM]]/Table3516[[#This Row],[CAREA]]</f>
        <v>0.1919915988895651</v>
      </c>
      <c r="P758">
        <v>2.4542000000000002</v>
      </c>
      <c r="Q758">
        <f>-(Table4517[[#This Row],[time]]-2)*2</f>
        <v>-0.90840000000000032</v>
      </c>
      <c r="R758">
        <v>87.799800000000005</v>
      </c>
      <c r="S758">
        <v>23.248200000000001</v>
      </c>
      <c r="T758">
        <f>Table4517[[#This Row],[CFNM]]/Table4517[[#This Row],[CAREA]]</f>
        <v>0.26478648015143541</v>
      </c>
      <c r="U758">
        <v>2.4542000000000002</v>
      </c>
      <c r="V758">
        <f>-(Table5518[[#This Row],[time]]-2)*2</f>
        <v>-0.90840000000000032</v>
      </c>
      <c r="W758">
        <v>76.871200000000002</v>
      </c>
      <c r="X758">
        <v>36.204099999999997</v>
      </c>
      <c r="Y758">
        <f>Table5518[[#This Row],[CFNM]]/Table5518[[#This Row],[CAREA]]</f>
        <v>0.47097092279032976</v>
      </c>
      <c r="Z758">
        <v>2.4542000000000002</v>
      </c>
      <c r="AA758">
        <f>-(Table6519[[#This Row],[time]]-2)*2</f>
        <v>-0.90840000000000032</v>
      </c>
      <c r="AB758">
        <v>84.689599999999999</v>
      </c>
      <c r="AC758">
        <v>50.856999999999999</v>
      </c>
      <c r="AD758">
        <f>Table6519[[#This Row],[CFNM]]/Table6519[[#This Row],[CAREA]]</f>
        <v>0.6005105703651924</v>
      </c>
      <c r="AE758">
        <v>2.4542000000000002</v>
      </c>
      <c r="AF758">
        <f>-(Table7520[[#This Row],[time]]-2)*2</f>
        <v>-0.90840000000000032</v>
      </c>
      <c r="AG758">
        <v>80.121300000000005</v>
      </c>
      <c r="AH758">
        <v>45.317</v>
      </c>
      <c r="AI758">
        <f>Table7520[[#This Row],[CFNM]]/Table7520[[#This Row],[CAREA]]</f>
        <v>0.56560490156799748</v>
      </c>
      <c r="AJ758">
        <v>2.4542000000000002</v>
      </c>
      <c r="AK758">
        <f>-(Table8521[[#This Row],[time]]-2)*2</f>
        <v>-0.90840000000000032</v>
      </c>
      <c r="AL758">
        <v>80.9221</v>
      </c>
      <c r="AM758">
        <v>48.5642</v>
      </c>
      <c r="AN758">
        <f>Table8521[[#This Row],[CFNM]]/Table8521[[#This Row],[CAREA]]</f>
        <v>0.60013519174613605</v>
      </c>
    </row>
    <row r="759" spans="1:40">
      <c r="A759">
        <v>2.5061499999999999</v>
      </c>
      <c r="B759">
        <f>-(Table1514[[#This Row],[time]]-2)*2</f>
        <v>-1.0122999999999998</v>
      </c>
      <c r="C759">
        <v>88.792000000000002</v>
      </c>
      <c r="D759">
        <v>18.258600000000001</v>
      </c>
      <c r="E759">
        <f>Table1514[[#This Row],[CFNM]]/Table1514[[#This Row],[CAREA]]</f>
        <v>0.20563339039553113</v>
      </c>
      <c r="F759">
        <v>2.5061499999999999</v>
      </c>
      <c r="G759">
        <f>-(Table2515[[#This Row],[time]]-2)*2</f>
        <v>-1.0122999999999998</v>
      </c>
      <c r="H759">
        <v>94.615899999999996</v>
      </c>
      <c r="I759">
        <v>9.5541900000000002</v>
      </c>
      <c r="J759">
        <f>Table2515[[#This Row],[CFNM]]/Table2515[[#This Row],[CAREA]]</f>
        <v>0.10097869385589527</v>
      </c>
      <c r="K759">
        <v>2.5061499999999999</v>
      </c>
      <c r="L759">
        <f>-(Table3516[[#This Row],[time]]-2)*2</f>
        <v>-1.0122999999999998</v>
      </c>
      <c r="M759">
        <v>89.414699999999996</v>
      </c>
      <c r="N759">
        <v>19.640599999999999</v>
      </c>
      <c r="O759">
        <f>Table3516[[#This Row],[CFNM]]/Table3516[[#This Row],[CAREA]]</f>
        <v>0.21965739414212651</v>
      </c>
      <c r="P759">
        <v>2.5061499999999999</v>
      </c>
      <c r="Q759">
        <f>-(Table4517[[#This Row],[time]]-2)*2</f>
        <v>-1.0122999999999998</v>
      </c>
      <c r="R759">
        <v>88.351299999999995</v>
      </c>
      <c r="S759">
        <v>26.314599999999999</v>
      </c>
      <c r="T759">
        <f>Table4517[[#This Row],[CFNM]]/Table4517[[#This Row],[CAREA]]</f>
        <v>0.29784055243103386</v>
      </c>
      <c r="U759">
        <v>2.5061499999999999</v>
      </c>
      <c r="V759">
        <f>-(Table5518[[#This Row],[time]]-2)*2</f>
        <v>-1.0122999999999998</v>
      </c>
      <c r="W759">
        <v>75.029700000000005</v>
      </c>
      <c r="X759">
        <v>39.686900000000001</v>
      </c>
      <c r="Y759">
        <f>Table5518[[#This Row],[CFNM]]/Table5518[[#This Row],[CAREA]]</f>
        <v>0.52894920278236479</v>
      </c>
      <c r="Z759">
        <v>2.5061499999999999</v>
      </c>
      <c r="AA759">
        <f>-(Table6519[[#This Row],[time]]-2)*2</f>
        <v>-1.0122999999999998</v>
      </c>
      <c r="AB759">
        <v>83.799899999999994</v>
      </c>
      <c r="AC759">
        <v>54.947099999999999</v>
      </c>
      <c r="AD759">
        <f>Table6519[[#This Row],[CFNM]]/Table6519[[#This Row],[CAREA]]</f>
        <v>0.65569409987362759</v>
      </c>
      <c r="AE759">
        <v>2.5061499999999999</v>
      </c>
      <c r="AF759">
        <f>-(Table7520[[#This Row],[time]]-2)*2</f>
        <v>-1.0122999999999998</v>
      </c>
      <c r="AG759">
        <v>79.951800000000006</v>
      </c>
      <c r="AH759">
        <v>49.726100000000002</v>
      </c>
      <c r="AI759">
        <f>Table7520[[#This Row],[CFNM]]/Table7520[[#This Row],[CAREA]]</f>
        <v>0.62195097546271627</v>
      </c>
      <c r="AJ759">
        <v>2.5061499999999999</v>
      </c>
      <c r="AK759">
        <f>-(Table8521[[#This Row],[time]]-2)*2</f>
        <v>-1.0122999999999998</v>
      </c>
      <c r="AL759">
        <v>80.696399999999997</v>
      </c>
      <c r="AM759">
        <v>52.859200000000001</v>
      </c>
      <c r="AN759">
        <f>Table8521[[#This Row],[CFNM]]/Table8521[[#This Row],[CAREA]]</f>
        <v>0.65503789512295474</v>
      </c>
    </row>
    <row r="760" spans="1:40">
      <c r="A760">
        <v>2.5507599999999999</v>
      </c>
      <c r="B760">
        <f>-(Table1514[[#This Row],[time]]-2)*2</f>
        <v>-1.1015199999999998</v>
      </c>
      <c r="C760">
        <v>88.923500000000004</v>
      </c>
      <c r="D760">
        <v>18.821200000000001</v>
      </c>
      <c r="E760">
        <f>Table1514[[#This Row],[CFNM]]/Table1514[[#This Row],[CAREA]]</f>
        <v>0.21165608641135358</v>
      </c>
      <c r="F760">
        <v>2.5507599999999999</v>
      </c>
      <c r="G760">
        <f>-(Table2515[[#This Row],[time]]-2)*2</f>
        <v>-1.1015199999999998</v>
      </c>
      <c r="H760">
        <v>94.862399999999994</v>
      </c>
      <c r="I760">
        <v>10.358499999999999</v>
      </c>
      <c r="J760">
        <f>Table2515[[#This Row],[CFNM]]/Table2515[[#This Row],[CAREA]]</f>
        <v>0.10919500244564759</v>
      </c>
      <c r="K760">
        <v>2.5507599999999999</v>
      </c>
      <c r="L760">
        <f>-(Table3516[[#This Row],[time]]-2)*2</f>
        <v>-1.1015199999999998</v>
      </c>
      <c r="M760">
        <v>89.379099999999994</v>
      </c>
      <c r="N760">
        <v>21.177800000000001</v>
      </c>
      <c r="O760">
        <f>Table3516[[#This Row],[CFNM]]/Table3516[[#This Row],[CAREA]]</f>
        <v>0.23694353601680934</v>
      </c>
      <c r="P760">
        <v>2.5507599999999999</v>
      </c>
      <c r="Q760">
        <f>-(Table4517[[#This Row],[time]]-2)*2</f>
        <v>-1.1015199999999998</v>
      </c>
      <c r="R760">
        <v>88.339299999999994</v>
      </c>
      <c r="S760">
        <v>28.185500000000001</v>
      </c>
      <c r="T760">
        <f>Table4517[[#This Row],[CFNM]]/Table4517[[#This Row],[CAREA]]</f>
        <v>0.31905958050380751</v>
      </c>
      <c r="U760">
        <v>2.5507599999999999</v>
      </c>
      <c r="V760">
        <f>-(Table5518[[#This Row],[time]]-2)*2</f>
        <v>-1.1015199999999998</v>
      </c>
      <c r="W760">
        <v>73.0839</v>
      </c>
      <c r="X760">
        <v>42.425899999999999</v>
      </c>
      <c r="Y760">
        <f>Table5518[[#This Row],[CFNM]]/Table5518[[#This Row],[CAREA]]</f>
        <v>0.58050952398544686</v>
      </c>
      <c r="Z760">
        <v>2.5507599999999999</v>
      </c>
      <c r="AA760">
        <f>-(Table6519[[#This Row],[time]]-2)*2</f>
        <v>-1.1015199999999998</v>
      </c>
      <c r="AB760">
        <v>81.708100000000002</v>
      </c>
      <c r="AC760">
        <v>57.804699999999997</v>
      </c>
      <c r="AD760">
        <f>Table6519[[#This Row],[CFNM]]/Table6519[[#This Row],[CAREA]]</f>
        <v>0.70745372857770517</v>
      </c>
      <c r="AE760">
        <v>2.5507599999999999</v>
      </c>
      <c r="AF760">
        <f>-(Table7520[[#This Row],[time]]-2)*2</f>
        <v>-1.1015199999999998</v>
      </c>
      <c r="AG760">
        <v>79.647000000000006</v>
      </c>
      <c r="AH760">
        <v>52.450699999999998</v>
      </c>
      <c r="AI760">
        <f>Table7520[[#This Row],[CFNM]]/Table7520[[#This Row],[CAREA]]</f>
        <v>0.65853955578992296</v>
      </c>
      <c r="AJ760">
        <v>2.5507599999999999</v>
      </c>
      <c r="AK760">
        <f>-(Table8521[[#This Row],[time]]-2)*2</f>
        <v>-1.1015199999999998</v>
      </c>
      <c r="AL760">
        <v>80.532899999999998</v>
      </c>
      <c r="AM760">
        <v>55.507899999999999</v>
      </c>
      <c r="AN760">
        <f>Table8521[[#This Row],[CFNM]]/Table8521[[#This Row],[CAREA]]</f>
        <v>0.68925743391831162</v>
      </c>
    </row>
    <row r="761" spans="1:40">
      <c r="A761">
        <v>2.60453</v>
      </c>
      <c r="B761">
        <f>-(Table1514[[#This Row],[time]]-2)*2</f>
        <v>-1.20906</v>
      </c>
      <c r="C761">
        <v>89.085999999999999</v>
      </c>
      <c r="D761">
        <v>19.523</v>
      </c>
      <c r="E761">
        <f>Table1514[[#This Row],[CFNM]]/Table1514[[#This Row],[CAREA]]</f>
        <v>0.21914778977617133</v>
      </c>
      <c r="F761">
        <v>2.60453</v>
      </c>
      <c r="G761">
        <f>-(Table2515[[#This Row],[time]]-2)*2</f>
        <v>-1.20906</v>
      </c>
      <c r="H761">
        <v>95.081999999999994</v>
      </c>
      <c r="I761">
        <v>11.4139</v>
      </c>
      <c r="J761">
        <f>Table2515[[#This Row],[CFNM]]/Table2515[[#This Row],[CAREA]]</f>
        <v>0.12004269998527588</v>
      </c>
      <c r="K761">
        <v>2.60453</v>
      </c>
      <c r="L761">
        <f>-(Table3516[[#This Row],[time]]-2)*2</f>
        <v>-1.20906</v>
      </c>
      <c r="M761">
        <v>89.608900000000006</v>
      </c>
      <c r="N761">
        <v>23.259799999999998</v>
      </c>
      <c r="O761">
        <f>Table3516[[#This Row],[CFNM]]/Table3516[[#This Row],[CAREA]]</f>
        <v>0.25957019894229255</v>
      </c>
      <c r="P761">
        <v>2.60453</v>
      </c>
      <c r="Q761">
        <f>-(Table4517[[#This Row],[time]]-2)*2</f>
        <v>-1.20906</v>
      </c>
      <c r="R761">
        <v>88.375200000000007</v>
      </c>
      <c r="S761">
        <v>30.819199999999999</v>
      </c>
      <c r="T761">
        <f>Table4517[[#This Row],[CFNM]]/Table4517[[#This Row],[CAREA]]</f>
        <v>0.34873131828838855</v>
      </c>
      <c r="U761">
        <v>2.60453</v>
      </c>
      <c r="V761">
        <f>-(Table5518[[#This Row],[time]]-2)*2</f>
        <v>-1.20906</v>
      </c>
      <c r="W761">
        <v>68.286100000000005</v>
      </c>
      <c r="X761">
        <v>46.281199999999998</v>
      </c>
      <c r="Y761">
        <f>Table5518[[#This Row],[CFNM]]/Table5518[[#This Row],[CAREA]]</f>
        <v>0.67775433067637481</v>
      </c>
      <c r="Z761">
        <v>2.60453</v>
      </c>
      <c r="AA761">
        <f>-(Table6519[[#This Row],[time]]-2)*2</f>
        <v>-1.20906</v>
      </c>
      <c r="AB761">
        <v>78.222200000000001</v>
      </c>
      <c r="AC761">
        <v>61.871099999999998</v>
      </c>
      <c r="AD761">
        <f>Table6519[[#This Row],[CFNM]]/Table6519[[#This Row],[CAREA]]</f>
        <v>0.79096599175170212</v>
      </c>
      <c r="AE761">
        <v>2.60453</v>
      </c>
      <c r="AF761">
        <f>-(Table7520[[#This Row],[time]]-2)*2</f>
        <v>-1.20906</v>
      </c>
      <c r="AG761">
        <v>79.089699999999993</v>
      </c>
      <c r="AH761">
        <v>56.133000000000003</v>
      </c>
      <c r="AI761">
        <f>Table7520[[#This Row],[CFNM]]/Table7520[[#This Row],[CAREA]]</f>
        <v>0.70973843623126665</v>
      </c>
      <c r="AJ761">
        <v>2.60453</v>
      </c>
      <c r="AK761">
        <f>-(Table8521[[#This Row],[time]]-2)*2</f>
        <v>-1.20906</v>
      </c>
      <c r="AL761">
        <v>79.079599999999999</v>
      </c>
      <c r="AM761">
        <v>59.0105</v>
      </c>
      <c r="AN761">
        <f>Table8521[[#This Row],[CFNM]]/Table8521[[#This Row],[CAREA]]</f>
        <v>0.7462164704930222</v>
      </c>
    </row>
    <row r="762" spans="1:40">
      <c r="A762">
        <v>2.65273</v>
      </c>
      <c r="B762">
        <f>-(Table1514[[#This Row],[time]]-2)*2</f>
        <v>-1.3054600000000001</v>
      </c>
      <c r="C762">
        <v>89.281999999999996</v>
      </c>
      <c r="D762">
        <v>20.246500000000001</v>
      </c>
      <c r="E762">
        <f>Table1514[[#This Row],[CFNM]]/Table1514[[#This Row],[CAREA]]</f>
        <v>0.22677023364171953</v>
      </c>
      <c r="F762">
        <v>2.65273</v>
      </c>
      <c r="G762">
        <f>-(Table2515[[#This Row],[time]]-2)*2</f>
        <v>-1.3054600000000001</v>
      </c>
      <c r="H762">
        <v>95.352800000000002</v>
      </c>
      <c r="I762">
        <v>12.575200000000001</v>
      </c>
      <c r="J762">
        <f>Table2515[[#This Row],[CFNM]]/Table2515[[#This Row],[CAREA]]</f>
        <v>0.13188076280927252</v>
      </c>
      <c r="K762">
        <v>2.65273</v>
      </c>
      <c r="L762">
        <f>-(Table3516[[#This Row],[time]]-2)*2</f>
        <v>-1.3054600000000001</v>
      </c>
      <c r="M762">
        <v>89.457999999999998</v>
      </c>
      <c r="N762">
        <v>25.559799999999999</v>
      </c>
      <c r="O762">
        <f>Table3516[[#This Row],[CFNM]]/Table3516[[#This Row],[CAREA]]</f>
        <v>0.28571843770260902</v>
      </c>
      <c r="P762">
        <v>2.65273</v>
      </c>
      <c r="Q762">
        <f>-(Table4517[[#This Row],[time]]-2)*2</f>
        <v>-1.3054600000000001</v>
      </c>
      <c r="R762">
        <v>88.311599999999999</v>
      </c>
      <c r="S762">
        <v>33.790799999999997</v>
      </c>
      <c r="T762">
        <f>Table4517[[#This Row],[CFNM]]/Table4517[[#This Row],[CAREA]]</f>
        <v>0.38263150027855908</v>
      </c>
      <c r="U762">
        <v>2.65273</v>
      </c>
      <c r="V762">
        <f>-(Table5518[[#This Row],[time]]-2)*2</f>
        <v>-1.3054600000000001</v>
      </c>
      <c r="W762">
        <v>64.224999999999994</v>
      </c>
      <c r="X762">
        <v>50.4482</v>
      </c>
      <c r="Y762">
        <f>Table5518[[#This Row],[CFNM]]/Table5518[[#This Row],[CAREA]]</f>
        <v>0.78549163098481911</v>
      </c>
      <c r="Z762">
        <v>2.65273</v>
      </c>
      <c r="AA762">
        <f>-(Table6519[[#This Row],[time]]-2)*2</f>
        <v>-1.3054600000000001</v>
      </c>
      <c r="AB762">
        <v>75.161600000000007</v>
      </c>
      <c r="AC762">
        <v>66.667599999999993</v>
      </c>
      <c r="AD762">
        <f>Table6519[[#This Row],[CFNM]]/Table6519[[#This Row],[CAREA]]</f>
        <v>0.88699016519073548</v>
      </c>
      <c r="AE762">
        <v>2.65273</v>
      </c>
      <c r="AF762">
        <f>-(Table7520[[#This Row],[time]]-2)*2</f>
        <v>-1.3054600000000001</v>
      </c>
      <c r="AG762">
        <v>78.223600000000005</v>
      </c>
      <c r="AH762">
        <v>60.181600000000003</v>
      </c>
      <c r="AI762">
        <f>Table7520[[#This Row],[CFNM]]/Table7520[[#This Row],[CAREA]]</f>
        <v>0.76935349434186107</v>
      </c>
      <c r="AJ762">
        <v>2.65273</v>
      </c>
      <c r="AK762">
        <f>-(Table8521[[#This Row],[time]]-2)*2</f>
        <v>-1.3054600000000001</v>
      </c>
      <c r="AL762">
        <v>78.882000000000005</v>
      </c>
      <c r="AM762">
        <v>62.845700000000001</v>
      </c>
      <c r="AN762">
        <f>Table8521[[#This Row],[CFNM]]/Table8521[[#This Row],[CAREA]]</f>
        <v>0.79670520524327471</v>
      </c>
    </row>
    <row r="763" spans="1:40">
      <c r="A763">
        <v>2.7006199999999998</v>
      </c>
      <c r="B763">
        <f>-(Table1514[[#This Row],[time]]-2)*2</f>
        <v>-1.4012399999999996</v>
      </c>
      <c r="C763">
        <v>89.144900000000007</v>
      </c>
      <c r="D763">
        <v>20.8568</v>
      </c>
      <c r="E763">
        <f>Table1514[[#This Row],[CFNM]]/Table1514[[#This Row],[CAREA]]</f>
        <v>0.23396515111913299</v>
      </c>
      <c r="F763">
        <v>2.7006199999999998</v>
      </c>
      <c r="G763">
        <f>-(Table2515[[#This Row],[time]]-2)*2</f>
        <v>-1.4012399999999996</v>
      </c>
      <c r="H763">
        <v>95.516599999999997</v>
      </c>
      <c r="I763">
        <v>13.645300000000001</v>
      </c>
      <c r="J763">
        <f>Table2515[[#This Row],[CFNM]]/Table2515[[#This Row],[CAREA]]</f>
        <v>0.14285789067031282</v>
      </c>
      <c r="K763">
        <v>2.7006199999999998</v>
      </c>
      <c r="L763">
        <f>-(Table3516[[#This Row],[time]]-2)*2</f>
        <v>-1.4012399999999996</v>
      </c>
      <c r="M763">
        <v>89.434100000000001</v>
      </c>
      <c r="N763">
        <v>27.6722</v>
      </c>
      <c r="O763">
        <f>Table3516[[#This Row],[CFNM]]/Table3516[[#This Row],[CAREA]]</f>
        <v>0.30941441799045333</v>
      </c>
      <c r="P763">
        <v>2.7006199999999998</v>
      </c>
      <c r="Q763">
        <f>-(Table4517[[#This Row],[time]]-2)*2</f>
        <v>-1.4012399999999996</v>
      </c>
      <c r="R763">
        <v>88.234099999999998</v>
      </c>
      <c r="S763">
        <v>36.590299999999999</v>
      </c>
      <c r="T763">
        <f>Table4517[[#This Row],[CFNM]]/Table4517[[#This Row],[CAREA]]</f>
        <v>0.41469567888152087</v>
      </c>
      <c r="U763">
        <v>2.7006199999999998</v>
      </c>
      <c r="V763">
        <f>-(Table5518[[#This Row],[time]]-2)*2</f>
        <v>-1.4012399999999996</v>
      </c>
      <c r="W763">
        <v>58.3429</v>
      </c>
      <c r="X763">
        <v>54.459299999999999</v>
      </c>
      <c r="Y763">
        <f>Table5518[[#This Row],[CFNM]]/Table5518[[#This Row],[CAREA]]</f>
        <v>0.93343491667366552</v>
      </c>
      <c r="Z763">
        <v>2.7006199999999998</v>
      </c>
      <c r="AA763">
        <f>-(Table6519[[#This Row],[time]]-2)*2</f>
        <v>-1.4012399999999996</v>
      </c>
      <c r="AB763">
        <v>69.924300000000002</v>
      </c>
      <c r="AC763">
        <v>71.344999999999999</v>
      </c>
      <c r="AD763">
        <f>Table6519[[#This Row],[CFNM]]/Table6519[[#This Row],[CAREA]]</f>
        <v>1.0203176864123058</v>
      </c>
      <c r="AE763">
        <v>2.7006199999999998</v>
      </c>
      <c r="AF763">
        <f>-(Table7520[[#This Row],[time]]-2)*2</f>
        <v>-1.4012399999999996</v>
      </c>
      <c r="AG763">
        <v>77.501900000000006</v>
      </c>
      <c r="AH763">
        <v>63.8538</v>
      </c>
      <c r="AI763">
        <f>Table7520[[#This Row],[CFNM]]/Table7520[[#This Row],[CAREA]]</f>
        <v>0.8238998011661649</v>
      </c>
      <c r="AJ763">
        <v>2.7006199999999998</v>
      </c>
      <c r="AK763">
        <f>-(Table8521[[#This Row],[time]]-2)*2</f>
        <v>-1.4012399999999996</v>
      </c>
      <c r="AL763">
        <v>78.684799999999996</v>
      </c>
      <c r="AM763">
        <v>66.443700000000007</v>
      </c>
      <c r="AN763">
        <f>Table8521[[#This Row],[CFNM]]/Table8521[[#This Row],[CAREA]]</f>
        <v>0.844428657123104</v>
      </c>
    </row>
    <row r="764" spans="1:40">
      <c r="A764">
        <v>2.75176</v>
      </c>
      <c r="B764">
        <f>-(Table1514[[#This Row],[time]]-2)*2</f>
        <v>-1.50352</v>
      </c>
      <c r="C764">
        <v>89.354699999999994</v>
      </c>
      <c r="D764">
        <v>21.565799999999999</v>
      </c>
      <c r="E764">
        <f>Table1514[[#This Row],[CFNM]]/Table1514[[#This Row],[CAREA]]</f>
        <v>0.24135048296284359</v>
      </c>
      <c r="F764">
        <v>2.75176</v>
      </c>
      <c r="G764">
        <f>-(Table2515[[#This Row],[time]]-2)*2</f>
        <v>-1.50352</v>
      </c>
      <c r="H764">
        <v>95.632300000000001</v>
      </c>
      <c r="I764">
        <v>14.7994</v>
      </c>
      <c r="J764">
        <f>Table2515[[#This Row],[CFNM]]/Table2515[[#This Row],[CAREA]]</f>
        <v>0.15475315348475358</v>
      </c>
      <c r="K764">
        <v>2.75176</v>
      </c>
      <c r="L764">
        <f>-(Table3516[[#This Row],[time]]-2)*2</f>
        <v>-1.50352</v>
      </c>
      <c r="M764">
        <v>89.397900000000007</v>
      </c>
      <c r="N764">
        <v>30.008500000000002</v>
      </c>
      <c r="O764">
        <f>Table3516[[#This Row],[CFNM]]/Table3516[[#This Row],[CAREA]]</f>
        <v>0.33567343304484781</v>
      </c>
      <c r="P764">
        <v>2.75176</v>
      </c>
      <c r="Q764">
        <f>-(Table4517[[#This Row],[time]]-2)*2</f>
        <v>-1.50352</v>
      </c>
      <c r="R764">
        <v>88.102999999999994</v>
      </c>
      <c r="S764">
        <v>39.781700000000001</v>
      </c>
      <c r="T764">
        <f>Table4517[[#This Row],[CFNM]]/Table4517[[#This Row],[CAREA]]</f>
        <v>0.45153627004755803</v>
      </c>
      <c r="U764">
        <v>2.75176</v>
      </c>
      <c r="V764">
        <f>-(Table5518[[#This Row],[time]]-2)*2</f>
        <v>-1.50352</v>
      </c>
      <c r="W764">
        <v>52.257899999999999</v>
      </c>
      <c r="X764">
        <v>58.8979</v>
      </c>
      <c r="Y764">
        <f>Table5518[[#This Row],[CFNM]]/Table5518[[#This Row],[CAREA]]</f>
        <v>1.127062128405466</v>
      </c>
      <c r="Z764">
        <v>2.75176</v>
      </c>
      <c r="AA764">
        <f>-(Table6519[[#This Row],[time]]-2)*2</f>
        <v>-1.50352</v>
      </c>
      <c r="AB764">
        <v>63.727800000000002</v>
      </c>
      <c r="AC764">
        <v>76.594200000000001</v>
      </c>
      <c r="AD764">
        <f>Table6519[[#This Row],[CFNM]]/Table6519[[#This Row],[CAREA]]</f>
        <v>1.2018961897319538</v>
      </c>
      <c r="AE764">
        <v>2.75176</v>
      </c>
      <c r="AF764">
        <f>-(Table7520[[#This Row],[time]]-2)*2</f>
        <v>-1.50352</v>
      </c>
      <c r="AG764">
        <v>76.706100000000006</v>
      </c>
      <c r="AH764">
        <v>67.790499999999994</v>
      </c>
      <c r="AI764">
        <f>Table7520[[#This Row],[CFNM]]/Table7520[[#This Row],[CAREA]]</f>
        <v>0.88376934820046893</v>
      </c>
      <c r="AJ764">
        <v>2.75176</v>
      </c>
      <c r="AK764">
        <f>-(Table8521[[#This Row],[time]]-2)*2</f>
        <v>-1.50352</v>
      </c>
      <c r="AL764">
        <v>78.438800000000001</v>
      </c>
      <c r="AM764">
        <v>70.396799999999999</v>
      </c>
      <c r="AN764">
        <f>Table8521[[#This Row],[CFNM]]/Table8521[[#This Row],[CAREA]]</f>
        <v>0.89747420919238952</v>
      </c>
    </row>
    <row r="765" spans="1:40">
      <c r="A765">
        <v>2.80444</v>
      </c>
      <c r="B765">
        <f>-(Table1514[[#This Row],[time]]-2)*2</f>
        <v>-1.6088800000000001</v>
      </c>
      <c r="C765">
        <v>89.285300000000007</v>
      </c>
      <c r="D765">
        <v>22.320399999999999</v>
      </c>
      <c r="E765">
        <f>Table1514[[#This Row],[CFNM]]/Table1514[[#This Row],[CAREA]]</f>
        <v>0.24998963995192935</v>
      </c>
      <c r="F765">
        <v>2.80444</v>
      </c>
      <c r="G765">
        <f>-(Table2515[[#This Row],[time]]-2)*2</f>
        <v>-1.6088800000000001</v>
      </c>
      <c r="H765">
        <v>96.398499999999999</v>
      </c>
      <c r="I765">
        <v>16.073499999999999</v>
      </c>
      <c r="J765">
        <f>Table2515[[#This Row],[CFNM]]/Table2515[[#This Row],[CAREA]]</f>
        <v>0.16674014637157217</v>
      </c>
      <c r="K765">
        <v>2.80444</v>
      </c>
      <c r="L765">
        <f>-(Table3516[[#This Row],[time]]-2)*2</f>
        <v>-1.6088800000000001</v>
      </c>
      <c r="M765">
        <v>89.179900000000004</v>
      </c>
      <c r="N765">
        <v>32.366999999999997</v>
      </c>
      <c r="O765">
        <f>Table3516[[#This Row],[CFNM]]/Table3516[[#This Row],[CAREA]]</f>
        <v>0.36294052807863653</v>
      </c>
      <c r="P765">
        <v>2.80444</v>
      </c>
      <c r="Q765">
        <f>-(Table4517[[#This Row],[time]]-2)*2</f>
        <v>-1.6088800000000001</v>
      </c>
      <c r="R765">
        <v>88.074600000000004</v>
      </c>
      <c r="S765">
        <v>43.081800000000001</v>
      </c>
      <c r="T765">
        <f>Table4517[[#This Row],[CFNM]]/Table4517[[#This Row],[CAREA]]</f>
        <v>0.48915124224237178</v>
      </c>
      <c r="U765">
        <v>2.80444</v>
      </c>
      <c r="V765">
        <f>-(Table5518[[#This Row],[time]]-2)*2</f>
        <v>-1.6088800000000001</v>
      </c>
      <c r="W765">
        <v>48.344299999999997</v>
      </c>
      <c r="X765">
        <v>63.289700000000003</v>
      </c>
      <c r="Y765">
        <f>Table5518[[#This Row],[CFNM]]/Table5518[[#This Row],[CAREA]]</f>
        <v>1.3091450284728501</v>
      </c>
      <c r="Z765">
        <v>2.80444</v>
      </c>
      <c r="AA765">
        <f>-(Table6519[[#This Row],[time]]-2)*2</f>
        <v>-1.6088800000000001</v>
      </c>
      <c r="AB765">
        <v>59.804200000000002</v>
      </c>
      <c r="AC765">
        <v>81.839200000000005</v>
      </c>
      <c r="AD765">
        <f>Table6519[[#This Row],[CFNM]]/Table6519[[#This Row],[CAREA]]</f>
        <v>1.368452382943004</v>
      </c>
      <c r="AE765">
        <v>2.80444</v>
      </c>
      <c r="AF765">
        <f>-(Table7520[[#This Row],[time]]-2)*2</f>
        <v>-1.6088800000000001</v>
      </c>
      <c r="AG765">
        <v>75.951800000000006</v>
      </c>
      <c r="AH765">
        <v>71.631799999999998</v>
      </c>
      <c r="AI765">
        <f>Table7520[[#This Row],[CFNM]]/Table7520[[#This Row],[CAREA]]</f>
        <v>0.94312182199763528</v>
      </c>
      <c r="AJ765">
        <v>2.80444</v>
      </c>
      <c r="AK765">
        <f>-(Table8521[[#This Row],[time]]-2)*2</f>
        <v>-1.6088800000000001</v>
      </c>
      <c r="AL765">
        <v>78.2119</v>
      </c>
      <c r="AM765">
        <v>74.170400000000001</v>
      </c>
      <c r="AN765">
        <f>Table8521[[#This Row],[CFNM]]/Table8521[[#This Row],[CAREA]]</f>
        <v>0.94832627771477229</v>
      </c>
    </row>
    <row r="766" spans="1:40">
      <c r="A766">
        <v>2.8583699999999999</v>
      </c>
      <c r="B766">
        <f>-(Table1514[[#This Row],[time]]-2)*2</f>
        <v>-1.7167399999999997</v>
      </c>
      <c r="C766">
        <v>89.572000000000003</v>
      </c>
      <c r="D766">
        <v>23.247199999999999</v>
      </c>
      <c r="E766">
        <f>Table1514[[#This Row],[CFNM]]/Table1514[[#This Row],[CAREA]]</f>
        <v>0.25953646228732191</v>
      </c>
      <c r="F766">
        <v>2.8583699999999999</v>
      </c>
      <c r="G766">
        <f>-(Table2515[[#This Row],[time]]-2)*2</f>
        <v>-1.7167399999999997</v>
      </c>
      <c r="H766">
        <v>96.680999999999997</v>
      </c>
      <c r="I766">
        <v>17.659500000000001</v>
      </c>
      <c r="J766">
        <f>Table2515[[#This Row],[CFNM]]/Table2515[[#This Row],[CAREA]]</f>
        <v>0.18265739907530953</v>
      </c>
      <c r="K766">
        <v>2.8583699999999999</v>
      </c>
      <c r="L766">
        <f>-(Table3516[[#This Row],[time]]-2)*2</f>
        <v>-1.7167399999999997</v>
      </c>
      <c r="M766">
        <v>89.917699999999996</v>
      </c>
      <c r="N766">
        <v>35.191000000000003</v>
      </c>
      <c r="O766">
        <f>Table3516[[#This Row],[CFNM]]/Table3516[[#This Row],[CAREA]]</f>
        <v>0.39136899631551969</v>
      </c>
      <c r="P766">
        <v>2.8583699999999999</v>
      </c>
      <c r="Q766">
        <f>-(Table4517[[#This Row],[time]]-2)*2</f>
        <v>-1.7167399999999997</v>
      </c>
      <c r="R766">
        <v>87.889300000000006</v>
      </c>
      <c r="S766">
        <v>46.982700000000001</v>
      </c>
      <c r="T766">
        <f>Table4517[[#This Row],[CFNM]]/Table4517[[#This Row],[CAREA]]</f>
        <v>0.53456677889117332</v>
      </c>
      <c r="U766">
        <v>2.8583699999999999</v>
      </c>
      <c r="V766">
        <f>-(Table5518[[#This Row],[time]]-2)*2</f>
        <v>-1.7167399999999997</v>
      </c>
      <c r="W766">
        <v>43.2836</v>
      </c>
      <c r="X766">
        <v>68.233999999999995</v>
      </c>
      <c r="Y766">
        <f>Table5518[[#This Row],[CFNM]]/Table5518[[#This Row],[CAREA]]</f>
        <v>1.5764400373351568</v>
      </c>
      <c r="Z766">
        <v>2.8583699999999999</v>
      </c>
      <c r="AA766">
        <f>-(Table6519[[#This Row],[time]]-2)*2</f>
        <v>-1.7167399999999997</v>
      </c>
      <c r="AB766">
        <v>56.773299999999999</v>
      </c>
      <c r="AC766">
        <v>87.875799999999998</v>
      </c>
      <c r="AD766">
        <f>Table6519[[#This Row],[CFNM]]/Table6519[[#This Row],[CAREA]]</f>
        <v>1.547836747203351</v>
      </c>
      <c r="AE766">
        <v>2.8583699999999999</v>
      </c>
      <c r="AF766">
        <f>-(Table7520[[#This Row],[time]]-2)*2</f>
        <v>-1.7167399999999997</v>
      </c>
      <c r="AG766">
        <v>75.101200000000006</v>
      </c>
      <c r="AH766">
        <v>76.060100000000006</v>
      </c>
      <c r="AI766">
        <f>Table7520[[#This Row],[CFNM]]/Table7520[[#This Row],[CAREA]]</f>
        <v>1.0127681049037831</v>
      </c>
      <c r="AJ766">
        <v>2.8583699999999999</v>
      </c>
      <c r="AK766">
        <f>-(Table8521[[#This Row],[time]]-2)*2</f>
        <v>-1.7167399999999997</v>
      </c>
      <c r="AL766">
        <v>78.027699999999996</v>
      </c>
      <c r="AM766">
        <v>78.344399999999993</v>
      </c>
      <c r="AN766">
        <f>Table8521[[#This Row],[CFNM]]/Table8521[[#This Row],[CAREA]]</f>
        <v>1.0040588150105667</v>
      </c>
    </row>
    <row r="767" spans="1:40">
      <c r="A767">
        <v>2.9134199999999999</v>
      </c>
      <c r="B767">
        <f>-(Table1514[[#This Row],[time]]-2)*2</f>
        <v>-1.8268399999999998</v>
      </c>
      <c r="C767">
        <v>89.022099999999995</v>
      </c>
      <c r="D767">
        <v>24.0581</v>
      </c>
      <c r="E767">
        <f>Table1514[[#This Row],[CFNM]]/Table1514[[#This Row],[CAREA]]</f>
        <v>0.27024862365637298</v>
      </c>
      <c r="F767">
        <v>2.9134199999999999</v>
      </c>
      <c r="G767">
        <f>-(Table2515[[#This Row],[time]]-2)*2</f>
        <v>-1.8268399999999998</v>
      </c>
      <c r="H767">
        <v>96.8626</v>
      </c>
      <c r="I767">
        <v>19.073</v>
      </c>
      <c r="J767">
        <f>Table2515[[#This Row],[CFNM]]/Table2515[[#This Row],[CAREA]]</f>
        <v>0.19690778484162103</v>
      </c>
      <c r="K767">
        <v>2.9134199999999999</v>
      </c>
      <c r="L767">
        <f>-(Table3516[[#This Row],[time]]-2)*2</f>
        <v>-1.8268399999999998</v>
      </c>
      <c r="M767">
        <v>89.478300000000004</v>
      </c>
      <c r="N767">
        <v>37.610999999999997</v>
      </c>
      <c r="O767">
        <f>Table3516[[#This Row],[CFNM]]/Table3516[[#This Row],[CAREA]]</f>
        <v>0.42033655087322841</v>
      </c>
      <c r="P767">
        <v>2.9134199999999999</v>
      </c>
      <c r="Q767">
        <f>-(Table4517[[#This Row],[time]]-2)*2</f>
        <v>-1.8268399999999998</v>
      </c>
      <c r="R767">
        <v>87.784300000000002</v>
      </c>
      <c r="S767">
        <v>50.389000000000003</v>
      </c>
      <c r="T767">
        <f>Table4517[[#This Row],[CFNM]]/Table4517[[#This Row],[CAREA]]</f>
        <v>0.57400924766729355</v>
      </c>
      <c r="U767">
        <v>2.9134199999999999</v>
      </c>
      <c r="V767">
        <f>-(Table5518[[#This Row],[time]]-2)*2</f>
        <v>-1.8268399999999998</v>
      </c>
      <c r="W767">
        <v>40.941600000000001</v>
      </c>
      <c r="X767">
        <v>72.148600000000002</v>
      </c>
      <c r="Y767">
        <f>Table5518[[#This Row],[CFNM]]/Table5518[[#This Row],[CAREA]]</f>
        <v>1.7622320573695214</v>
      </c>
      <c r="Z767">
        <v>2.9134199999999999</v>
      </c>
      <c r="AA767">
        <f>-(Table6519[[#This Row],[time]]-2)*2</f>
        <v>-1.8268399999999998</v>
      </c>
      <c r="AB767">
        <v>53.6708</v>
      </c>
      <c r="AC767">
        <v>92.602599999999995</v>
      </c>
      <c r="AD767">
        <f>Table6519[[#This Row],[CFNM]]/Table6519[[#This Row],[CAREA]]</f>
        <v>1.7253813991965836</v>
      </c>
      <c r="AE767">
        <v>2.9134199999999999</v>
      </c>
      <c r="AF767">
        <f>-(Table7520[[#This Row],[time]]-2)*2</f>
        <v>-1.8268399999999998</v>
      </c>
      <c r="AG767">
        <v>74.431100000000001</v>
      </c>
      <c r="AH767">
        <v>79.664000000000001</v>
      </c>
      <c r="AI767">
        <f>Table7520[[#This Row],[CFNM]]/Table7520[[#This Row],[CAREA]]</f>
        <v>1.0703052890525599</v>
      </c>
      <c r="AJ767">
        <v>2.9134199999999999</v>
      </c>
      <c r="AK767">
        <f>-(Table8521[[#This Row],[time]]-2)*2</f>
        <v>-1.8268399999999998</v>
      </c>
      <c r="AL767">
        <v>77.793599999999998</v>
      </c>
      <c r="AM767">
        <v>81.697000000000003</v>
      </c>
      <c r="AN767">
        <f>Table8521[[#This Row],[CFNM]]/Table8521[[#This Row],[CAREA]]</f>
        <v>1.0501763641224986</v>
      </c>
    </row>
    <row r="768" spans="1:40">
      <c r="A768">
        <v>2.9619599999999999</v>
      </c>
      <c r="B768">
        <f>-(Table1514[[#This Row],[time]]-2)*2</f>
        <v>-1.9239199999999999</v>
      </c>
      <c r="C768">
        <v>89.171700000000001</v>
      </c>
      <c r="D768">
        <v>25.048999999999999</v>
      </c>
      <c r="E768">
        <f>Table1514[[#This Row],[CFNM]]/Table1514[[#This Row],[CAREA]]</f>
        <v>0.28090750765096995</v>
      </c>
      <c r="F768">
        <v>2.9619599999999999</v>
      </c>
      <c r="G768">
        <f>-(Table2515[[#This Row],[time]]-2)*2</f>
        <v>-1.9239199999999999</v>
      </c>
      <c r="H768">
        <v>96.914400000000001</v>
      </c>
      <c r="I768">
        <v>20.773</v>
      </c>
      <c r="J768">
        <f>Table2515[[#This Row],[CFNM]]/Table2515[[#This Row],[CAREA]]</f>
        <v>0.21434379204741502</v>
      </c>
      <c r="K768">
        <v>2.9619599999999999</v>
      </c>
      <c r="L768">
        <f>-(Table3516[[#This Row],[time]]-2)*2</f>
        <v>-1.9239199999999999</v>
      </c>
      <c r="M768">
        <v>89.327500000000001</v>
      </c>
      <c r="N768">
        <v>40.493200000000002</v>
      </c>
      <c r="O768">
        <f>Table3516[[#This Row],[CFNM]]/Table3516[[#This Row],[CAREA]]</f>
        <v>0.45331169012901962</v>
      </c>
      <c r="P768">
        <v>2.9619599999999999</v>
      </c>
      <c r="Q768">
        <f>-(Table4517[[#This Row],[time]]-2)*2</f>
        <v>-1.9239199999999999</v>
      </c>
      <c r="R768">
        <v>87.655600000000007</v>
      </c>
      <c r="S768">
        <v>54.540100000000002</v>
      </c>
      <c r="T768">
        <f>Table4517[[#This Row],[CFNM]]/Table4517[[#This Row],[CAREA]]</f>
        <v>0.62220896326076136</v>
      </c>
      <c r="U768">
        <v>2.9619599999999999</v>
      </c>
      <c r="V768">
        <f>-(Table5518[[#This Row],[time]]-2)*2</f>
        <v>-1.9239199999999999</v>
      </c>
      <c r="W768">
        <v>39.653700000000001</v>
      </c>
      <c r="X768">
        <v>76.601200000000006</v>
      </c>
      <c r="Y768">
        <f>Table5518[[#This Row],[CFNM]]/Table5518[[#This Row],[CAREA]]</f>
        <v>1.9317541616545242</v>
      </c>
      <c r="Z768">
        <v>2.9619599999999999</v>
      </c>
      <c r="AA768">
        <f>-(Table6519[[#This Row],[time]]-2)*2</f>
        <v>-1.9239199999999999</v>
      </c>
      <c r="AB768">
        <v>51.098599999999998</v>
      </c>
      <c r="AC768">
        <v>98.035600000000002</v>
      </c>
      <c r="AD768">
        <f>Table6519[[#This Row],[CFNM]]/Table6519[[#This Row],[CAREA]]</f>
        <v>1.9185574555858675</v>
      </c>
      <c r="AE768">
        <v>2.9619599999999999</v>
      </c>
      <c r="AF768">
        <f>-(Table7520[[#This Row],[time]]-2)*2</f>
        <v>-1.9239199999999999</v>
      </c>
      <c r="AG768">
        <v>73.7453</v>
      </c>
      <c r="AH768">
        <v>83.8245</v>
      </c>
      <c r="AI768">
        <f>Table7520[[#This Row],[CFNM]]/Table7520[[#This Row],[CAREA]]</f>
        <v>1.1366758288324816</v>
      </c>
      <c r="AJ768">
        <v>2.9619599999999999</v>
      </c>
      <c r="AK768">
        <f>-(Table8521[[#This Row],[time]]-2)*2</f>
        <v>-1.9239199999999999</v>
      </c>
      <c r="AL768">
        <v>77.447900000000004</v>
      </c>
      <c r="AM768">
        <v>85.63</v>
      </c>
      <c r="AN768">
        <f>Table8521[[#This Row],[CFNM]]/Table8521[[#This Row],[CAREA]]</f>
        <v>1.105646505586336</v>
      </c>
    </row>
    <row r="769" spans="1:40">
      <c r="A769">
        <v>3</v>
      </c>
      <c r="B769">
        <f>-(Table1514[[#This Row],[time]]-2)*2</f>
        <v>-2</v>
      </c>
      <c r="C769">
        <v>89.258899999999997</v>
      </c>
      <c r="D769">
        <v>26.134499999999999</v>
      </c>
      <c r="E769">
        <f>Table1514[[#This Row],[CFNM]]/Table1514[[#This Row],[CAREA]]</f>
        <v>0.29279433199378435</v>
      </c>
      <c r="F769">
        <v>3</v>
      </c>
      <c r="G769">
        <f>-(Table2515[[#This Row],[time]]-2)*2</f>
        <v>-2</v>
      </c>
      <c r="H769">
        <v>97.055300000000003</v>
      </c>
      <c r="I769">
        <v>22.378</v>
      </c>
      <c r="J769">
        <f>Table2515[[#This Row],[CFNM]]/Table2515[[#This Row],[CAREA]]</f>
        <v>0.23056958249575241</v>
      </c>
      <c r="K769">
        <v>3</v>
      </c>
      <c r="L769">
        <f>-(Table3516[[#This Row],[time]]-2)*2</f>
        <v>-2</v>
      </c>
      <c r="M769">
        <v>88.682599999999994</v>
      </c>
      <c r="N769">
        <v>43.28</v>
      </c>
      <c r="O769">
        <f>Table3516[[#This Row],[CFNM]]/Table3516[[#This Row],[CAREA]]</f>
        <v>0.48803260166030321</v>
      </c>
      <c r="P769">
        <v>3</v>
      </c>
      <c r="Q769">
        <f>-(Table4517[[#This Row],[time]]-2)*2</f>
        <v>-2</v>
      </c>
      <c r="R769">
        <v>87.558700000000002</v>
      </c>
      <c r="S769">
        <v>58.412999999999997</v>
      </c>
      <c r="T769">
        <f>Table4517[[#This Row],[CFNM]]/Table4517[[#This Row],[CAREA]]</f>
        <v>0.66712959420365991</v>
      </c>
      <c r="U769">
        <v>3</v>
      </c>
      <c r="V769">
        <f>-(Table5518[[#This Row],[time]]-2)*2</f>
        <v>-2</v>
      </c>
      <c r="W769">
        <v>38.407400000000003</v>
      </c>
      <c r="X769">
        <v>80.375699999999995</v>
      </c>
      <c r="Y769">
        <f>Table5518[[#This Row],[CFNM]]/Table5518[[#This Row],[CAREA]]</f>
        <v>2.0927139040913989</v>
      </c>
      <c r="Z769">
        <v>3</v>
      </c>
      <c r="AA769">
        <f>-(Table6519[[#This Row],[time]]-2)*2</f>
        <v>-2</v>
      </c>
      <c r="AB769">
        <v>49.107199999999999</v>
      </c>
      <c r="AC769">
        <v>102.503</v>
      </c>
      <c r="AD769">
        <f>Table6519[[#This Row],[CFNM]]/Table6519[[#This Row],[CAREA]]</f>
        <v>2.0873313892871108</v>
      </c>
      <c r="AE769">
        <v>3</v>
      </c>
      <c r="AF769">
        <f>-(Table7520[[#This Row],[time]]-2)*2</f>
        <v>-2</v>
      </c>
      <c r="AG769">
        <v>73.115200000000002</v>
      </c>
      <c r="AH769">
        <v>87.534599999999998</v>
      </c>
      <c r="AI769">
        <f>Table7520[[#This Row],[CFNM]]/Table7520[[#This Row],[CAREA]]</f>
        <v>1.1972148062236032</v>
      </c>
      <c r="AJ769">
        <v>3</v>
      </c>
      <c r="AK769">
        <f>-(Table8521[[#This Row],[time]]-2)*2</f>
        <v>-2</v>
      </c>
      <c r="AL769">
        <v>77.1511</v>
      </c>
      <c r="AM769">
        <v>89.308400000000006</v>
      </c>
      <c r="AN769">
        <f>Table8521[[#This Row],[CFNM]]/Table8521[[#This Row],[CAREA]]</f>
        <v>1.1575777921507278</v>
      </c>
    </row>
    <row r="771" spans="1:40">
      <c r="A771" t="s">
        <v>75</v>
      </c>
      <c r="E771" t="s">
        <v>2</v>
      </c>
    </row>
    <row r="772" spans="1:40">
      <c r="A772" t="s">
        <v>76</v>
      </c>
      <c r="E772" t="s">
        <v>4</v>
      </c>
      <c r="F772" t="s">
        <v>5</v>
      </c>
    </row>
    <row r="774" spans="1:40">
      <c r="A774" t="s">
        <v>7</v>
      </c>
      <c r="F774" t="s">
        <v>8</v>
      </c>
      <c r="K774" t="s">
        <v>9</v>
      </c>
      <c r="P774" t="s">
        <v>26</v>
      </c>
      <c r="U774" t="s">
        <v>11</v>
      </c>
      <c r="Z774" t="s">
        <v>12</v>
      </c>
      <c r="AE774" t="s">
        <v>13</v>
      </c>
      <c r="AJ774" t="s">
        <v>14</v>
      </c>
    </row>
    <row r="775" spans="1:40">
      <c r="A775" t="s">
        <v>15</v>
      </c>
      <c r="B775" t="s">
        <v>16</v>
      </c>
      <c r="C775" t="s">
        <v>20</v>
      </c>
      <c r="D775" t="s">
        <v>18</v>
      </c>
      <c r="E775" t="s">
        <v>19</v>
      </c>
      <c r="F775" t="s">
        <v>15</v>
      </c>
      <c r="G775" t="s">
        <v>16</v>
      </c>
      <c r="H775" t="s">
        <v>20</v>
      </c>
      <c r="I775" t="s">
        <v>18</v>
      </c>
      <c r="J775" t="s">
        <v>19</v>
      </c>
      <c r="K775" t="s">
        <v>15</v>
      </c>
      <c r="L775" t="s">
        <v>16</v>
      </c>
      <c r="M775" t="s">
        <v>20</v>
      </c>
      <c r="N775" t="s">
        <v>18</v>
      </c>
      <c r="O775" t="s">
        <v>19</v>
      </c>
      <c r="P775" t="s">
        <v>15</v>
      </c>
      <c r="Q775" t="s">
        <v>16</v>
      </c>
      <c r="R775" t="s">
        <v>20</v>
      </c>
      <c r="S775" t="s">
        <v>18</v>
      </c>
      <c r="T775" t="s">
        <v>19</v>
      </c>
      <c r="U775" t="s">
        <v>15</v>
      </c>
      <c r="V775" t="s">
        <v>16</v>
      </c>
      <c r="W775" t="s">
        <v>20</v>
      </c>
      <c r="X775" t="s">
        <v>18</v>
      </c>
      <c r="Y775" t="s">
        <v>19</v>
      </c>
      <c r="Z775" t="s">
        <v>15</v>
      </c>
      <c r="AA775" t="s">
        <v>16</v>
      </c>
      <c r="AB775" t="s">
        <v>20</v>
      </c>
      <c r="AC775" t="s">
        <v>18</v>
      </c>
      <c r="AD775" t="s">
        <v>19</v>
      </c>
      <c r="AE775" t="s">
        <v>15</v>
      </c>
      <c r="AF775" t="s">
        <v>16</v>
      </c>
      <c r="AG775" t="s">
        <v>20</v>
      </c>
      <c r="AH775" t="s">
        <v>18</v>
      </c>
      <c r="AI775" t="s">
        <v>19</v>
      </c>
      <c r="AJ775" t="s">
        <v>15</v>
      </c>
      <c r="AK775" t="s">
        <v>16</v>
      </c>
      <c r="AL775" t="s">
        <v>20</v>
      </c>
      <c r="AM775" t="s">
        <v>18</v>
      </c>
      <c r="AN775" t="s">
        <v>19</v>
      </c>
    </row>
    <row r="776" spans="1:40">
      <c r="A776">
        <v>2</v>
      </c>
      <c r="B776">
        <f>(Table110522[[#This Row],[time]]-2)*2</f>
        <v>0</v>
      </c>
      <c r="C776">
        <v>89.597300000000004</v>
      </c>
      <c r="D776">
        <v>7.6775399999999996</v>
      </c>
      <c r="E776" s="2">
        <f>Table110522[[#This Row],[CFNM]]/Table110522[[#This Row],[CAREA]]</f>
        <v>8.5689412515778926E-2</v>
      </c>
      <c r="F776">
        <v>2</v>
      </c>
      <c r="G776">
        <f>(Table211523[[#This Row],[time]]-2)*2</f>
        <v>0</v>
      </c>
      <c r="H776">
        <v>92.131299999999996</v>
      </c>
      <c r="I776">
        <v>0.23485200000000001</v>
      </c>
      <c r="J776" s="2">
        <f>Table211523[[#This Row],[CFNM]]/Table211523[[#This Row],[CAREA]]</f>
        <v>2.5491011198148731E-3</v>
      </c>
      <c r="K776">
        <v>2</v>
      </c>
      <c r="L776">
        <f>(Table312524[[#This Row],[time]]-2)*2</f>
        <v>0</v>
      </c>
      <c r="M776">
        <v>87.840900000000005</v>
      </c>
      <c r="N776">
        <v>1.0432900000000001</v>
      </c>
      <c r="O776">
        <f>Table312524[[#This Row],[CFNM]]/Table312524[[#This Row],[CAREA]]</f>
        <v>1.1877041332682156E-2</v>
      </c>
      <c r="P776">
        <v>2</v>
      </c>
      <c r="Q776">
        <f>(Table413525[[#This Row],[time]]-2)*2</f>
        <v>0</v>
      </c>
      <c r="R776">
        <v>82.212800000000001</v>
      </c>
      <c r="S776">
        <v>1.2537100000000001</v>
      </c>
      <c r="T776">
        <f>Table413525[[#This Row],[CFNM]]/Table413525[[#This Row],[CAREA]]</f>
        <v>1.5249571842827395E-2</v>
      </c>
      <c r="U776">
        <v>2</v>
      </c>
      <c r="V776">
        <f>(Table514526[[#This Row],[time]]-2)*2</f>
        <v>0</v>
      </c>
      <c r="W776">
        <v>83.035700000000006</v>
      </c>
      <c r="X776">
        <v>4.7089100000000004</v>
      </c>
      <c r="Y776">
        <f>Table514526[[#This Row],[CFNM]]/Table514526[[#This Row],[CAREA]]</f>
        <v>5.6709463519907702E-2</v>
      </c>
      <c r="Z776">
        <v>2</v>
      </c>
      <c r="AA776">
        <f>(Table615527[[#This Row],[time]]-2)*2</f>
        <v>0</v>
      </c>
      <c r="AB776">
        <v>86.564499999999995</v>
      </c>
      <c r="AC776">
        <v>7.2600199999999999</v>
      </c>
      <c r="AD776">
        <f>Table615527[[#This Row],[CFNM]]/Table615527[[#This Row],[CAREA]]</f>
        <v>8.3868329395999516E-2</v>
      </c>
      <c r="AE776">
        <v>2</v>
      </c>
      <c r="AF776">
        <f>(Table716528[[#This Row],[time]]-2)*2</f>
        <v>0</v>
      </c>
      <c r="AG776">
        <v>77.847899999999996</v>
      </c>
      <c r="AH776">
        <v>20.320699999999999</v>
      </c>
      <c r="AI776">
        <f>Table716528[[#This Row],[CFNM]]/Table716528[[#This Row],[CAREA]]</f>
        <v>0.26103080494143066</v>
      </c>
      <c r="AJ776">
        <v>2</v>
      </c>
      <c r="AK776">
        <f>(Table817529[[#This Row],[time]]-2)*2</f>
        <v>0</v>
      </c>
      <c r="AL776">
        <v>83.372500000000002</v>
      </c>
      <c r="AM776">
        <v>19.753900000000002</v>
      </c>
      <c r="AN776">
        <f>Table817529[[#This Row],[CFNM]]/Table817529[[#This Row],[CAREA]]</f>
        <v>0.23693544034303879</v>
      </c>
    </row>
    <row r="777" spans="1:40">
      <c r="A777">
        <v>2.0512600000000001</v>
      </c>
      <c r="B777">
        <f>(Table110522[[#This Row],[time]]-2)*2</f>
        <v>0.10252000000000017</v>
      </c>
      <c r="C777">
        <v>90.956800000000001</v>
      </c>
      <c r="D777">
        <v>9.5457300000000007</v>
      </c>
      <c r="E777">
        <f>Table110522[[#This Row],[CFNM]]/Table110522[[#This Row],[CAREA]]</f>
        <v>0.10494795331410077</v>
      </c>
      <c r="F777">
        <v>2.0512600000000001</v>
      </c>
      <c r="G777">
        <f>(Table211523[[#This Row],[time]]-2)*2</f>
        <v>0.10252000000000017</v>
      </c>
      <c r="H777">
        <v>94.1755</v>
      </c>
      <c r="I777">
        <v>2.0112800000000002</v>
      </c>
      <c r="J777">
        <f>Table211523[[#This Row],[CFNM]]/Table211523[[#This Row],[CAREA]]</f>
        <v>2.135672228976751E-2</v>
      </c>
      <c r="K777">
        <v>2.0512600000000001</v>
      </c>
      <c r="L777">
        <f>(Table312524[[#This Row],[time]]-2)*2</f>
        <v>0.10252000000000017</v>
      </c>
      <c r="M777">
        <v>88.413799999999995</v>
      </c>
      <c r="N777">
        <v>2.3352599999999999</v>
      </c>
      <c r="O777">
        <f>Table312524[[#This Row],[CFNM]]/Table312524[[#This Row],[CAREA]]</f>
        <v>2.6412845053600229E-2</v>
      </c>
      <c r="P777">
        <v>2.0512600000000001</v>
      </c>
      <c r="Q777">
        <f>(Table413525[[#This Row],[time]]-2)*2</f>
        <v>0.10252000000000017</v>
      </c>
      <c r="R777">
        <v>84.625600000000006</v>
      </c>
      <c r="S777">
        <v>3.99343</v>
      </c>
      <c r="T777">
        <f>Table413525[[#This Row],[CFNM]]/Table413525[[#This Row],[CAREA]]</f>
        <v>4.7189384772456558E-2</v>
      </c>
      <c r="U777">
        <v>2.0512600000000001</v>
      </c>
      <c r="V777">
        <f>(Table514526[[#This Row],[time]]-2)*2</f>
        <v>0.10252000000000017</v>
      </c>
      <c r="W777">
        <v>82.870400000000004</v>
      </c>
      <c r="X777">
        <v>4.5689700000000002</v>
      </c>
      <c r="Y777">
        <f>Table514526[[#This Row],[CFNM]]/Table514526[[#This Row],[CAREA]]</f>
        <v>5.5133919952118006E-2</v>
      </c>
      <c r="Z777">
        <v>2.0512600000000001</v>
      </c>
      <c r="AA777">
        <f>(Table615527[[#This Row],[time]]-2)*2</f>
        <v>0.10252000000000017</v>
      </c>
      <c r="AB777">
        <v>88.627099999999999</v>
      </c>
      <c r="AC777">
        <v>9.2814300000000003</v>
      </c>
      <c r="AD777">
        <f>Table615527[[#This Row],[CFNM]]/Table615527[[#This Row],[CAREA]]</f>
        <v>0.104724514285134</v>
      </c>
      <c r="AE777">
        <v>2.0512600000000001</v>
      </c>
      <c r="AF777">
        <f>(Table716528[[#This Row],[time]]-2)*2</f>
        <v>0.10252000000000017</v>
      </c>
      <c r="AG777">
        <v>77.807699999999997</v>
      </c>
      <c r="AH777">
        <v>20.024799999999999</v>
      </c>
      <c r="AI777">
        <f>Table716528[[#This Row],[CFNM]]/Table716528[[#This Row],[CAREA]]</f>
        <v>0.25736270317719195</v>
      </c>
      <c r="AJ777">
        <v>2.0512600000000001</v>
      </c>
      <c r="AK777">
        <f>(Table817529[[#This Row],[time]]-2)*2</f>
        <v>0.10252000000000017</v>
      </c>
      <c r="AL777">
        <v>83.501300000000001</v>
      </c>
      <c r="AM777">
        <v>19.685199999999998</v>
      </c>
      <c r="AN777">
        <f>Table817529[[#This Row],[CFNM]]/Table817529[[#This Row],[CAREA]]</f>
        <v>0.23574722788746999</v>
      </c>
    </row>
    <row r="778" spans="1:40">
      <c r="A778">
        <v>2.1153300000000002</v>
      </c>
      <c r="B778">
        <f>(Table110522[[#This Row],[time]]-2)*2</f>
        <v>0.23066000000000031</v>
      </c>
      <c r="C778">
        <v>90.007999999999996</v>
      </c>
      <c r="D778">
        <v>7.9944300000000004</v>
      </c>
      <c r="E778">
        <f>Table110522[[#This Row],[CFNM]]/Table110522[[#This Row],[CAREA]]</f>
        <v>8.8819104968447263E-2</v>
      </c>
      <c r="F778">
        <v>2.1153300000000002</v>
      </c>
      <c r="G778">
        <f>(Table211523[[#This Row],[time]]-2)*2</f>
        <v>0.23066000000000031</v>
      </c>
      <c r="H778">
        <v>94.418199999999999</v>
      </c>
      <c r="I778">
        <v>1.38815</v>
      </c>
      <c r="J778">
        <f>Table211523[[#This Row],[CFNM]]/Table211523[[#This Row],[CAREA]]</f>
        <v>1.4702144289977992E-2</v>
      </c>
      <c r="K778">
        <v>2.1153300000000002</v>
      </c>
      <c r="L778">
        <f>(Table312524[[#This Row],[time]]-2)*2</f>
        <v>0.23066000000000031</v>
      </c>
      <c r="M778">
        <v>86.808800000000005</v>
      </c>
      <c r="N778">
        <v>0.30966500000000002</v>
      </c>
      <c r="O778">
        <f>Table312524[[#This Row],[CFNM]]/Table312524[[#This Row],[CAREA]]</f>
        <v>3.5672074720535245E-3</v>
      </c>
      <c r="P778">
        <v>2.1153300000000002</v>
      </c>
      <c r="Q778">
        <f>(Table413525[[#This Row],[time]]-2)*2</f>
        <v>0.23066000000000031</v>
      </c>
      <c r="R778">
        <v>84.107399999999998</v>
      </c>
      <c r="S778">
        <v>1.7256100000000001</v>
      </c>
      <c r="T778">
        <f>Table413525[[#This Row],[CFNM]]/Table413525[[#This Row],[CAREA]]</f>
        <v>2.0516744067703912E-2</v>
      </c>
      <c r="U778">
        <v>2.1153300000000002</v>
      </c>
      <c r="V778">
        <f>(Table514526[[#This Row],[time]]-2)*2</f>
        <v>0.23066000000000031</v>
      </c>
      <c r="W778">
        <v>81.659099999999995</v>
      </c>
      <c r="X778">
        <v>0.896984</v>
      </c>
      <c r="Y778">
        <f>Table514526[[#This Row],[CFNM]]/Table514526[[#This Row],[CAREA]]</f>
        <v>1.0984495298135787E-2</v>
      </c>
      <c r="Z778">
        <v>2.1153300000000002</v>
      </c>
      <c r="AA778">
        <f>(Table615527[[#This Row],[time]]-2)*2</f>
        <v>0.23066000000000031</v>
      </c>
      <c r="AB778">
        <v>87.767399999999995</v>
      </c>
      <c r="AC778">
        <v>3.7179700000000002</v>
      </c>
      <c r="AD778">
        <f>Table615527[[#This Row],[CFNM]]/Table615527[[#This Row],[CAREA]]</f>
        <v>4.236162857735333E-2</v>
      </c>
      <c r="AE778">
        <v>2.1153300000000002</v>
      </c>
      <c r="AF778">
        <f>(Table716528[[#This Row],[time]]-2)*2</f>
        <v>0.23066000000000031</v>
      </c>
      <c r="AG778">
        <v>77.701499999999996</v>
      </c>
      <c r="AH778">
        <v>18.632200000000001</v>
      </c>
      <c r="AI778">
        <f>Table716528[[#This Row],[CFNM]]/Table716528[[#This Row],[CAREA]]</f>
        <v>0.23979202460698959</v>
      </c>
      <c r="AJ778">
        <v>2.1153300000000002</v>
      </c>
      <c r="AK778">
        <f>(Table817529[[#This Row],[time]]-2)*2</f>
        <v>0.23066000000000031</v>
      </c>
      <c r="AL778">
        <v>83.663799999999995</v>
      </c>
      <c r="AM778">
        <v>18.061299999999999</v>
      </c>
      <c r="AN778">
        <f>Table817529[[#This Row],[CFNM]]/Table817529[[#This Row],[CAREA]]</f>
        <v>0.21587950822219407</v>
      </c>
    </row>
    <row r="779" spans="1:40">
      <c r="A779">
        <v>2.16533</v>
      </c>
      <c r="B779">
        <f>(Table110522[[#This Row],[time]]-2)*2</f>
        <v>0.33065999999999995</v>
      </c>
      <c r="C779">
        <v>89.177599999999998</v>
      </c>
      <c r="D779">
        <v>7.173</v>
      </c>
      <c r="E779">
        <f>Table110522[[#This Row],[CFNM]]/Table110522[[#This Row],[CAREA]]</f>
        <v>8.0434997129323962E-2</v>
      </c>
      <c r="F779">
        <v>2.16533</v>
      </c>
      <c r="G779">
        <f>(Table211523[[#This Row],[time]]-2)*2</f>
        <v>0.33065999999999995</v>
      </c>
      <c r="H779">
        <v>94.3977</v>
      </c>
      <c r="I779">
        <v>0.82359599999999999</v>
      </c>
      <c r="J779">
        <f>Table211523[[#This Row],[CFNM]]/Table211523[[#This Row],[CAREA]]</f>
        <v>8.7247464715771682E-3</v>
      </c>
      <c r="K779">
        <v>2.16533</v>
      </c>
      <c r="L779">
        <f>(Table312524[[#This Row],[time]]-2)*2</f>
        <v>0.33065999999999995</v>
      </c>
      <c r="M779">
        <v>86.289599999999993</v>
      </c>
      <c r="N779">
        <v>4.32541E-3</v>
      </c>
      <c r="O779">
        <f>Table312524[[#This Row],[CFNM]]/Table312524[[#This Row],[CAREA]]</f>
        <v>5.0126666481244557E-5</v>
      </c>
      <c r="P779">
        <v>2.16533</v>
      </c>
      <c r="Q779">
        <f>(Table413525[[#This Row],[time]]-2)*2</f>
        <v>0.33065999999999995</v>
      </c>
      <c r="R779">
        <v>83.133399999999995</v>
      </c>
      <c r="S779">
        <v>0.51779200000000003</v>
      </c>
      <c r="T779">
        <f>Table413525[[#This Row],[CFNM]]/Table413525[[#This Row],[CAREA]]</f>
        <v>6.2284472907399441E-3</v>
      </c>
      <c r="U779">
        <v>2.16533</v>
      </c>
      <c r="V779">
        <f>(Table514526[[#This Row],[time]]-2)*2</f>
        <v>0.33065999999999995</v>
      </c>
      <c r="W779">
        <v>80.753</v>
      </c>
      <c r="X779">
        <v>0.55141099999999998</v>
      </c>
      <c r="Y779">
        <f>Table514526[[#This Row],[CFNM]]/Table514526[[#This Row],[CAREA]]</f>
        <v>6.8283655096405089E-3</v>
      </c>
      <c r="Z779">
        <v>2.16533</v>
      </c>
      <c r="AA779">
        <f>(Table615527[[#This Row],[time]]-2)*2</f>
        <v>0.33065999999999995</v>
      </c>
      <c r="AB779">
        <v>87.124799999999993</v>
      </c>
      <c r="AC779">
        <v>2.84097</v>
      </c>
      <c r="AD779">
        <f>Table615527[[#This Row],[CFNM]]/Table615527[[#This Row],[CAREA]]</f>
        <v>3.2608051897967054E-2</v>
      </c>
      <c r="AE779">
        <v>2.16533</v>
      </c>
      <c r="AF779">
        <f>(Table716528[[#This Row],[time]]-2)*2</f>
        <v>0.33065999999999995</v>
      </c>
      <c r="AG779">
        <v>77.5809</v>
      </c>
      <c r="AH779">
        <v>17.959800000000001</v>
      </c>
      <c r="AI779">
        <f>Table716528[[#This Row],[CFNM]]/Table716528[[#This Row],[CAREA]]</f>
        <v>0.23149770110942258</v>
      </c>
      <c r="AJ779">
        <v>2.16533</v>
      </c>
      <c r="AK779">
        <f>(Table817529[[#This Row],[time]]-2)*2</f>
        <v>0.33065999999999995</v>
      </c>
      <c r="AL779">
        <v>83.691400000000002</v>
      </c>
      <c r="AM779">
        <v>17.287099999999999</v>
      </c>
      <c r="AN779">
        <f>Table817529[[#This Row],[CFNM]]/Table817529[[#This Row],[CAREA]]</f>
        <v>0.20655766303347772</v>
      </c>
    </row>
    <row r="780" spans="1:40">
      <c r="A780">
        <v>2.2246999999999999</v>
      </c>
      <c r="B780">
        <f>(Table110522[[#This Row],[time]]-2)*2</f>
        <v>0.4493999999999998</v>
      </c>
      <c r="C780">
        <v>87.679100000000005</v>
      </c>
      <c r="D780">
        <v>5.9565900000000003</v>
      </c>
      <c r="E780">
        <f>Table110522[[#This Row],[CFNM]]/Table110522[[#This Row],[CAREA]]</f>
        <v>6.7936258469806374E-2</v>
      </c>
      <c r="F780">
        <v>2.2246999999999999</v>
      </c>
      <c r="G780">
        <f>(Table211523[[#This Row],[time]]-2)*2</f>
        <v>0.4493999999999998</v>
      </c>
      <c r="H780">
        <v>93.864699999999999</v>
      </c>
      <c r="I780">
        <v>0.140931</v>
      </c>
      <c r="J780">
        <f>Table211523[[#This Row],[CFNM]]/Table211523[[#This Row],[CAREA]]</f>
        <v>1.5014270540469421E-3</v>
      </c>
      <c r="K780">
        <v>2.2246999999999999</v>
      </c>
      <c r="L780">
        <f>(Table312524[[#This Row],[time]]-2)*2</f>
        <v>0.4493999999999998</v>
      </c>
      <c r="M780">
        <v>85.495900000000006</v>
      </c>
      <c r="N780">
        <v>3.9270299999999998E-3</v>
      </c>
      <c r="O780">
        <f>Table312524[[#This Row],[CFNM]]/Table312524[[#This Row],[CAREA]]</f>
        <v>4.5932378043859407E-5</v>
      </c>
      <c r="P780">
        <v>2.2246999999999999</v>
      </c>
      <c r="Q780">
        <f>(Table413525[[#This Row],[time]]-2)*2</f>
        <v>0.4493999999999998</v>
      </c>
      <c r="R780">
        <v>81.739000000000004</v>
      </c>
      <c r="S780">
        <v>5.2832E-3</v>
      </c>
      <c r="T780">
        <f>Table413525[[#This Row],[CFNM]]/Table413525[[#This Row],[CAREA]]</f>
        <v>6.4634996757973541E-5</v>
      </c>
      <c r="U780">
        <v>2.2246999999999999</v>
      </c>
      <c r="V780">
        <f>(Table514526[[#This Row],[time]]-2)*2</f>
        <v>0.4493999999999998</v>
      </c>
      <c r="W780">
        <v>80.247799999999998</v>
      </c>
      <c r="X780">
        <v>0.31870599999999999</v>
      </c>
      <c r="Y780">
        <f>Table514526[[#This Row],[CFNM]]/Table514526[[#This Row],[CAREA]]</f>
        <v>3.9715232068667306E-3</v>
      </c>
      <c r="Z780">
        <v>2.2246999999999999</v>
      </c>
      <c r="AA780">
        <f>(Table615527[[#This Row],[time]]-2)*2</f>
        <v>0.4493999999999998</v>
      </c>
      <c r="AB780">
        <v>86.074200000000005</v>
      </c>
      <c r="AC780">
        <v>1.8827199999999999</v>
      </c>
      <c r="AD780">
        <f>Table615527[[#This Row],[CFNM]]/Table615527[[#This Row],[CAREA]]</f>
        <v>2.1873221011638792E-2</v>
      </c>
      <c r="AE780">
        <v>2.2246999999999999</v>
      </c>
      <c r="AF780">
        <f>(Table716528[[#This Row],[time]]-2)*2</f>
        <v>0.4493999999999998</v>
      </c>
      <c r="AG780">
        <v>77.558199999999999</v>
      </c>
      <c r="AH780">
        <v>17.086600000000001</v>
      </c>
      <c r="AI780">
        <f>Table716528[[#This Row],[CFNM]]/Table716528[[#This Row],[CAREA]]</f>
        <v>0.22030681475330785</v>
      </c>
      <c r="AJ780">
        <v>2.2246999999999999</v>
      </c>
      <c r="AK780">
        <f>(Table817529[[#This Row],[time]]-2)*2</f>
        <v>0.4493999999999998</v>
      </c>
      <c r="AL780">
        <v>83.677800000000005</v>
      </c>
      <c r="AM780">
        <v>16.246300000000002</v>
      </c>
      <c r="AN780">
        <f>Table817529[[#This Row],[CFNM]]/Table817529[[#This Row],[CAREA]]</f>
        <v>0.19415304895683205</v>
      </c>
    </row>
    <row r="781" spans="1:40">
      <c r="A781">
        <v>2.2668900000000001</v>
      </c>
      <c r="B781">
        <f>(Table110522[[#This Row],[time]]-2)*2</f>
        <v>0.53378000000000014</v>
      </c>
      <c r="C781">
        <v>87.490600000000001</v>
      </c>
      <c r="D781">
        <v>5.3352199999999996</v>
      </c>
      <c r="E781">
        <f>Table110522[[#This Row],[CFNM]]/Table110522[[#This Row],[CAREA]]</f>
        <v>6.0980493904488023E-2</v>
      </c>
      <c r="F781">
        <v>2.2668900000000001</v>
      </c>
      <c r="G781">
        <f>(Table211523[[#This Row],[time]]-2)*2</f>
        <v>0.53378000000000014</v>
      </c>
      <c r="H781">
        <v>93.362899999999996</v>
      </c>
      <c r="I781">
        <v>5.6041700000000003E-3</v>
      </c>
      <c r="J781">
        <f>Table211523[[#This Row],[CFNM]]/Table211523[[#This Row],[CAREA]]</f>
        <v>6.002566329880499E-5</v>
      </c>
      <c r="K781">
        <v>2.2668900000000001</v>
      </c>
      <c r="L781">
        <f>(Table312524[[#This Row],[time]]-2)*2</f>
        <v>0.53378000000000014</v>
      </c>
      <c r="M781">
        <v>85.048500000000004</v>
      </c>
      <c r="N781">
        <v>3.8057199999999998E-3</v>
      </c>
      <c r="O781">
        <f>Table312524[[#This Row],[CFNM]]/Table312524[[#This Row],[CAREA]]</f>
        <v>4.4747643991369627E-5</v>
      </c>
      <c r="P781">
        <v>2.2668900000000001</v>
      </c>
      <c r="Q781">
        <f>(Table413525[[#This Row],[time]]-2)*2</f>
        <v>0.53378000000000014</v>
      </c>
      <c r="R781">
        <v>81.476299999999995</v>
      </c>
      <c r="S781">
        <v>5.24451E-3</v>
      </c>
      <c r="T781">
        <f>Table413525[[#This Row],[CFNM]]/Table413525[[#This Row],[CAREA]]</f>
        <v>6.4368534162695173E-5</v>
      </c>
      <c r="U781">
        <v>2.2668900000000001</v>
      </c>
      <c r="V781">
        <f>(Table514526[[#This Row],[time]]-2)*2</f>
        <v>0.53378000000000014</v>
      </c>
      <c r="W781">
        <v>79.805300000000003</v>
      </c>
      <c r="X781">
        <v>0.219666</v>
      </c>
      <c r="Y781">
        <f>Table514526[[#This Row],[CFNM]]/Table514526[[#This Row],[CAREA]]</f>
        <v>2.7525239551759095E-3</v>
      </c>
      <c r="Z781">
        <v>2.2668900000000001</v>
      </c>
      <c r="AA781">
        <f>(Table615527[[#This Row],[time]]-2)*2</f>
        <v>0.53378000000000014</v>
      </c>
      <c r="AB781">
        <v>84.354900000000001</v>
      </c>
      <c r="AC781">
        <v>1.4221200000000001</v>
      </c>
      <c r="AD781">
        <f>Table615527[[#This Row],[CFNM]]/Table615527[[#This Row],[CAREA]]</f>
        <v>1.6858771689611394E-2</v>
      </c>
      <c r="AE781">
        <v>2.2668900000000001</v>
      </c>
      <c r="AF781">
        <f>(Table716528[[#This Row],[time]]-2)*2</f>
        <v>0.53378000000000014</v>
      </c>
      <c r="AG781">
        <v>77.770600000000002</v>
      </c>
      <c r="AH781">
        <v>16.587700000000002</v>
      </c>
      <c r="AI781">
        <f>Table716528[[#This Row],[CFNM]]/Table716528[[#This Row],[CAREA]]</f>
        <v>0.21329011220178321</v>
      </c>
      <c r="AJ781">
        <v>2.2668900000000001</v>
      </c>
      <c r="AK781">
        <f>(Table817529[[#This Row],[time]]-2)*2</f>
        <v>0.53378000000000014</v>
      </c>
      <c r="AL781">
        <v>83.705100000000002</v>
      </c>
      <c r="AM781">
        <v>15.6029</v>
      </c>
      <c r="AN781">
        <f>Table817529[[#This Row],[CFNM]]/Table817529[[#This Row],[CAREA]]</f>
        <v>0.1864032179640189</v>
      </c>
    </row>
    <row r="782" spans="1:40">
      <c r="A782">
        <v>2.3262700000000001</v>
      </c>
      <c r="B782">
        <f>(Table110522[[#This Row],[time]]-2)*2</f>
        <v>0.65254000000000012</v>
      </c>
      <c r="C782">
        <v>86.1755</v>
      </c>
      <c r="D782">
        <v>5.2702099999999996</v>
      </c>
      <c r="E782">
        <f>Table110522[[#This Row],[CFNM]]/Table110522[[#This Row],[CAREA]]</f>
        <v>6.1156709273517414E-2</v>
      </c>
      <c r="F782">
        <v>2.3262700000000001</v>
      </c>
      <c r="G782">
        <f>(Table211523[[#This Row],[time]]-2)*2</f>
        <v>0.65254000000000012</v>
      </c>
      <c r="H782">
        <v>92.547899999999998</v>
      </c>
      <c r="I782">
        <v>5.7218199999999999E-3</v>
      </c>
      <c r="J782">
        <f>Table211523[[#This Row],[CFNM]]/Table211523[[#This Row],[CAREA]]</f>
        <v>6.1825497931341502E-5</v>
      </c>
      <c r="K782">
        <v>2.3262700000000001</v>
      </c>
      <c r="L782">
        <f>(Table312524[[#This Row],[time]]-2)*2</f>
        <v>0.65254000000000012</v>
      </c>
      <c r="M782">
        <v>84.3386</v>
      </c>
      <c r="N782">
        <v>3.69784E-3</v>
      </c>
      <c r="O782">
        <f>Table312524[[#This Row],[CFNM]]/Table312524[[#This Row],[CAREA]]</f>
        <v>4.3845166981666759E-5</v>
      </c>
      <c r="P782">
        <v>2.3262700000000001</v>
      </c>
      <c r="Q782">
        <f>(Table413525[[#This Row],[time]]-2)*2</f>
        <v>0.65254000000000012</v>
      </c>
      <c r="R782">
        <v>80.966499999999996</v>
      </c>
      <c r="S782">
        <v>5.1992499999999999E-3</v>
      </c>
      <c r="T782">
        <f>Table413525[[#This Row],[CFNM]]/Table413525[[#This Row],[CAREA]]</f>
        <v>6.4214829590015626E-5</v>
      </c>
      <c r="U782">
        <v>2.3262700000000001</v>
      </c>
      <c r="V782">
        <f>(Table514526[[#This Row],[time]]-2)*2</f>
        <v>0.65254000000000012</v>
      </c>
      <c r="W782">
        <v>79.108800000000002</v>
      </c>
      <c r="X782">
        <v>8.9292999999999997E-2</v>
      </c>
      <c r="Y782">
        <f>Table514526[[#This Row],[CFNM]]/Table514526[[#This Row],[CAREA]]</f>
        <v>1.1287366260137935E-3</v>
      </c>
      <c r="Z782">
        <v>2.3262700000000001</v>
      </c>
      <c r="AA782">
        <f>(Table615527[[#This Row],[time]]-2)*2</f>
        <v>0.65254000000000012</v>
      </c>
      <c r="AB782">
        <v>82.302400000000006</v>
      </c>
      <c r="AC782">
        <v>0.62011300000000003</v>
      </c>
      <c r="AD782">
        <f>Table615527[[#This Row],[CFNM]]/Table615527[[#This Row],[CAREA]]</f>
        <v>7.5345676432279005E-3</v>
      </c>
      <c r="AE782">
        <v>2.3262700000000001</v>
      </c>
      <c r="AF782">
        <f>(Table716528[[#This Row],[time]]-2)*2</f>
        <v>0.65254000000000012</v>
      </c>
      <c r="AG782">
        <v>77.796199999999999</v>
      </c>
      <c r="AH782">
        <v>15.7441</v>
      </c>
      <c r="AI782">
        <f>Table716528[[#This Row],[CFNM]]/Table716528[[#This Row],[CAREA]]</f>
        <v>0.20237620860659003</v>
      </c>
      <c r="AJ782">
        <v>2.3262700000000001</v>
      </c>
      <c r="AK782">
        <f>(Table817529[[#This Row],[time]]-2)*2</f>
        <v>0.65254000000000012</v>
      </c>
      <c r="AL782">
        <v>83.758399999999995</v>
      </c>
      <c r="AM782">
        <v>14.446300000000001</v>
      </c>
      <c r="AN782">
        <f>Table817529[[#This Row],[CFNM]]/Table817529[[#This Row],[CAREA]]</f>
        <v>0.17247583525950833</v>
      </c>
    </row>
    <row r="783" spans="1:40">
      <c r="A783">
        <v>2.3684599999999998</v>
      </c>
      <c r="B783">
        <f>(Table110522[[#This Row],[time]]-2)*2</f>
        <v>0.73691999999999958</v>
      </c>
      <c r="C783">
        <v>85.819900000000004</v>
      </c>
      <c r="D783">
        <v>5.2558600000000002</v>
      </c>
      <c r="E783">
        <f>Table110522[[#This Row],[CFNM]]/Table110522[[#This Row],[CAREA]]</f>
        <v>6.124290520030902E-2</v>
      </c>
      <c r="F783">
        <v>2.3684599999999998</v>
      </c>
      <c r="G783">
        <f>(Table211523[[#This Row],[time]]-2)*2</f>
        <v>0.73691999999999958</v>
      </c>
      <c r="H783">
        <v>92.147400000000005</v>
      </c>
      <c r="I783">
        <v>5.80373E-3</v>
      </c>
      <c r="J783">
        <f>Table211523[[#This Row],[CFNM]]/Table211523[[#This Row],[CAREA]]</f>
        <v>6.2983111840377484E-5</v>
      </c>
      <c r="K783">
        <v>2.3684599999999998</v>
      </c>
      <c r="L783">
        <f>(Table312524[[#This Row],[time]]-2)*2</f>
        <v>0.73691999999999958</v>
      </c>
      <c r="M783">
        <v>83.999200000000002</v>
      </c>
      <c r="N783">
        <v>3.6326900000000001E-3</v>
      </c>
      <c r="O783">
        <f>Table312524[[#This Row],[CFNM]]/Table312524[[#This Row],[CAREA]]</f>
        <v>4.3246721397346643E-5</v>
      </c>
      <c r="P783">
        <v>2.3684599999999998</v>
      </c>
      <c r="Q783">
        <f>(Table413525[[#This Row],[time]]-2)*2</f>
        <v>0.73691999999999958</v>
      </c>
      <c r="R783">
        <v>80.716800000000006</v>
      </c>
      <c r="S783">
        <v>5.1713100000000001E-3</v>
      </c>
      <c r="T783">
        <f>Table413525[[#This Row],[CFNM]]/Table413525[[#This Row],[CAREA]]</f>
        <v>6.4067331707897242E-5</v>
      </c>
      <c r="U783">
        <v>2.3684599999999998</v>
      </c>
      <c r="V783">
        <f>(Table514526[[#This Row],[time]]-2)*2</f>
        <v>0.73691999999999958</v>
      </c>
      <c r="W783">
        <v>78.769800000000004</v>
      </c>
      <c r="X783">
        <v>3.6186999999999997E-2</v>
      </c>
      <c r="Y783">
        <f>Table514526[[#This Row],[CFNM]]/Table514526[[#This Row],[CAREA]]</f>
        <v>4.5940195354057003E-4</v>
      </c>
      <c r="Z783">
        <v>2.3684599999999998</v>
      </c>
      <c r="AA783">
        <f>(Table615527[[#This Row],[time]]-2)*2</f>
        <v>0.73691999999999958</v>
      </c>
      <c r="AB783">
        <v>82.006500000000003</v>
      </c>
      <c r="AC783">
        <v>0.41814699999999999</v>
      </c>
      <c r="AD783">
        <f>Table615527[[#This Row],[CFNM]]/Table615527[[#This Row],[CAREA]]</f>
        <v>5.0989494735173427E-3</v>
      </c>
      <c r="AE783">
        <v>2.3684599999999998</v>
      </c>
      <c r="AF783">
        <f>(Table716528[[#This Row],[time]]-2)*2</f>
        <v>0.73691999999999958</v>
      </c>
      <c r="AG783">
        <v>77.885099999999994</v>
      </c>
      <c r="AH783">
        <v>15.3474</v>
      </c>
      <c r="AI783">
        <f>Table716528[[#This Row],[CFNM]]/Table716528[[#This Row],[CAREA]]</f>
        <v>0.19705181093688012</v>
      </c>
      <c r="AJ783">
        <v>2.3684599999999998</v>
      </c>
      <c r="AK783">
        <f>(Table817529[[#This Row],[time]]-2)*2</f>
        <v>0.73691999999999958</v>
      </c>
      <c r="AL783">
        <v>83.74</v>
      </c>
      <c r="AM783">
        <v>13.9244</v>
      </c>
      <c r="AN783">
        <f>Table817529[[#This Row],[CFNM]]/Table817529[[#This Row],[CAREA]]</f>
        <v>0.16628134702651065</v>
      </c>
    </row>
    <row r="784" spans="1:40">
      <c r="A784">
        <v>2.4278300000000002</v>
      </c>
      <c r="B784">
        <f>(Table110522[[#This Row],[time]]-2)*2</f>
        <v>0.85566000000000031</v>
      </c>
      <c r="C784">
        <v>85.099699999999999</v>
      </c>
      <c r="D784">
        <v>5.0739099999999997</v>
      </c>
      <c r="E784">
        <f>Table110522[[#This Row],[CFNM]]/Table110522[[#This Row],[CAREA]]</f>
        <v>5.9623124405843969E-2</v>
      </c>
      <c r="F784">
        <v>2.4278300000000002</v>
      </c>
      <c r="G784">
        <f>(Table211523[[#This Row],[time]]-2)*2</f>
        <v>0.85566000000000031</v>
      </c>
      <c r="H784">
        <v>91.635199999999998</v>
      </c>
      <c r="I784">
        <v>5.9660499999999997E-3</v>
      </c>
      <c r="J784">
        <f>Table211523[[#This Row],[CFNM]]/Table211523[[#This Row],[CAREA]]</f>
        <v>6.5106531114680823E-5</v>
      </c>
      <c r="K784">
        <v>2.4278300000000002</v>
      </c>
      <c r="L784">
        <f>(Table312524[[#This Row],[time]]-2)*2</f>
        <v>0.85566000000000031</v>
      </c>
      <c r="M784">
        <v>82.888099999999994</v>
      </c>
      <c r="N784">
        <v>3.4802800000000001E-3</v>
      </c>
      <c r="O784">
        <f>Table312524[[#This Row],[CFNM]]/Table312524[[#This Row],[CAREA]]</f>
        <v>4.1987691839962553E-5</v>
      </c>
      <c r="P784">
        <v>2.4278300000000002</v>
      </c>
      <c r="Q784">
        <f>(Table413525[[#This Row],[time]]-2)*2</f>
        <v>0.85566000000000031</v>
      </c>
      <c r="R784">
        <v>80.083100000000002</v>
      </c>
      <c r="S784">
        <v>5.0613699999999999E-3</v>
      </c>
      <c r="T784">
        <f>Table413525[[#This Row],[CFNM]]/Table413525[[#This Row],[CAREA]]</f>
        <v>6.3201474468395949E-5</v>
      </c>
      <c r="U784">
        <v>2.4278300000000002</v>
      </c>
      <c r="V784">
        <f>(Table514526[[#This Row],[time]]-2)*2</f>
        <v>0.85566000000000031</v>
      </c>
      <c r="W784">
        <v>77.453299999999999</v>
      </c>
      <c r="X784">
        <v>4.8552100000000004E-3</v>
      </c>
      <c r="Y784">
        <f>Table514526[[#This Row],[CFNM]]/Table514526[[#This Row],[CAREA]]</f>
        <v>6.26856441236203E-5</v>
      </c>
      <c r="Z784">
        <v>2.4278300000000002</v>
      </c>
      <c r="AA784">
        <f>(Table615527[[#This Row],[time]]-2)*2</f>
        <v>0.85566000000000031</v>
      </c>
      <c r="AB784">
        <v>79.317300000000003</v>
      </c>
      <c r="AC784">
        <v>6.8956699999999996E-2</v>
      </c>
      <c r="AD784">
        <f>Table615527[[#This Row],[CFNM]]/Table615527[[#This Row],[CAREA]]</f>
        <v>8.6937780282485657E-4</v>
      </c>
      <c r="AE784">
        <v>2.4278300000000002</v>
      </c>
      <c r="AF784">
        <f>(Table716528[[#This Row],[time]]-2)*2</f>
        <v>0.85566000000000031</v>
      </c>
      <c r="AG784">
        <v>77.996399999999994</v>
      </c>
      <c r="AH784">
        <v>14.299099999999999</v>
      </c>
      <c r="AI784">
        <f>Table716528[[#This Row],[CFNM]]/Table716528[[#This Row],[CAREA]]</f>
        <v>0.18333025626823801</v>
      </c>
      <c r="AJ784">
        <v>2.4278300000000002</v>
      </c>
      <c r="AK784">
        <f>(Table817529[[#This Row],[time]]-2)*2</f>
        <v>0.85566000000000031</v>
      </c>
      <c r="AL784">
        <v>83.706100000000006</v>
      </c>
      <c r="AM784">
        <v>12.568199999999999</v>
      </c>
      <c r="AN784">
        <f>Table817529[[#This Row],[CFNM]]/Table817529[[#This Row],[CAREA]]</f>
        <v>0.15014676349752287</v>
      </c>
    </row>
    <row r="785" spans="1:40">
      <c r="A785">
        <v>2.4542000000000002</v>
      </c>
      <c r="B785">
        <f>(Table110522[[#This Row],[time]]-2)*2</f>
        <v>0.90840000000000032</v>
      </c>
      <c r="C785">
        <v>85.001000000000005</v>
      </c>
      <c r="D785">
        <v>5.04453</v>
      </c>
      <c r="E785">
        <f>Table110522[[#This Row],[CFNM]]/Table110522[[#This Row],[CAREA]]</f>
        <v>5.9346713568075665E-2</v>
      </c>
      <c r="F785">
        <v>2.4542000000000002</v>
      </c>
      <c r="G785">
        <f>(Table211523[[#This Row],[time]]-2)*2</f>
        <v>0.90840000000000032</v>
      </c>
      <c r="H785">
        <v>91.57</v>
      </c>
      <c r="I785">
        <v>5.9854000000000001E-3</v>
      </c>
      <c r="J785">
        <f>Table211523[[#This Row],[CFNM]]/Table211523[[#This Row],[CAREA]]</f>
        <v>6.5364202249645084E-5</v>
      </c>
      <c r="K785">
        <v>2.4542000000000002</v>
      </c>
      <c r="L785">
        <f>(Table312524[[#This Row],[time]]-2)*2</f>
        <v>0.90840000000000032</v>
      </c>
      <c r="M785">
        <v>82.773300000000006</v>
      </c>
      <c r="N785">
        <v>3.4571900000000002E-3</v>
      </c>
      <c r="O785">
        <f>Table312524[[#This Row],[CFNM]]/Table312524[[#This Row],[CAREA]]</f>
        <v>4.1766970750229841E-5</v>
      </c>
      <c r="P785">
        <v>2.4542000000000002</v>
      </c>
      <c r="Q785">
        <f>(Table413525[[#This Row],[time]]-2)*2</f>
        <v>0.90840000000000032</v>
      </c>
      <c r="R785">
        <v>79.989699999999999</v>
      </c>
      <c r="S785">
        <v>5.0426300000000002E-3</v>
      </c>
      <c r="T785">
        <f>Table413525[[#This Row],[CFNM]]/Table413525[[#This Row],[CAREA]]</f>
        <v>6.3040991527659192E-5</v>
      </c>
      <c r="U785">
        <v>2.4542000000000002</v>
      </c>
      <c r="V785">
        <f>(Table514526[[#This Row],[time]]-2)*2</f>
        <v>0.90840000000000032</v>
      </c>
      <c r="W785">
        <v>77.315399999999997</v>
      </c>
      <c r="X785">
        <v>4.6818099999999998E-3</v>
      </c>
      <c r="Y785">
        <f>Table514526[[#This Row],[CFNM]]/Table514526[[#This Row],[CAREA]]</f>
        <v>6.0554688975288235E-5</v>
      </c>
      <c r="Z785">
        <v>2.4542000000000002</v>
      </c>
      <c r="AA785">
        <f>(Table615527[[#This Row],[time]]-2)*2</f>
        <v>0.90840000000000032</v>
      </c>
      <c r="AB785">
        <v>78.383399999999995</v>
      </c>
      <c r="AC785">
        <v>1.7735799999999999E-2</v>
      </c>
      <c r="AD785">
        <f>Table615527[[#This Row],[CFNM]]/Table615527[[#This Row],[CAREA]]</f>
        <v>2.2626984795250015E-4</v>
      </c>
      <c r="AE785">
        <v>2.4542000000000002</v>
      </c>
      <c r="AF785">
        <f>(Table716528[[#This Row],[time]]-2)*2</f>
        <v>0.90840000000000032</v>
      </c>
      <c r="AG785">
        <v>78.004599999999996</v>
      </c>
      <c r="AH785">
        <v>14.133800000000001</v>
      </c>
      <c r="AI785">
        <f>Table716528[[#This Row],[CFNM]]/Table716528[[#This Row],[CAREA]]</f>
        <v>0.1811918784276825</v>
      </c>
      <c r="AJ785">
        <v>2.4542000000000002</v>
      </c>
      <c r="AK785">
        <f>(Table817529[[#This Row],[time]]-2)*2</f>
        <v>0.90840000000000032</v>
      </c>
      <c r="AL785">
        <v>83.695899999999995</v>
      </c>
      <c r="AM785">
        <v>12.366</v>
      </c>
      <c r="AN785">
        <f>Table817529[[#This Row],[CFNM]]/Table817529[[#This Row],[CAREA]]</f>
        <v>0.14774917289855299</v>
      </c>
    </row>
    <row r="786" spans="1:40">
      <c r="A786">
        <v>2.5061499999999999</v>
      </c>
      <c r="B786">
        <f>(Table110522[[#This Row],[time]]-2)*2</f>
        <v>1.0122999999999998</v>
      </c>
      <c r="C786">
        <v>84.4559</v>
      </c>
      <c r="D786">
        <v>5.0149100000000004</v>
      </c>
      <c r="E786">
        <f>Table110522[[#This Row],[CFNM]]/Table110522[[#This Row],[CAREA]]</f>
        <v>5.937903687012986E-2</v>
      </c>
      <c r="F786">
        <v>2.5061499999999999</v>
      </c>
      <c r="G786">
        <f>(Table211523[[#This Row],[time]]-2)*2</f>
        <v>1.0122999999999998</v>
      </c>
      <c r="H786">
        <v>91.242699999999999</v>
      </c>
      <c r="I786">
        <v>6.0619699999999999E-3</v>
      </c>
      <c r="J786">
        <f>Table211523[[#This Row],[CFNM]]/Table211523[[#This Row],[CAREA]]</f>
        <v>6.6437862974243417E-5</v>
      </c>
      <c r="K786">
        <v>2.5061499999999999</v>
      </c>
      <c r="L786">
        <f>(Table312524[[#This Row],[time]]-2)*2</f>
        <v>1.0122999999999998</v>
      </c>
      <c r="M786">
        <v>82.270600000000002</v>
      </c>
      <c r="N786">
        <v>3.3352799999999999E-3</v>
      </c>
      <c r="O786">
        <f>Table312524[[#This Row],[CFNM]]/Table312524[[#This Row],[CAREA]]</f>
        <v>4.0540363143091215E-5</v>
      </c>
      <c r="P786">
        <v>2.5061499999999999</v>
      </c>
      <c r="Q786">
        <f>(Table413525[[#This Row],[time]]-2)*2</f>
        <v>1.0122999999999998</v>
      </c>
      <c r="R786">
        <v>79.6464</v>
      </c>
      <c r="S786">
        <v>4.9552499999999996E-3</v>
      </c>
      <c r="T786">
        <f>Table413525[[#This Row],[CFNM]]/Table413525[[#This Row],[CAREA]]</f>
        <v>6.2215618031700103E-5</v>
      </c>
      <c r="U786">
        <v>2.5061499999999999</v>
      </c>
      <c r="V786">
        <f>(Table514526[[#This Row],[time]]-2)*2</f>
        <v>1.0122999999999998</v>
      </c>
      <c r="W786">
        <v>76.645799999999994</v>
      </c>
      <c r="X786">
        <v>4.33827E-3</v>
      </c>
      <c r="Y786">
        <f>Table514526[[#This Row],[CFNM]]/Table514526[[#This Row],[CAREA]]</f>
        <v>5.6601535896291775E-5</v>
      </c>
      <c r="Z786">
        <v>2.5061499999999999</v>
      </c>
      <c r="AA786">
        <f>(Table615527[[#This Row],[time]]-2)*2</f>
        <v>1.0122999999999998</v>
      </c>
      <c r="AB786">
        <v>76.795699999999997</v>
      </c>
      <c r="AC786">
        <v>3.7945600000000002E-3</v>
      </c>
      <c r="AD786">
        <f>Table615527[[#This Row],[CFNM]]/Table615527[[#This Row],[CAREA]]</f>
        <v>4.9411099840225434E-5</v>
      </c>
      <c r="AE786">
        <v>2.5061499999999999</v>
      </c>
      <c r="AF786">
        <f>(Table716528[[#This Row],[time]]-2)*2</f>
        <v>1.0122999999999998</v>
      </c>
      <c r="AG786">
        <v>78.144099999999995</v>
      </c>
      <c r="AH786">
        <v>13.2743</v>
      </c>
      <c r="AI786">
        <f>Table716528[[#This Row],[CFNM]]/Table716528[[#This Row],[CAREA]]</f>
        <v>0.16986951030212136</v>
      </c>
      <c r="AJ786">
        <v>2.5061499999999999</v>
      </c>
      <c r="AK786">
        <f>(Table817529[[#This Row],[time]]-2)*2</f>
        <v>1.0122999999999998</v>
      </c>
      <c r="AL786">
        <v>83.6554</v>
      </c>
      <c r="AM786">
        <v>11.375400000000001</v>
      </c>
      <c r="AN786">
        <f>Table817529[[#This Row],[CFNM]]/Table817529[[#This Row],[CAREA]]</f>
        <v>0.13597926732763219</v>
      </c>
    </row>
    <row r="787" spans="1:40">
      <c r="A787">
        <v>2.5507599999999999</v>
      </c>
      <c r="B787">
        <f>(Table110522[[#This Row],[time]]-2)*2</f>
        <v>1.1015199999999998</v>
      </c>
      <c r="C787">
        <v>83.659499999999994</v>
      </c>
      <c r="D787">
        <v>4.9595399999999996</v>
      </c>
      <c r="E787">
        <f>Table110522[[#This Row],[CFNM]]/Table110522[[#This Row],[CAREA]]</f>
        <v>5.9282448496584365E-2</v>
      </c>
      <c r="F787">
        <v>2.5507599999999999</v>
      </c>
      <c r="G787">
        <f>(Table211523[[#This Row],[time]]-2)*2</f>
        <v>1.1015199999999998</v>
      </c>
      <c r="H787">
        <v>90.822800000000001</v>
      </c>
      <c r="I787">
        <v>6.0977799999999997E-3</v>
      </c>
      <c r="J787">
        <f>Table211523[[#This Row],[CFNM]]/Table211523[[#This Row],[CAREA]]</f>
        <v>6.713930863175326E-5</v>
      </c>
      <c r="K787">
        <v>2.5507599999999999</v>
      </c>
      <c r="L787">
        <f>(Table312524[[#This Row],[time]]-2)*2</f>
        <v>1.1015199999999998</v>
      </c>
      <c r="M787">
        <v>82.170199999999994</v>
      </c>
      <c r="N787">
        <v>3.2468800000000002E-3</v>
      </c>
      <c r="O787">
        <f>Table312524[[#This Row],[CFNM]]/Table312524[[#This Row],[CAREA]]</f>
        <v>3.9514081747397481E-5</v>
      </c>
      <c r="P787">
        <v>2.5507599999999999</v>
      </c>
      <c r="Q787">
        <f>(Table413525[[#This Row],[time]]-2)*2</f>
        <v>1.1015199999999998</v>
      </c>
      <c r="R787">
        <v>78.887</v>
      </c>
      <c r="S787">
        <v>4.8811899999999997E-3</v>
      </c>
      <c r="T787">
        <f>Table413525[[#This Row],[CFNM]]/Table413525[[#This Row],[CAREA]]</f>
        <v>6.1875720967966832E-5</v>
      </c>
      <c r="U787">
        <v>2.5507599999999999</v>
      </c>
      <c r="V787">
        <f>(Table514526[[#This Row],[time]]-2)*2</f>
        <v>1.1015199999999998</v>
      </c>
      <c r="W787">
        <v>74.958500000000001</v>
      </c>
      <c r="X787">
        <v>4.2491999999999999E-3</v>
      </c>
      <c r="Y787">
        <f>Table514526[[#This Row],[CFNM]]/Table514526[[#This Row],[CAREA]]</f>
        <v>5.668736700974539E-5</v>
      </c>
      <c r="Z787">
        <v>2.5507599999999999</v>
      </c>
      <c r="AA787">
        <f>(Table615527[[#This Row],[time]]-2)*2</f>
        <v>1.1015199999999998</v>
      </c>
      <c r="AB787">
        <v>76.6036</v>
      </c>
      <c r="AC787">
        <v>3.63832E-3</v>
      </c>
      <c r="AD787">
        <f>Table615527[[#This Row],[CFNM]]/Table615527[[#This Row],[CAREA]]</f>
        <v>4.7495417969912639E-5</v>
      </c>
      <c r="AE787">
        <v>2.5507599999999999</v>
      </c>
      <c r="AF787">
        <f>(Table716528[[#This Row],[time]]-2)*2</f>
        <v>1.1015199999999998</v>
      </c>
      <c r="AG787">
        <v>78.247900000000001</v>
      </c>
      <c r="AH787">
        <v>12.6464</v>
      </c>
      <c r="AI787">
        <f>Table716528[[#This Row],[CFNM]]/Table716528[[#This Row],[CAREA]]</f>
        <v>0.1616196728602301</v>
      </c>
      <c r="AJ787">
        <v>2.5507599999999999</v>
      </c>
      <c r="AK787">
        <f>(Table817529[[#This Row],[time]]-2)*2</f>
        <v>1.1015199999999998</v>
      </c>
      <c r="AL787">
        <v>83.656800000000004</v>
      </c>
      <c r="AM787">
        <v>10.675599999999999</v>
      </c>
      <c r="AN787">
        <f>Table817529[[#This Row],[CFNM]]/Table817529[[#This Row],[CAREA]]</f>
        <v>0.12761186179724779</v>
      </c>
    </row>
    <row r="788" spans="1:40">
      <c r="A788">
        <v>2.60453</v>
      </c>
      <c r="B788">
        <f>(Table110522[[#This Row],[time]]-2)*2</f>
        <v>1.20906</v>
      </c>
      <c r="C788">
        <v>83.1768</v>
      </c>
      <c r="D788">
        <v>4.8823400000000001</v>
      </c>
      <c r="E788">
        <f>Table110522[[#This Row],[CFNM]]/Table110522[[#This Row],[CAREA]]</f>
        <v>5.8698338959902285E-2</v>
      </c>
      <c r="F788">
        <v>2.60453</v>
      </c>
      <c r="G788">
        <f>(Table211523[[#This Row],[time]]-2)*2</f>
        <v>1.20906</v>
      </c>
      <c r="H788">
        <v>90.3964</v>
      </c>
      <c r="I788">
        <v>6.1243199999999999E-3</v>
      </c>
      <c r="J788">
        <f>Table211523[[#This Row],[CFNM]]/Table211523[[#This Row],[CAREA]]</f>
        <v>6.7749600647813406E-5</v>
      </c>
      <c r="K788">
        <v>2.60453</v>
      </c>
      <c r="L788">
        <f>(Table312524[[#This Row],[time]]-2)*2</f>
        <v>1.20906</v>
      </c>
      <c r="M788">
        <v>81.831100000000006</v>
      </c>
      <c r="N788">
        <v>3.1538500000000001E-3</v>
      </c>
      <c r="O788">
        <f>Table312524[[#This Row],[CFNM]]/Table312524[[#This Row],[CAREA]]</f>
        <v>3.8540970364567995E-5</v>
      </c>
      <c r="P788">
        <v>2.60453</v>
      </c>
      <c r="Q788">
        <f>(Table413525[[#This Row],[time]]-2)*2</f>
        <v>1.20906</v>
      </c>
      <c r="R788">
        <v>78.5304</v>
      </c>
      <c r="S788">
        <v>4.8065299999999998E-3</v>
      </c>
      <c r="T788">
        <f>Table413525[[#This Row],[CFNM]]/Table413525[[#This Row],[CAREA]]</f>
        <v>6.1205978831127813E-5</v>
      </c>
      <c r="U788">
        <v>2.60453</v>
      </c>
      <c r="V788">
        <f>(Table514526[[#This Row],[time]]-2)*2</f>
        <v>1.20906</v>
      </c>
      <c r="W788">
        <v>74.342500000000001</v>
      </c>
      <c r="X788">
        <v>4.1610199999999996E-3</v>
      </c>
      <c r="Y788">
        <f>Table514526[[#This Row],[CFNM]]/Table514526[[#This Row],[CAREA]]</f>
        <v>5.5970945287016172E-5</v>
      </c>
      <c r="Z788">
        <v>2.60453</v>
      </c>
      <c r="AA788">
        <f>(Table615527[[#This Row],[time]]-2)*2</f>
        <v>1.20906</v>
      </c>
      <c r="AB788">
        <v>76.298100000000005</v>
      </c>
      <c r="AC788">
        <v>3.4823100000000002E-3</v>
      </c>
      <c r="AD788">
        <f>Table615527[[#This Row],[CFNM]]/Table615527[[#This Row],[CAREA]]</f>
        <v>4.5640848199365382E-5</v>
      </c>
      <c r="AE788">
        <v>2.60453</v>
      </c>
      <c r="AF788">
        <f>(Table716528[[#This Row],[time]]-2)*2</f>
        <v>1.20906</v>
      </c>
      <c r="AG788">
        <v>78.2928</v>
      </c>
      <c r="AH788">
        <v>12.0449</v>
      </c>
      <c r="AI788">
        <f>Table716528[[#This Row],[CFNM]]/Table716528[[#This Row],[CAREA]]</f>
        <v>0.15384428708642431</v>
      </c>
      <c r="AJ788">
        <v>2.60453</v>
      </c>
      <c r="AK788">
        <f>(Table817529[[#This Row],[time]]-2)*2</f>
        <v>1.20906</v>
      </c>
      <c r="AL788">
        <v>83.617099999999994</v>
      </c>
      <c r="AM788">
        <v>9.9820499999999992</v>
      </c>
      <c r="AN788">
        <f>Table817529[[#This Row],[CFNM]]/Table817529[[#This Row],[CAREA]]</f>
        <v>0.11937809371528073</v>
      </c>
    </row>
    <row r="789" spans="1:40">
      <c r="A789">
        <v>2.65273</v>
      </c>
      <c r="B789">
        <f>(Table110522[[#This Row],[time]]-2)*2</f>
        <v>1.3054600000000001</v>
      </c>
      <c r="C789">
        <v>82.544899999999998</v>
      </c>
      <c r="D789">
        <v>4.7887199999999996</v>
      </c>
      <c r="E789">
        <f>Table110522[[#This Row],[CFNM]]/Table110522[[#This Row],[CAREA]]</f>
        <v>5.8013517491692396E-2</v>
      </c>
      <c r="F789">
        <v>2.65273</v>
      </c>
      <c r="G789">
        <f>(Table211523[[#This Row],[time]]-2)*2</f>
        <v>1.3054600000000001</v>
      </c>
      <c r="H789">
        <v>89.905600000000007</v>
      </c>
      <c r="I789">
        <v>6.1483400000000004E-3</v>
      </c>
      <c r="J789">
        <f>Table211523[[#This Row],[CFNM]]/Table211523[[#This Row],[CAREA]]</f>
        <v>6.8386618853553057E-5</v>
      </c>
      <c r="K789">
        <v>2.65273</v>
      </c>
      <c r="L789">
        <f>(Table312524[[#This Row],[time]]-2)*2</f>
        <v>1.3054600000000001</v>
      </c>
      <c r="M789">
        <v>80.967500000000001</v>
      </c>
      <c r="N789">
        <v>3.0290600000000001E-3</v>
      </c>
      <c r="O789">
        <f>Table312524[[#This Row],[CFNM]]/Table312524[[#This Row],[CAREA]]</f>
        <v>3.7410812980516873E-5</v>
      </c>
      <c r="P789">
        <v>2.65273</v>
      </c>
      <c r="Q789">
        <f>(Table413525[[#This Row],[time]]-2)*2</f>
        <v>1.3054600000000001</v>
      </c>
      <c r="R789">
        <v>78.122299999999996</v>
      </c>
      <c r="S789">
        <v>4.7116800000000002E-3</v>
      </c>
      <c r="T789">
        <f>Table413525[[#This Row],[CFNM]]/Table413525[[#This Row],[CAREA]]</f>
        <v>6.0311588368494021E-5</v>
      </c>
      <c r="U789">
        <v>2.65273</v>
      </c>
      <c r="V789">
        <f>(Table514526[[#This Row],[time]]-2)*2</f>
        <v>1.3054600000000001</v>
      </c>
      <c r="W789">
        <v>73.439599999999999</v>
      </c>
      <c r="X789">
        <v>4.0487500000000003E-3</v>
      </c>
      <c r="Y789">
        <f>Table514526[[#This Row],[CFNM]]/Table514526[[#This Row],[CAREA]]</f>
        <v>5.5130338400535955E-5</v>
      </c>
      <c r="Z789">
        <v>2.65273</v>
      </c>
      <c r="AA789">
        <f>(Table615527[[#This Row],[time]]-2)*2</f>
        <v>1.3054600000000001</v>
      </c>
      <c r="AB789">
        <v>75.864999999999995</v>
      </c>
      <c r="AC789">
        <v>3.2964800000000001E-3</v>
      </c>
      <c r="AD789">
        <f>Table615527[[#This Row],[CFNM]]/Table615527[[#This Row],[CAREA]]</f>
        <v>4.3451921175772761E-5</v>
      </c>
      <c r="AE789">
        <v>2.65273</v>
      </c>
      <c r="AF789">
        <f>(Table716528[[#This Row],[time]]-2)*2</f>
        <v>1.3054600000000001</v>
      </c>
      <c r="AG789">
        <v>78.428299999999993</v>
      </c>
      <c r="AH789">
        <v>11.2347</v>
      </c>
      <c r="AI789">
        <f>Table716528[[#This Row],[CFNM]]/Table716528[[#This Row],[CAREA]]</f>
        <v>0.14324803674183936</v>
      </c>
      <c r="AJ789">
        <v>2.65273</v>
      </c>
      <c r="AK789">
        <f>(Table817529[[#This Row],[time]]-2)*2</f>
        <v>1.3054600000000001</v>
      </c>
      <c r="AL789">
        <v>83.546300000000002</v>
      </c>
      <c r="AM789">
        <v>9.1460100000000004</v>
      </c>
      <c r="AN789">
        <f>Table817529[[#This Row],[CFNM]]/Table817529[[#This Row],[CAREA]]</f>
        <v>0.10947235245606329</v>
      </c>
    </row>
    <row r="790" spans="1:40">
      <c r="A790">
        <v>2.7006199999999998</v>
      </c>
      <c r="B790">
        <f>(Table110522[[#This Row],[time]]-2)*2</f>
        <v>1.4012399999999996</v>
      </c>
      <c r="C790">
        <v>82.152199999999993</v>
      </c>
      <c r="D790">
        <v>4.6849699999999999</v>
      </c>
      <c r="E790">
        <f>Table110522[[#This Row],[CFNM]]/Table110522[[#This Row],[CAREA]]</f>
        <v>5.7027931084012363E-2</v>
      </c>
      <c r="F790">
        <v>2.7006199999999998</v>
      </c>
      <c r="G790">
        <f>(Table211523[[#This Row],[time]]-2)*2</f>
        <v>1.4012399999999996</v>
      </c>
      <c r="H790">
        <v>89.42</v>
      </c>
      <c r="I790">
        <v>6.1619999999999999E-3</v>
      </c>
      <c r="J790">
        <f>Table211523[[#This Row],[CFNM]]/Table211523[[#This Row],[CAREA]]</f>
        <v>6.8910758219637659E-5</v>
      </c>
      <c r="K790">
        <v>2.7006199999999998</v>
      </c>
      <c r="L790">
        <f>(Table312524[[#This Row],[time]]-2)*2</f>
        <v>1.4012399999999996</v>
      </c>
      <c r="M790">
        <v>79.678799999999995</v>
      </c>
      <c r="N790">
        <v>2.92246E-3</v>
      </c>
      <c r="O790">
        <f>Table312524[[#This Row],[CFNM]]/Table312524[[#This Row],[CAREA]]</f>
        <v>3.6678012219059528E-5</v>
      </c>
      <c r="P790">
        <v>2.7006199999999998</v>
      </c>
      <c r="Q790">
        <f>(Table413525[[#This Row],[time]]-2)*2</f>
        <v>1.4012399999999996</v>
      </c>
      <c r="R790">
        <v>77.814599999999999</v>
      </c>
      <c r="S790">
        <v>4.6249999999999998E-3</v>
      </c>
      <c r="T790">
        <f>Table413525[[#This Row],[CFNM]]/Table413525[[#This Row],[CAREA]]</f>
        <v>5.9436146944146729E-5</v>
      </c>
      <c r="U790">
        <v>2.7006199999999998</v>
      </c>
      <c r="V790">
        <f>(Table514526[[#This Row],[time]]-2)*2</f>
        <v>1.4012399999999996</v>
      </c>
      <c r="W790">
        <v>72.941100000000006</v>
      </c>
      <c r="X790">
        <v>3.9515499999999999E-3</v>
      </c>
      <c r="Y790">
        <f>Table514526[[#This Row],[CFNM]]/Table514526[[#This Row],[CAREA]]</f>
        <v>5.4174532602332558E-5</v>
      </c>
      <c r="Z790">
        <v>2.7006199999999998</v>
      </c>
      <c r="AA790">
        <f>(Table615527[[#This Row],[time]]-2)*2</f>
        <v>1.4012399999999996</v>
      </c>
      <c r="AB790">
        <v>74.000600000000006</v>
      </c>
      <c r="AC790">
        <v>3.1440299999999999E-3</v>
      </c>
      <c r="AD790">
        <f>Table615527[[#This Row],[CFNM]]/Table615527[[#This Row],[CAREA]]</f>
        <v>4.2486547406372373E-5</v>
      </c>
      <c r="AE790">
        <v>2.7006199999999998</v>
      </c>
      <c r="AF790">
        <f>(Table716528[[#This Row],[time]]-2)*2</f>
        <v>1.4012399999999996</v>
      </c>
      <c r="AG790">
        <v>78.523600000000002</v>
      </c>
      <c r="AH790">
        <v>10.5326</v>
      </c>
      <c r="AI790">
        <f>Table716528[[#This Row],[CFNM]]/Table716528[[#This Row],[CAREA]]</f>
        <v>0.13413292309573174</v>
      </c>
      <c r="AJ790">
        <v>2.7006199999999998</v>
      </c>
      <c r="AK790">
        <f>(Table817529[[#This Row],[time]]-2)*2</f>
        <v>1.4012399999999996</v>
      </c>
      <c r="AL790">
        <v>83.492999999999995</v>
      </c>
      <c r="AM790">
        <v>8.4325700000000001</v>
      </c>
      <c r="AN790">
        <f>Table817529[[#This Row],[CFNM]]/Table817529[[#This Row],[CAREA]]</f>
        <v>0.10099732911741105</v>
      </c>
    </row>
    <row r="791" spans="1:40">
      <c r="A791">
        <v>2.75176</v>
      </c>
      <c r="B791">
        <f>(Table110522[[#This Row],[time]]-2)*2</f>
        <v>1.50352</v>
      </c>
      <c r="C791">
        <v>81.686499999999995</v>
      </c>
      <c r="D791">
        <v>4.5369400000000004</v>
      </c>
      <c r="E791">
        <f>Table110522[[#This Row],[CFNM]]/Table110522[[#This Row],[CAREA]]</f>
        <v>5.5540878847790034E-2</v>
      </c>
      <c r="F791">
        <v>2.75176</v>
      </c>
      <c r="G791">
        <f>(Table211523[[#This Row],[time]]-2)*2</f>
        <v>1.50352</v>
      </c>
      <c r="H791">
        <v>88.887200000000007</v>
      </c>
      <c r="I791">
        <v>6.16827E-3</v>
      </c>
      <c r="J791">
        <f>Table211523[[#This Row],[CFNM]]/Table211523[[#This Row],[CAREA]]</f>
        <v>6.9394355992763852E-5</v>
      </c>
      <c r="K791">
        <v>2.75176</v>
      </c>
      <c r="L791">
        <f>(Table312524[[#This Row],[time]]-2)*2</f>
        <v>1.50352</v>
      </c>
      <c r="M791">
        <v>79.066199999999995</v>
      </c>
      <c r="N791">
        <v>2.79883E-3</v>
      </c>
      <c r="O791">
        <f>Table312524[[#This Row],[CFNM]]/Table312524[[#This Row],[CAREA]]</f>
        <v>3.5398564747009468E-5</v>
      </c>
      <c r="P791">
        <v>2.75176</v>
      </c>
      <c r="Q791">
        <f>(Table413525[[#This Row],[time]]-2)*2</f>
        <v>1.50352</v>
      </c>
      <c r="R791">
        <v>77.479799999999997</v>
      </c>
      <c r="S791">
        <v>4.5310699999999999E-3</v>
      </c>
      <c r="T791">
        <f>Table413525[[#This Row],[CFNM]]/Table413525[[#This Row],[CAREA]]</f>
        <v>5.8480662056432777E-5</v>
      </c>
      <c r="U791">
        <v>2.75176</v>
      </c>
      <c r="V791">
        <f>(Table514526[[#This Row],[time]]-2)*2</f>
        <v>1.50352</v>
      </c>
      <c r="W791">
        <v>71.589299999999994</v>
      </c>
      <c r="X791">
        <v>3.8426100000000002E-3</v>
      </c>
      <c r="Y791">
        <f>Table514526[[#This Row],[CFNM]]/Table514526[[#This Row],[CAREA]]</f>
        <v>5.3675758807531299E-5</v>
      </c>
      <c r="Z791">
        <v>2.75176</v>
      </c>
      <c r="AA791">
        <f>(Table615527[[#This Row],[time]]-2)*2</f>
        <v>1.50352</v>
      </c>
      <c r="AB791">
        <v>73.600899999999996</v>
      </c>
      <c r="AC791">
        <v>2.9838600000000001E-3</v>
      </c>
      <c r="AD791">
        <f>Table615527[[#This Row],[CFNM]]/Table615527[[#This Row],[CAREA]]</f>
        <v>4.0541080340050195E-5</v>
      </c>
      <c r="AE791">
        <v>2.75176</v>
      </c>
      <c r="AF791">
        <f>(Table716528[[#This Row],[time]]-2)*2</f>
        <v>1.50352</v>
      </c>
      <c r="AG791">
        <v>78.505799999999994</v>
      </c>
      <c r="AH791">
        <v>9.6612500000000008</v>
      </c>
      <c r="AI791">
        <f>Table716528[[#This Row],[CFNM]]/Table716528[[#This Row],[CAREA]]</f>
        <v>0.12306415576938266</v>
      </c>
      <c r="AJ791">
        <v>2.75176</v>
      </c>
      <c r="AK791">
        <f>(Table817529[[#This Row],[time]]-2)*2</f>
        <v>1.50352</v>
      </c>
      <c r="AL791">
        <v>83.420299999999997</v>
      </c>
      <c r="AM791">
        <v>7.6831100000000001</v>
      </c>
      <c r="AN791">
        <f>Table817529[[#This Row],[CFNM]]/Table817529[[#This Row],[CAREA]]</f>
        <v>9.2101203184356814E-2</v>
      </c>
    </row>
    <row r="792" spans="1:40">
      <c r="A792">
        <v>2.80444</v>
      </c>
      <c r="B792">
        <f>(Table110522[[#This Row],[time]]-2)*2</f>
        <v>1.6088800000000001</v>
      </c>
      <c r="C792">
        <v>80.701599999999999</v>
      </c>
      <c r="D792">
        <v>4.36937</v>
      </c>
      <c r="E792">
        <f>Table110522[[#This Row],[CFNM]]/Table110522[[#This Row],[CAREA]]</f>
        <v>5.4142297054829147E-2</v>
      </c>
      <c r="F792">
        <v>2.80444</v>
      </c>
      <c r="G792">
        <f>(Table211523[[#This Row],[time]]-2)*2</f>
        <v>1.6088800000000001</v>
      </c>
      <c r="H792">
        <v>88.419600000000003</v>
      </c>
      <c r="I792">
        <v>6.1675599999999999E-3</v>
      </c>
      <c r="J792">
        <f>Table211523[[#This Row],[CFNM]]/Table211523[[#This Row],[CAREA]]</f>
        <v>6.9753312613945318E-5</v>
      </c>
      <c r="K792">
        <v>2.80444</v>
      </c>
      <c r="L792">
        <f>(Table312524[[#This Row],[time]]-2)*2</f>
        <v>1.6088800000000001</v>
      </c>
      <c r="M792">
        <v>78.523600000000002</v>
      </c>
      <c r="N792">
        <v>2.6820199999999998E-3</v>
      </c>
      <c r="O792">
        <f>Table312524[[#This Row],[CFNM]]/Table312524[[#This Row],[CAREA]]</f>
        <v>3.4155591440025672E-5</v>
      </c>
      <c r="P792">
        <v>2.80444</v>
      </c>
      <c r="Q792">
        <f>(Table413525[[#This Row],[time]]-2)*2</f>
        <v>1.6088800000000001</v>
      </c>
      <c r="R792">
        <v>76.657799999999995</v>
      </c>
      <c r="S792">
        <v>4.4403699999999999E-3</v>
      </c>
      <c r="T792">
        <f>Table413525[[#This Row],[CFNM]]/Table413525[[#This Row],[CAREA]]</f>
        <v>5.7924568667506764E-5</v>
      </c>
      <c r="U792">
        <v>2.80444</v>
      </c>
      <c r="V792">
        <f>(Table514526[[#This Row],[time]]-2)*2</f>
        <v>1.6088800000000001</v>
      </c>
      <c r="W792">
        <v>71.035700000000006</v>
      </c>
      <c r="X792">
        <v>3.7444100000000001E-3</v>
      </c>
      <c r="Y792">
        <f>Table514526[[#This Row],[CFNM]]/Table514526[[#This Row],[CAREA]]</f>
        <v>5.2711664698172891E-5</v>
      </c>
      <c r="Z792">
        <v>2.80444</v>
      </c>
      <c r="AA792">
        <f>(Table615527[[#This Row],[time]]-2)*2</f>
        <v>1.6088800000000001</v>
      </c>
      <c r="AB792">
        <v>72.154700000000005</v>
      </c>
      <c r="AC792">
        <v>2.83907E-3</v>
      </c>
      <c r="AD792">
        <f>Table615527[[#This Row],[CFNM]]/Table615527[[#This Row],[CAREA]]</f>
        <v>3.9346986405597969E-5</v>
      </c>
      <c r="AE792">
        <v>2.80444</v>
      </c>
      <c r="AF792">
        <f>(Table716528[[#This Row],[time]]-2)*2</f>
        <v>1.6088800000000001</v>
      </c>
      <c r="AG792">
        <v>78.477400000000003</v>
      </c>
      <c r="AH792">
        <v>8.7997899999999998</v>
      </c>
      <c r="AI792">
        <f>Table716528[[#This Row],[CFNM]]/Table716528[[#This Row],[CAREA]]</f>
        <v>0.11213151811859209</v>
      </c>
      <c r="AJ792">
        <v>2.80444</v>
      </c>
      <c r="AK792">
        <f>(Table817529[[#This Row],[time]]-2)*2</f>
        <v>1.6088800000000001</v>
      </c>
      <c r="AL792">
        <v>83.353700000000003</v>
      </c>
      <c r="AM792">
        <v>7.0308999999999999</v>
      </c>
      <c r="AN792">
        <f>Table817529[[#This Row],[CFNM]]/Table817529[[#This Row],[CAREA]]</f>
        <v>8.4350184814831253E-2</v>
      </c>
    </row>
    <row r="793" spans="1:40">
      <c r="A793">
        <v>2.8583699999999999</v>
      </c>
      <c r="B793">
        <f>(Table110522[[#This Row],[time]]-2)*2</f>
        <v>1.7167399999999997</v>
      </c>
      <c r="C793">
        <v>79.648099999999999</v>
      </c>
      <c r="D793">
        <v>4.1299299999999999</v>
      </c>
      <c r="E793">
        <f>Table110522[[#This Row],[CFNM]]/Table110522[[#This Row],[CAREA]]</f>
        <v>5.1852209908334286E-2</v>
      </c>
      <c r="F793">
        <v>2.8583699999999999</v>
      </c>
      <c r="G793">
        <f>(Table211523[[#This Row],[time]]-2)*2</f>
        <v>1.7167399999999997</v>
      </c>
      <c r="H793">
        <v>87.845600000000005</v>
      </c>
      <c r="I793">
        <v>6.2606399999999996E-3</v>
      </c>
      <c r="J793">
        <f>Table211523[[#This Row],[CFNM]]/Table211523[[#This Row],[CAREA]]</f>
        <v>7.1268680503064458E-5</v>
      </c>
      <c r="K793">
        <v>2.8583699999999999</v>
      </c>
      <c r="L793">
        <f>(Table312524[[#This Row],[time]]-2)*2</f>
        <v>1.7167399999999997</v>
      </c>
      <c r="M793">
        <v>78.054299999999998</v>
      </c>
      <c r="N793">
        <v>2.5406600000000001E-3</v>
      </c>
      <c r="O793">
        <f>Table312524[[#This Row],[CFNM]]/Table312524[[#This Row],[CAREA]]</f>
        <v>3.2549904361450943E-5</v>
      </c>
      <c r="P793">
        <v>2.8583699999999999</v>
      </c>
      <c r="Q793">
        <f>(Table413525[[#This Row],[time]]-2)*2</f>
        <v>1.7167399999999997</v>
      </c>
      <c r="R793">
        <v>76.240799999999993</v>
      </c>
      <c r="S793">
        <v>4.3245200000000001E-3</v>
      </c>
      <c r="T793">
        <f>Table413525[[#This Row],[CFNM]]/Table413525[[#This Row],[CAREA]]</f>
        <v>5.6721860211330425E-5</v>
      </c>
      <c r="U793">
        <v>2.8583699999999999</v>
      </c>
      <c r="V793">
        <f>(Table514526[[#This Row],[time]]-2)*2</f>
        <v>1.7167399999999997</v>
      </c>
      <c r="W793">
        <v>70.561800000000005</v>
      </c>
      <c r="X793">
        <v>3.6240299999999999E-3</v>
      </c>
      <c r="Y793">
        <f>Table514526[[#This Row],[CFNM]]/Table514526[[#This Row],[CAREA]]</f>
        <v>5.1359659192367535E-5</v>
      </c>
      <c r="Z793">
        <v>2.8583699999999999</v>
      </c>
      <c r="AA793">
        <f>(Table615527[[#This Row],[time]]-2)*2</f>
        <v>1.7167399999999997</v>
      </c>
      <c r="AB793">
        <v>70.372799999999998</v>
      </c>
      <c r="AC793">
        <v>2.6682099999999999E-3</v>
      </c>
      <c r="AD793">
        <f>Table615527[[#This Row],[CFNM]]/Table615527[[#This Row],[CAREA]]</f>
        <v>3.7915359343382672E-5</v>
      </c>
      <c r="AE793">
        <v>2.8583699999999999</v>
      </c>
      <c r="AF793">
        <f>(Table716528[[#This Row],[time]]-2)*2</f>
        <v>1.7167399999999997</v>
      </c>
      <c r="AG793">
        <v>78.383399999999995</v>
      </c>
      <c r="AH793">
        <v>7.71957</v>
      </c>
      <c r="AI793">
        <f>Table716528[[#This Row],[CFNM]]/Table716528[[#This Row],[CAREA]]</f>
        <v>9.848475570082442E-2</v>
      </c>
      <c r="AJ793">
        <v>2.8583699999999999</v>
      </c>
      <c r="AK793">
        <f>(Table817529[[#This Row],[time]]-2)*2</f>
        <v>1.7167399999999997</v>
      </c>
      <c r="AL793">
        <v>83.277299999999997</v>
      </c>
      <c r="AM793">
        <v>6.2702900000000001</v>
      </c>
      <c r="AN793">
        <f>Table817529[[#This Row],[CFNM]]/Table817529[[#This Row],[CAREA]]</f>
        <v>7.5294107758056519E-2</v>
      </c>
    </row>
    <row r="794" spans="1:40">
      <c r="A794">
        <v>2.9134199999999999</v>
      </c>
      <c r="B794">
        <f>(Table110522[[#This Row],[time]]-2)*2</f>
        <v>1.8268399999999998</v>
      </c>
      <c r="C794">
        <v>78.610200000000006</v>
      </c>
      <c r="D794">
        <v>3.8995299999999999</v>
      </c>
      <c r="E794">
        <f>Table110522[[#This Row],[CFNM]]/Table110522[[#This Row],[CAREA]]</f>
        <v>4.9605903559588951E-2</v>
      </c>
      <c r="F794">
        <v>2.9134199999999999</v>
      </c>
      <c r="G794">
        <f>(Table211523[[#This Row],[time]]-2)*2</f>
        <v>1.8268399999999998</v>
      </c>
      <c r="H794">
        <v>87.370500000000007</v>
      </c>
      <c r="I794">
        <v>6.3340999999999996E-3</v>
      </c>
      <c r="J794">
        <f>Table211523[[#This Row],[CFNM]]/Table211523[[#This Row],[CAREA]]</f>
        <v>7.2497009860307524E-5</v>
      </c>
      <c r="K794">
        <v>2.9134199999999999</v>
      </c>
      <c r="L794">
        <f>(Table312524[[#This Row],[time]]-2)*2</f>
        <v>1.8268399999999998</v>
      </c>
      <c r="M794">
        <v>76.649500000000003</v>
      </c>
      <c r="N794">
        <v>2.4083500000000001E-3</v>
      </c>
      <c r="O794">
        <f>Table312524[[#This Row],[CFNM]]/Table312524[[#This Row],[CAREA]]</f>
        <v>3.1420296283733097E-5</v>
      </c>
      <c r="P794">
        <v>2.9134199999999999</v>
      </c>
      <c r="Q794">
        <f>(Table413525[[#This Row],[time]]-2)*2</f>
        <v>1.8268399999999998</v>
      </c>
      <c r="R794">
        <v>75.938800000000001</v>
      </c>
      <c r="S794">
        <v>4.2150800000000004E-3</v>
      </c>
      <c r="T794">
        <f>Table413525[[#This Row],[CFNM]]/Table413525[[#This Row],[CAREA]]</f>
        <v>5.5506276106548961E-5</v>
      </c>
      <c r="U794">
        <v>2.9134199999999999</v>
      </c>
      <c r="V794">
        <f>(Table514526[[#This Row],[time]]-2)*2</f>
        <v>1.8268399999999998</v>
      </c>
      <c r="W794">
        <v>70.077699999999993</v>
      </c>
      <c r="X794">
        <v>3.5092000000000001E-3</v>
      </c>
      <c r="Y794">
        <f>Table514526[[#This Row],[CFNM]]/Table514526[[#This Row],[CAREA]]</f>
        <v>5.0075844384162157E-5</v>
      </c>
      <c r="Z794">
        <v>2.9134199999999999</v>
      </c>
      <c r="AA794">
        <f>(Table615527[[#This Row],[time]]-2)*2</f>
        <v>1.8268399999999998</v>
      </c>
      <c r="AB794">
        <v>69.027699999999996</v>
      </c>
      <c r="AC794">
        <v>2.5134699999999999E-3</v>
      </c>
      <c r="AD794">
        <f>Table615527[[#This Row],[CFNM]]/Table615527[[#This Row],[CAREA]]</f>
        <v>3.6412483684086242E-5</v>
      </c>
      <c r="AE794">
        <v>2.9134199999999999</v>
      </c>
      <c r="AF794">
        <f>(Table716528[[#This Row],[time]]-2)*2</f>
        <v>1.8268399999999998</v>
      </c>
      <c r="AG794">
        <v>78.292100000000005</v>
      </c>
      <c r="AH794">
        <v>6.7165299999999997</v>
      </c>
      <c r="AI794">
        <f>Table716528[[#This Row],[CFNM]]/Table716528[[#This Row],[CAREA]]</f>
        <v>8.5788093562441159E-2</v>
      </c>
      <c r="AJ794">
        <v>2.9134199999999999</v>
      </c>
      <c r="AK794">
        <f>(Table817529[[#This Row],[time]]-2)*2</f>
        <v>1.8268399999999998</v>
      </c>
      <c r="AL794">
        <v>83.206100000000006</v>
      </c>
      <c r="AM794">
        <v>5.6154500000000001</v>
      </c>
      <c r="AN794">
        <f>Table817529[[#This Row],[CFNM]]/Table817529[[#This Row],[CAREA]]</f>
        <v>6.7488441352256623E-2</v>
      </c>
    </row>
    <row r="795" spans="1:40">
      <c r="A795">
        <v>2.9619599999999999</v>
      </c>
      <c r="B795">
        <f>(Table110522[[#This Row],[time]]-2)*2</f>
        <v>1.9239199999999999</v>
      </c>
      <c r="C795">
        <v>77.807100000000005</v>
      </c>
      <c r="D795">
        <v>3.58155</v>
      </c>
      <c r="E795">
        <f>Table110522[[#This Row],[CFNM]]/Table110522[[#This Row],[CAREA]]</f>
        <v>4.6031146257860783E-2</v>
      </c>
      <c r="F795">
        <v>2.9619599999999999</v>
      </c>
      <c r="G795">
        <f>(Table211523[[#This Row],[time]]-2)*2</f>
        <v>1.9239199999999999</v>
      </c>
      <c r="H795">
        <v>86.712000000000003</v>
      </c>
      <c r="I795">
        <v>6.4051100000000003E-3</v>
      </c>
      <c r="J795">
        <f>Table211523[[#This Row],[CFNM]]/Table211523[[#This Row],[CAREA]]</f>
        <v>7.3866477534827938E-5</v>
      </c>
      <c r="K795">
        <v>2.9619599999999999</v>
      </c>
      <c r="L795">
        <f>(Table312524[[#This Row],[time]]-2)*2</f>
        <v>1.9239199999999999</v>
      </c>
      <c r="M795">
        <v>75.195400000000006</v>
      </c>
      <c r="N795">
        <v>2.24421E-3</v>
      </c>
      <c r="O795">
        <f>Table312524[[#This Row],[CFNM]]/Table312524[[#This Row],[CAREA]]</f>
        <v>2.9845043712780299E-5</v>
      </c>
      <c r="P795">
        <v>2.9619599999999999</v>
      </c>
      <c r="Q795">
        <f>(Table413525[[#This Row],[time]]-2)*2</f>
        <v>1.9239199999999999</v>
      </c>
      <c r="R795">
        <v>75.540899999999993</v>
      </c>
      <c r="S795">
        <v>4.0722700000000002E-3</v>
      </c>
      <c r="T795">
        <f>Table413525[[#This Row],[CFNM]]/Table413525[[#This Row],[CAREA]]</f>
        <v>5.3908147771604529E-5</v>
      </c>
      <c r="U795">
        <v>2.9619599999999999</v>
      </c>
      <c r="V795">
        <f>(Table514526[[#This Row],[time]]-2)*2</f>
        <v>1.9239199999999999</v>
      </c>
      <c r="W795">
        <v>69.410399999999996</v>
      </c>
      <c r="X795">
        <v>3.3614299999999999E-3</v>
      </c>
      <c r="Y795">
        <f>Table514526[[#This Row],[CFNM]]/Table514526[[#This Row],[CAREA]]</f>
        <v>4.8428333506218089E-5</v>
      </c>
      <c r="Z795">
        <v>2.9619599999999999</v>
      </c>
      <c r="AA795">
        <f>(Table615527[[#This Row],[time]]-2)*2</f>
        <v>1.9239199999999999</v>
      </c>
      <c r="AB795">
        <v>66.574299999999994</v>
      </c>
      <c r="AC795">
        <v>2.32496E-3</v>
      </c>
      <c r="AD795">
        <f>Table615527[[#This Row],[CFNM]]/Table615527[[#This Row],[CAREA]]</f>
        <v>3.4922785519337045E-5</v>
      </c>
      <c r="AE795">
        <v>2.9619599999999999</v>
      </c>
      <c r="AF795">
        <f>(Table716528[[#This Row],[time]]-2)*2</f>
        <v>1.9239199999999999</v>
      </c>
      <c r="AG795">
        <v>78.058700000000002</v>
      </c>
      <c r="AH795">
        <v>5.4244199999999996</v>
      </c>
      <c r="AI795">
        <f>Table716528[[#This Row],[CFNM]]/Table716528[[#This Row],[CAREA]]</f>
        <v>6.9491549308405079E-2</v>
      </c>
      <c r="AJ795">
        <v>2.9619599999999999</v>
      </c>
      <c r="AK795">
        <f>(Table817529[[#This Row],[time]]-2)*2</f>
        <v>1.9239199999999999</v>
      </c>
      <c r="AL795">
        <v>82.622900000000001</v>
      </c>
      <c r="AM795">
        <v>4.7679999999999998</v>
      </c>
      <c r="AN795">
        <f>Table817529[[#This Row],[CFNM]]/Table817529[[#This Row],[CAREA]]</f>
        <v>5.7707972002919286E-2</v>
      </c>
    </row>
    <row r="796" spans="1:40">
      <c r="A796">
        <v>3</v>
      </c>
      <c r="B796">
        <f>(Table110522[[#This Row],[time]]-2)*2</f>
        <v>2</v>
      </c>
      <c r="C796">
        <v>77.354100000000003</v>
      </c>
      <c r="D796">
        <v>3.46427</v>
      </c>
      <c r="E796">
        <f>Table110522[[#This Row],[CFNM]]/Table110522[[#This Row],[CAREA]]</f>
        <v>4.4784568626614486E-2</v>
      </c>
      <c r="F796">
        <v>3</v>
      </c>
      <c r="G796">
        <f>(Table211523[[#This Row],[time]]-2)*2</f>
        <v>2</v>
      </c>
      <c r="H796">
        <v>86.488100000000003</v>
      </c>
      <c r="I796">
        <v>6.4470200000000004E-3</v>
      </c>
      <c r="J796">
        <f>Table211523[[#This Row],[CFNM]]/Table211523[[#This Row],[CAREA]]</f>
        <v>7.4542278070624746E-5</v>
      </c>
      <c r="K796">
        <v>3</v>
      </c>
      <c r="L796">
        <f>(Table312524[[#This Row],[time]]-2)*2</f>
        <v>2</v>
      </c>
      <c r="M796">
        <v>74.997399999999999</v>
      </c>
      <c r="N796">
        <v>2.1871999999999998E-3</v>
      </c>
      <c r="O796">
        <f>Table312524[[#This Row],[CFNM]]/Table312524[[#This Row],[CAREA]]</f>
        <v>2.9163677674159368E-5</v>
      </c>
      <c r="P796">
        <v>3</v>
      </c>
      <c r="Q796">
        <f>(Table413525[[#This Row],[time]]-2)*2</f>
        <v>2</v>
      </c>
      <c r="R796">
        <v>75.398799999999994</v>
      </c>
      <c r="S796">
        <v>4.0224299999999996E-3</v>
      </c>
      <c r="T796">
        <f>Table413525[[#This Row],[CFNM]]/Table413525[[#This Row],[CAREA]]</f>
        <v>5.3348727035443531E-5</v>
      </c>
      <c r="U796">
        <v>3</v>
      </c>
      <c r="V796">
        <f>(Table514526[[#This Row],[time]]-2)*2</f>
        <v>2</v>
      </c>
      <c r="W796">
        <v>68.960300000000004</v>
      </c>
      <c r="X796">
        <v>3.3100199999999999E-3</v>
      </c>
      <c r="Y796">
        <f>Table514526[[#This Row],[CFNM]]/Table514526[[#This Row],[CAREA]]</f>
        <v>4.7998921118382602E-5</v>
      </c>
      <c r="Z796">
        <v>3</v>
      </c>
      <c r="AA796">
        <f>(Table615527[[#This Row],[time]]-2)*2</f>
        <v>2</v>
      </c>
      <c r="AB796">
        <v>66.428899999999999</v>
      </c>
      <c r="AC796">
        <v>2.2613500000000001E-3</v>
      </c>
      <c r="AD796">
        <f>Table615527[[#This Row],[CFNM]]/Table615527[[#This Row],[CAREA]]</f>
        <v>3.4041659578888104E-5</v>
      </c>
      <c r="AE796">
        <v>3</v>
      </c>
      <c r="AF796">
        <f>(Table716528[[#This Row],[time]]-2)*2</f>
        <v>2</v>
      </c>
      <c r="AG796">
        <v>77.950400000000002</v>
      </c>
      <c r="AH796">
        <v>5.0148299999999999</v>
      </c>
      <c r="AI796">
        <f>Table716528[[#This Row],[CFNM]]/Table716528[[#This Row],[CAREA]]</f>
        <v>6.4333601880169955E-2</v>
      </c>
      <c r="AJ796">
        <v>3</v>
      </c>
      <c r="AK796">
        <f>(Table817529[[#This Row],[time]]-2)*2</f>
        <v>2</v>
      </c>
      <c r="AL796">
        <v>82.576800000000006</v>
      </c>
      <c r="AM796">
        <v>4.47661</v>
      </c>
      <c r="AN796">
        <f>Table817529[[#This Row],[CFNM]]/Table817529[[#This Row],[CAREA]]</f>
        <v>5.4211473440482071E-2</v>
      </c>
    </row>
    <row r="799" spans="1:40">
      <c r="A799" s="1" t="s">
        <v>77</v>
      </c>
    </row>
    <row r="800" spans="1:40">
      <c r="A800" t="s">
        <v>78</v>
      </c>
      <c r="D800" t="s">
        <v>2</v>
      </c>
    </row>
    <row r="801" spans="1:40">
      <c r="A801" t="s">
        <v>79</v>
      </c>
      <c r="D801" t="s">
        <v>4</v>
      </c>
      <c r="E801" t="s">
        <v>5</v>
      </c>
    </row>
    <row r="803" spans="1:40">
      <c r="A803" t="s">
        <v>7</v>
      </c>
      <c r="F803" t="s">
        <v>8</v>
      </c>
      <c r="K803" t="s">
        <v>9</v>
      </c>
      <c r="P803" t="s">
        <v>26</v>
      </c>
      <c r="U803" t="s">
        <v>11</v>
      </c>
      <c r="Z803" t="s">
        <v>12</v>
      </c>
      <c r="AE803" t="s">
        <v>13</v>
      </c>
      <c r="AJ803" t="s">
        <v>14</v>
      </c>
    </row>
    <row r="804" spans="1:40">
      <c r="A804" t="s">
        <v>15</v>
      </c>
      <c r="B804" t="s">
        <v>16</v>
      </c>
      <c r="C804" t="s">
        <v>20</v>
      </c>
      <c r="D804" t="s">
        <v>18</v>
      </c>
      <c r="E804" t="s">
        <v>19</v>
      </c>
      <c r="F804" t="s">
        <v>15</v>
      </c>
      <c r="G804" t="s">
        <v>16</v>
      </c>
      <c r="H804" t="s">
        <v>20</v>
      </c>
      <c r="I804" t="s">
        <v>18</v>
      </c>
      <c r="J804" t="s">
        <v>19</v>
      </c>
      <c r="K804" t="s">
        <v>15</v>
      </c>
      <c r="L804" t="s">
        <v>16</v>
      </c>
      <c r="M804" t="s">
        <v>20</v>
      </c>
      <c r="N804" t="s">
        <v>18</v>
      </c>
      <c r="O804" t="s">
        <v>19</v>
      </c>
      <c r="P804" t="s">
        <v>15</v>
      </c>
      <c r="Q804" t="s">
        <v>16</v>
      </c>
      <c r="R804" t="s">
        <v>20</v>
      </c>
      <c r="S804" t="s">
        <v>18</v>
      </c>
      <c r="T804" t="s">
        <v>19</v>
      </c>
      <c r="U804" t="s">
        <v>15</v>
      </c>
      <c r="V804" t="s">
        <v>16</v>
      </c>
      <c r="W804" t="s">
        <v>20</v>
      </c>
      <c r="X804" t="s">
        <v>18</v>
      </c>
      <c r="Y804" t="s">
        <v>19</v>
      </c>
      <c r="Z804" t="s">
        <v>15</v>
      </c>
      <c r="AA804" t="s">
        <v>16</v>
      </c>
      <c r="AB804" t="s">
        <v>20</v>
      </c>
      <c r="AC804" t="s">
        <v>18</v>
      </c>
      <c r="AD804" t="s">
        <v>19</v>
      </c>
      <c r="AE804" t="s">
        <v>15</v>
      </c>
      <c r="AF804" t="s">
        <v>16</v>
      </c>
      <c r="AG804" t="s">
        <v>20</v>
      </c>
      <c r="AH804" t="s">
        <v>18</v>
      </c>
      <c r="AI804" t="s">
        <v>19</v>
      </c>
      <c r="AJ804" t="s">
        <v>15</v>
      </c>
      <c r="AK804" t="s">
        <v>16</v>
      </c>
      <c r="AL804" t="s">
        <v>20</v>
      </c>
      <c r="AM804" t="s">
        <v>18</v>
      </c>
      <c r="AN804" t="s">
        <v>19</v>
      </c>
    </row>
    <row r="805" spans="1:40">
      <c r="A805">
        <v>2</v>
      </c>
      <c r="B805">
        <f>-(Table1530[[#This Row],[time]]-2)*2</f>
        <v>0</v>
      </c>
      <c r="C805">
        <v>88.6922</v>
      </c>
      <c r="D805">
        <v>9.7512600000000003</v>
      </c>
      <c r="E805" s="2">
        <f>Table1530[[#This Row],[CFNM]]/Table1530[[#This Row],[CAREA]]</f>
        <v>0.10994495570072679</v>
      </c>
      <c r="F805">
        <v>2</v>
      </c>
      <c r="G805">
        <f>-(Table2531[[#This Row],[time]]-2)*2</f>
        <v>0</v>
      </c>
      <c r="H805">
        <v>94.576599999999999</v>
      </c>
      <c r="I805">
        <v>2.6341000000000001</v>
      </c>
      <c r="J805" s="2">
        <f>Table2531[[#This Row],[CFNM]]/Table2531[[#This Row],[CAREA]]</f>
        <v>2.7851498150705357E-2</v>
      </c>
      <c r="K805">
        <v>2</v>
      </c>
      <c r="L805">
        <f>-(Table3532[[#This Row],[time]]-2)*2</f>
        <v>0</v>
      </c>
      <c r="M805">
        <v>87.261099999999999</v>
      </c>
      <c r="N805">
        <v>2.43161</v>
      </c>
      <c r="O805">
        <f>Table3532[[#This Row],[CFNM]]/Table3532[[#This Row],[CAREA]]</f>
        <v>2.7865910468696822E-2</v>
      </c>
      <c r="P805">
        <v>2</v>
      </c>
      <c r="Q805">
        <f>-(Table4533[[#This Row],[time]]-2)*2</f>
        <v>0</v>
      </c>
      <c r="R805">
        <v>85.187899999999999</v>
      </c>
      <c r="S805">
        <v>5.1691200000000004</v>
      </c>
      <c r="T805">
        <f>Table4533[[#This Row],[CFNM]]/Table4533[[#This Row],[CAREA]]</f>
        <v>6.0679040098417736E-2</v>
      </c>
      <c r="U805">
        <v>2</v>
      </c>
      <c r="V805">
        <f>-(Table5534[[#This Row],[time]]-2)*2</f>
        <v>0</v>
      </c>
      <c r="W805">
        <v>83.090100000000007</v>
      </c>
      <c r="X805">
        <v>4.71889</v>
      </c>
      <c r="Y805">
        <f>Table5534[[#This Row],[CFNM]]/Table5534[[#This Row],[CAREA]]</f>
        <v>5.679244579077411E-2</v>
      </c>
      <c r="Z805">
        <v>2</v>
      </c>
      <c r="AA805">
        <f>-(Table6535[[#This Row],[time]]-2)*2</f>
        <v>0</v>
      </c>
      <c r="AB805">
        <v>85.801400000000001</v>
      </c>
      <c r="AC805">
        <v>12.0952</v>
      </c>
      <c r="AD805">
        <f>Table6535[[#This Row],[CFNM]]/Table6535[[#This Row],[CAREA]]</f>
        <v>0.14096739680238318</v>
      </c>
      <c r="AE805">
        <v>2</v>
      </c>
      <c r="AF805">
        <f>-(Table7536[[#This Row],[time]]-2)*2</f>
        <v>0</v>
      </c>
      <c r="AG805">
        <v>77.901899999999998</v>
      </c>
      <c r="AH805">
        <v>21.17</v>
      </c>
      <c r="AI805">
        <f>Table7536[[#This Row],[CFNM]]/Table7536[[#This Row],[CAREA]]</f>
        <v>0.2717520368566107</v>
      </c>
      <c r="AJ805">
        <v>2</v>
      </c>
      <c r="AK805">
        <f>-(Table8537[[#This Row],[time]]-2)*2</f>
        <v>0</v>
      </c>
      <c r="AL805">
        <v>83.325999999999993</v>
      </c>
      <c r="AM805">
        <v>21.1831</v>
      </c>
      <c r="AN805">
        <f>Table8537[[#This Row],[CFNM]]/Table8537[[#This Row],[CAREA]]</f>
        <v>0.25421957132227635</v>
      </c>
    </row>
    <row r="806" spans="1:40">
      <c r="A806">
        <v>2.0499999999999998</v>
      </c>
      <c r="B806">
        <f>-(Table1530[[#This Row],[time]]-2)*2</f>
        <v>-9.9999999999999645E-2</v>
      </c>
      <c r="C806">
        <v>88.221100000000007</v>
      </c>
      <c r="D806">
        <v>10.6782</v>
      </c>
      <c r="E806">
        <f>Table1530[[#This Row],[CFNM]]/Table1530[[#This Row],[CAREA]]</f>
        <v>0.12103907115191263</v>
      </c>
      <c r="F806">
        <v>2.0499999999999998</v>
      </c>
      <c r="G806">
        <f>-(Table2531[[#This Row],[time]]-2)*2</f>
        <v>-9.9999999999999645E-2</v>
      </c>
      <c r="H806">
        <v>94.563999999999993</v>
      </c>
      <c r="I806">
        <v>2.93153</v>
      </c>
      <c r="J806">
        <f>Table2531[[#This Row],[CFNM]]/Table2531[[#This Row],[CAREA]]</f>
        <v>3.1000486443043866E-2</v>
      </c>
      <c r="K806">
        <v>2.0499999999999998</v>
      </c>
      <c r="L806">
        <f>-(Table3532[[#This Row],[time]]-2)*2</f>
        <v>-9.9999999999999645E-2</v>
      </c>
      <c r="M806">
        <v>87.297200000000004</v>
      </c>
      <c r="N806">
        <v>3.5268700000000002</v>
      </c>
      <c r="O806">
        <f>Table3532[[#This Row],[CFNM]]/Table3532[[#This Row],[CAREA]]</f>
        <v>4.0400723047245499E-2</v>
      </c>
      <c r="P806">
        <v>2.0499999999999998</v>
      </c>
      <c r="Q806">
        <f>-(Table4533[[#This Row],[time]]-2)*2</f>
        <v>-9.9999999999999645E-2</v>
      </c>
      <c r="R806">
        <v>86.255899999999997</v>
      </c>
      <c r="S806">
        <v>6.89717</v>
      </c>
      <c r="T806">
        <f>Table4533[[#This Row],[CFNM]]/Table4533[[#This Row],[CAREA]]</f>
        <v>7.9961718560701361E-2</v>
      </c>
      <c r="U806">
        <v>2.0499999999999998</v>
      </c>
      <c r="V806">
        <f>-(Table5534[[#This Row],[time]]-2)*2</f>
        <v>-9.9999999999999645E-2</v>
      </c>
      <c r="W806">
        <v>83.324100000000001</v>
      </c>
      <c r="X806">
        <v>6.91181</v>
      </c>
      <c r="Y806">
        <f>Table5534[[#This Row],[CFNM]]/Table5534[[#This Row],[CAREA]]</f>
        <v>8.2950910960934474E-2</v>
      </c>
      <c r="Z806">
        <v>2.0499999999999998</v>
      </c>
      <c r="AA806">
        <f>-(Table6535[[#This Row],[time]]-2)*2</f>
        <v>-9.9999999999999645E-2</v>
      </c>
      <c r="AB806">
        <v>86.152000000000001</v>
      </c>
      <c r="AC806">
        <v>14.9633</v>
      </c>
      <c r="AD806">
        <f>Table6535[[#This Row],[CFNM]]/Table6535[[#This Row],[CAREA]]</f>
        <v>0.17368488253319714</v>
      </c>
      <c r="AE806">
        <v>2.0499999999999998</v>
      </c>
      <c r="AF806">
        <f>-(Table7536[[#This Row],[time]]-2)*2</f>
        <v>-9.9999999999999645E-2</v>
      </c>
      <c r="AG806">
        <v>78.073499999999996</v>
      </c>
      <c r="AH806">
        <v>22.526800000000001</v>
      </c>
      <c r="AI806">
        <f>Table7536[[#This Row],[CFNM]]/Table7536[[#This Row],[CAREA]]</f>
        <v>0.28853324111254142</v>
      </c>
      <c r="AJ806">
        <v>2.0499999999999998</v>
      </c>
      <c r="AK806">
        <f>-(Table8537[[#This Row],[time]]-2)*2</f>
        <v>-9.9999999999999645E-2</v>
      </c>
      <c r="AL806">
        <v>83.205600000000004</v>
      </c>
      <c r="AM806">
        <v>22.7576</v>
      </c>
      <c r="AN806">
        <f>Table8537[[#This Row],[CFNM]]/Table8537[[#This Row],[CAREA]]</f>
        <v>0.27351043679752324</v>
      </c>
    </row>
    <row r="807" spans="1:40">
      <c r="A807">
        <v>2.1</v>
      </c>
      <c r="B807">
        <f>-(Table1530[[#This Row],[time]]-2)*2</f>
        <v>-0.20000000000000018</v>
      </c>
      <c r="C807">
        <v>88.075500000000005</v>
      </c>
      <c r="D807">
        <v>11.606</v>
      </c>
      <c r="E807">
        <f>Table1530[[#This Row],[CFNM]]/Table1530[[#This Row],[CAREA]]</f>
        <v>0.1317733081276859</v>
      </c>
      <c r="F807">
        <v>2.1</v>
      </c>
      <c r="G807">
        <f>-(Table2531[[#This Row],[time]]-2)*2</f>
        <v>-0.20000000000000018</v>
      </c>
      <c r="H807">
        <v>94.554199999999994</v>
      </c>
      <c r="I807">
        <v>3.5615100000000002</v>
      </c>
      <c r="J807">
        <f>Table2531[[#This Row],[CFNM]]/Table2531[[#This Row],[CAREA]]</f>
        <v>3.7666333171873914E-2</v>
      </c>
      <c r="K807">
        <v>2.1</v>
      </c>
      <c r="L807">
        <f>-(Table3532[[#This Row],[time]]-2)*2</f>
        <v>-0.20000000000000018</v>
      </c>
      <c r="M807">
        <v>87.514300000000006</v>
      </c>
      <c r="N807">
        <v>4.9620499999999996</v>
      </c>
      <c r="O807">
        <f>Table3532[[#This Row],[CFNM]]/Table3532[[#This Row],[CAREA]]</f>
        <v>5.6699876477329984E-2</v>
      </c>
      <c r="P807">
        <v>2.1</v>
      </c>
      <c r="Q807">
        <f>-(Table4533[[#This Row],[time]]-2)*2</f>
        <v>-0.20000000000000018</v>
      </c>
      <c r="R807">
        <v>86.650199999999998</v>
      </c>
      <c r="S807">
        <v>8.9909300000000005</v>
      </c>
      <c r="T807">
        <f>Table4533[[#This Row],[CFNM]]/Table4533[[#This Row],[CAREA]]</f>
        <v>0.10376121463077986</v>
      </c>
      <c r="U807">
        <v>2.1</v>
      </c>
      <c r="V807">
        <f>-(Table5534[[#This Row],[time]]-2)*2</f>
        <v>-0.20000000000000018</v>
      </c>
      <c r="W807">
        <v>83.266099999999994</v>
      </c>
      <c r="X807">
        <v>9.6822499999999998</v>
      </c>
      <c r="Y807">
        <f>Table5534[[#This Row],[CFNM]]/Table5534[[#This Row],[CAREA]]</f>
        <v>0.11628081536183393</v>
      </c>
      <c r="Z807">
        <v>2.1</v>
      </c>
      <c r="AA807">
        <f>-(Table6535[[#This Row],[time]]-2)*2</f>
        <v>-0.20000000000000018</v>
      </c>
      <c r="AB807">
        <v>86.511700000000005</v>
      </c>
      <c r="AC807">
        <v>18.158999999999999</v>
      </c>
      <c r="AD807">
        <f>Table6535[[#This Row],[CFNM]]/Table6535[[#This Row],[CAREA]]</f>
        <v>0.20990224443630165</v>
      </c>
      <c r="AE807">
        <v>2.1</v>
      </c>
      <c r="AF807">
        <f>-(Table7536[[#This Row],[time]]-2)*2</f>
        <v>-0.20000000000000018</v>
      </c>
      <c r="AG807">
        <v>78.625100000000003</v>
      </c>
      <c r="AH807">
        <v>23.9573</v>
      </c>
      <c r="AI807">
        <f>Table7536[[#This Row],[CFNM]]/Table7536[[#This Row],[CAREA]]</f>
        <v>0.30470295109322593</v>
      </c>
      <c r="AJ807">
        <v>2.1</v>
      </c>
      <c r="AK807">
        <f>-(Table8537[[#This Row],[time]]-2)*2</f>
        <v>-0.20000000000000018</v>
      </c>
      <c r="AL807">
        <v>83.059299999999993</v>
      </c>
      <c r="AM807">
        <v>24.5825</v>
      </c>
      <c r="AN807">
        <f>Table8537[[#This Row],[CFNM]]/Table8537[[#This Row],[CAREA]]</f>
        <v>0.29596324553662262</v>
      </c>
    </row>
    <row r="808" spans="1:40">
      <c r="A808">
        <v>2.15</v>
      </c>
      <c r="B808">
        <f>-(Table1530[[#This Row],[time]]-2)*2</f>
        <v>-0.29999999999999982</v>
      </c>
      <c r="C808">
        <v>88.540099999999995</v>
      </c>
      <c r="D808">
        <v>12.4893</v>
      </c>
      <c r="E808">
        <f>Table1530[[#This Row],[CFNM]]/Table1530[[#This Row],[CAREA]]</f>
        <v>0.14105811942837201</v>
      </c>
      <c r="F808">
        <v>2.15</v>
      </c>
      <c r="G808">
        <f>-(Table2531[[#This Row],[time]]-2)*2</f>
        <v>-0.29999999999999982</v>
      </c>
      <c r="H808">
        <v>95.399199999999993</v>
      </c>
      <c r="I808">
        <v>4.3895799999999996</v>
      </c>
      <c r="J808">
        <f>Table2531[[#This Row],[CFNM]]/Table2531[[#This Row],[CAREA]]</f>
        <v>4.6012754823939822E-2</v>
      </c>
      <c r="K808">
        <v>2.15</v>
      </c>
      <c r="L808">
        <f>-(Table3532[[#This Row],[time]]-2)*2</f>
        <v>-0.29999999999999982</v>
      </c>
      <c r="M808">
        <v>87.820499999999996</v>
      </c>
      <c r="N808">
        <v>6.6493200000000003</v>
      </c>
      <c r="O808">
        <f>Table3532[[#This Row],[CFNM]]/Table3532[[#This Row],[CAREA]]</f>
        <v>7.5714895724802306E-2</v>
      </c>
      <c r="P808">
        <v>2.15</v>
      </c>
      <c r="Q808">
        <f>-(Table4533[[#This Row],[time]]-2)*2</f>
        <v>-0.29999999999999982</v>
      </c>
      <c r="R808">
        <v>86.955799999999996</v>
      </c>
      <c r="S808">
        <v>11.2409</v>
      </c>
      <c r="T808">
        <f>Table4533[[#This Row],[CFNM]]/Table4533[[#This Row],[CAREA]]</f>
        <v>0.12927142295281052</v>
      </c>
      <c r="U808">
        <v>2.15</v>
      </c>
      <c r="V808">
        <f>-(Table5534[[#This Row],[time]]-2)*2</f>
        <v>-0.29999999999999982</v>
      </c>
      <c r="W808">
        <v>83.047200000000004</v>
      </c>
      <c r="X808">
        <v>12.8828</v>
      </c>
      <c r="Y808">
        <f>Table5534[[#This Row],[CFNM]]/Table5534[[#This Row],[CAREA]]</f>
        <v>0.15512624146268628</v>
      </c>
      <c r="Z808">
        <v>2.15</v>
      </c>
      <c r="AA808">
        <f>-(Table6535[[#This Row],[time]]-2)*2</f>
        <v>-0.29999999999999982</v>
      </c>
      <c r="AB808">
        <v>86.880200000000002</v>
      </c>
      <c r="AC808">
        <v>21.600100000000001</v>
      </c>
      <c r="AD808">
        <f>Table6535[[#This Row],[CFNM]]/Table6535[[#This Row],[CAREA]]</f>
        <v>0.2486193632150939</v>
      </c>
      <c r="AE808">
        <v>2.15</v>
      </c>
      <c r="AF808">
        <f>-(Table7536[[#This Row],[time]]-2)*2</f>
        <v>-0.29999999999999982</v>
      </c>
      <c r="AG808">
        <v>78.954899999999995</v>
      </c>
      <c r="AH808">
        <v>26.117999999999999</v>
      </c>
      <c r="AI808">
        <f>Table7536[[#This Row],[CFNM]]/Table7536[[#This Row],[CAREA]]</f>
        <v>0.33079644201943137</v>
      </c>
      <c r="AJ808">
        <v>2.15</v>
      </c>
      <c r="AK808">
        <f>-(Table8537[[#This Row],[time]]-2)*2</f>
        <v>-0.29999999999999982</v>
      </c>
      <c r="AL808">
        <v>82.797600000000003</v>
      </c>
      <c r="AM808">
        <v>27.500800000000002</v>
      </c>
      <c r="AN808">
        <f>Table8537[[#This Row],[CFNM]]/Table8537[[#This Row],[CAREA]]</f>
        <v>0.33214489308868855</v>
      </c>
    </row>
    <row r="809" spans="1:40">
      <c r="A809">
        <v>2.2000000000000002</v>
      </c>
      <c r="B809">
        <f>-(Table1530[[#This Row],[time]]-2)*2</f>
        <v>-0.40000000000000036</v>
      </c>
      <c r="C809">
        <v>88.871600000000001</v>
      </c>
      <c r="D809">
        <v>13.347</v>
      </c>
      <c r="E809">
        <f>Table1530[[#This Row],[CFNM]]/Table1530[[#This Row],[CAREA]]</f>
        <v>0.15018296058583394</v>
      </c>
      <c r="F809">
        <v>2.2000000000000002</v>
      </c>
      <c r="G809">
        <f>-(Table2531[[#This Row],[time]]-2)*2</f>
        <v>-0.40000000000000036</v>
      </c>
      <c r="H809">
        <v>95.899600000000007</v>
      </c>
      <c r="I809">
        <v>5.4740700000000002</v>
      </c>
      <c r="J809">
        <f>Table2531[[#This Row],[CFNM]]/Table2531[[#This Row],[CAREA]]</f>
        <v>5.7081259984400348E-2</v>
      </c>
      <c r="K809">
        <v>2.2000000000000002</v>
      </c>
      <c r="L809">
        <f>-(Table3532[[#This Row],[time]]-2)*2</f>
        <v>-0.40000000000000036</v>
      </c>
      <c r="M809">
        <v>88.2</v>
      </c>
      <c r="N809">
        <v>8.6019500000000004</v>
      </c>
      <c r="O809">
        <f>Table3532[[#This Row],[CFNM]]/Table3532[[#This Row],[CAREA]]</f>
        <v>9.7527777777777783E-2</v>
      </c>
      <c r="P809">
        <v>2.2000000000000002</v>
      </c>
      <c r="Q809">
        <f>-(Table4533[[#This Row],[time]]-2)*2</f>
        <v>-0.40000000000000036</v>
      </c>
      <c r="R809">
        <v>87.270600000000002</v>
      </c>
      <c r="S809">
        <v>13.589</v>
      </c>
      <c r="T809">
        <f>Table4533[[#This Row],[CFNM]]/Table4533[[#This Row],[CAREA]]</f>
        <v>0.15571108712441534</v>
      </c>
      <c r="U809">
        <v>2.2000000000000002</v>
      </c>
      <c r="V809">
        <f>-(Table5534[[#This Row],[time]]-2)*2</f>
        <v>-0.40000000000000036</v>
      </c>
      <c r="W809">
        <v>82.953100000000006</v>
      </c>
      <c r="X809">
        <v>16.261900000000001</v>
      </c>
      <c r="Y809">
        <f>Table5534[[#This Row],[CFNM]]/Table5534[[#This Row],[CAREA]]</f>
        <v>0.19603727889614733</v>
      </c>
      <c r="Z809">
        <v>2.2000000000000002</v>
      </c>
      <c r="AA809">
        <f>-(Table6535[[#This Row],[time]]-2)*2</f>
        <v>-0.40000000000000036</v>
      </c>
      <c r="AB809">
        <v>87.188999999999993</v>
      </c>
      <c r="AC809">
        <v>25.187999999999999</v>
      </c>
      <c r="AD809">
        <f>Table6535[[#This Row],[CFNM]]/Table6535[[#This Row],[CAREA]]</f>
        <v>0.28888965351133744</v>
      </c>
      <c r="AE809">
        <v>2.2000000000000002</v>
      </c>
      <c r="AF809">
        <f>-(Table7536[[#This Row],[time]]-2)*2</f>
        <v>-0.40000000000000036</v>
      </c>
      <c r="AG809">
        <v>79.367699999999999</v>
      </c>
      <c r="AH809">
        <v>28.862200000000001</v>
      </c>
      <c r="AI809">
        <f>Table7536[[#This Row],[CFNM]]/Table7536[[#This Row],[CAREA]]</f>
        <v>0.3636517122204625</v>
      </c>
      <c r="AJ809">
        <v>2.2000000000000002</v>
      </c>
      <c r="AK809">
        <f>-(Table8537[[#This Row],[time]]-2)*2</f>
        <v>-0.40000000000000036</v>
      </c>
      <c r="AL809">
        <v>82.519499999999994</v>
      </c>
      <c r="AM809">
        <v>31.217600000000001</v>
      </c>
      <c r="AN809">
        <f>Table8537[[#This Row],[CFNM]]/Table8537[[#This Row],[CAREA]]</f>
        <v>0.37830573379625426</v>
      </c>
    </row>
    <row r="810" spans="1:40">
      <c r="A810">
        <v>2.25</v>
      </c>
      <c r="B810">
        <f>-(Table1530[[#This Row],[time]]-2)*2</f>
        <v>-0.5</v>
      </c>
      <c r="C810">
        <v>89.006</v>
      </c>
      <c r="D810">
        <v>14.2601</v>
      </c>
      <c r="E810">
        <f>Table1530[[#This Row],[CFNM]]/Table1530[[#This Row],[CAREA]]</f>
        <v>0.16021504168258319</v>
      </c>
      <c r="F810">
        <v>2.25</v>
      </c>
      <c r="G810">
        <f>-(Table2531[[#This Row],[time]]-2)*2</f>
        <v>-0.5</v>
      </c>
      <c r="H810">
        <v>96.387900000000002</v>
      </c>
      <c r="I810">
        <v>6.9399300000000004</v>
      </c>
      <c r="J810">
        <f>Table2531[[#This Row],[CFNM]]/Table2531[[#This Row],[CAREA]]</f>
        <v>7.200001244969545E-2</v>
      </c>
      <c r="K810">
        <v>2.25</v>
      </c>
      <c r="L810">
        <f>-(Table3532[[#This Row],[time]]-2)*2</f>
        <v>-0.5</v>
      </c>
      <c r="M810">
        <v>88.669899999999998</v>
      </c>
      <c r="N810">
        <v>10.888</v>
      </c>
      <c r="O810">
        <f>Table3532[[#This Row],[CFNM]]/Table3532[[#This Row],[CAREA]]</f>
        <v>0.12279251470905009</v>
      </c>
      <c r="P810">
        <v>2.25</v>
      </c>
      <c r="Q810">
        <f>-(Table4533[[#This Row],[time]]-2)*2</f>
        <v>-0.5</v>
      </c>
      <c r="R810">
        <v>87.936099999999996</v>
      </c>
      <c r="S810">
        <v>16.084199999999999</v>
      </c>
      <c r="T810">
        <f>Table4533[[#This Row],[CFNM]]/Table4533[[#This Row],[CAREA]]</f>
        <v>0.18290781601640282</v>
      </c>
      <c r="U810">
        <v>2.25</v>
      </c>
      <c r="V810">
        <f>-(Table5534[[#This Row],[time]]-2)*2</f>
        <v>-0.5</v>
      </c>
      <c r="W810">
        <v>82.7136</v>
      </c>
      <c r="X810">
        <v>19.6889</v>
      </c>
      <c r="Y810">
        <f>Table5534[[#This Row],[CFNM]]/Table5534[[#This Row],[CAREA]]</f>
        <v>0.23803703381306099</v>
      </c>
      <c r="Z810">
        <v>2.25</v>
      </c>
      <c r="AA810">
        <f>-(Table6535[[#This Row],[time]]-2)*2</f>
        <v>-0.5</v>
      </c>
      <c r="AB810">
        <v>87.444900000000004</v>
      </c>
      <c r="AC810">
        <v>28.763000000000002</v>
      </c>
      <c r="AD810">
        <f>Table6535[[#This Row],[CFNM]]/Table6535[[#This Row],[CAREA]]</f>
        <v>0.32892713011279101</v>
      </c>
      <c r="AE810">
        <v>2.25</v>
      </c>
      <c r="AF810">
        <f>-(Table7536[[#This Row],[time]]-2)*2</f>
        <v>-0.5</v>
      </c>
      <c r="AG810">
        <v>79.746799999999993</v>
      </c>
      <c r="AH810">
        <v>31.8568</v>
      </c>
      <c r="AI810">
        <f>Table7536[[#This Row],[CFNM]]/Table7536[[#This Row],[CAREA]]</f>
        <v>0.39947433627430823</v>
      </c>
      <c r="AJ810">
        <v>2.25</v>
      </c>
      <c r="AK810">
        <f>-(Table8537[[#This Row],[time]]-2)*2</f>
        <v>-0.5</v>
      </c>
      <c r="AL810">
        <v>82.243399999999994</v>
      </c>
      <c r="AM810">
        <v>34.916899999999998</v>
      </c>
      <c r="AN810">
        <f>Table8537[[#This Row],[CFNM]]/Table8537[[#This Row],[CAREA]]</f>
        <v>0.42455564823438718</v>
      </c>
    </row>
    <row r="811" spans="1:40">
      <c r="A811">
        <v>2.3019799999999999</v>
      </c>
      <c r="B811">
        <f>-(Table1530[[#This Row],[time]]-2)*2</f>
        <v>-0.60395999999999983</v>
      </c>
      <c r="C811">
        <v>89.526899999999998</v>
      </c>
      <c r="D811">
        <v>15.441800000000001</v>
      </c>
      <c r="E811">
        <f>Table1530[[#This Row],[CFNM]]/Table1530[[#This Row],[CAREA]]</f>
        <v>0.17248223718234409</v>
      </c>
      <c r="F811">
        <v>2.3019799999999999</v>
      </c>
      <c r="G811">
        <f>-(Table2531[[#This Row],[time]]-2)*2</f>
        <v>-0.60395999999999983</v>
      </c>
      <c r="H811">
        <v>96.713399999999993</v>
      </c>
      <c r="I811">
        <v>8.9620800000000003</v>
      </c>
      <c r="J811">
        <f>Table2531[[#This Row],[CFNM]]/Table2531[[#This Row],[CAREA]]</f>
        <v>9.2666373015528367E-2</v>
      </c>
      <c r="K811">
        <v>2.3019799999999999</v>
      </c>
      <c r="L811">
        <f>-(Table3532[[#This Row],[time]]-2)*2</f>
        <v>-0.60395999999999983</v>
      </c>
      <c r="M811">
        <v>89.131900000000002</v>
      </c>
      <c r="N811">
        <v>13.509600000000001</v>
      </c>
      <c r="O811">
        <f>Table3532[[#This Row],[CFNM]]/Table3532[[#This Row],[CAREA]]</f>
        <v>0.15156863031080905</v>
      </c>
      <c r="P811">
        <v>2.3019799999999999</v>
      </c>
      <c r="Q811">
        <f>-(Table4533[[#This Row],[time]]-2)*2</f>
        <v>-0.60395999999999983</v>
      </c>
      <c r="R811">
        <v>88.270399999999995</v>
      </c>
      <c r="S811">
        <v>18.979500000000002</v>
      </c>
      <c r="T811">
        <f>Table4533[[#This Row],[CFNM]]/Table4533[[#This Row],[CAREA]]</f>
        <v>0.21501545251862461</v>
      </c>
      <c r="U811">
        <v>2.3019799999999999</v>
      </c>
      <c r="V811">
        <f>-(Table5534[[#This Row],[time]]-2)*2</f>
        <v>-0.60395999999999983</v>
      </c>
      <c r="W811">
        <v>82.812899999999999</v>
      </c>
      <c r="X811">
        <v>23.361499999999999</v>
      </c>
      <c r="Y811">
        <f>Table5534[[#This Row],[CFNM]]/Table5534[[#This Row],[CAREA]]</f>
        <v>0.28209976948035875</v>
      </c>
      <c r="Z811">
        <v>2.3019799999999999</v>
      </c>
      <c r="AA811">
        <f>-(Table6535[[#This Row],[time]]-2)*2</f>
        <v>-0.60395999999999983</v>
      </c>
      <c r="AB811">
        <v>88.164599999999993</v>
      </c>
      <c r="AC811">
        <v>32.6494</v>
      </c>
      <c r="AD811">
        <f>Table6535[[#This Row],[CFNM]]/Table6535[[#This Row],[CAREA]]</f>
        <v>0.37032323631026515</v>
      </c>
      <c r="AE811">
        <v>2.3019799999999999</v>
      </c>
      <c r="AF811">
        <f>-(Table7536[[#This Row],[time]]-2)*2</f>
        <v>-0.60395999999999983</v>
      </c>
      <c r="AG811">
        <v>79.978099999999998</v>
      </c>
      <c r="AH811">
        <v>35.408000000000001</v>
      </c>
      <c r="AI811">
        <f>Table7536[[#This Row],[CFNM]]/Table7536[[#This Row],[CAREA]]</f>
        <v>0.44272119492711132</v>
      </c>
      <c r="AJ811">
        <v>2.3019799999999999</v>
      </c>
      <c r="AK811">
        <f>-(Table8537[[#This Row],[time]]-2)*2</f>
        <v>-0.60395999999999983</v>
      </c>
      <c r="AL811">
        <v>81.971100000000007</v>
      </c>
      <c r="AM811">
        <v>38.697800000000001</v>
      </c>
      <c r="AN811">
        <f>Table8537[[#This Row],[CFNM]]/Table8537[[#This Row],[CAREA]]</f>
        <v>0.47209077345552269</v>
      </c>
    </row>
    <row r="812" spans="1:40">
      <c r="A812">
        <v>2.35365</v>
      </c>
      <c r="B812">
        <f>-(Table1530[[#This Row],[time]]-2)*2</f>
        <v>-0.70730000000000004</v>
      </c>
      <c r="C812">
        <v>89.591099999999997</v>
      </c>
      <c r="D812">
        <v>16.9314</v>
      </c>
      <c r="E812">
        <f>Table1530[[#This Row],[CFNM]]/Table1530[[#This Row],[CAREA]]</f>
        <v>0.18898528983347676</v>
      </c>
      <c r="F812">
        <v>2.35365</v>
      </c>
      <c r="G812">
        <f>-(Table2531[[#This Row],[time]]-2)*2</f>
        <v>-0.70730000000000004</v>
      </c>
      <c r="H812">
        <v>97.576099999999997</v>
      </c>
      <c r="I812">
        <v>11.164999999999999</v>
      </c>
      <c r="J812">
        <f>Table2531[[#This Row],[CFNM]]/Table2531[[#This Row],[CAREA]]</f>
        <v>0.11442351149513046</v>
      </c>
      <c r="K812">
        <v>2.35365</v>
      </c>
      <c r="L812">
        <f>-(Table3532[[#This Row],[time]]-2)*2</f>
        <v>-0.70730000000000004</v>
      </c>
      <c r="M812">
        <v>89.353899999999996</v>
      </c>
      <c r="N812">
        <v>16.395399999999999</v>
      </c>
      <c r="O812">
        <f>Table3532[[#This Row],[CFNM]]/Table3532[[#This Row],[CAREA]]</f>
        <v>0.18348835361411198</v>
      </c>
      <c r="P812">
        <v>2.35365</v>
      </c>
      <c r="Q812">
        <f>-(Table4533[[#This Row],[time]]-2)*2</f>
        <v>-0.70730000000000004</v>
      </c>
      <c r="R812">
        <v>88.59</v>
      </c>
      <c r="S812">
        <v>22.2517</v>
      </c>
      <c r="T812">
        <f>Table4533[[#This Row],[CFNM]]/Table4533[[#This Row],[CAREA]]</f>
        <v>0.25117620498927645</v>
      </c>
      <c r="U812">
        <v>2.35365</v>
      </c>
      <c r="V812">
        <f>-(Table5534[[#This Row],[time]]-2)*2</f>
        <v>-0.70730000000000004</v>
      </c>
      <c r="W812">
        <v>82.557299999999998</v>
      </c>
      <c r="X812">
        <v>27.058199999999999</v>
      </c>
      <c r="Y812">
        <f>Table5534[[#This Row],[CFNM]]/Table5534[[#This Row],[CAREA]]</f>
        <v>0.32775054416750549</v>
      </c>
      <c r="Z812">
        <v>2.35365</v>
      </c>
      <c r="AA812">
        <f>-(Table6535[[#This Row],[time]]-2)*2</f>
        <v>-0.70730000000000004</v>
      </c>
      <c r="AB812">
        <v>88.263400000000004</v>
      </c>
      <c r="AC812">
        <v>36.746699999999997</v>
      </c>
      <c r="AD812">
        <f>Table6535[[#This Row],[CFNM]]/Table6535[[#This Row],[CAREA]]</f>
        <v>0.41632998502210422</v>
      </c>
      <c r="AE812">
        <v>2.35365</v>
      </c>
      <c r="AF812">
        <f>-(Table7536[[#This Row],[time]]-2)*2</f>
        <v>-0.70730000000000004</v>
      </c>
      <c r="AG812">
        <v>80.1648</v>
      </c>
      <c r="AH812">
        <v>39.222099999999998</v>
      </c>
      <c r="AI812">
        <f>Table7536[[#This Row],[CFNM]]/Table7536[[#This Row],[CAREA]]</f>
        <v>0.48926835718420053</v>
      </c>
      <c r="AJ812">
        <v>2.35365</v>
      </c>
      <c r="AK812">
        <f>-(Table8537[[#This Row],[time]]-2)*2</f>
        <v>-0.70730000000000004</v>
      </c>
      <c r="AL812">
        <v>81.771799999999999</v>
      </c>
      <c r="AM812">
        <v>42.4041</v>
      </c>
      <c r="AN812">
        <f>Table8537[[#This Row],[CFNM]]/Table8537[[#This Row],[CAREA]]</f>
        <v>0.51856630280854765</v>
      </c>
    </row>
    <row r="813" spans="1:40">
      <c r="A813">
        <v>2.4035799999999998</v>
      </c>
      <c r="B813">
        <f>-(Table1530[[#This Row],[time]]-2)*2</f>
        <v>-0.80715999999999966</v>
      </c>
      <c r="C813">
        <v>89.125699999999995</v>
      </c>
      <c r="D813">
        <v>18.516300000000001</v>
      </c>
      <c r="E813">
        <f>Table1530[[#This Row],[CFNM]]/Table1530[[#This Row],[CAREA]]</f>
        <v>0.20775489000366901</v>
      </c>
      <c r="F813">
        <v>2.4035799999999998</v>
      </c>
      <c r="G813">
        <f>-(Table2531[[#This Row],[time]]-2)*2</f>
        <v>-0.80715999999999966</v>
      </c>
      <c r="H813">
        <v>98.793800000000005</v>
      </c>
      <c r="I813">
        <v>13.481</v>
      </c>
      <c r="J813">
        <f>Table2531[[#This Row],[CFNM]]/Table2531[[#This Row],[CAREA]]</f>
        <v>0.13645593144509069</v>
      </c>
      <c r="K813">
        <v>2.4035799999999998</v>
      </c>
      <c r="L813">
        <f>-(Table3532[[#This Row],[time]]-2)*2</f>
        <v>-0.80715999999999966</v>
      </c>
      <c r="M813">
        <v>89.359700000000004</v>
      </c>
      <c r="N813">
        <v>19.480499999999999</v>
      </c>
      <c r="O813">
        <f>Table3532[[#This Row],[CFNM]]/Table3532[[#This Row],[CAREA]]</f>
        <v>0.21800095568807862</v>
      </c>
      <c r="P813">
        <v>2.4035799999999998</v>
      </c>
      <c r="Q813">
        <f>-(Table4533[[#This Row],[time]]-2)*2</f>
        <v>-0.80715999999999966</v>
      </c>
      <c r="R813">
        <v>88.491699999999994</v>
      </c>
      <c r="S813">
        <v>25.769200000000001</v>
      </c>
      <c r="T813">
        <f>Table4533[[#This Row],[CFNM]]/Table4533[[#This Row],[CAREA]]</f>
        <v>0.29120471185433211</v>
      </c>
      <c r="U813">
        <v>2.4035799999999998</v>
      </c>
      <c r="V813">
        <f>-(Table5534[[#This Row],[time]]-2)*2</f>
        <v>-0.80715999999999966</v>
      </c>
      <c r="W813">
        <v>82.231499999999997</v>
      </c>
      <c r="X813">
        <v>30.5717</v>
      </c>
      <c r="Y813">
        <f>Table5534[[#This Row],[CFNM]]/Table5534[[#This Row],[CAREA]]</f>
        <v>0.37177602257042619</v>
      </c>
      <c r="Z813">
        <v>2.4035799999999998</v>
      </c>
      <c r="AA813">
        <f>-(Table6535[[#This Row],[time]]-2)*2</f>
        <v>-0.80715999999999966</v>
      </c>
      <c r="AB813">
        <v>88.348200000000006</v>
      </c>
      <c r="AC813">
        <v>40.949100000000001</v>
      </c>
      <c r="AD813">
        <f>Table6535[[#This Row],[CFNM]]/Table6535[[#This Row],[CAREA]]</f>
        <v>0.46349670961038253</v>
      </c>
      <c r="AE813">
        <v>2.4035799999999998</v>
      </c>
      <c r="AF813">
        <f>-(Table7536[[#This Row],[time]]-2)*2</f>
        <v>-0.80715999999999966</v>
      </c>
      <c r="AG813">
        <v>80.166499999999999</v>
      </c>
      <c r="AH813">
        <v>42.960900000000002</v>
      </c>
      <c r="AI813">
        <f>Table7536[[#This Row],[CFNM]]/Table7536[[#This Row],[CAREA]]</f>
        <v>0.53589591662352731</v>
      </c>
      <c r="AJ813">
        <v>2.4035799999999998</v>
      </c>
      <c r="AK813">
        <f>-(Table8537[[#This Row],[time]]-2)*2</f>
        <v>-0.80715999999999966</v>
      </c>
      <c r="AL813">
        <v>80.923000000000002</v>
      </c>
      <c r="AM813">
        <v>46.038600000000002</v>
      </c>
      <c r="AN813">
        <f>Table8537[[#This Row],[CFNM]]/Table8537[[#This Row],[CAREA]]</f>
        <v>0.56891860163365171</v>
      </c>
    </row>
    <row r="814" spans="1:40">
      <c r="A814">
        <v>2.4542099999999998</v>
      </c>
      <c r="B814">
        <f>-(Table1530[[#This Row],[time]]-2)*2</f>
        <v>-0.90841999999999956</v>
      </c>
      <c r="C814">
        <v>89.569400000000002</v>
      </c>
      <c r="D814">
        <v>20.306100000000001</v>
      </c>
      <c r="E814">
        <f>Table1530[[#This Row],[CFNM]]/Table1530[[#This Row],[CAREA]]</f>
        <v>0.22670800518927223</v>
      </c>
      <c r="F814">
        <v>2.4542099999999998</v>
      </c>
      <c r="G814">
        <f>-(Table2531[[#This Row],[time]]-2)*2</f>
        <v>-0.90841999999999956</v>
      </c>
      <c r="H814">
        <v>99.359099999999998</v>
      </c>
      <c r="I814">
        <v>16.1203</v>
      </c>
      <c r="J814">
        <f>Table2531[[#This Row],[CFNM]]/Table2531[[#This Row],[CAREA]]</f>
        <v>0.16224281419618333</v>
      </c>
      <c r="K814">
        <v>2.4542099999999998</v>
      </c>
      <c r="L814">
        <f>-(Table3532[[#This Row],[time]]-2)*2</f>
        <v>-0.90841999999999956</v>
      </c>
      <c r="M814">
        <v>89.304000000000002</v>
      </c>
      <c r="N814">
        <v>22.738499999999998</v>
      </c>
      <c r="O814">
        <f>Table3532[[#This Row],[CFNM]]/Table3532[[#This Row],[CAREA]]</f>
        <v>0.25461905401773716</v>
      </c>
      <c r="P814">
        <v>2.4542099999999998</v>
      </c>
      <c r="Q814">
        <f>-(Table4533[[#This Row],[time]]-2)*2</f>
        <v>-0.90841999999999956</v>
      </c>
      <c r="R814">
        <v>88.181399999999996</v>
      </c>
      <c r="S814">
        <v>29.790099999999999</v>
      </c>
      <c r="T814">
        <f>Table4533[[#This Row],[CFNM]]/Table4533[[#This Row],[CAREA]]</f>
        <v>0.33782747835711385</v>
      </c>
      <c r="U814">
        <v>2.4542099999999998</v>
      </c>
      <c r="V814">
        <f>-(Table5534[[#This Row],[time]]-2)*2</f>
        <v>-0.90841999999999956</v>
      </c>
      <c r="W814">
        <v>81.979399999999998</v>
      </c>
      <c r="X814">
        <v>34.063400000000001</v>
      </c>
      <c r="Y814">
        <f>Table5534[[#This Row],[CFNM]]/Table5534[[#This Row],[CAREA]]</f>
        <v>0.41551170172018825</v>
      </c>
      <c r="Z814">
        <v>2.4542099999999998</v>
      </c>
      <c r="AA814">
        <f>-(Table6535[[#This Row],[time]]-2)*2</f>
        <v>-0.90841999999999956</v>
      </c>
      <c r="AB814">
        <v>88.381699999999995</v>
      </c>
      <c r="AC814">
        <v>45.467100000000002</v>
      </c>
      <c r="AD814">
        <f>Table6535[[#This Row],[CFNM]]/Table6535[[#This Row],[CAREA]]</f>
        <v>0.51444020651333933</v>
      </c>
      <c r="AE814">
        <v>2.4542099999999998</v>
      </c>
      <c r="AF814">
        <f>-(Table7536[[#This Row],[time]]-2)*2</f>
        <v>-0.90841999999999956</v>
      </c>
      <c r="AG814">
        <v>80.018500000000003</v>
      </c>
      <c r="AH814">
        <v>46.813699999999997</v>
      </c>
      <c r="AI814">
        <f>Table7536[[#This Row],[CFNM]]/Table7536[[#This Row],[CAREA]]</f>
        <v>0.58503596043414952</v>
      </c>
      <c r="AJ814">
        <v>2.4542099999999998</v>
      </c>
      <c r="AK814">
        <f>-(Table8537[[#This Row],[time]]-2)*2</f>
        <v>-0.90841999999999956</v>
      </c>
      <c r="AL814">
        <v>80.6905</v>
      </c>
      <c r="AM814">
        <v>49.753799999999998</v>
      </c>
      <c r="AN814">
        <f>Table8537[[#This Row],[CFNM]]/Table8537[[#This Row],[CAREA]]</f>
        <v>0.61660046721733042</v>
      </c>
    </row>
    <row r="815" spans="1:40">
      <c r="A815">
        <v>2.5032199999999998</v>
      </c>
      <c r="B815">
        <f>-(Table1530[[#This Row],[time]]-2)*2</f>
        <v>-1.0064399999999996</v>
      </c>
      <c r="C815">
        <v>88.495800000000003</v>
      </c>
      <c r="D815">
        <v>22.209599999999998</v>
      </c>
      <c r="E815">
        <f>Table1530[[#This Row],[CFNM]]/Table1530[[#This Row],[CAREA]]</f>
        <v>0.25096784254167992</v>
      </c>
      <c r="F815">
        <v>2.5032199999999998</v>
      </c>
      <c r="G815">
        <f>-(Table2531[[#This Row],[time]]-2)*2</f>
        <v>-1.0064399999999996</v>
      </c>
      <c r="H815">
        <v>100.52</v>
      </c>
      <c r="I815">
        <v>18.843800000000002</v>
      </c>
      <c r="J815">
        <f>Table2531[[#This Row],[CFNM]]/Table2531[[#This Row],[CAREA]]</f>
        <v>0.18746319140469561</v>
      </c>
      <c r="K815">
        <v>2.5032199999999998</v>
      </c>
      <c r="L815">
        <f>-(Table3532[[#This Row],[time]]-2)*2</f>
        <v>-1.0064399999999996</v>
      </c>
      <c r="M815">
        <v>90.055000000000007</v>
      </c>
      <c r="N815">
        <v>25.990500000000001</v>
      </c>
      <c r="O815">
        <f>Table3532[[#This Row],[CFNM]]/Table3532[[#This Row],[CAREA]]</f>
        <v>0.2886069624118594</v>
      </c>
      <c r="P815">
        <v>2.5032199999999998</v>
      </c>
      <c r="Q815">
        <f>-(Table4533[[#This Row],[time]]-2)*2</f>
        <v>-1.0064399999999996</v>
      </c>
      <c r="R815">
        <v>87.708699999999993</v>
      </c>
      <c r="S815">
        <v>33.965499999999999</v>
      </c>
      <c r="T815">
        <f>Table4533[[#This Row],[CFNM]]/Table4533[[#This Row],[CAREA]]</f>
        <v>0.38725348796641612</v>
      </c>
      <c r="U815">
        <v>2.5032199999999998</v>
      </c>
      <c r="V815">
        <f>-(Table5534[[#This Row],[time]]-2)*2</f>
        <v>-1.0064399999999996</v>
      </c>
      <c r="W815">
        <v>81.746200000000002</v>
      </c>
      <c r="X815">
        <v>37.377200000000002</v>
      </c>
      <c r="Y815">
        <f>Table5534[[#This Row],[CFNM]]/Table5534[[#This Row],[CAREA]]</f>
        <v>0.45723470938098654</v>
      </c>
      <c r="Z815">
        <v>2.5032199999999998</v>
      </c>
      <c r="AA815">
        <f>-(Table6535[[#This Row],[time]]-2)*2</f>
        <v>-1.0064399999999996</v>
      </c>
      <c r="AB815">
        <v>88.342299999999994</v>
      </c>
      <c r="AC815">
        <v>49.958799999999997</v>
      </c>
      <c r="AD815">
        <f>Table6535[[#This Row],[CFNM]]/Table6535[[#This Row],[CAREA]]</f>
        <v>0.56551391575723065</v>
      </c>
      <c r="AE815">
        <v>2.5032199999999998</v>
      </c>
      <c r="AF815">
        <f>-(Table7536[[#This Row],[time]]-2)*2</f>
        <v>-1.0064399999999996</v>
      </c>
      <c r="AG815">
        <v>79.645799999999994</v>
      </c>
      <c r="AH815">
        <v>50.505200000000002</v>
      </c>
      <c r="AI815">
        <f>Table7536[[#This Row],[CFNM]]/Table7536[[#This Row],[CAREA]]</f>
        <v>0.63412257771282365</v>
      </c>
      <c r="AJ815">
        <v>2.5032199999999998</v>
      </c>
      <c r="AK815">
        <f>-(Table8537[[#This Row],[time]]-2)*2</f>
        <v>-1.0064399999999996</v>
      </c>
      <c r="AL815">
        <v>80.474699999999999</v>
      </c>
      <c r="AM815">
        <v>53.2425</v>
      </c>
      <c r="AN815">
        <f>Table8537[[#This Row],[CFNM]]/Table8537[[#This Row],[CAREA]]</f>
        <v>0.66160544866896054</v>
      </c>
    </row>
    <row r="816" spans="1:40">
      <c r="A816">
        <v>2.5538400000000001</v>
      </c>
      <c r="B816">
        <f>-(Table1530[[#This Row],[time]]-2)*2</f>
        <v>-1.1076800000000002</v>
      </c>
      <c r="C816">
        <v>86.721800000000002</v>
      </c>
      <c r="D816">
        <v>24.7119</v>
      </c>
      <c r="E816">
        <f>Table1530[[#This Row],[CFNM]]/Table1530[[#This Row],[CAREA]]</f>
        <v>0.28495603181668278</v>
      </c>
      <c r="F816">
        <v>2.5538400000000001</v>
      </c>
      <c r="G816">
        <f>-(Table2531[[#This Row],[time]]-2)*2</f>
        <v>-1.1076800000000002</v>
      </c>
      <c r="H816">
        <v>101.587</v>
      </c>
      <c r="I816">
        <v>21.821300000000001</v>
      </c>
      <c r="J816">
        <f>Table2531[[#This Row],[CFNM]]/Table2531[[#This Row],[CAREA]]</f>
        <v>0.21480405957455187</v>
      </c>
      <c r="K816">
        <v>2.5538400000000001</v>
      </c>
      <c r="L816">
        <f>-(Table3532[[#This Row],[time]]-2)*2</f>
        <v>-1.1076800000000002</v>
      </c>
      <c r="M816">
        <v>89.372799999999998</v>
      </c>
      <c r="N816">
        <v>29.413499999999999</v>
      </c>
      <c r="O816">
        <f>Table3532[[#This Row],[CFNM]]/Table3532[[#This Row],[CAREA]]</f>
        <v>0.32911019907622902</v>
      </c>
      <c r="P816">
        <v>2.5538400000000001</v>
      </c>
      <c r="Q816">
        <f>-(Table4533[[#This Row],[time]]-2)*2</f>
        <v>-1.1076800000000002</v>
      </c>
      <c r="R816">
        <v>87.378100000000003</v>
      </c>
      <c r="S816">
        <v>38.724699999999999</v>
      </c>
      <c r="T816">
        <f>Table4533[[#This Row],[CFNM]]/Table4533[[#This Row],[CAREA]]</f>
        <v>0.44318542060310301</v>
      </c>
      <c r="U816">
        <v>2.5538400000000001</v>
      </c>
      <c r="V816">
        <f>-(Table5534[[#This Row],[time]]-2)*2</f>
        <v>-1.1076800000000002</v>
      </c>
      <c r="W816">
        <v>81.524699999999996</v>
      </c>
      <c r="X816">
        <v>40.897300000000001</v>
      </c>
      <c r="Y816">
        <f>Table5534[[#This Row],[CFNM]]/Table5534[[#This Row],[CAREA]]</f>
        <v>0.50165532654520661</v>
      </c>
      <c r="Z816">
        <v>2.5538400000000001</v>
      </c>
      <c r="AA816">
        <f>-(Table6535[[#This Row],[time]]-2)*2</f>
        <v>-1.1076800000000002</v>
      </c>
      <c r="AB816">
        <v>88.262799999999999</v>
      </c>
      <c r="AC816">
        <v>54.649299999999997</v>
      </c>
      <c r="AD816">
        <f>Table6535[[#This Row],[CFNM]]/Table6535[[#This Row],[CAREA]]</f>
        <v>0.61916571873994475</v>
      </c>
      <c r="AE816">
        <v>2.5538400000000001</v>
      </c>
      <c r="AF816">
        <f>-(Table7536[[#This Row],[time]]-2)*2</f>
        <v>-1.1076800000000002</v>
      </c>
      <c r="AG816">
        <v>79.022099999999995</v>
      </c>
      <c r="AH816">
        <v>54.399099999999997</v>
      </c>
      <c r="AI816">
        <f>Table7536[[#This Row],[CFNM]]/Table7536[[#This Row],[CAREA]]</f>
        <v>0.68840362379638098</v>
      </c>
      <c r="AJ816">
        <v>2.5538400000000001</v>
      </c>
      <c r="AK816">
        <f>-(Table8537[[#This Row],[time]]-2)*2</f>
        <v>-1.1076800000000002</v>
      </c>
      <c r="AL816">
        <v>78.919300000000007</v>
      </c>
      <c r="AM816">
        <v>56.867800000000003</v>
      </c>
      <c r="AN816">
        <f>Table8537[[#This Row],[CFNM]]/Table8537[[#This Row],[CAREA]]</f>
        <v>0.72058165746528413</v>
      </c>
    </row>
    <row r="817" spans="1:40">
      <c r="A817">
        <v>2.6038399999999999</v>
      </c>
      <c r="B817">
        <f>-(Table1530[[#This Row],[time]]-2)*2</f>
        <v>-1.2076799999999999</v>
      </c>
      <c r="C817">
        <v>85.626999999999995</v>
      </c>
      <c r="D817">
        <v>28.202400000000001</v>
      </c>
      <c r="E817">
        <f>Table1530[[#This Row],[CFNM]]/Table1530[[#This Row],[CAREA]]</f>
        <v>0.32936340173076251</v>
      </c>
      <c r="F817">
        <v>2.6038399999999999</v>
      </c>
      <c r="G817">
        <f>-(Table2531[[#This Row],[time]]-2)*2</f>
        <v>-1.2076799999999999</v>
      </c>
      <c r="H817">
        <v>102.745</v>
      </c>
      <c r="I817">
        <v>24.632400000000001</v>
      </c>
      <c r="J817">
        <f>Table2531[[#This Row],[CFNM]]/Table2531[[#This Row],[CAREA]]</f>
        <v>0.23974305318993624</v>
      </c>
      <c r="K817">
        <v>2.6038399999999999</v>
      </c>
      <c r="L817">
        <f>-(Table3532[[#This Row],[time]]-2)*2</f>
        <v>-1.2076799999999999</v>
      </c>
      <c r="M817">
        <v>88.8489</v>
      </c>
      <c r="N817">
        <v>33.046300000000002</v>
      </c>
      <c r="O817">
        <f>Table3532[[#This Row],[CFNM]]/Table3532[[#This Row],[CAREA]]</f>
        <v>0.37193820069803907</v>
      </c>
      <c r="P817">
        <v>2.6038399999999999</v>
      </c>
      <c r="Q817">
        <f>-(Table4533[[#This Row],[time]]-2)*2</f>
        <v>-1.2076799999999999</v>
      </c>
      <c r="R817">
        <v>87.202799999999996</v>
      </c>
      <c r="S817">
        <v>43.805700000000002</v>
      </c>
      <c r="T817">
        <f>Table4533[[#This Row],[CFNM]]/Table4533[[#This Row],[CAREA]]</f>
        <v>0.50234281468026265</v>
      </c>
      <c r="U817">
        <v>2.6038399999999999</v>
      </c>
      <c r="V817">
        <f>-(Table5534[[#This Row],[time]]-2)*2</f>
        <v>-1.2076799999999999</v>
      </c>
      <c r="W817">
        <v>82.696100000000001</v>
      </c>
      <c r="X817">
        <v>44.469000000000001</v>
      </c>
      <c r="Y817">
        <f>Table5534[[#This Row],[CFNM]]/Table5534[[#This Row],[CAREA]]</f>
        <v>0.53773999015673046</v>
      </c>
      <c r="Z817">
        <v>2.6038399999999999</v>
      </c>
      <c r="AA817">
        <f>-(Table6535[[#This Row],[time]]-2)*2</f>
        <v>-1.2076799999999999</v>
      </c>
      <c r="AB817">
        <v>88.242999999999995</v>
      </c>
      <c r="AC817">
        <v>59.472999999999999</v>
      </c>
      <c r="AD817">
        <f>Table6535[[#This Row],[CFNM]]/Table6535[[#This Row],[CAREA]]</f>
        <v>0.673968473419988</v>
      </c>
      <c r="AE817">
        <v>2.6038399999999999</v>
      </c>
      <c r="AF817">
        <f>-(Table7536[[#This Row],[time]]-2)*2</f>
        <v>-1.2076799999999999</v>
      </c>
      <c r="AG817">
        <v>78.175600000000003</v>
      </c>
      <c r="AH817">
        <v>58.367800000000003</v>
      </c>
      <c r="AI817">
        <f>Table7536[[#This Row],[CFNM]]/Table7536[[#This Row],[CAREA]]</f>
        <v>0.74662426639514123</v>
      </c>
      <c r="AJ817">
        <v>2.6038399999999999</v>
      </c>
      <c r="AK817">
        <f>-(Table8537[[#This Row],[time]]-2)*2</f>
        <v>-1.2076799999999999</v>
      </c>
      <c r="AL817">
        <v>78.670199999999994</v>
      </c>
      <c r="AM817">
        <v>60.627699999999997</v>
      </c>
      <c r="AN817">
        <f>Table8537[[#This Row],[CFNM]]/Table8537[[#This Row],[CAREA]]</f>
        <v>0.77065648746285131</v>
      </c>
    </row>
    <row r="818" spans="1:40">
      <c r="A818">
        <v>2.6556500000000001</v>
      </c>
      <c r="B818">
        <f>-(Table1530[[#This Row],[time]]-2)*2</f>
        <v>-1.3113000000000001</v>
      </c>
      <c r="C818">
        <v>81.782799999999995</v>
      </c>
      <c r="D818">
        <v>32.302999999999997</v>
      </c>
      <c r="E818">
        <f>Table1530[[#This Row],[CFNM]]/Table1530[[#This Row],[CAREA]]</f>
        <v>0.39498525362301118</v>
      </c>
      <c r="F818">
        <v>2.6556500000000001</v>
      </c>
      <c r="G818">
        <f>-(Table2531[[#This Row],[time]]-2)*2</f>
        <v>-1.3113000000000001</v>
      </c>
      <c r="H818">
        <v>101.126</v>
      </c>
      <c r="I818">
        <v>27.592099999999999</v>
      </c>
      <c r="J818">
        <f>Table2531[[#This Row],[CFNM]]/Table2531[[#This Row],[CAREA]]</f>
        <v>0.27284872337479971</v>
      </c>
      <c r="K818">
        <v>2.6556500000000001</v>
      </c>
      <c r="L818">
        <f>-(Table3532[[#This Row],[time]]-2)*2</f>
        <v>-1.3113000000000001</v>
      </c>
      <c r="M818">
        <v>88.021699999999996</v>
      </c>
      <c r="N818">
        <v>37.355200000000004</v>
      </c>
      <c r="O818">
        <f>Table3532[[#This Row],[CFNM]]/Table3532[[#This Row],[CAREA]]</f>
        <v>0.4243862592974233</v>
      </c>
      <c r="P818">
        <v>2.6556500000000001</v>
      </c>
      <c r="Q818">
        <f>-(Table4533[[#This Row],[time]]-2)*2</f>
        <v>-1.3113000000000001</v>
      </c>
      <c r="R818">
        <v>86.795199999999994</v>
      </c>
      <c r="S818">
        <v>49.4084</v>
      </c>
      <c r="T818">
        <f>Table4533[[#This Row],[CFNM]]/Table4533[[#This Row],[CAREA]]</f>
        <v>0.56925267756742315</v>
      </c>
      <c r="U818">
        <v>2.6556500000000001</v>
      </c>
      <c r="V818">
        <f>-(Table5534[[#This Row],[time]]-2)*2</f>
        <v>-1.3113000000000001</v>
      </c>
      <c r="W818">
        <v>82.504199999999997</v>
      </c>
      <c r="X818">
        <v>48.305599999999998</v>
      </c>
      <c r="Y818">
        <f>Table5534[[#This Row],[CFNM]]/Table5534[[#This Row],[CAREA]]</f>
        <v>0.58549261734554114</v>
      </c>
      <c r="Z818">
        <v>2.6556500000000001</v>
      </c>
      <c r="AA818">
        <f>-(Table6535[[#This Row],[time]]-2)*2</f>
        <v>-1.3113000000000001</v>
      </c>
      <c r="AB818">
        <v>89.226500000000001</v>
      </c>
      <c r="AC818">
        <v>64.381399999999999</v>
      </c>
      <c r="AD818">
        <f>Table6535[[#This Row],[CFNM]]/Table6535[[#This Row],[CAREA]]</f>
        <v>0.72155021210066517</v>
      </c>
      <c r="AE818">
        <v>2.6556500000000001</v>
      </c>
      <c r="AF818">
        <f>-(Table7536[[#This Row],[time]]-2)*2</f>
        <v>-1.3113000000000001</v>
      </c>
      <c r="AG818">
        <v>77.308700000000002</v>
      </c>
      <c r="AH818">
        <v>62.459400000000002</v>
      </c>
      <c r="AI818">
        <f>Table7536[[#This Row],[CFNM]]/Table7536[[#This Row],[CAREA]]</f>
        <v>0.80792200619076504</v>
      </c>
      <c r="AJ818">
        <v>2.6556500000000001</v>
      </c>
      <c r="AK818">
        <f>-(Table8537[[#This Row],[time]]-2)*2</f>
        <v>-1.3113000000000001</v>
      </c>
      <c r="AL818">
        <v>78.403999999999996</v>
      </c>
      <c r="AM818">
        <v>64.647599999999997</v>
      </c>
      <c r="AN818">
        <f>Table8537[[#This Row],[CFNM]]/Table8537[[#This Row],[CAREA]]</f>
        <v>0.82454466608846488</v>
      </c>
    </row>
    <row r="819" spans="1:40">
      <c r="A819">
        <v>2.7022499999999998</v>
      </c>
      <c r="B819">
        <f>-(Table1530[[#This Row],[time]]-2)*2</f>
        <v>-1.4044999999999996</v>
      </c>
      <c r="C819">
        <v>80.225399999999993</v>
      </c>
      <c r="D819">
        <v>36.2256</v>
      </c>
      <c r="E819">
        <f>Table1530[[#This Row],[CFNM]]/Table1530[[#This Row],[CAREA]]</f>
        <v>0.45154776417443854</v>
      </c>
      <c r="F819">
        <v>2.7022499999999998</v>
      </c>
      <c r="G819">
        <f>-(Table2531[[#This Row],[time]]-2)*2</f>
        <v>-1.4044999999999996</v>
      </c>
      <c r="H819">
        <v>100.196</v>
      </c>
      <c r="I819">
        <v>30.845300000000002</v>
      </c>
      <c r="J819">
        <f>Table2531[[#This Row],[CFNM]]/Table2531[[#This Row],[CAREA]]</f>
        <v>0.30784961475508005</v>
      </c>
      <c r="K819">
        <v>2.7022499999999998</v>
      </c>
      <c r="L819">
        <f>-(Table3532[[#This Row],[time]]-2)*2</f>
        <v>-1.4044999999999996</v>
      </c>
      <c r="M819">
        <v>86.909099999999995</v>
      </c>
      <c r="N819">
        <v>41.399700000000003</v>
      </c>
      <c r="O819">
        <f>Table3532[[#This Row],[CFNM]]/Table3532[[#This Row],[CAREA]]</f>
        <v>0.47635633092507007</v>
      </c>
      <c r="P819">
        <v>2.7022499999999998</v>
      </c>
      <c r="Q819">
        <f>-(Table4533[[#This Row],[time]]-2)*2</f>
        <v>-1.4044999999999996</v>
      </c>
      <c r="R819">
        <v>86.209800000000001</v>
      </c>
      <c r="S819">
        <v>54.749400000000001</v>
      </c>
      <c r="T819">
        <f>Table4533[[#This Row],[CFNM]]/Table4533[[#This Row],[CAREA]]</f>
        <v>0.6350716507868015</v>
      </c>
      <c r="U819">
        <v>2.7022499999999998</v>
      </c>
      <c r="V819">
        <f>-(Table5534[[#This Row],[time]]-2)*2</f>
        <v>-1.4044999999999996</v>
      </c>
      <c r="W819">
        <v>82.248199999999997</v>
      </c>
      <c r="X819">
        <v>51.834200000000003</v>
      </c>
      <c r="Y819">
        <f>Table5534[[#This Row],[CFNM]]/Table5534[[#This Row],[CAREA]]</f>
        <v>0.63021683149296892</v>
      </c>
      <c r="Z819">
        <v>2.7022499999999998</v>
      </c>
      <c r="AA819">
        <f>-(Table6535[[#This Row],[time]]-2)*2</f>
        <v>-1.4044999999999996</v>
      </c>
      <c r="AB819">
        <v>89.152900000000002</v>
      </c>
      <c r="AC819">
        <v>68.894499999999994</v>
      </c>
      <c r="AD819">
        <f>Table6535[[#This Row],[CFNM]]/Table6535[[#This Row],[CAREA]]</f>
        <v>0.77276790771808868</v>
      </c>
      <c r="AE819">
        <v>2.7022499999999998</v>
      </c>
      <c r="AF819">
        <f>-(Table7536[[#This Row],[time]]-2)*2</f>
        <v>-1.4044999999999996</v>
      </c>
      <c r="AG819">
        <v>76.527000000000001</v>
      </c>
      <c r="AH819">
        <v>66.145399999999995</v>
      </c>
      <c r="AI819">
        <f>Table7536[[#This Row],[CFNM]]/Table7536[[#This Row],[CAREA]]</f>
        <v>0.86434069021391136</v>
      </c>
      <c r="AJ819">
        <v>2.7022499999999998</v>
      </c>
      <c r="AK819">
        <f>-(Table8537[[#This Row],[time]]-2)*2</f>
        <v>-1.4044999999999996</v>
      </c>
      <c r="AL819">
        <v>78.203900000000004</v>
      </c>
      <c r="AM819">
        <v>68.278300000000002</v>
      </c>
      <c r="AN819">
        <f>Table8537[[#This Row],[CFNM]]/Table8537[[#This Row],[CAREA]]</f>
        <v>0.87308049854291148</v>
      </c>
    </row>
    <row r="820" spans="1:40">
      <c r="A820">
        <v>2.7520600000000002</v>
      </c>
      <c r="B820">
        <f>-(Table1530[[#This Row],[time]]-2)*2</f>
        <v>-1.5041200000000003</v>
      </c>
      <c r="C820">
        <v>78.0809</v>
      </c>
      <c r="D820">
        <v>40.597499999999997</v>
      </c>
      <c r="E820">
        <f>Table1530[[#This Row],[CFNM]]/Table1530[[#This Row],[CAREA]]</f>
        <v>0.51994149657598721</v>
      </c>
      <c r="F820">
        <v>2.7520600000000002</v>
      </c>
      <c r="G820">
        <f>-(Table2531[[#This Row],[time]]-2)*2</f>
        <v>-1.5041200000000003</v>
      </c>
      <c r="H820">
        <v>98.570099999999996</v>
      </c>
      <c r="I820">
        <v>34.695599999999999</v>
      </c>
      <c r="J820">
        <f>Table2531[[#This Row],[CFNM]]/Table2531[[#This Row],[CAREA]]</f>
        <v>0.35198909202689255</v>
      </c>
      <c r="K820">
        <v>2.7520600000000002</v>
      </c>
      <c r="L820">
        <f>-(Table3532[[#This Row],[time]]-2)*2</f>
        <v>-1.5041200000000003</v>
      </c>
      <c r="M820">
        <v>85.556299999999993</v>
      </c>
      <c r="N820">
        <v>46.1843</v>
      </c>
      <c r="O820">
        <f>Table3532[[#This Row],[CFNM]]/Table3532[[#This Row],[CAREA]]</f>
        <v>0.53981179644281019</v>
      </c>
      <c r="P820">
        <v>2.7520600000000002</v>
      </c>
      <c r="Q820">
        <f>-(Table4533[[#This Row],[time]]-2)*2</f>
        <v>-1.5041200000000003</v>
      </c>
      <c r="R820">
        <v>85.727000000000004</v>
      </c>
      <c r="S820">
        <v>60.126300000000001</v>
      </c>
      <c r="T820">
        <f>Table4533[[#This Row],[CFNM]]/Table4533[[#This Row],[CAREA]]</f>
        <v>0.70136946352957641</v>
      </c>
      <c r="U820">
        <v>2.7520600000000002</v>
      </c>
      <c r="V820">
        <f>-(Table5534[[#This Row],[time]]-2)*2</f>
        <v>-1.5041200000000003</v>
      </c>
      <c r="W820">
        <v>81.927400000000006</v>
      </c>
      <c r="X820">
        <v>55.723999999999997</v>
      </c>
      <c r="Y820">
        <f>Table5534[[#This Row],[CFNM]]/Table5534[[#This Row],[CAREA]]</f>
        <v>0.68016316885437589</v>
      </c>
      <c r="Z820">
        <v>2.7520600000000002</v>
      </c>
      <c r="AA820">
        <f>-(Table6535[[#This Row],[time]]-2)*2</f>
        <v>-1.5041200000000003</v>
      </c>
      <c r="AB820">
        <v>89.015600000000006</v>
      </c>
      <c r="AC820">
        <v>73.964299999999994</v>
      </c>
      <c r="AD820">
        <f>Table6535[[#This Row],[CFNM]]/Table6535[[#This Row],[CAREA]]</f>
        <v>0.83091390722525027</v>
      </c>
      <c r="AE820">
        <v>2.7520600000000002</v>
      </c>
      <c r="AF820">
        <f>-(Table7536[[#This Row],[time]]-2)*2</f>
        <v>-1.5041200000000003</v>
      </c>
      <c r="AG820">
        <v>75.734300000000005</v>
      </c>
      <c r="AH820">
        <v>70.164199999999994</v>
      </c>
      <c r="AI820">
        <f>Table7536[[#This Row],[CFNM]]/Table7536[[#This Row],[CAREA]]</f>
        <v>0.92645208313802319</v>
      </c>
      <c r="AJ820">
        <v>2.7520600000000002</v>
      </c>
      <c r="AK820">
        <f>-(Table8537[[#This Row],[time]]-2)*2</f>
        <v>-1.5041200000000003</v>
      </c>
      <c r="AL820">
        <v>78.012200000000007</v>
      </c>
      <c r="AM820">
        <v>72.032300000000006</v>
      </c>
      <c r="AN820">
        <f>Table8537[[#This Row],[CFNM]]/Table8537[[#This Row],[CAREA]]</f>
        <v>0.92334660476181929</v>
      </c>
    </row>
    <row r="821" spans="1:40">
      <c r="A821">
        <v>2.80139</v>
      </c>
      <c r="B821">
        <f>-(Table1530[[#This Row],[time]]-2)*2</f>
        <v>-1.6027800000000001</v>
      </c>
      <c r="C821">
        <v>75.231800000000007</v>
      </c>
      <c r="D821">
        <v>45.006</v>
      </c>
      <c r="E821">
        <f>Table1530[[#This Row],[CFNM]]/Table1530[[#This Row],[CAREA]]</f>
        <v>0.59823106718169705</v>
      </c>
      <c r="F821">
        <v>2.80139</v>
      </c>
      <c r="G821">
        <f>-(Table2531[[#This Row],[time]]-2)*2</f>
        <v>-1.6027800000000001</v>
      </c>
      <c r="H821">
        <v>96.424700000000001</v>
      </c>
      <c r="I821">
        <v>38.9636</v>
      </c>
      <c r="J821">
        <f>Table2531[[#This Row],[CFNM]]/Table2531[[#This Row],[CAREA]]</f>
        <v>0.40408318615458488</v>
      </c>
      <c r="K821">
        <v>2.80139</v>
      </c>
      <c r="L821">
        <f>-(Table3532[[#This Row],[time]]-2)*2</f>
        <v>-1.6027800000000001</v>
      </c>
      <c r="M821">
        <v>84.504599999999996</v>
      </c>
      <c r="N821">
        <v>51.200200000000002</v>
      </c>
      <c r="O821">
        <f>Table3532[[#This Row],[CFNM]]/Table3532[[#This Row],[CAREA]]</f>
        <v>0.60588654345443926</v>
      </c>
      <c r="P821">
        <v>2.80139</v>
      </c>
      <c r="Q821">
        <f>-(Table4533[[#This Row],[time]]-2)*2</f>
        <v>-1.6027800000000001</v>
      </c>
      <c r="R821">
        <v>85.101699999999994</v>
      </c>
      <c r="S821">
        <v>65.627600000000001</v>
      </c>
      <c r="T821">
        <f>Table4533[[#This Row],[CFNM]]/Table4533[[#This Row],[CAREA]]</f>
        <v>0.77116673344950815</v>
      </c>
      <c r="U821">
        <v>2.80139</v>
      </c>
      <c r="V821">
        <f>-(Table5534[[#This Row],[time]]-2)*2</f>
        <v>-1.6027800000000001</v>
      </c>
      <c r="W821">
        <v>81.635800000000003</v>
      </c>
      <c r="X821">
        <v>59.655999999999999</v>
      </c>
      <c r="Y821">
        <f>Table5534[[#This Row],[CFNM]]/Table5534[[#This Row],[CAREA]]</f>
        <v>0.730757829285681</v>
      </c>
      <c r="Z821">
        <v>2.80139</v>
      </c>
      <c r="AA821">
        <f>-(Table6535[[#This Row],[time]]-2)*2</f>
        <v>-1.6027800000000001</v>
      </c>
      <c r="AB821">
        <v>88.920900000000003</v>
      </c>
      <c r="AC821">
        <v>79.162400000000005</v>
      </c>
      <c r="AD821">
        <f>Table6535[[#This Row],[CFNM]]/Table6535[[#This Row],[CAREA]]</f>
        <v>0.89025639641524101</v>
      </c>
      <c r="AE821">
        <v>2.80139</v>
      </c>
      <c r="AF821">
        <f>-(Table7536[[#This Row],[time]]-2)*2</f>
        <v>-1.6027800000000001</v>
      </c>
      <c r="AG821">
        <v>74.925399999999996</v>
      </c>
      <c r="AH821">
        <v>74.200599999999994</v>
      </c>
      <c r="AI821">
        <f>Table7536[[#This Row],[CFNM]]/Table7536[[#This Row],[CAREA]]</f>
        <v>0.9903263779706214</v>
      </c>
      <c r="AJ821">
        <v>2.80139</v>
      </c>
      <c r="AK821">
        <f>-(Table8537[[#This Row],[time]]-2)*2</f>
        <v>-1.6027800000000001</v>
      </c>
      <c r="AL821">
        <v>77.697100000000006</v>
      </c>
      <c r="AM821">
        <v>75.828800000000001</v>
      </c>
      <c r="AN821">
        <f>Table8537[[#This Row],[CFNM]]/Table8537[[#This Row],[CAREA]]</f>
        <v>0.97595405748734498</v>
      </c>
    </row>
    <row r="822" spans="1:40">
      <c r="A822">
        <v>2.8510800000000001</v>
      </c>
      <c r="B822">
        <f>-(Table1530[[#This Row],[time]]-2)*2</f>
        <v>-1.7021600000000001</v>
      </c>
      <c r="C822">
        <v>74.354399999999998</v>
      </c>
      <c r="D822">
        <v>49.2164</v>
      </c>
      <c r="E822">
        <f>Table1530[[#This Row],[CFNM]]/Table1530[[#This Row],[CAREA]]</f>
        <v>0.66191644341155331</v>
      </c>
      <c r="F822">
        <v>2.8510800000000001</v>
      </c>
      <c r="G822">
        <f>-(Table2531[[#This Row],[time]]-2)*2</f>
        <v>-1.7021600000000001</v>
      </c>
      <c r="H822">
        <v>94.927400000000006</v>
      </c>
      <c r="I822">
        <v>43.598100000000002</v>
      </c>
      <c r="J822">
        <f>Table2531[[#This Row],[CFNM]]/Table2531[[#This Row],[CAREA]]</f>
        <v>0.45927835377351534</v>
      </c>
      <c r="K822">
        <v>2.8510800000000001</v>
      </c>
      <c r="L822">
        <f>-(Table3532[[#This Row],[time]]-2)*2</f>
        <v>-1.7021600000000001</v>
      </c>
      <c r="M822">
        <v>82.919399999999996</v>
      </c>
      <c r="N822">
        <v>56.0762</v>
      </c>
      <c r="O822">
        <f>Table3532[[#This Row],[CFNM]]/Table3532[[#This Row],[CAREA]]</f>
        <v>0.67627358615715982</v>
      </c>
      <c r="P822">
        <v>2.8510800000000001</v>
      </c>
      <c r="Q822">
        <f>-(Table4533[[#This Row],[time]]-2)*2</f>
        <v>-1.7021600000000001</v>
      </c>
      <c r="R822">
        <v>84.290700000000001</v>
      </c>
      <c r="S822">
        <v>71.496600000000001</v>
      </c>
      <c r="T822">
        <f>Table4533[[#This Row],[CFNM]]/Table4533[[#This Row],[CAREA]]</f>
        <v>0.84821457171431724</v>
      </c>
      <c r="U822">
        <v>2.8510800000000001</v>
      </c>
      <c r="V822">
        <f>-(Table5534[[#This Row],[time]]-2)*2</f>
        <v>-1.7021600000000001</v>
      </c>
      <c r="W822">
        <v>81.340400000000002</v>
      </c>
      <c r="X822">
        <v>63.7562</v>
      </c>
      <c r="Y822">
        <f>Table5534[[#This Row],[CFNM]]/Table5534[[#This Row],[CAREA]]</f>
        <v>0.78381960255912186</v>
      </c>
      <c r="Z822">
        <v>2.8510800000000001</v>
      </c>
      <c r="AA822">
        <f>-(Table6535[[#This Row],[time]]-2)*2</f>
        <v>-1.7021600000000001</v>
      </c>
      <c r="AB822">
        <v>88.721199999999996</v>
      </c>
      <c r="AC822">
        <v>84.456500000000005</v>
      </c>
      <c r="AD822">
        <f>Table6535[[#This Row],[CFNM]]/Table6535[[#This Row],[CAREA]]</f>
        <v>0.9519314436684807</v>
      </c>
      <c r="AE822">
        <v>2.8510800000000001</v>
      </c>
      <c r="AF822">
        <f>-(Table7536[[#This Row],[time]]-2)*2</f>
        <v>-1.7021600000000001</v>
      </c>
      <c r="AG822">
        <v>74.199200000000005</v>
      </c>
      <c r="AH822">
        <v>78.239599999999996</v>
      </c>
      <c r="AI822">
        <f>Table7536[[#This Row],[CFNM]]/Table7536[[#This Row],[CAREA]]</f>
        <v>1.0544534172875177</v>
      </c>
      <c r="AJ822">
        <v>2.8510800000000001</v>
      </c>
      <c r="AK822">
        <f>-(Table8537[[#This Row],[time]]-2)*2</f>
        <v>-1.7021600000000001</v>
      </c>
      <c r="AL822">
        <v>77.374399999999994</v>
      </c>
      <c r="AM822">
        <v>79.6982</v>
      </c>
      <c r="AN822">
        <f>Table8537[[#This Row],[CFNM]]/Table8537[[#This Row],[CAREA]]</f>
        <v>1.0300331892719039</v>
      </c>
    </row>
    <row r="823" spans="1:40">
      <c r="A823">
        <v>2.9033899999999999</v>
      </c>
      <c r="B823">
        <f>-(Table1530[[#This Row],[time]]-2)*2</f>
        <v>-1.8067799999999998</v>
      </c>
      <c r="C823">
        <v>74.113</v>
      </c>
      <c r="D823">
        <v>53.760100000000001</v>
      </c>
      <c r="E823">
        <f>Table1530[[#This Row],[CFNM]]/Table1530[[#This Row],[CAREA]]</f>
        <v>0.72538016272448835</v>
      </c>
      <c r="F823">
        <v>2.9033899999999999</v>
      </c>
      <c r="G823">
        <f>-(Table2531[[#This Row],[time]]-2)*2</f>
        <v>-1.8067799999999998</v>
      </c>
      <c r="H823">
        <v>93.814400000000006</v>
      </c>
      <c r="I823">
        <v>47.835000000000001</v>
      </c>
      <c r="J823">
        <f>Table2531[[#This Row],[CFNM]]/Table2531[[#This Row],[CAREA]]</f>
        <v>0.50988973974144691</v>
      </c>
      <c r="K823">
        <v>2.9033899999999999</v>
      </c>
      <c r="L823">
        <f>-(Table3532[[#This Row],[time]]-2)*2</f>
        <v>-1.8067799999999998</v>
      </c>
      <c r="M823">
        <v>81.603899999999996</v>
      </c>
      <c r="N823">
        <v>61.737099999999998</v>
      </c>
      <c r="O823">
        <f>Table3532[[#This Row],[CFNM]]/Table3532[[#This Row],[CAREA]]</f>
        <v>0.75654594939702635</v>
      </c>
      <c r="P823">
        <v>2.9033899999999999</v>
      </c>
      <c r="Q823">
        <f>-(Table4533[[#This Row],[time]]-2)*2</f>
        <v>-1.8067799999999998</v>
      </c>
      <c r="R823">
        <v>83.607100000000003</v>
      </c>
      <c r="S823">
        <v>77.131299999999996</v>
      </c>
      <c r="T823">
        <f>Table4533[[#This Row],[CFNM]]/Table4533[[#This Row],[CAREA]]</f>
        <v>0.92254485564025057</v>
      </c>
      <c r="U823">
        <v>2.9033899999999999</v>
      </c>
      <c r="V823">
        <f>-(Table5534[[#This Row],[time]]-2)*2</f>
        <v>-1.8067799999999998</v>
      </c>
      <c r="W823">
        <v>81.0304</v>
      </c>
      <c r="X823">
        <v>68.136600000000001</v>
      </c>
      <c r="Y823">
        <f>Table5534[[#This Row],[CFNM]]/Table5534[[#This Row],[CAREA]]</f>
        <v>0.84087700418608324</v>
      </c>
      <c r="Z823">
        <v>2.9033899999999999</v>
      </c>
      <c r="AA823">
        <f>-(Table6535[[#This Row],[time]]-2)*2</f>
        <v>-1.8067799999999998</v>
      </c>
      <c r="AB823">
        <v>88.4756</v>
      </c>
      <c r="AC823">
        <v>89.828299999999999</v>
      </c>
      <c r="AD823">
        <f>Table6535[[#This Row],[CFNM]]/Table6535[[#This Row],[CAREA]]</f>
        <v>1.0152889610242823</v>
      </c>
      <c r="AE823">
        <v>2.9033899999999999</v>
      </c>
      <c r="AF823">
        <f>-(Table7536[[#This Row],[time]]-2)*2</f>
        <v>-1.8067799999999998</v>
      </c>
      <c r="AG823">
        <v>73.449600000000004</v>
      </c>
      <c r="AH823">
        <v>82.316199999999995</v>
      </c>
      <c r="AI823">
        <f>Table7536[[#This Row],[CFNM]]/Table7536[[#This Row],[CAREA]]</f>
        <v>1.1207167908334421</v>
      </c>
      <c r="AJ823">
        <v>2.9033899999999999</v>
      </c>
      <c r="AK823">
        <f>-(Table8537[[#This Row],[time]]-2)*2</f>
        <v>-1.8067799999999998</v>
      </c>
      <c r="AL823">
        <v>77.028400000000005</v>
      </c>
      <c r="AM823">
        <v>83.828699999999998</v>
      </c>
      <c r="AN823">
        <f>Table8537[[#This Row],[CFNM]]/Table8537[[#This Row],[CAREA]]</f>
        <v>1.0882830228850657</v>
      </c>
    </row>
    <row r="824" spans="1:40">
      <c r="A824">
        <v>2.95085</v>
      </c>
      <c r="B824">
        <f>-(Table1530[[#This Row],[time]]-2)*2</f>
        <v>-1.9016999999999999</v>
      </c>
      <c r="C824">
        <v>73.200900000000004</v>
      </c>
      <c r="D824">
        <v>57.490900000000003</v>
      </c>
      <c r="E824">
        <f>Table1530[[#This Row],[CFNM]]/Table1530[[#This Row],[CAREA]]</f>
        <v>0.78538515236834516</v>
      </c>
      <c r="F824">
        <v>2.95085</v>
      </c>
      <c r="G824">
        <f>-(Table2531[[#This Row],[time]]-2)*2</f>
        <v>-1.9016999999999999</v>
      </c>
      <c r="H824">
        <v>92.311700000000002</v>
      </c>
      <c r="I824">
        <v>51.236499999999999</v>
      </c>
      <c r="J824">
        <f>Table2531[[#This Row],[CFNM]]/Table2531[[#This Row],[CAREA]]</f>
        <v>0.55503798543413241</v>
      </c>
      <c r="K824">
        <v>2.95085</v>
      </c>
      <c r="L824">
        <f>-(Table3532[[#This Row],[time]]-2)*2</f>
        <v>-1.9016999999999999</v>
      </c>
      <c r="M824">
        <v>80.234800000000007</v>
      </c>
      <c r="N824">
        <v>66.494200000000006</v>
      </c>
      <c r="O824">
        <f>Table3532[[#This Row],[CFNM]]/Table3532[[#This Row],[CAREA]]</f>
        <v>0.82874513303454367</v>
      </c>
      <c r="P824">
        <v>2.95085</v>
      </c>
      <c r="Q824">
        <f>-(Table4533[[#This Row],[time]]-2)*2</f>
        <v>-1.9016999999999999</v>
      </c>
      <c r="R824">
        <v>82.930499999999995</v>
      </c>
      <c r="S824">
        <v>82.121499999999997</v>
      </c>
      <c r="T824">
        <f>Table4533[[#This Row],[CFNM]]/Table4533[[#This Row],[CAREA]]</f>
        <v>0.99024484357383591</v>
      </c>
      <c r="U824">
        <v>2.95085</v>
      </c>
      <c r="V824">
        <f>-(Table5534[[#This Row],[time]]-2)*2</f>
        <v>-1.9016999999999999</v>
      </c>
      <c r="W824">
        <v>80.667900000000003</v>
      </c>
      <c r="X824">
        <v>72.059200000000004</v>
      </c>
      <c r="Y824">
        <f>Table5534[[#This Row],[CFNM]]/Table5534[[#This Row],[CAREA]]</f>
        <v>0.89328221014802667</v>
      </c>
      <c r="Z824">
        <v>2.95085</v>
      </c>
      <c r="AA824">
        <f>-(Table6535[[#This Row],[time]]-2)*2</f>
        <v>-1.9016999999999999</v>
      </c>
      <c r="AB824">
        <v>88.145200000000003</v>
      </c>
      <c r="AC824">
        <v>94.626900000000006</v>
      </c>
      <c r="AD824">
        <f>Table6535[[#This Row],[CFNM]]/Table6535[[#This Row],[CAREA]]</f>
        <v>1.0735343501404502</v>
      </c>
      <c r="AE824">
        <v>2.95085</v>
      </c>
      <c r="AF824">
        <f>-(Table7536[[#This Row],[time]]-2)*2</f>
        <v>-1.9016999999999999</v>
      </c>
      <c r="AG824">
        <v>72.837400000000002</v>
      </c>
      <c r="AH824">
        <v>86.042500000000004</v>
      </c>
      <c r="AI824">
        <f>Table7536[[#This Row],[CFNM]]/Table7536[[#This Row],[CAREA]]</f>
        <v>1.1812955981405158</v>
      </c>
      <c r="AJ824">
        <v>2.95085</v>
      </c>
      <c r="AK824">
        <f>-(Table8537[[#This Row],[time]]-2)*2</f>
        <v>-1.9016999999999999</v>
      </c>
      <c r="AL824">
        <v>76.640100000000004</v>
      </c>
      <c r="AM824">
        <v>87.474500000000006</v>
      </c>
      <c r="AN824">
        <f>Table8537[[#This Row],[CFNM]]/Table8537[[#This Row],[CAREA]]</f>
        <v>1.1413672476940924</v>
      </c>
    </row>
    <row r="825" spans="1:40">
      <c r="A825">
        <v>3</v>
      </c>
      <c r="B825">
        <f>-(Table1530[[#This Row],[time]]-2)*2</f>
        <v>-2</v>
      </c>
      <c r="C825">
        <v>73.610299999999995</v>
      </c>
      <c r="D825">
        <v>61.177599999999998</v>
      </c>
      <c r="E825">
        <f>Table1530[[#This Row],[CFNM]]/Table1530[[#This Row],[CAREA]]</f>
        <v>0.83110108232135993</v>
      </c>
      <c r="F825">
        <v>3</v>
      </c>
      <c r="G825">
        <f>-(Table2531[[#This Row],[time]]-2)*2</f>
        <v>-2</v>
      </c>
      <c r="H825">
        <v>91.706599999999995</v>
      </c>
      <c r="I825">
        <v>54.540599999999998</v>
      </c>
      <c r="J825">
        <f>Table2531[[#This Row],[CFNM]]/Table2531[[#This Row],[CAREA]]</f>
        <v>0.59472927793637531</v>
      </c>
      <c r="K825">
        <v>3</v>
      </c>
      <c r="L825">
        <f>-(Table3532[[#This Row],[time]]-2)*2</f>
        <v>-2</v>
      </c>
      <c r="M825">
        <v>78.880799999999994</v>
      </c>
      <c r="N825">
        <v>71.038399999999996</v>
      </c>
      <c r="O825">
        <f>Table3532[[#This Row],[CFNM]]/Table3532[[#This Row],[CAREA]]</f>
        <v>0.9005791016318293</v>
      </c>
      <c r="P825">
        <v>3</v>
      </c>
      <c r="Q825">
        <f>-(Table4533[[#This Row],[time]]-2)*2</f>
        <v>-2</v>
      </c>
      <c r="R825">
        <v>82.366200000000006</v>
      </c>
      <c r="S825">
        <v>87.291899999999998</v>
      </c>
      <c r="T825">
        <f>Table4533[[#This Row],[CFNM]]/Table4533[[#This Row],[CAREA]]</f>
        <v>1.0598024432352104</v>
      </c>
      <c r="U825">
        <v>3</v>
      </c>
      <c r="V825">
        <f>-(Table5534[[#This Row],[time]]-2)*2</f>
        <v>-2</v>
      </c>
      <c r="W825">
        <v>80.274199999999993</v>
      </c>
      <c r="X825">
        <v>75.957700000000003</v>
      </c>
      <c r="Y825">
        <f>Table5534[[#This Row],[CFNM]]/Table5534[[#This Row],[CAREA]]</f>
        <v>0.94622805334715276</v>
      </c>
      <c r="Z825">
        <v>3</v>
      </c>
      <c r="AA825">
        <f>-(Table6535[[#This Row],[time]]-2)*2</f>
        <v>-2</v>
      </c>
      <c r="AB825">
        <v>87.840999999999994</v>
      </c>
      <c r="AC825">
        <v>99.6053</v>
      </c>
      <c r="AD825">
        <f>Table6535[[#This Row],[CFNM]]/Table6535[[#This Row],[CAREA]]</f>
        <v>1.1339272093896928</v>
      </c>
      <c r="AE825">
        <v>3</v>
      </c>
      <c r="AF825">
        <f>-(Table7536[[#This Row],[time]]-2)*2</f>
        <v>-2</v>
      </c>
      <c r="AG825">
        <v>72.146699999999996</v>
      </c>
      <c r="AH825">
        <v>89.843699999999998</v>
      </c>
      <c r="AI825">
        <f>Table7536[[#This Row],[CFNM]]/Table7536[[#This Row],[CAREA]]</f>
        <v>1.2452918844520955</v>
      </c>
      <c r="AJ825">
        <v>3</v>
      </c>
      <c r="AK825">
        <f>-(Table8537[[#This Row],[time]]-2)*2</f>
        <v>-2</v>
      </c>
      <c r="AL825">
        <v>76.326400000000007</v>
      </c>
      <c r="AM825">
        <v>91.254400000000004</v>
      </c>
      <c r="AN825">
        <f>Table8537[[#This Row],[CFNM]]/Table8537[[#This Row],[CAREA]]</f>
        <v>1.1955810833473084</v>
      </c>
    </row>
    <row r="827" spans="1:40">
      <c r="A827" t="s">
        <v>80</v>
      </c>
      <c r="D827" t="s">
        <v>2</v>
      </c>
    </row>
    <row r="828" spans="1:40">
      <c r="A828" t="s">
        <v>81</v>
      </c>
      <c r="D828" t="s">
        <v>4</v>
      </c>
      <c r="E828" t="s">
        <v>5</v>
      </c>
    </row>
    <row r="830" spans="1:40">
      <c r="A830" t="s">
        <v>7</v>
      </c>
      <c r="F830" t="s">
        <v>8</v>
      </c>
      <c r="K830" t="s">
        <v>9</v>
      </c>
      <c r="P830" t="s">
        <v>26</v>
      </c>
      <c r="U830" t="s">
        <v>11</v>
      </c>
      <c r="Z830" t="s">
        <v>12</v>
      </c>
      <c r="AE830" t="s">
        <v>13</v>
      </c>
      <c r="AJ830" t="s">
        <v>14</v>
      </c>
    </row>
    <row r="831" spans="1:40">
      <c r="A831" t="s">
        <v>15</v>
      </c>
      <c r="B831" t="s">
        <v>16</v>
      </c>
      <c r="C831" t="s">
        <v>20</v>
      </c>
      <c r="D831" t="s">
        <v>18</v>
      </c>
      <c r="E831" t="s">
        <v>19</v>
      </c>
      <c r="F831" t="s">
        <v>15</v>
      </c>
      <c r="G831" t="s">
        <v>16</v>
      </c>
      <c r="H831" t="s">
        <v>20</v>
      </c>
      <c r="I831" t="s">
        <v>18</v>
      </c>
      <c r="J831" t="s">
        <v>19</v>
      </c>
      <c r="K831" t="s">
        <v>15</v>
      </c>
      <c r="L831" t="s">
        <v>16</v>
      </c>
      <c r="M831" t="s">
        <v>20</v>
      </c>
      <c r="N831" t="s">
        <v>18</v>
      </c>
      <c r="O831" t="s">
        <v>19</v>
      </c>
      <c r="P831" t="s">
        <v>15</v>
      </c>
      <c r="Q831" t="s">
        <v>16</v>
      </c>
      <c r="R831" t="s">
        <v>20</v>
      </c>
      <c r="S831" t="s">
        <v>18</v>
      </c>
      <c r="T831" t="s">
        <v>19</v>
      </c>
      <c r="U831" t="s">
        <v>15</v>
      </c>
      <c r="V831" t="s">
        <v>16</v>
      </c>
      <c r="W831" t="s">
        <v>20</v>
      </c>
      <c r="X831" t="s">
        <v>18</v>
      </c>
      <c r="Y831" t="s">
        <v>19</v>
      </c>
      <c r="Z831" t="s">
        <v>15</v>
      </c>
      <c r="AA831" t="s">
        <v>16</v>
      </c>
      <c r="AB831" t="s">
        <v>20</v>
      </c>
      <c r="AC831" t="s">
        <v>18</v>
      </c>
      <c r="AD831" t="s">
        <v>19</v>
      </c>
      <c r="AE831" t="s">
        <v>15</v>
      </c>
      <c r="AF831" t="s">
        <v>16</v>
      </c>
      <c r="AG831" t="s">
        <v>20</v>
      </c>
      <c r="AH831" t="s">
        <v>18</v>
      </c>
      <c r="AI831" t="s">
        <v>19</v>
      </c>
      <c r="AJ831" t="s">
        <v>15</v>
      </c>
      <c r="AK831" t="s">
        <v>16</v>
      </c>
      <c r="AL831" t="s">
        <v>20</v>
      </c>
      <c r="AM831" t="s">
        <v>18</v>
      </c>
      <c r="AN831" t="s">
        <v>19</v>
      </c>
    </row>
    <row r="832" spans="1:40">
      <c r="A832">
        <v>2</v>
      </c>
      <c r="B832">
        <f>(Table110538[[#This Row],[time]]-2)*2</f>
        <v>0</v>
      </c>
      <c r="C832">
        <v>88.6922</v>
      </c>
      <c r="D832">
        <v>9.7512600000000003</v>
      </c>
      <c r="E832" s="2">
        <f>Table110538[[#This Row],[CFNM]]/Table110538[[#This Row],[CAREA]]</f>
        <v>0.10994495570072679</v>
      </c>
      <c r="F832">
        <v>2</v>
      </c>
      <c r="G832">
        <f>(Table211539[[#This Row],[time]]-2)*2</f>
        <v>0</v>
      </c>
      <c r="H832">
        <v>94.576599999999999</v>
      </c>
      <c r="I832">
        <v>2.6341000000000001</v>
      </c>
      <c r="J832" s="2">
        <f>Table211539[[#This Row],[CFNM]]/Table211539[[#This Row],[CAREA]]</f>
        <v>2.7851498150705357E-2</v>
      </c>
      <c r="K832">
        <v>2</v>
      </c>
      <c r="L832">
        <f>(Table312540[[#This Row],[time]]-2)*2</f>
        <v>0</v>
      </c>
      <c r="M832">
        <v>87.261099999999999</v>
      </c>
      <c r="N832">
        <v>2.43161</v>
      </c>
      <c r="O832">
        <f>Table312540[[#This Row],[CFNM]]/Table312540[[#This Row],[CAREA]]</f>
        <v>2.7865910468696822E-2</v>
      </c>
      <c r="P832">
        <v>2</v>
      </c>
      <c r="Q832">
        <f>(Table413541[[#This Row],[time]]-2)*2</f>
        <v>0</v>
      </c>
      <c r="R832">
        <v>85.187899999999999</v>
      </c>
      <c r="S832">
        <v>5.1691200000000004</v>
      </c>
      <c r="T832">
        <f>Table413541[[#This Row],[CFNM]]/Table413541[[#This Row],[CAREA]]</f>
        <v>6.0679040098417736E-2</v>
      </c>
      <c r="U832">
        <v>2</v>
      </c>
      <c r="V832">
        <f>(Table514542[[#This Row],[time]]-2)*2</f>
        <v>0</v>
      </c>
      <c r="W832">
        <v>83.090100000000007</v>
      </c>
      <c r="X832">
        <v>4.71889</v>
      </c>
      <c r="Y832">
        <f>Table514542[[#This Row],[CFNM]]/Table514542[[#This Row],[CAREA]]</f>
        <v>5.679244579077411E-2</v>
      </c>
      <c r="Z832">
        <v>2</v>
      </c>
      <c r="AA832">
        <f>(Table615543[[#This Row],[time]]-2)*2</f>
        <v>0</v>
      </c>
      <c r="AB832">
        <v>85.801400000000001</v>
      </c>
      <c r="AC832">
        <v>12.0952</v>
      </c>
      <c r="AD832">
        <f>Table615543[[#This Row],[CFNM]]/Table615543[[#This Row],[CAREA]]</f>
        <v>0.14096739680238318</v>
      </c>
      <c r="AE832">
        <v>2</v>
      </c>
      <c r="AF832">
        <f>(Table716544[[#This Row],[time]]-2)*2</f>
        <v>0</v>
      </c>
      <c r="AG832">
        <v>77.901899999999998</v>
      </c>
      <c r="AH832">
        <v>21.17</v>
      </c>
      <c r="AI832">
        <f>Table716544[[#This Row],[CFNM]]/Table716544[[#This Row],[CAREA]]</f>
        <v>0.2717520368566107</v>
      </c>
      <c r="AJ832">
        <v>2</v>
      </c>
      <c r="AK832">
        <f>(Table817545[[#This Row],[time]]-2)*2</f>
        <v>0</v>
      </c>
      <c r="AL832">
        <v>83.325999999999993</v>
      </c>
      <c r="AM832">
        <v>21.1831</v>
      </c>
      <c r="AN832">
        <f>Table817545[[#This Row],[CFNM]]/Table817545[[#This Row],[CAREA]]</f>
        <v>0.25421957132227635</v>
      </c>
    </row>
    <row r="833" spans="1:40">
      <c r="A833">
        <v>2.0575000000000001</v>
      </c>
      <c r="B833">
        <f>(Table110538[[#This Row],[time]]-2)*2</f>
        <v>0.11500000000000021</v>
      </c>
      <c r="C833">
        <v>87.943700000000007</v>
      </c>
      <c r="D833">
        <v>8.9161900000000003</v>
      </c>
      <c r="E833">
        <f>Table110538[[#This Row],[CFNM]]/Table110538[[#This Row],[CAREA]]</f>
        <v>0.10138520439781359</v>
      </c>
      <c r="F833">
        <v>2.0575000000000001</v>
      </c>
      <c r="G833">
        <f>(Table211539[[#This Row],[time]]-2)*2</f>
        <v>0.11500000000000021</v>
      </c>
      <c r="H833">
        <v>94.424499999999995</v>
      </c>
      <c r="I833">
        <v>1.6484000000000001</v>
      </c>
      <c r="J833">
        <f>Table211539[[#This Row],[CFNM]]/Table211539[[#This Row],[CAREA]]</f>
        <v>1.745733363692686E-2</v>
      </c>
      <c r="K833">
        <v>2.0575000000000001</v>
      </c>
      <c r="L833">
        <f>(Table312540[[#This Row],[time]]-2)*2</f>
        <v>0.11500000000000021</v>
      </c>
      <c r="M833">
        <v>86.5535</v>
      </c>
      <c r="N833">
        <v>0.46213599999999999</v>
      </c>
      <c r="O833">
        <f>Table312540[[#This Row],[CFNM]]/Table312540[[#This Row],[CAREA]]</f>
        <v>5.3393103687314784E-3</v>
      </c>
      <c r="P833">
        <v>2.0575000000000001</v>
      </c>
      <c r="Q833">
        <f>(Table413541[[#This Row],[time]]-2)*2</f>
        <v>0.11500000000000021</v>
      </c>
      <c r="R833">
        <v>84.552700000000002</v>
      </c>
      <c r="S833">
        <v>2.9265500000000002</v>
      </c>
      <c r="T833">
        <f>Table413541[[#This Row],[CFNM]]/Table413541[[#This Row],[CAREA]]</f>
        <v>3.4612141303589361E-2</v>
      </c>
      <c r="U833">
        <v>2.0575000000000001</v>
      </c>
      <c r="V833">
        <f>(Table514542[[#This Row],[time]]-2)*2</f>
        <v>0.11500000000000021</v>
      </c>
      <c r="W833">
        <v>83.356800000000007</v>
      </c>
      <c r="X833">
        <v>2.3079100000000001</v>
      </c>
      <c r="Y833">
        <f>Table514542[[#This Row],[CFNM]]/Table514542[[#This Row],[CAREA]]</f>
        <v>2.7687123306077008E-2</v>
      </c>
      <c r="Z833">
        <v>2.0575000000000001</v>
      </c>
      <c r="AA833">
        <f>(Table615543[[#This Row],[time]]-2)*2</f>
        <v>0.11500000000000021</v>
      </c>
      <c r="AB833">
        <v>85.252300000000005</v>
      </c>
      <c r="AC833">
        <v>9.2362099999999998</v>
      </c>
      <c r="AD833">
        <f>Table615543[[#This Row],[CFNM]]/Table615543[[#This Row],[CAREA]]</f>
        <v>0.10833971634782873</v>
      </c>
      <c r="AE833">
        <v>2.0575000000000001</v>
      </c>
      <c r="AF833">
        <f>(Table716544[[#This Row],[time]]-2)*2</f>
        <v>0.11500000000000021</v>
      </c>
      <c r="AG833">
        <v>77.791700000000006</v>
      </c>
      <c r="AH833">
        <v>20.023800000000001</v>
      </c>
      <c r="AI833">
        <f>Table716544[[#This Row],[CFNM]]/Table716544[[#This Row],[CAREA]]</f>
        <v>0.2574027820448711</v>
      </c>
      <c r="AJ833">
        <v>2.0575000000000001</v>
      </c>
      <c r="AK833">
        <f>(Table817545[[#This Row],[time]]-2)*2</f>
        <v>0.11500000000000021</v>
      </c>
      <c r="AL833">
        <v>83.533000000000001</v>
      </c>
      <c r="AM833">
        <v>19.837900000000001</v>
      </c>
      <c r="AN833">
        <f>Table817545[[#This Row],[CFNM]]/Table817545[[#This Row],[CAREA]]</f>
        <v>0.23748578406138893</v>
      </c>
    </row>
    <row r="834" spans="1:40">
      <c r="A834">
        <v>2.1025</v>
      </c>
      <c r="B834">
        <f>(Table110538[[#This Row],[time]]-2)*2</f>
        <v>0.20500000000000007</v>
      </c>
      <c r="C834">
        <v>87.122399999999999</v>
      </c>
      <c r="D834">
        <v>8.14602</v>
      </c>
      <c r="E834">
        <f>Table110538[[#This Row],[CFNM]]/Table110538[[#This Row],[CAREA]]</f>
        <v>9.3500867744690228E-2</v>
      </c>
      <c r="F834">
        <v>2.1025</v>
      </c>
      <c r="G834">
        <f>(Table211539[[#This Row],[time]]-2)*2</f>
        <v>0.20500000000000007</v>
      </c>
      <c r="H834">
        <v>94.014399999999995</v>
      </c>
      <c r="I834">
        <v>0.87406399999999995</v>
      </c>
      <c r="J834">
        <f>Table211539[[#This Row],[CFNM]]/Table211539[[#This Row],[CAREA]]</f>
        <v>9.2971289504586527E-3</v>
      </c>
      <c r="K834">
        <v>2.1025</v>
      </c>
      <c r="L834">
        <f>(Table312540[[#This Row],[time]]-2)*2</f>
        <v>0.20500000000000007</v>
      </c>
      <c r="M834">
        <v>85.590699999999998</v>
      </c>
      <c r="N834">
        <v>4.59736E-3</v>
      </c>
      <c r="O834">
        <f>Table312540[[#This Row],[CFNM]]/Table312540[[#This Row],[CAREA]]</f>
        <v>5.3713312310800125E-5</v>
      </c>
      <c r="P834">
        <v>2.1025</v>
      </c>
      <c r="Q834">
        <f>(Table413541[[#This Row],[time]]-2)*2</f>
        <v>0.20500000000000007</v>
      </c>
      <c r="R834">
        <v>83.243799999999993</v>
      </c>
      <c r="S834">
        <v>1.1512100000000001</v>
      </c>
      <c r="T834">
        <f>Table413541[[#This Row],[CFNM]]/Table413541[[#This Row],[CAREA]]</f>
        <v>1.3829378284028361E-2</v>
      </c>
      <c r="U834">
        <v>2.1025</v>
      </c>
      <c r="V834">
        <f>(Table514542[[#This Row],[time]]-2)*2</f>
        <v>0.20500000000000007</v>
      </c>
      <c r="W834">
        <v>83.331999999999994</v>
      </c>
      <c r="X834">
        <v>1.52485</v>
      </c>
      <c r="Y834">
        <f>Table514542[[#This Row],[CFNM]]/Table514542[[#This Row],[CAREA]]</f>
        <v>1.8298492775884415E-2</v>
      </c>
      <c r="Z834">
        <v>2.1025</v>
      </c>
      <c r="AA834">
        <f>(Table615543[[#This Row],[time]]-2)*2</f>
        <v>0.20500000000000007</v>
      </c>
      <c r="AB834">
        <v>84.953500000000005</v>
      </c>
      <c r="AC834">
        <v>8.0119500000000006</v>
      </c>
      <c r="AD834">
        <f>Table615543[[#This Row],[CFNM]]/Table615543[[#This Row],[CAREA]]</f>
        <v>9.4309828317844471E-2</v>
      </c>
      <c r="AE834">
        <v>2.1025</v>
      </c>
      <c r="AF834">
        <f>(Table716544[[#This Row],[time]]-2)*2</f>
        <v>0.20500000000000007</v>
      </c>
      <c r="AG834">
        <v>77.703500000000005</v>
      </c>
      <c r="AH834">
        <v>19.291599999999999</v>
      </c>
      <c r="AI834">
        <f>Table716544[[#This Row],[CFNM]]/Table716544[[#This Row],[CAREA]]</f>
        <v>0.24827195686166001</v>
      </c>
      <c r="AJ834">
        <v>2.1025</v>
      </c>
      <c r="AK834">
        <f>(Table817545[[#This Row],[time]]-2)*2</f>
        <v>0.20500000000000007</v>
      </c>
      <c r="AL834">
        <v>83.636200000000002</v>
      </c>
      <c r="AM834">
        <v>18.937000000000001</v>
      </c>
      <c r="AN834">
        <f>Table817545[[#This Row],[CFNM]]/Table817545[[#This Row],[CAREA]]</f>
        <v>0.22642109517170794</v>
      </c>
    </row>
    <row r="835" spans="1:40">
      <c r="A835">
        <v>2.1671900000000002</v>
      </c>
      <c r="B835">
        <f>(Table110538[[#This Row],[time]]-2)*2</f>
        <v>0.33438000000000034</v>
      </c>
      <c r="C835">
        <v>86.157700000000006</v>
      </c>
      <c r="D835">
        <v>7.5857700000000001</v>
      </c>
      <c r="E835">
        <f>Table110538[[#This Row],[CFNM]]/Table110538[[#This Row],[CAREA]]</f>
        <v>8.8045177621965301E-2</v>
      </c>
      <c r="F835">
        <v>2.1671900000000002</v>
      </c>
      <c r="G835">
        <f>(Table211539[[#This Row],[time]]-2)*2</f>
        <v>0.33438000000000034</v>
      </c>
      <c r="H835">
        <v>93.231300000000005</v>
      </c>
      <c r="I835">
        <v>0.321517</v>
      </c>
      <c r="J835">
        <f>Table211539[[#This Row],[CFNM]]/Table211539[[#This Row],[CAREA]]</f>
        <v>3.4485950533779961E-3</v>
      </c>
      <c r="K835">
        <v>2.1671900000000002</v>
      </c>
      <c r="L835">
        <f>(Table312540[[#This Row],[time]]-2)*2</f>
        <v>0.33438000000000034</v>
      </c>
      <c r="M835">
        <v>84.779700000000005</v>
      </c>
      <c r="N835">
        <v>4.1765600000000002E-3</v>
      </c>
      <c r="O835">
        <f>Table312540[[#This Row],[CFNM]]/Table312540[[#This Row],[CAREA]]</f>
        <v>4.9263679866760558E-5</v>
      </c>
      <c r="P835">
        <v>2.1671900000000002</v>
      </c>
      <c r="Q835">
        <f>(Table413541[[#This Row],[time]]-2)*2</f>
        <v>0.33438000000000034</v>
      </c>
      <c r="R835">
        <v>81.950299999999999</v>
      </c>
      <c r="S835">
        <v>0.17988100000000001</v>
      </c>
      <c r="T835">
        <f>Table413541[[#This Row],[CFNM]]/Table413541[[#This Row],[CAREA]]</f>
        <v>2.195001116530385E-3</v>
      </c>
      <c r="U835">
        <v>2.1671900000000002</v>
      </c>
      <c r="V835">
        <f>(Table514542[[#This Row],[time]]-2)*2</f>
        <v>0.33438000000000034</v>
      </c>
      <c r="W835">
        <v>83.42</v>
      </c>
      <c r="X835">
        <v>0.93001</v>
      </c>
      <c r="Y835">
        <f>Table514542[[#This Row],[CFNM]]/Table514542[[#This Row],[CAREA]]</f>
        <v>1.1148525533445216E-2</v>
      </c>
      <c r="Z835">
        <v>2.1671900000000002</v>
      </c>
      <c r="AA835">
        <f>(Table615543[[#This Row],[time]]-2)*2</f>
        <v>0.33438000000000034</v>
      </c>
      <c r="AB835">
        <v>84.521699999999996</v>
      </c>
      <c r="AC835">
        <v>6.75868</v>
      </c>
      <c r="AD835">
        <f>Table615543[[#This Row],[CFNM]]/Table615543[[#This Row],[CAREA]]</f>
        <v>7.9963843604660106E-2</v>
      </c>
      <c r="AE835">
        <v>2.1671900000000002</v>
      </c>
      <c r="AF835">
        <f>(Table716544[[#This Row],[time]]-2)*2</f>
        <v>0.33438000000000034</v>
      </c>
      <c r="AG835">
        <v>77.567300000000003</v>
      </c>
      <c r="AH835">
        <v>18.409700000000001</v>
      </c>
      <c r="AI835">
        <f>Table716544[[#This Row],[CFNM]]/Table716544[[#This Row],[CAREA]]</f>
        <v>0.23733841451230092</v>
      </c>
      <c r="AJ835">
        <v>2.1671900000000002</v>
      </c>
      <c r="AK835">
        <f>(Table817545[[#This Row],[time]]-2)*2</f>
        <v>0.33438000000000034</v>
      </c>
      <c r="AL835">
        <v>83.626000000000005</v>
      </c>
      <c r="AM835">
        <v>17.754300000000001</v>
      </c>
      <c r="AN835">
        <f>Table817545[[#This Row],[CFNM]]/Table817545[[#This Row],[CAREA]]</f>
        <v>0.21230598139334655</v>
      </c>
    </row>
    <row r="836" spans="1:40">
      <c r="A836">
        <v>2.2146499999999998</v>
      </c>
      <c r="B836">
        <f>(Table110538[[#This Row],[time]]-2)*2</f>
        <v>0.42929999999999957</v>
      </c>
      <c r="C836">
        <v>85.887600000000006</v>
      </c>
      <c r="D836">
        <v>7.4713000000000003</v>
      </c>
      <c r="E836">
        <f>Table110538[[#This Row],[CFNM]]/Table110538[[#This Row],[CAREA]]</f>
        <v>8.6989274353923035E-2</v>
      </c>
      <c r="F836">
        <v>2.2146499999999998</v>
      </c>
      <c r="G836">
        <f>(Table211539[[#This Row],[time]]-2)*2</f>
        <v>0.42929999999999957</v>
      </c>
      <c r="H836">
        <v>92.616900000000001</v>
      </c>
      <c r="I836">
        <v>0.19158700000000001</v>
      </c>
      <c r="J836">
        <f>Table211539[[#This Row],[CFNM]]/Table211539[[#This Row],[CAREA]]</f>
        <v>2.0685965520331603E-3</v>
      </c>
      <c r="K836">
        <v>2.2146499999999998</v>
      </c>
      <c r="L836">
        <f>(Table312540[[#This Row],[time]]-2)*2</f>
        <v>0.42929999999999957</v>
      </c>
      <c r="M836">
        <v>84.387299999999996</v>
      </c>
      <c r="N836">
        <v>4.09904E-3</v>
      </c>
      <c r="O836">
        <f>Table312540[[#This Row],[CFNM]]/Table312540[[#This Row],[CAREA]]</f>
        <v>4.8574133785534083E-5</v>
      </c>
      <c r="P836">
        <v>2.2146499999999998</v>
      </c>
      <c r="Q836">
        <f>(Table413541[[#This Row],[time]]-2)*2</f>
        <v>0.42929999999999957</v>
      </c>
      <c r="R836">
        <v>81.367699999999999</v>
      </c>
      <c r="S836">
        <v>6.0601500000000003E-2</v>
      </c>
      <c r="T836">
        <f>Table413541[[#This Row],[CFNM]]/Table413541[[#This Row],[CAREA]]</f>
        <v>7.4478570735070555E-4</v>
      </c>
      <c r="U836">
        <v>2.2146499999999998</v>
      </c>
      <c r="V836">
        <f>(Table514542[[#This Row],[time]]-2)*2</f>
        <v>0.42929999999999957</v>
      </c>
      <c r="W836">
        <v>83.273700000000005</v>
      </c>
      <c r="X836">
        <v>0.56042199999999998</v>
      </c>
      <c r="Y836">
        <f>Table514542[[#This Row],[CFNM]]/Table514542[[#This Row],[CAREA]]</f>
        <v>6.7298799020579121E-3</v>
      </c>
      <c r="Z836">
        <v>2.2146499999999998</v>
      </c>
      <c r="AA836">
        <f>(Table615543[[#This Row],[time]]-2)*2</f>
        <v>0.42929999999999957</v>
      </c>
      <c r="AB836">
        <v>84.143100000000004</v>
      </c>
      <c r="AC836">
        <v>5.91533</v>
      </c>
      <c r="AD836">
        <f>Table615543[[#This Row],[CFNM]]/Table615543[[#This Row],[CAREA]]</f>
        <v>7.0300832748020931E-2</v>
      </c>
      <c r="AE836">
        <v>2.2146499999999998</v>
      </c>
      <c r="AF836">
        <f>(Table716544[[#This Row],[time]]-2)*2</f>
        <v>0.42929999999999957</v>
      </c>
      <c r="AG836">
        <v>77.638000000000005</v>
      </c>
      <c r="AH836">
        <v>17.754000000000001</v>
      </c>
      <c r="AI836">
        <f>Table716544[[#This Row],[CFNM]]/Table716544[[#This Row],[CAREA]]</f>
        <v>0.22867667894587701</v>
      </c>
      <c r="AJ836">
        <v>2.2146499999999998</v>
      </c>
      <c r="AK836">
        <f>(Table817545[[#This Row],[time]]-2)*2</f>
        <v>0.42929999999999957</v>
      </c>
      <c r="AL836">
        <v>83.659899999999993</v>
      </c>
      <c r="AM836">
        <v>16.884399999999999</v>
      </c>
      <c r="AN836">
        <f>Table817545[[#This Row],[CFNM]]/Table817545[[#This Row],[CAREA]]</f>
        <v>0.20182190033695954</v>
      </c>
    </row>
    <row r="837" spans="1:40">
      <c r="A837">
        <v>2.2715999999999998</v>
      </c>
      <c r="B837">
        <f>(Table110538[[#This Row],[time]]-2)*2</f>
        <v>0.54319999999999968</v>
      </c>
      <c r="C837">
        <v>85.506</v>
      </c>
      <c r="D837">
        <v>7.2956399999999997</v>
      </c>
      <c r="E837">
        <f>Table110538[[#This Row],[CFNM]]/Table110538[[#This Row],[CAREA]]</f>
        <v>8.5323135218581148E-2</v>
      </c>
      <c r="F837">
        <v>2.2715999999999998</v>
      </c>
      <c r="G837">
        <f>(Table211539[[#This Row],[time]]-2)*2</f>
        <v>0.54319999999999968</v>
      </c>
      <c r="H837">
        <v>92.215199999999996</v>
      </c>
      <c r="I837">
        <v>0.13397000000000001</v>
      </c>
      <c r="J837">
        <f>Table211539[[#This Row],[CFNM]]/Table211539[[#This Row],[CAREA]]</f>
        <v>1.4527973696310372E-3</v>
      </c>
      <c r="K837">
        <v>2.2715999999999998</v>
      </c>
      <c r="L837">
        <f>(Table312540[[#This Row],[time]]-2)*2</f>
        <v>0.54319999999999968</v>
      </c>
      <c r="M837">
        <v>83.9589</v>
      </c>
      <c r="N837">
        <v>3.9952E-3</v>
      </c>
      <c r="O837">
        <f>Table312540[[#This Row],[CFNM]]/Table312540[[#This Row],[CAREA]]</f>
        <v>4.7585187514367151E-5</v>
      </c>
      <c r="P837">
        <v>2.2715999999999998</v>
      </c>
      <c r="Q837">
        <f>(Table413541[[#This Row],[time]]-2)*2</f>
        <v>0.54319999999999968</v>
      </c>
      <c r="R837">
        <v>80.766300000000001</v>
      </c>
      <c r="S837">
        <v>6.5609199999999996E-3</v>
      </c>
      <c r="T837">
        <f>Table413541[[#This Row],[CFNM]]/Table413541[[#This Row],[CAREA]]</f>
        <v>8.1233385706662301E-5</v>
      </c>
      <c r="U837">
        <v>2.2715999999999998</v>
      </c>
      <c r="V837">
        <f>(Table514542[[#This Row],[time]]-2)*2</f>
        <v>0.54319999999999968</v>
      </c>
      <c r="W837">
        <v>82.695400000000006</v>
      </c>
      <c r="X837">
        <v>0.14278199999999999</v>
      </c>
      <c r="Y837">
        <f>Table514542[[#This Row],[CFNM]]/Table514542[[#This Row],[CAREA]]</f>
        <v>1.7266014796469935E-3</v>
      </c>
      <c r="Z837">
        <v>2.2715999999999998</v>
      </c>
      <c r="AA837">
        <f>(Table615543[[#This Row],[time]]-2)*2</f>
        <v>0.54319999999999968</v>
      </c>
      <c r="AB837">
        <v>83.742400000000004</v>
      </c>
      <c r="AC837">
        <v>4.9599500000000001</v>
      </c>
      <c r="AD837">
        <f>Table615543[[#This Row],[CFNM]]/Table615543[[#This Row],[CAREA]]</f>
        <v>5.9228658361833428E-2</v>
      </c>
      <c r="AE837">
        <v>2.2715999999999998</v>
      </c>
      <c r="AF837">
        <f>(Table716544[[#This Row],[time]]-2)*2</f>
        <v>0.54319999999999968</v>
      </c>
      <c r="AG837">
        <v>77.804199999999994</v>
      </c>
      <c r="AH837">
        <v>16.973299999999998</v>
      </c>
      <c r="AI837">
        <f>Table716544[[#This Row],[CFNM]]/Table716544[[#This Row],[CAREA]]</f>
        <v>0.21815403281570916</v>
      </c>
      <c r="AJ837">
        <v>2.2715999999999998</v>
      </c>
      <c r="AK837">
        <f>(Table817545[[#This Row],[time]]-2)*2</f>
        <v>0.54319999999999968</v>
      </c>
      <c r="AL837">
        <v>83.717799999999997</v>
      </c>
      <c r="AM837">
        <v>15.862</v>
      </c>
      <c r="AN837">
        <f>Table817545[[#This Row],[CFNM]]/Table817545[[#This Row],[CAREA]]</f>
        <v>0.18946986184539011</v>
      </c>
    </row>
    <row r="838" spans="1:40">
      <c r="A838">
        <v>2.32233</v>
      </c>
      <c r="B838">
        <f>(Table110538[[#This Row],[time]]-2)*2</f>
        <v>0.64466000000000001</v>
      </c>
      <c r="C838">
        <v>85.128799999999998</v>
      </c>
      <c r="D838">
        <v>7.15076</v>
      </c>
      <c r="E838">
        <f>Table110538[[#This Row],[CFNM]]/Table110538[[#This Row],[CAREA]]</f>
        <v>8.3999304583172799E-2</v>
      </c>
      <c r="F838">
        <v>2.32233</v>
      </c>
      <c r="G838">
        <f>(Table211539[[#This Row],[time]]-2)*2</f>
        <v>0.64466000000000001</v>
      </c>
      <c r="H838">
        <v>91.937399999999997</v>
      </c>
      <c r="I838">
        <v>8.3015099999999994E-2</v>
      </c>
      <c r="J838">
        <f>Table211539[[#This Row],[CFNM]]/Table211539[[#This Row],[CAREA]]</f>
        <v>9.0295244372801489E-4</v>
      </c>
      <c r="K838">
        <v>2.32233</v>
      </c>
      <c r="L838">
        <f>(Table312540[[#This Row],[time]]-2)*2</f>
        <v>0.64466000000000001</v>
      </c>
      <c r="M838">
        <v>83.4876</v>
      </c>
      <c r="N838">
        <v>3.8960900000000001E-3</v>
      </c>
      <c r="O838">
        <f>Table312540[[#This Row],[CFNM]]/Table312540[[#This Row],[CAREA]]</f>
        <v>4.6666690622319962E-5</v>
      </c>
      <c r="P838">
        <v>2.32233</v>
      </c>
      <c r="Q838">
        <f>(Table413541[[#This Row],[time]]-2)*2</f>
        <v>0.64466000000000001</v>
      </c>
      <c r="R838">
        <v>80.406800000000004</v>
      </c>
      <c r="S838">
        <v>5.5216099999999997E-3</v>
      </c>
      <c r="T838">
        <f>Table413541[[#This Row],[CFNM]]/Table413541[[#This Row],[CAREA]]</f>
        <v>6.8670933304148393E-5</v>
      </c>
      <c r="U838">
        <v>2.32233</v>
      </c>
      <c r="V838">
        <f>(Table514542[[#This Row],[time]]-2)*2</f>
        <v>0.64466000000000001</v>
      </c>
      <c r="W838">
        <v>82.516499999999994</v>
      </c>
      <c r="X838">
        <v>5.5070400000000004E-3</v>
      </c>
      <c r="Y838">
        <f>Table514542[[#This Row],[CFNM]]/Table514542[[#This Row],[CAREA]]</f>
        <v>6.6738652269546098E-5</v>
      </c>
      <c r="Z838">
        <v>2.32233</v>
      </c>
      <c r="AA838">
        <f>(Table615543[[#This Row],[time]]-2)*2</f>
        <v>0.64466000000000001</v>
      </c>
      <c r="AB838">
        <v>83.476799999999997</v>
      </c>
      <c r="AC838">
        <v>4.2423400000000004</v>
      </c>
      <c r="AD838">
        <f>Table615543[[#This Row],[CFNM]]/Table615543[[#This Row],[CAREA]]</f>
        <v>5.0820587276944017E-2</v>
      </c>
      <c r="AE838">
        <v>2.32233</v>
      </c>
      <c r="AF838">
        <f>(Table716544[[#This Row],[time]]-2)*2</f>
        <v>0.64466000000000001</v>
      </c>
      <c r="AG838">
        <v>77.870099999999994</v>
      </c>
      <c r="AH838">
        <v>16.328199999999999</v>
      </c>
      <c r="AI838">
        <f>Table716544[[#This Row],[CFNM]]/Table716544[[#This Row],[CAREA]]</f>
        <v>0.20968510378181099</v>
      </c>
      <c r="AJ838">
        <v>2.32233</v>
      </c>
      <c r="AK838">
        <f>(Table817545[[#This Row],[time]]-2)*2</f>
        <v>0.64466000000000001</v>
      </c>
      <c r="AL838">
        <v>83.713700000000003</v>
      </c>
      <c r="AM838">
        <v>15.016999999999999</v>
      </c>
      <c r="AN838">
        <f>Table817545[[#This Row],[CFNM]]/Table817545[[#This Row],[CAREA]]</f>
        <v>0.17938521412863126</v>
      </c>
    </row>
    <row r="839" spans="1:40">
      <c r="A839">
        <v>2.3587899999999999</v>
      </c>
      <c r="B839">
        <f>(Table110538[[#This Row],[time]]-2)*2</f>
        <v>0.71757999999999988</v>
      </c>
      <c r="C839">
        <v>84.905000000000001</v>
      </c>
      <c r="D839">
        <v>7.0191600000000003</v>
      </c>
      <c r="E839">
        <f>Table110538[[#This Row],[CFNM]]/Table110538[[#This Row],[CAREA]]</f>
        <v>8.2670749661386253E-2</v>
      </c>
      <c r="F839">
        <v>2.3587899999999999</v>
      </c>
      <c r="G839">
        <f>(Table211539[[#This Row],[time]]-2)*2</f>
        <v>0.71757999999999988</v>
      </c>
      <c r="H839">
        <v>91.708200000000005</v>
      </c>
      <c r="I839">
        <v>4.5560999999999997E-2</v>
      </c>
      <c r="J839">
        <f>Table211539[[#This Row],[CFNM]]/Table211539[[#This Row],[CAREA]]</f>
        <v>4.968039935360196E-4</v>
      </c>
      <c r="K839">
        <v>2.3587899999999999</v>
      </c>
      <c r="L839">
        <f>(Table312540[[#This Row],[time]]-2)*2</f>
        <v>0.71757999999999988</v>
      </c>
      <c r="M839">
        <v>83.189599999999999</v>
      </c>
      <c r="N839">
        <v>3.83205E-3</v>
      </c>
      <c r="O839">
        <f>Table312540[[#This Row],[CFNM]]/Table312540[[#This Row],[CAREA]]</f>
        <v>4.6064051275640226E-5</v>
      </c>
      <c r="P839">
        <v>2.3587899999999999</v>
      </c>
      <c r="Q839">
        <f>(Table413541[[#This Row],[time]]-2)*2</f>
        <v>0.71757999999999988</v>
      </c>
      <c r="R839">
        <v>80.169399999999996</v>
      </c>
      <c r="S839">
        <v>5.3786800000000003E-3</v>
      </c>
      <c r="T839">
        <f>Table413541[[#This Row],[CFNM]]/Table413541[[#This Row],[CAREA]]</f>
        <v>6.7091433888740595E-5</v>
      </c>
      <c r="U839">
        <v>2.3587899999999999</v>
      </c>
      <c r="V839">
        <f>(Table514542[[#This Row],[time]]-2)*2</f>
        <v>0.71757999999999988</v>
      </c>
      <c r="W839">
        <v>82.348600000000005</v>
      </c>
      <c r="X839">
        <v>4.9560799999999999E-3</v>
      </c>
      <c r="Y839">
        <f>Table514542[[#This Row],[CFNM]]/Table514542[[#This Row],[CAREA]]</f>
        <v>6.0184143992733324E-5</v>
      </c>
      <c r="Z839">
        <v>2.3587899999999999</v>
      </c>
      <c r="AA839">
        <f>(Table615543[[#This Row],[time]]-2)*2</f>
        <v>0.71757999999999988</v>
      </c>
      <c r="AB839">
        <v>83.281800000000004</v>
      </c>
      <c r="AC839">
        <v>3.7699400000000001</v>
      </c>
      <c r="AD839">
        <f>Table615543[[#This Row],[CFNM]]/Table615543[[#This Row],[CAREA]]</f>
        <v>4.5267273281797464E-2</v>
      </c>
      <c r="AE839">
        <v>2.3587899999999999</v>
      </c>
      <c r="AF839">
        <f>(Table716544[[#This Row],[time]]-2)*2</f>
        <v>0.71757999999999988</v>
      </c>
      <c r="AG839">
        <v>77.957400000000007</v>
      </c>
      <c r="AH839">
        <v>15.8576</v>
      </c>
      <c r="AI839">
        <f>Table716544[[#This Row],[CFNM]]/Table716544[[#This Row],[CAREA]]</f>
        <v>0.20341365925492638</v>
      </c>
      <c r="AJ839">
        <v>2.3587899999999999</v>
      </c>
      <c r="AK839">
        <f>(Table817545[[#This Row],[time]]-2)*2</f>
        <v>0.71757999999999988</v>
      </c>
      <c r="AL839">
        <v>83.706500000000005</v>
      </c>
      <c r="AM839">
        <v>14.4003</v>
      </c>
      <c r="AN839">
        <f>Table817545[[#This Row],[CFNM]]/Table817545[[#This Row],[CAREA]]</f>
        <v>0.17203323517289576</v>
      </c>
    </row>
    <row r="840" spans="1:40">
      <c r="A840">
        <v>2.4015499999999999</v>
      </c>
      <c r="B840">
        <f>(Table110538[[#This Row],[time]]-2)*2</f>
        <v>0.8030999999999997</v>
      </c>
      <c r="C840">
        <v>84.5471</v>
      </c>
      <c r="D840">
        <v>6.9005700000000001</v>
      </c>
      <c r="E840">
        <f>Table110538[[#This Row],[CFNM]]/Table110538[[#This Row],[CAREA]]</f>
        <v>8.1618056680832343E-2</v>
      </c>
      <c r="F840">
        <v>2.4015499999999999</v>
      </c>
      <c r="G840">
        <f>(Table211539[[#This Row],[time]]-2)*2</f>
        <v>0.8030999999999997</v>
      </c>
      <c r="H840">
        <v>91.291300000000007</v>
      </c>
      <c r="I840">
        <v>7.7115300000000003E-3</v>
      </c>
      <c r="J840">
        <f>Table211539[[#This Row],[CFNM]]/Table211539[[#This Row],[CAREA]]</f>
        <v>8.4471685691845776E-5</v>
      </c>
      <c r="K840">
        <v>2.4015499999999999</v>
      </c>
      <c r="L840">
        <f>(Table312540[[#This Row],[time]]-2)*2</f>
        <v>0.8030999999999997</v>
      </c>
      <c r="M840">
        <v>82.881100000000004</v>
      </c>
      <c r="N840">
        <v>3.7556600000000001E-3</v>
      </c>
      <c r="O840">
        <f>Table312540[[#This Row],[CFNM]]/Table312540[[#This Row],[CAREA]]</f>
        <v>4.531382908769309E-5</v>
      </c>
      <c r="P840">
        <v>2.4015499999999999</v>
      </c>
      <c r="Q840">
        <f>(Table413541[[#This Row],[time]]-2)*2</f>
        <v>0.8030999999999997</v>
      </c>
      <c r="R840">
        <v>79.901499999999999</v>
      </c>
      <c r="S840">
        <v>5.3045699999999998E-3</v>
      </c>
      <c r="T840">
        <f>Table413541[[#This Row],[CFNM]]/Table413541[[#This Row],[CAREA]]</f>
        <v>6.6388866291621556E-5</v>
      </c>
      <c r="U840">
        <v>2.4015499999999999</v>
      </c>
      <c r="V840">
        <f>(Table514542[[#This Row],[time]]-2)*2</f>
        <v>0.8030999999999997</v>
      </c>
      <c r="W840">
        <v>81.386499999999998</v>
      </c>
      <c r="X840">
        <v>4.7971799999999998E-3</v>
      </c>
      <c r="Y840">
        <f>Table514542[[#This Row],[CFNM]]/Table514542[[#This Row],[CAREA]]</f>
        <v>5.894319082403101E-5</v>
      </c>
      <c r="Z840">
        <v>2.4015499999999999</v>
      </c>
      <c r="AA840">
        <f>(Table615543[[#This Row],[time]]-2)*2</f>
        <v>0.8030999999999997</v>
      </c>
      <c r="AB840">
        <v>83.052300000000002</v>
      </c>
      <c r="AC840">
        <v>3.2288999999999999</v>
      </c>
      <c r="AD840">
        <f>Table615543[[#This Row],[CFNM]]/Table615543[[#This Row],[CAREA]]</f>
        <v>3.8877911869990352E-2</v>
      </c>
      <c r="AE840">
        <v>2.4015499999999999</v>
      </c>
      <c r="AF840">
        <f>(Table716544[[#This Row],[time]]-2)*2</f>
        <v>0.8030999999999997</v>
      </c>
      <c r="AG840">
        <v>78.020899999999997</v>
      </c>
      <c r="AH840">
        <v>15.2873</v>
      </c>
      <c r="AI840">
        <f>Table716544[[#This Row],[CFNM]]/Table716544[[#This Row],[CAREA]]</f>
        <v>0.19593852416467897</v>
      </c>
      <c r="AJ840">
        <v>2.4015499999999999</v>
      </c>
      <c r="AK840">
        <f>(Table817545[[#This Row],[time]]-2)*2</f>
        <v>0.8030999999999997</v>
      </c>
      <c r="AL840">
        <v>83.6952</v>
      </c>
      <c r="AM840">
        <v>13.6585</v>
      </c>
      <c r="AN840">
        <f>Table817545[[#This Row],[CFNM]]/Table817545[[#This Row],[CAREA]]</f>
        <v>0.16319334920043205</v>
      </c>
    </row>
    <row r="841" spans="1:40">
      <c r="A841">
        <v>2.47973</v>
      </c>
      <c r="B841">
        <f>(Table110538[[#This Row],[time]]-2)*2</f>
        <v>0.95945999999999998</v>
      </c>
      <c r="C841">
        <v>83.830200000000005</v>
      </c>
      <c r="D841">
        <v>6.65909</v>
      </c>
      <c r="E841">
        <f>Table110538[[#This Row],[CFNM]]/Table110538[[#This Row],[CAREA]]</f>
        <v>7.9435454048779552E-2</v>
      </c>
      <c r="F841">
        <v>2.47973</v>
      </c>
      <c r="G841">
        <f>(Table211539[[#This Row],[time]]-2)*2</f>
        <v>0.95945999999999998</v>
      </c>
      <c r="H841">
        <v>90.536100000000005</v>
      </c>
      <c r="I841">
        <v>4.1329400000000002E-2</v>
      </c>
      <c r="J841">
        <f>Table211539[[#This Row],[CFNM]]/Table211539[[#This Row],[CAREA]]</f>
        <v>4.5649635891097584E-4</v>
      </c>
      <c r="K841">
        <v>2.47973</v>
      </c>
      <c r="L841">
        <f>(Table312540[[#This Row],[time]]-2)*2</f>
        <v>0.95945999999999998</v>
      </c>
      <c r="M841">
        <v>82.235500000000002</v>
      </c>
      <c r="N841">
        <v>3.6035300000000002E-3</v>
      </c>
      <c r="O841">
        <f>Table312540[[#This Row],[CFNM]]/Table312540[[#This Row],[CAREA]]</f>
        <v>4.3819639936523763E-5</v>
      </c>
      <c r="P841">
        <v>2.47973</v>
      </c>
      <c r="Q841">
        <f>(Table413541[[#This Row],[time]]-2)*2</f>
        <v>0.95945999999999998</v>
      </c>
      <c r="R841">
        <v>79.324399999999997</v>
      </c>
      <c r="S841">
        <v>5.1512800000000003E-3</v>
      </c>
      <c r="T841">
        <f>Table413541[[#This Row],[CFNM]]/Table413541[[#This Row],[CAREA]]</f>
        <v>6.4939413345704476E-5</v>
      </c>
      <c r="U841">
        <v>2.47973</v>
      </c>
      <c r="V841">
        <f>(Table514542[[#This Row],[time]]-2)*2</f>
        <v>0.95945999999999998</v>
      </c>
      <c r="W841">
        <v>80.701400000000007</v>
      </c>
      <c r="X841">
        <v>4.5008699999999997E-3</v>
      </c>
      <c r="Y841">
        <f>Table514542[[#This Row],[CFNM]]/Table514542[[#This Row],[CAREA]]</f>
        <v>5.5771894911364602E-5</v>
      </c>
      <c r="Z841">
        <v>2.47973</v>
      </c>
      <c r="AA841">
        <f>(Table615543[[#This Row],[time]]-2)*2</f>
        <v>0.95945999999999998</v>
      </c>
      <c r="AB841">
        <v>82.637799999999999</v>
      </c>
      <c r="AC841">
        <v>2.3779300000000001</v>
      </c>
      <c r="AD841">
        <f>Table615543[[#This Row],[CFNM]]/Table615543[[#This Row],[CAREA]]</f>
        <v>2.877533041779912E-2</v>
      </c>
      <c r="AE841">
        <v>2.47973</v>
      </c>
      <c r="AF841">
        <f>(Table716544[[#This Row],[time]]-2)*2</f>
        <v>0.95945999999999998</v>
      </c>
      <c r="AG841">
        <v>78.1066</v>
      </c>
      <c r="AH841">
        <v>14.168100000000001</v>
      </c>
      <c r="AI841">
        <f>Table716544[[#This Row],[CFNM]]/Table716544[[#This Row],[CAREA]]</f>
        <v>0.18139440200956131</v>
      </c>
      <c r="AJ841">
        <v>2.47973</v>
      </c>
      <c r="AK841">
        <f>(Table817545[[#This Row],[time]]-2)*2</f>
        <v>0.95945999999999998</v>
      </c>
      <c r="AL841">
        <v>83.6541</v>
      </c>
      <c r="AM841">
        <v>12.3263</v>
      </c>
      <c r="AN841">
        <f>Table817545[[#This Row],[CFNM]]/Table817545[[#This Row],[CAREA]]</f>
        <v>0.14734842643695886</v>
      </c>
    </row>
    <row r="842" spans="1:40">
      <c r="A842">
        <v>2.51017</v>
      </c>
      <c r="B842">
        <f>(Table110538[[#This Row],[time]]-2)*2</f>
        <v>1.02034</v>
      </c>
      <c r="C842">
        <v>83.320300000000003</v>
      </c>
      <c r="D842">
        <v>6.5418799999999999</v>
      </c>
      <c r="E842">
        <f>Table110538[[#This Row],[CFNM]]/Table110538[[#This Row],[CAREA]]</f>
        <v>7.8514839720932345E-2</v>
      </c>
      <c r="F842">
        <v>2.51017</v>
      </c>
      <c r="G842">
        <f>(Table211539[[#This Row],[time]]-2)*2</f>
        <v>1.02034</v>
      </c>
      <c r="H842">
        <v>90.260800000000003</v>
      </c>
      <c r="I842">
        <v>5.8721599999999999E-2</v>
      </c>
      <c r="J842">
        <f>Table211539[[#This Row],[CFNM]]/Table211539[[#This Row],[CAREA]]</f>
        <v>6.5057699466435038E-4</v>
      </c>
      <c r="K842">
        <v>2.51017</v>
      </c>
      <c r="L842">
        <f>(Table312540[[#This Row],[time]]-2)*2</f>
        <v>1.02034</v>
      </c>
      <c r="M842">
        <v>82.001800000000003</v>
      </c>
      <c r="N842">
        <v>3.5400100000000001E-3</v>
      </c>
      <c r="O842">
        <f>Table312540[[#This Row],[CFNM]]/Table312540[[#This Row],[CAREA]]</f>
        <v>4.3169906026453081E-5</v>
      </c>
      <c r="P842">
        <v>2.51017</v>
      </c>
      <c r="Q842">
        <f>(Table413541[[#This Row],[time]]-2)*2</f>
        <v>1.02034</v>
      </c>
      <c r="R842">
        <v>79.072299999999998</v>
      </c>
      <c r="S842">
        <v>5.0841999999999997E-3</v>
      </c>
      <c r="T842">
        <f>Table413541[[#This Row],[CFNM]]/Table413541[[#This Row],[CAREA]]</f>
        <v>6.4298117039721868E-5</v>
      </c>
      <c r="U842">
        <v>2.51017</v>
      </c>
      <c r="V842">
        <f>(Table514542[[#This Row],[time]]-2)*2</f>
        <v>1.02034</v>
      </c>
      <c r="W842">
        <v>80.532600000000002</v>
      </c>
      <c r="X842">
        <v>4.3952599999999998E-3</v>
      </c>
      <c r="Y842">
        <f>Table514542[[#This Row],[CFNM]]/Table514542[[#This Row],[CAREA]]</f>
        <v>5.4577400953154368E-5</v>
      </c>
      <c r="Z842">
        <v>2.51017</v>
      </c>
      <c r="AA842">
        <f>(Table615543[[#This Row],[time]]-2)*2</f>
        <v>1.02034</v>
      </c>
      <c r="AB842">
        <v>82.496099999999998</v>
      </c>
      <c r="AC842">
        <v>2.08033</v>
      </c>
      <c r="AD842">
        <f>Table615543[[#This Row],[CFNM]]/Table615543[[#This Row],[CAREA]]</f>
        <v>2.521731330329555E-2</v>
      </c>
      <c r="AE842">
        <v>2.51017</v>
      </c>
      <c r="AF842">
        <f>(Table716544[[#This Row],[time]]-2)*2</f>
        <v>1.02034</v>
      </c>
      <c r="AG842">
        <v>78.1935</v>
      </c>
      <c r="AH842">
        <v>13.7127</v>
      </c>
      <c r="AI842">
        <f>Table716544[[#This Row],[CFNM]]/Table716544[[#This Row],[CAREA]]</f>
        <v>0.17536879663910682</v>
      </c>
      <c r="AJ842">
        <v>2.51017</v>
      </c>
      <c r="AK842">
        <f>(Table817545[[#This Row],[time]]-2)*2</f>
        <v>1.02034</v>
      </c>
      <c r="AL842">
        <v>83.638999999999996</v>
      </c>
      <c r="AM842">
        <v>11.808199999999999</v>
      </c>
      <c r="AN842">
        <f>Table817545[[#This Row],[CFNM]]/Table817545[[#This Row],[CAREA]]</f>
        <v>0.14118054974354069</v>
      </c>
    </row>
    <row r="843" spans="1:40">
      <c r="A843">
        <v>2.5632600000000001</v>
      </c>
      <c r="B843">
        <f>(Table110538[[#This Row],[time]]-2)*2</f>
        <v>1.1265200000000002</v>
      </c>
      <c r="C843">
        <v>82.587699999999998</v>
      </c>
      <c r="D843">
        <v>6.3478399999999997</v>
      </c>
      <c r="E843">
        <f>Table110538[[#This Row],[CFNM]]/Table110538[[#This Row],[CAREA]]</f>
        <v>7.6861808719700386E-2</v>
      </c>
      <c r="F843">
        <v>2.5632600000000001</v>
      </c>
      <c r="G843">
        <f>(Table211539[[#This Row],[time]]-2)*2</f>
        <v>1.1265200000000002</v>
      </c>
      <c r="H843">
        <v>89.744799999999998</v>
      </c>
      <c r="I843">
        <v>8.5738599999999998E-2</v>
      </c>
      <c r="J843">
        <f>Table211539[[#This Row],[CFNM]]/Table211539[[#This Row],[CAREA]]</f>
        <v>9.5536008771538849E-4</v>
      </c>
      <c r="K843">
        <v>2.5632600000000001</v>
      </c>
      <c r="L843">
        <f>(Table312540[[#This Row],[time]]-2)*2</f>
        <v>1.1265200000000002</v>
      </c>
      <c r="M843">
        <v>81.528800000000004</v>
      </c>
      <c r="N843">
        <v>3.4186899999999998E-3</v>
      </c>
      <c r="O843">
        <f>Table312540[[#This Row],[CFNM]]/Table312540[[#This Row],[CAREA]]</f>
        <v>4.1932298770495822E-5</v>
      </c>
      <c r="P843">
        <v>2.5632600000000001</v>
      </c>
      <c r="Q843">
        <f>(Table413541[[#This Row],[time]]-2)*2</f>
        <v>1.1265200000000002</v>
      </c>
      <c r="R843">
        <v>78.694699999999997</v>
      </c>
      <c r="S843">
        <v>4.9763999999999997E-3</v>
      </c>
      <c r="T843">
        <f>Table413541[[#This Row],[CFNM]]/Table413541[[#This Row],[CAREA]]</f>
        <v>6.323678722963554E-5</v>
      </c>
      <c r="U843">
        <v>2.5632600000000001</v>
      </c>
      <c r="V843">
        <f>(Table514542[[#This Row],[time]]-2)*2</f>
        <v>1.1265200000000002</v>
      </c>
      <c r="W843">
        <v>80.120599999999996</v>
      </c>
      <c r="X843">
        <v>4.2217499999999998E-3</v>
      </c>
      <c r="Y843">
        <f>Table514542[[#This Row],[CFNM]]/Table514542[[#This Row],[CAREA]]</f>
        <v>5.2692441144973954E-5</v>
      </c>
      <c r="Z843">
        <v>2.5632600000000001</v>
      </c>
      <c r="AA843">
        <f>(Table615543[[#This Row],[time]]-2)*2</f>
        <v>1.1265200000000002</v>
      </c>
      <c r="AB843">
        <v>82.009699999999995</v>
      </c>
      <c r="AC843">
        <v>1.56708</v>
      </c>
      <c r="AD843">
        <f>Table615543[[#This Row],[CFNM]]/Table615543[[#This Row],[CAREA]]</f>
        <v>1.9108471314978597E-2</v>
      </c>
      <c r="AE843">
        <v>2.5632600000000001</v>
      </c>
      <c r="AF843">
        <f>(Table716544[[#This Row],[time]]-2)*2</f>
        <v>1.1265200000000002</v>
      </c>
      <c r="AG843">
        <v>78.290999999999997</v>
      </c>
      <c r="AH843">
        <v>12.902799999999999</v>
      </c>
      <c r="AI843">
        <f>Table716544[[#This Row],[CFNM]]/Table716544[[#This Row],[CAREA]]</f>
        <v>0.16480566093165241</v>
      </c>
      <c r="AJ843">
        <v>2.5632600000000001</v>
      </c>
      <c r="AK843">
        <f>(Table817545[[#This Row],[time]]-2)*2</f>
        <v>1.1265200000000002</v>
      </c>
      <c r="AL843">
        <v>83.632900000000006</v>
      </c>
      <c r="AM843">
        <v>10.904500000000001</v>
      </c>
      <c r="AN843">
        <f>Table817545[[#This Row],[CFNM]]/Table817545[[#This Row],[CAREA]]</f>
        <v>0.1303852909560711</v>
      </c>
    </row>
    <row r="844" spans="1:40">
      <c r="A844">
        <v>2.61022</v>
      </c>
      <c r="B844">
        <f>(Table110538[[#This Row],[time]]-2)*2</f>
        <v>1.22044</v>
      </c>
      <c r="C844">
        <v>82.191299999999998</v>
      </c>
      <c r="D844">
        <v>6.1849600000000002</v>
      </c>
      <c r="E844">
        <f>Table110538[[#This Row],[CFNM]]/Table110538[[#This Row],[CAREA]]</f>
        <v>7.5250786883769946E-2</v>
      </c>
      <c r="F844">
        <v>2.61022</v>
      </c>
      <c r="G844">
        <f>(Table211539[[#This Row],[time]]-2)*2</f>
        <v>1.22044</v>
      </c>
      <c r="H844">
        <v>89.282300000000006</v>
      </c>
      <c r="I844">
        <v>0.10489900000000001</v>
      </c>
      <c r="J844">
        <f>Table211539[[#This Row],[CFNM]]/Table211539[[#This Row],[CAREA]]</f>
        <v>1.1749137287009855E-3</v>
      </c>
      <c r="K844">
        <v>2.61022</v>
      </c>
      <c r="L844">
        <f>(Table312540[[#This Row],[time]]-2)*2</f>
        <v>1.22044</v>
      </c>
      <c r="M844">
        <v>81.185400000000001</v>
      </c>
      <c r="N844">
        <v>3.3088700000000002E-3</v>
      </c>
      <c r="O844">
        <f>Table312540[[#This Row],[CFNM]]/Table312540[[#This Row],[CAREA]]</f>
        <v>4.0756958763521524E-5</v>
      </c>
      <c r="P844">
        <v>2.61022</v>
      </c>
      <c r="Q844">
        <f>(Table413541[[#This Row],[time]]-2)*2</f>
        <v>1.22044</v>
      </c>
      <c r="R844">
        <v>77.935199999999995</v>
      </c>
      <c r="S844">
        <v>4.8793300000000003E-3</v>
      </c>
      <c r="T844">
        <f>Table413541[[#This Row],[CFNM]]/Table413541[[#This Row],[CAREA]]</f>
        <v>6.2607525226085272E-5</v>
      </c>
      <c r="U844">
        <v>2.61022</v>
      </c>
      <c r="V844">
        <f>(Table514542[[#This Row],[time]]-2)*2</f>
        <v>1.22044</v>
      </c>
      <c r="W844">
        <v>79.900000000000006</v>
      </c>
      <c r="X844">
        <v>4.06705E-3</v>
      </c>
      <c r="Y844">
        <f>Table514542[[#This Row],[CFNM]]/Table514542[[#This Row],[CAREA]]</f>
        <v>5.0901752190237796E-5</v>
      </c>
      <c r="Z844">
        <v>2.61022</v>
      </c>
      <c r="AA844">
        <f>(Table615543[[#This Row],[time]]-2)*2</f>
        <v>1.22044</v>
      </c>
      <c r="AB844">
        <v>81.7761</v>
      </c>
      <c r="AC844">
        <v>1.11815</v>
      </c>
      <c r="AD844">
        <f>Table615543[[#This Row],[CFNM]]/Table615543[[#This Row],[CAREA]]</f>
        <v>1.3673310417102307E-2</v>
      </c>
      <c r="AE844">
        <v>2.61022</v>
      </c>
      <c r="AF844">
        <f>(Table716544[[#This Row],[time]]-2)*2</f>
        <v>1.22044</v>
      </c>
      <c r="AG844">
        <v>78.363100000000003</v>
      </c>
      <c r="AH844">
        <v>12.193</v>
      </c>
      <c r="AI844">
        <f>Table716544[[#This Row],[CFNM]]/Table716544[[#This Row],[CAREA]]</f>
        <v>0.15559619259574978</v>
      </c>
      <c r="AJ844">
        <v>2.61022</v>
      </c>
      <c r="AK844">
        <f>(Table817545[[#This Row],[time]]-2)*2</f>
        <v>1.22044</v>
      </c>
      <c r="AL844">
        <v>83.582599999999999</v>
      </c>
      <c r="AM844">
        <v>10.118</v>
      </c>
      <c r="AN844">
        <f>Table817545[[#This Row],[CFNM]]/Table817545[[#This Row],[CAREA]]</f>
        <v>0.12105390356366039</v>
      </c>
    </row>
    <row r="845" spans="1:40">
      <c r="A845">
        <v>2.6619299999999999</v>
      </c>
      <c r="B845">
        <f>(Table110538[[#This Row],[time]]-2)*2</f>
        <v>1.3238599999999998</v>
      </c>
      <c r="C845">
        <v>81.771100000000004</v>
      </c>
      <c r="D845">
        <v>5.9806699999999999</v>
      </c>
      <c r="E845">
        <f>Table110538[[#This Row],[CFNM]]/Table110538[[#This Row],[CAREA]]</f>
        <v>7.313916530412333E-2</v>
      </c>
      <c r="F845">
        <v>2.6619299999999999</v>
      </c>
      <c r="G845">
        <f>(Table211539[[#This Row],[time]]-2)*2</f>
        <v>1.3238599999999998</v>
      </c>
      <c r="H845">
        <v>88.803700000000006</v>
      </c>
      <c r="I845">
        <v>0.12306</v>
      </c>
      <c r="J845">
        <f>Table211539[[#This Row],[CFNM]]/Table211539[[#This Row],[CAREA]]</f>
        <v>1.3857530710995149E-3</v>
      </c>
      <c r="K845">
        <v>2.6619299999999999</v>
      </c>
      <c r="L845">
        <f>(Table312540[[#This Row],[time]]-2)*2</f>
        <v>1.3238599999999998</v>
      </c>
      <c r="M845">
        <v>80.820599999999999</v>
      </c>
      <c r="N845">
        <v>3.1830299999999999E-3</v>
      </c>
      <c r="O845">
        <f>Table312540[[#This Row],[CFNM]]/Table312540[[#This Row],[CAREA]]</f>
        <v>3.9383894700113583E-5</v>
      </c>
      <c r="P845">
        <v>2.6619299999999999</v>
      </c>
      <c r="Q845">
        <f>(Table413541[[#This Row],[time]]-2)*2</f>
        <v>1.3238599999999998</v>
      </c>
      <c r="R845">
        <v>77.583500000000001</v>
      </c>
      <c r="S845">
        <v>4.7769800000000001E-3</v>
      </c>
      <c r="T845">
        <f>Table413541[[#This Row],[CFNM]]/Table413541[[#This Row],[CAREA]]</f>
        <v>6.1572112627040546E-5</v>
      </c>
      <c r="U845">
        <v>2.6619299999999999</v>
      </c>
      <c r="V845">
        <f>(Table514542[[#This Row],[time]]-2)*2</f>
        <v>1.3238599999999998</v>
      </c>
      <c r="W845">
        <v>79.575900000000004</v>
      </c>
      <c r="X845">
        <v>3.8914499999999999E-3</v>
      </c>
      <c r="Y845">
        <f>Table514542[[#This Row],[CFNM]]/Table514542[[#This Row],[CAREA]]</f>
        <v>4.8902368681975317E-5</v>
      </c>
      <c r="Z845">
        <v>2.6619299999999999</v>
      </c>
      <c r="AA845">
        <f>(Table615543[[#This Row],[time]]-2)*2</f>
        <v>1.3238599999999998</v>
      </c>
      <c r="AB845">
        <v>81.228499999999997</v>
      </c>
      <c r="AC845">
        <v>0.64375400000000005</v>
      </c>
      <c r="AD845">
        <f>Table615543[[#This Row],[CFNM]]/Table615543[[#This Row],[CAREA]]</f>
        <v>7.9252232898551628E-3</v>
      </c>
      <c r="AE845">
        <v>2.6619299999999999</v>
      </c>
      <c r="AF845">
        <f>(Table716544[[#This Row],[time]]-2)*2</f>
        <v>1.3238599999999998</v>
      </c>
      <c r="AG845">
        <v>78.506699999999995</v>
      </c>
      <c r="AH845">
        <v>11.3812</v>
      </c>
      <c r="AI845">
        <f>Table716544[[#This Row],[CFNM]]/Table716544[[#This Row],[CAREA]]</f>
        <v>0.14497106616377967</v>
      </c>
      <c r="AJ845">
        <v>2.6619299999999999</v>
      </c>
      <c r="AK845">
        <f>(Table817545[[#This Row],[time]]-2)*2</f>
        <v>1.3238599999999998</v>
      </c>
      <c r="AL845">
        <v>83.519099999999995</v>
      </c>
      <c r="AM845">
        <v>9.2940299999999993</v>
      </c>
      <c r="AN845">
        <f>Table817545[[#This Row],[CFNM]]/Table817545[[#This Row],[CAREA]]</f>
        <v>0.11128029396868501</v>
      </c>
    </row>
    <row r="846" spans="1:40">
      <c r="A846">
        <v>2.70424</v>
      </c>
      <c r="B846">
        <f>(Table110538[[#This Row],[time]]-2)*2</f>
        <v>1.40848</v>
      </c>
      <c r="C846">
        <v>81.427099999999996</v>
      </c>
      <c r="D846">
        <v>5.8029200000000003</v>
      </c>
      <c r="E846">
        <f>Table110538[[#This Row],[CFNM]]/Table110538[[#This Row],[CAREA]]</f>
        <v>7.1265217599546099E-2</v>
      </c>
      <c r="F846">
        <v>2.70424</v>
      </c>
      <c r="G846">
        <f>(Table211539[[#This Row],[time]]-2)*2</f>
        <v>1.40848</v>
      </c>
      <c r="H846">
        <v>88.384500000000003</v>
      </c>
      <c r="I846">
        <v>0.13749500000000001</v>
      </c>
      <c r="J846">
        <f>Table211539[[#This Row],[CFNM]]/Table211539[[#This Row],[CAREA]]</f>
        <v>1.5556460691637109E-3</v>
      </c>
      <c r="K846">
        <v>2.70424</v>
      </c>
      <c r="L846">
        <f>(Table312540[[#This Row],[time]]-2)*2</f>
        <v>1.40848</v>
      </c>
      <c r="M846">
        <v>80.126800000000003</v>
      </c>
      <c r="N846">
        <v>3.0780999999999998E-3</v>
      </c>
      <c r="O846">
        <f>Table312540[[#This Row],[CFNM]]/Table312540[[#This Row],[CAREA]]</f>
        <v>3.8415361651781924E-5</v>
      </c>
      <c r="P846">
        <v>2.70424</v>
      </c>
      <c r="Q846">
        <f>(Table413541[[#This Row],[time]]-2)*2</f>
        <v>1.40848</v>
      </c>
      <c r="R846">
        <v>77.288300000000007</v>
      </c>
      <c r="S846">
        <v>4.69215E-3</v>
      </c>
      <c r="T846">
        <f>Table413541[[#This Row],[CFNM]]/Table413541[[#This Row],[CAREA]]</f>
        <v>6.0709706385054397E-5</v>
      </c>
      <c r="U846">
        <v>2.70424</v>
      </c>
      <c r="V846">
        <f>(Table514542[[#This Row],[time]]-2)*2</f>
        <v>1.40848</v>
      </c>
      <c r="W846">
        <v>78.819400000000002</v>
      </c>
      <c r="X846">
        <v>3.7526700000000001E-3</v>
      </c>
      <c r="Y846">
        <f>Table514542[[#This Row],[CFNM]]/Table514542[[#This Row],[CAREA]]</f>
        <v>4.7610994247609088E-5</v>
      </c>
      <c r="Z846">
        <v>2.70424</v>
      </c>
      <c r="AA846">
        <f>(Table615543[[#This Row],[time]]-2)*2</f>
        <v>1.40848</v>
      </c>
      <c r="AB846">
        <v>81.038399999999996</v>
      </c>
      <c r="AC846">
        <v>0.28983100000000001</v>
      </c>
      <c r="AD846">
        <f>Table615543[[#This Row],[CFNM]]/Table615543[[#This Row],[CAREA]]</f>
        <v>3.5764649845011751E-3</v>
      </c>
      <c r="AE846">
        <v>2.70424</v>
      </c>
      <c r="AF846">
        <f>(Table716544[[#This Row],[time]]-2)*2</f>
        <v>1.40848</v>
      </c>
      <c r="AG846">
        <v>78.555999999999997</v>
      </c>
      <c r="AH846">
        <v>10.6837</v>
      </c>
      <c r="AI846">
        <f>Table716544[[#This Row],[CFNM]]/Table716544[[#This Row],[CAREA]]</f>
        <v>0.13600106930088091</v>
      </c>
      <c r="AJ846">
        <v>2.70424</v>
      </c>
      <c r="AK846">
        <f>(Table817545[[#This Row],[time]]-2)*2</f>
        <v>1.40848</v>
      </c>
      <c r="AL846">
        <v>83.468900000000005</v>
      </c>
      <c r="AM846">
        <v>8.6113</v>
      </c>
      <c r="AN846">
        <f>Table817545[[#This Row],[CFNM]]/Table817545[[#This Row],[CAREA]]</f>
        <v>0.10316776667716958</v>
      </c>
    </row>
    <row r="847" spans="1:40">
      <c r="A847">
        <v>2.75779</v>
      </c>
      <c r="B847">
        <f>(Table110538[[#This Row],[time]]-2)*2</f>
        <v>1.5155799999999999</v>
      </c>
      <c r="C847">
        <v>80.503100000000003</v>
      </c>
      <c r="D847">
        <v>5.5557100000000004</v>
      </c>
      <c r="E847">
        <f>Table110538[[#This Row],[CFNM]]/Table110538[[#This Row],[CAREA]]</f>
        <v>6.9012373436550895E-2</v>
      </c>
      <c r="F847">
        <v>2.75779</v>
      </c>
      <c r="G847">
        <f>(Table211539[[#This Row],[time]]-2)*2</f>
        <v>1.5155799999999999</v>
      </c>
      <c r="H847">
        <v>87.876300000000001</v>
      </c>
      <c r="I847">
        <v>0.16126799999999999</v>
      </c>
      <c r="J847">
        <f>Table211539[[#This Row],[CFNM]]/Table211539[[#This Row],[CAREA]]</f>
        <v>1.8351705750014509E-3</v>
      </c>
      <c r="K847">
        <v>2.75779</v>
      </c>
      <c r="L847">
        <f>(Table312540[[#This Row],[time]]-2)*2</f>
        <v>1.5155799999999999</v>
      </c>
      <c r="M847">
        <v>79.697599999999994</v>
      </c>
      <c r="N847">
        <v>2.9447800000000001E-3</v>
      </c>
      <c r="O847">
        <f>Table312540[[#This Row],[CFNM]]/Table312540[[#This Row],[CAREA]]</f>
        <v>3.6949418803075629E-5</v>
      </c>
      <c r="P847">
        <v>2.75779</v>
      </c>
      <c r="Q847">
        <f>(Table413541[[#This Row],[time]]-2)*2</f>
        <v>1.5155799999999999</v>
      </c>
      <c r="R847">
        <v>76.92</v>
      </c>
      <c r="S847">
        <v>4.5796500000000002E-3</v>
      </c>
      <c r="T847">
        <f>Table413541[[#This Row],[CFNM]]/Table413541[[#This Row],[CAREA]]</f>
        <v>5.9537831513260532E-5</v>
      </c>
      <c r="U847">
        <v>2.75779</v>
      </c>
      <c r="V847">
        <f>(Table514542[[#This Row],[time]]-2)*2</f>
        <v>1.5155799999999999</v>
      </c>
      <c r="W847">
        <v>78.633799999999994</v>
      </c>
      <c r="X847">
        <v>3.5861600000000001E-3</v>
      </c>
      <c r="Y847">
        <f>Table514542[[#This Row],[CFNM]]/Table514542[[#This Row],[CAREA]]</f>
        <v>4.5605833623708896E-5</v>
      </c>
      <c r="Z847">
        <v>2.75779</v>
      </c>
      <c r="AA847">
        <f>(Table615543[[#This Row],[time]]-2)*2</f>
        <v>1.5155799999999999</v>
      </c>
      <c r="AB847">
        <v>79.096599999999995</v>
      </c>
      <c r="AC847">
        <v>6.2673699999999999E-2</v>
      </c>
      <c r="AD847">
        <f>Table615543[[#This Row],[CFNM]]/Table615543[[#This Row],[CAREA]]</f>
        <v>7.9236907781118286E-4</v>
      </c>
      <c r="AE847">
        <v>2.75779</v>
      </c>
      <c r="AF847">
        <f>(Table716544[[#This Row],[time]]-2)*2</f>
        <v>1.5155799999999999</v>
      </c>
      <c r="AG847">
        <v>78.523600000000002</v>
      </c>
      <c r="AH847">
        <v>9.7114999999999991</v>
      </c>
      <c r="AI847">
        <f>Table716544[[#This Row],[CFNM]]/Table716544[[#This Row],[CAREA]]</f>
        <v>0.12367619416328338</v>
      </c>
      <c r="AJ847">
        <v>2.75779</v>
      </c>
      <c r="AK847">
        <f>(Table817545[[#This Row],[time]]-2)*2</f>
        <v>1.5155799999999999</v>
      </c>
      <c r="AL847">
        <v>83.397499999999994</v>
      </c>
      <c r="AM847">
        <v>7.8113700000000001</v>
      </c>
      <c r="AN847">
        <f>Table817545[[#This Row],[CFNM]]/Table817545[[#This Row],[CAREA]]</f>
        <v>9.3664318474774438E-2</v>
      </c>
    </row>
    <row r="848" spans="1:40">
      <c r="A848">
        <v>2.8044500000000001</v>
      </c>
      <c r="B848">
        <f>(Table110538[[#This Row],[time]]-2)*2</f>
        <v>1.6089000000000002</v>
      </c>
      <c r="C848">
        <v>79.527299999999997</v>
      </c>
      <c r="D848">
        <v>5.3248199999999999</v>
      </c>
      <c r="E848">
        <f>Table110538[[#This Row],[CFNM]]/Table110538[[#This Row],[CAREA]]</f>
        <v>6.6955875529535136E-2</v>
      </c>
      <c r="F848">
        <v>2.8044500000000001</v>
      </c>
      <c r="G848">
        <f>(Table211539[[#This Row],[time]]-2)*2</f>
        <v>1.6089000000000002</v>
      </c>
      <c r="H848">
        <v>87.468400000000003</v>
      </c>
      <c r="I848">
        <v>0.18160899999999999</v>
      </c>
      <c r="J848">
        <f>Table211539[[#This Row],[CFNM]]/Table211539[[#This Row],[CAREA]]</f>
        <v>2.0762812627188789E-3</v>
      </c>
      <c r="K848">
        <v>2.8044500000000001</v>
      </c>
      <c r="L848">
        <f>(Table312540[[#This Row],[time]]-2)*2</f>
        <v>1.6089000000000002</v>
      </c>
      <c r="M848">
        <v>78.140799999999999</v>
      </c>
      <c r="N848">
        <v>2.8272000000000002E-3</v>
      </c>
      <c r="O848">
        <f>Table312540[[#This Row],[CFNM]]/Table312540[[#This Row],[CAREA]]</f>
        <v>3.6180842786354887E-5</v>
      </c>
      <c r="P848">
        <v>2.8044500000000001</v>
      </c>
      <c r="Q848">
        <f>(Table413541[[#This Row],[time]]-2)*2</f>
        <v>1.6089000000000002</v>
      </c>
      <c r="R848">
        <v>76.645700000000005</v>
      </c>
      <c r="S848">
        <v>4.4792199999999999E-3</v>
      </c>
      <c r="T848">
        <f>Table413541[[#This Row],[CFNM]]/Table413541[[#This Row],[CAREA]]</f>
        <v>5.8440590926823028E-5</v>
      </c>
      <c r="U848">
        <v>2.8044500000000001</v>
      </c>
      <c r="V848">
        <f>(Table514542[[#This Row],[time]]-2)*2</f>
        <v>1.6089000000000002</v>
      </c>
      <c r="W848">
        <v>78.367099999999994</v>
      </c>
      <c r="X848">
        <v>3.4445999999999999E-3</v>
      </c>
      <c r="Y848">
        <f>Table514542[[#This Row],[CFNM]]/Table514542[[#This Row],[CAREA]]</f>
        <v>4.395466975299584E-5</v>
      </c>
      <c r="Z848">
        <v>2.8044500000000001</v>
      </c>
      <c r="AA848">
        <f>(Table615543[[#This Row],[time]]-2)*2</f>
        <v>1.6089000000000002</v>
      </c>
      <c r="AB848">
        <v>78.821299999999994</v>
      </c>
      <c r="AC848">
        <v>4.4478800000000004E-3</v>
      </c>
      <c r="AD848">
        <f>Table615543[[#This Row],[CFNM]]/Table615543[[#This Row],[CAREA]]</f>
        <v>5.6429924398607998E-5</v>
      </c>
      <c r="AE848">
        <v>2.8044500000000001</v>
      </c>
      <c r="AF848">
        <f>(Table716544[[#This Row],[time]]-2)*2</f>
        <v>1.6089000000000002</v>
      </c>
      <c r="AG848">
        <v>78.487099999999998</v>
      </c>
      <c r="AH848">
        <v>8.8253599999999999</v>
      </c>
      <c r="AI848">
        <f>Table716544[[#This Row],[CFNM]]/Table716544[[#This Row],[CAREA]]</f>
        <v>0.11244344612044527</v>
      </c>
      <c r="AJ848">
        <v>2.8044500000000001</v>
      </c>
      <c r="AK848">
        <f>(Table817545[[#This Row],[time]]-2)*2</f>
        <v>1.6089000000000002</v>
      </c>
      <c r="AL848">
        <v>83.338200000000001</v>
      </c>
      <c r="AM848">
        <v>7.1484399999999999</v>
      </c>
      <c r="AN848">
        <f>Table817545[[#This Row],[CFNM]]/Table817545[[#This Row],[CAREA]]</f>
        <v>8.5776270665793117E-2</v>
      </c>
    </row>
    <row r="849" spans="1:40">
      <c r="A849">
        <v>2.8546</v>
      </c>
      <c r="B849">
        <f>(Table110538[[#This Row],[time]]-2)*2</f>
        <v>1.7092000000000001</v>
      </c>
      <c r="C849">
        <v>78.538899999999998</v>
      </c>
      <c r="D849">
        <v>5.06358</v>
      </c>
      <c r="E849">
        <f>Table110538[[#This Row],[CFNM]]/Table110538[[#This Row],[CAREA]]</f>
        <v>6.447225514999573E-2</v>
      </c>
      <c r="F849">
        <v>2.8546</v>
      </c>
      <c r="G849">
        <f>(Table211539[[#This Row],[time]]-2)*2</f>
        <v>1.7092000000000001</v>
      </c>
      <c r="H849">
        <v>87.007400000000004</v>
      </c>
      <c r="I849">
        <v>0.19805500000000001</v>
      </c>
      <c r="J849">
        <f>Table211539[[#This Row],[CFNM]]/Table211539[[#This Row],[CAREA]]</f>
        <v>2.2763006364975853E-3</v>
      </c>
      <c r="K849">
        <v>2.8546</v>
      </c>
      <c r="L849">
        <f>(Table312540[[#This Row],[time]]-2)*2</f>
        <v>1.7092000000000001</v>
      </c>
      <c r="M849">
        <v>77.731700000000004</v>
      </c>
      <c r="N849">
        <v>2.70193E-3</v>
      </c>
      <c r="O849">
        <f>Table312540[[#This Row],[CFNM]]/Table312540[[#This Row],[CAREA]]</f>
        <v>3.4759692635051077E-5</v>
      </c>
      <c r="P849">
        <v>2.8546</v>
      </c>
      <c r="Q849">
        <f>(Table413541[[#This Row],[time]]-2)*2</f>
        <v>1.7092000000000001</v>
      </c>
      <c r="R849">
        <v>75.875900000000001</v>
      </c>
      <c r="S849">
        <v>4.3688900000000003E-3</v>
      </c>
      <c r="T849">
        <f>Table413541[[#This Row],[CFNM]]/Table413541[[#This Row],[CAREA]]</f>
        <v>5.7579415861953535E-5</v>
      </c>
      <c r="U849">
        <v>2.8546</v>
      </c>
      <c r="V849">
        <f>(Table514542[[#This Row],[time]]-2)*2</f>
        <v>1.7092000000000001</v>
      </c>
      <c r="W849">
        <v>77.118700000000004</v>
      </c>
      <c r="X849">
        <v>3.2949899999999998E-3</v>
      </c>
      <c r="Y849">
        <f>Table514542[[#This Row],[CFNM]]/Table514542[[#This Row],[CAREA]]</f>
        <v>4.2726212967801581E-5</v>
      </c>
      <c r="Z849">
        <v>2.8546</v>
      </c>
      <c r="AA849">
        <f>(Table615543[[#This Row],[time]]-2)*2</f>
        <v>1.7092000000000001</v>
      </c>
      <c r="AB849">
        <v>76.610600000000005</v>
      </c>
      <c r="AC849">
        <v>3.9486299999999998E-3</v>
      </c>
      <c r="AD849">
        <f>Table615543[[#This Row],[CFNM]]/Table615543[[#This Row],[CAREA]]</f>
        <v>5.1541562133699506E-5</v>
      </c>
      <c r="AE849">
        <v>2.8546</v>
      </c>
      <c r="AF849">
        <f>(Table716544[[#This Row],[time]]-2)*2</f>
        <v>1.7092000000000001</v>
      </c>
      <c r="AG849">
        <v>78.400000000000006</v>
      </c>
      <c r="AH849">
        <v>7.8689400000000003</v>
      </c>
      <c r="AI849">
        <f>Table716544[[#This Row],[CFNM]]/Table716544[[#This Row],[CAREA]]</f>
        <v>0.10036913265306122</v>
      </c>
      <c r="AJ849">
        <v>2.8546</v>
      </c>
      <c r="AK849">
        <f>(Table817545[[#This Row],[time]]-2)*2</f>
        <v>1.7092000000000001</v>
      </c>
      <c r="AL849">
        <v>83.270099999999999</v>
      </c>
      <c r="AM849">
        <v>6.4794099999999997</v>
      </c>
      <c r="AN849">
        <f>Table817545[[#This Row],[CFNM]]/Table817545[[#This Row],[CAREA]]</f>
        <v>7.7811963718069269E-2</v>
      </c>
    </row>
    <row r="850" spans="1:40">
      <c r="A850">
        <v>2.90442</v>
      </c>
      <c r="B850">
        <f>(Table110538[[#This Row],[time]]-2)*2</f>
        <v>1.80884</v>
      </c>
      <c r="C850">
        <v>78.207300000000004</v>
      </c>
      <c r="D850">
        <v>4.7934700000000001</v>
      </c>
      <c r="E850">
        <f>Table110538[[#This Row],[CFNM]]/Table110538[[#This Row],[CAREA]]</f>
        <v>6.1291848714889782E-2</v>
      </c>
      <c r="F850">
        <v>2.90442</v>
      </c>
      <c r="G850">
        <f>(Table211539[[#This Row],[time]]-2)*2</f>
        <v>1.80884</v>
      </c>
      <c r="H850">
        <v>86.551500000000004</v>
      </c>
      <c r="I850">
        <v>0.21076</v>
      </c>
      <c r="J850">
        <f>Table211539[[#This Row],[CFNM]]/Table211539[[#This Row],[CAREA]]</f>
        <v>2.4350820032004064E-3</v>
      </c>
      <c r="K850">
        <v>2.90442</v>
      </c>
      <c r="L850">
        <f>(Table312540[[#This Row],[time]]-2)*2</f>
        <v>1.80884</v>
      </c>
      <c r="M850">
        <v>77.193200000000004</v>
      </c>
      <c r="N850">
        <v>2.5784499999999999E-3</v>
      </c>
      <c r="O850">
        <f>Table312540[[#This Row],[CFNM]]/Table312540[[#This Row],[CAREA]]</f>
        <v>3.3402553592803505E-5</v>
      </c>
      <c r="P850">
        <v>2.90442</v>
      </c>
      <c r="Q850">
        <f>(Table413541[[#This Row],[time]]-2)*2</f>
        <v>1.80884</v>
      </c>
      <c r="R850">
        <v>75.560199999999995</v>
      </c>
      <c r="S850">
        <v>4.25721E-3</v>
      </c>
      <c r="T850">
        <f>Table413541[[#This Row],[CFNM]]/Table413541[[#This Row],[CAREA]]</f>
        <v>5.6341963096974338E-5</v>
      </c>
      <c r="U850">
        <v>2.90442</v>
      </c>
      <c r="V850">
        <f>(Table514542[[#This Row],[time]]-2)*2</f>
        <v>1.80884</v>
      </c>
      <c r="W850">
        <v>76.2333</v>
      </c>
      <c r="X850">
        <v>3.1458599999999999E-3</v>
      </c>
      <c r="Y850">
        <f>Table514542[[#This Row],[CFNM]]/Table514542[[#This Row],[CAREA]]</f>
        <v>4.1266218306173283E-5</v>
      </c>
      <c r="Z850">
        <v>2.90442</v>
      </c>
      <c r="AA850">
        <f>(Table615543[[#This Row],[time]]-2)*2</f>
        <v>1.80884</v>
      </c>
      <c r="AB850">
        <v>74.935500000000005</v>
      </c>
      <c r="AC850">
        <v>3.7786E-3</v>
      </c>
      <c r="AD850">
        <f>Table615543[[#This Row],[CFNM]]/Table615543[[#This Row],[CAREA]]</f>
        <v>5.0424698574107059E-5</v>
      </c>
      <c r="AE850">
        <v>2.90442</v>
      </c>
      <c r="AF850">
        <f>(Table716544[[#This Row],[time]]-2)*2</f>
        <v>1.80884</v>
      </c>
      <c r="AG850">
        <v>78.313800000000001</v>
      </c>
      <c r="AH850">
        <v>6.8997400000000004</v>
      </c>
      <c r="AI850">
        <f>Table716544[[#This Row],[CFNM]]/Table716544[[#This Row],[CAREA]]</f>
        <v>8.8103756936836169E-2</v>
      </c>
      <c r="AJ850">
        <v>2.90442</v>
      </c>
      <c r="AK850">
        <f>(Table817545[[#This Row],[time]]-2)*2</f>
        <v>1.80884</v>
      </c>
      <c r="AL850">
        <v>83.201800000000006</v>
      </c>
      <c r="AM850">
        <v>5.8460000000000001</v>
      </c>
      <c r="AN850">
        <f>Table817545[[#This Row],[CFNM]]/Table817545[[#This Row],[CAREA]]</f>
        <v>7.0262902966041596E-2</v>
      </c>
    </row>
    <row r="851" spans="1:40">
      <c r="A851">
        <v>2.95797</v>
      </c>
      <c r="B851">
        <f>(Table110538[[#This Row],[time]]-2)*2</f>
        <v>1.91594</v>
      </c>
      <c r="C851">
        <v>77.515100000000004</v>
      </c>
      <c r="D851">
        <v>4.4854500000000002</v>
      </c>
      <c r="E851">
        <f>Table110538[[#This Row],[CFNM]]/Table110538[[#This Row],[CAREA]]</f>
        <v>5.7865499754241434E-2</v>
      </c>
      <c r="F851">
        <v>2.95797</v>
      </c>
      <c r="G851">
        <f>(Table211539[[#This Row],[time]]-2)*2</f>
        <v>1.91594</v>
      </c>
      <c r="H851">
        <v>86.103300000000004</v>
      </c>
      <c r="I851">
        <v>0.220001</v>
      </c>
      <c r="J851">
        <f>Table211539[[#This Row],[CFNM]]/Table211539[[#This Row],[CAREA]]</f>
        <v>2.5550820932531042E-3</v>
      </c>
      <c r="K851">
        <v>2.95797</v>
      </c>
      <c r="L851">
        <f>(Table312540[[#This Row],[time]]-2)*2</f>
        <v>1.91594</v>
      </c>
      <c r="M851">
        <v>75.782899999999998</v>
      </c>
      <c r="N851">
        <v>2.4464199999999999E-3</v>
      </c>
      <c r="O851">
        <f>Table312540[[#This Row],[CFNM]]/Table312540[[#This Row],[CAREA]]</f>
        <v>3.2281952788821755E-5</v>
      </c>
      <c r="P851">
        <v>2.95797</v>
      </c>
      <c r="Q851">
        <f>(Table413541[[#This Row],[time]]-2)*2</f>
        <v>1.91594</v>
      </c>
      <c r="R851">
        <v>75.212100000000007</v>
      </c>
      <c r="S851">
        <v>4.1325299999999997E-3</v>
      </c>
      <c r="T851">
        <f>Table413541[[#This Row],[CFNM]]/Table413541[[#This Row],[CAREA]]</f>
        <v>5.4945015496176801E-5</v>
      </c>
      <c r="U851">
        <v>2.95797</v>
      </c>
      <c r="V851">
        <f>(Table514542[[#This Row],[time]]-2)*2</f>
        <v>1.91594</v>
      </c>
      <c r="W851">
        <v>76.060900000000004</v>
      </c>
      <c r="X851">
        <v>2.9859800000000001E-3</v>
      </c>
      <c r="Y851">
        <f>Table514542[[#This Row],[CFNM]]/Table514542[[#This Row],[CAREA]]</f>
        <v>3.9257752669242674E-5</v>
      </c>
      <c r="Z851">
        <v>2.95797</v>
      </c>
      <c r="AA851">
        <f>(Table615543[[#This Row],[time]]-2)*2</f>
        <v>1.91594</v>
      </c>
      <c r="AB851">
        <v>74.169899999999998</v>
      </c>
      <c r="AC851">
        <v>3.6000099999999998E-3</v>
      </c>
      <c r="AD851">
        <f>Table615543[[#This Row],[CFNM]]/Table615543[[#This Row],[CAREA]]</f>
        <v>4.8537344664075315E-5</v>
      </c>
      <c r="AE851">
        <v>2.95797</v>
      </c>
      <c r="AF851">
        <f>(Table716544[[#This Row],[time]]-2)*2</f>
        <v>1.91594</v>
      </c>
      <c r="AG851">
        <v>78.139300000000006</v>
      </c>
      <c r="AH851">
        <v>5.8280000000000003</v>
      </c>
      <c r="AI851">
        <f>Table716544[[#This Row],[CFNM]]/Table716544[[#This Row],[CAREA]]</f>
        <v>7.4584748007724661E-2</v>
      </c>
      <c r="AJ851">
        <v>2.95797</v>
      </c>
      <c r="AK851">
        <f>(Table817545[[#This Row],[time]]-2)*2</f>
        <v>1.91594</v>
      </c>
      <c r="AL851">
        <v>82.640600000000006</v>
      </c>
      <c r="AM851">
        <v>5.1568199999999997</v>
      </c>
      <c r="AN851">
        <f>Table817545[[#This Row],[CFNM]]/Table817545[[#This Row],[CAREA]]</f>
        <v>6.2400563403460278E-2</v>
      </c>
    </row>
    <row r="852" spans="1:40">
      <c r="A852">
        <v>3</v>
      </c>
      <c r="B852">
        <f>(Table110538[[#This Row],[time]]-2)*2</f>
        <v>2</v>
      </c>
      <c r="C852">
        <v>77.1751</v>
      </c>
      <c r="D852">
        <v>4.2279099999999996</v>
      </c>
      <c r="E852">
        <f>Table110538[[#This Row],[CFNM]]/Table110538[[#This Row],[CAREA]]</f>
        <v>5.4783343332240574E-2</v>
      </c>
      <c r="F852">
        <v>3</v>
      </c>
      <c r="G852">
        <f>(Table211539[[#This Row],[time]]-2)*2</f>
        <v>2</v>
      </c>
      <c r="H852">
        <v>85.751800000000003</v>
      </c>
      <c r="I852">
        <v>0.22371199999999999</v>
      </c>
      <c r="J852">
        <f>Table211539[[#This Row],[CFNM]]/Table211539[[#This Row],[CAREA]]</f>
        <v>2.6088315347316325E-3</v>
      </c>
      <c r="K852">
        <v>3</v>
      </c>
      <c r="L852">
        <f>(Table312540[[#This Row],[time]]-2)*2</f>
        <v>2</v>
      </c>
      <c r="M852">
        <v>75.451800000000006</v>
      </c>
      <c r="N852">
        <v>2.3448900000000001E-3</v>
      </c>
      <c r="O852">
        <f>Table312540[[#This Row],[CFNM]]/Table312540[[#This Row],[CAREA]]</f>
        <v>3.1077986211064549E-5</v>
      </c>
      <c r="P852">
        <v>3</v>
      </c>
      <c r="Q852">
        <f>(Table413541[[#This Row],[time]]-2)*2</f>
        <v>2</v>
      </c>
      <c r="R852">
        <v>74.934100000000001</v>
      </c>
      <c r="S852">
        <v>4.0325999999999999E-3</v>
      </c>
      <c r="T852">
        <f>Table413541[[#This Row],[CFNM]]/Table413541[[#This Row],[CAREA]]</f>
        <v>5.3815285697699709E-5</v>
      </c>
      <c r="U852">
        <v>3</v>
      </c>
      <c r="V852">
        <f>(Table514542[[#This Row],[time]]-2)*2</f>
        <v>2</v>
      </c>
      <c r="W852">
        <v>75.896299999999997</v>
      </c>
      <c r="X852">
        <v>2.8592299999999999E-3</v>
      </c>
      <c r="Y852">
        <f>Table514542[[#This Row],[CFNM]]/Table514542[[#This Row],[CAREA]]</f>
        <v>3.7672850982195444E-5</v>
      </c>
      <c r="Z852">
        <v>3</v>
      </c>
      <c r="AA852">
        <f>(Table615543[[#This Row],[time]]-2)*2</f>
        <v>2</v>
      </c>
      <c r="AB852">
        <v>73.163399999999996</v>
      </c>
      <c r="AC852">
        <v>3.46372E-3</v>
      </c>
      <c r="AD852">
        <f>Table615543[[#This Row],[CFNM]]/Table615543[[#This Row],[CAREA]]</f>
        <v>4.7342250360152757E-5</v>
      </c>
      <c r="AE852">
        <v>3</v>
      </c>
      <c r="AF852">
        <f>(Table716544[[#This Row],[time]]-2)*2</f>
        <v>2</v>
      </c>
      <c r="AG852">
        <v>77.951599999999999</v>
      </c>
      <c r="AH852">
        <v>5.0933900000000003</v>
      </c>
      <c r="AI852">
        <f>Table716544[[#This Row],[CFNM]]/Table716544[[#This Row],[CAREA]]</f>
        <v>6.5340416360921402E-2</v>
      </c>
      <c r="AJ852">
        <v>3</v>
      </c>
      <c r="AK852">
        <f>(Table817545[[#This Row],[time]]-2)*2</f>
        <v>2</v>
      </c>
      <c r="AL852">
        <v>82.559399999999997</v>
      </c>
      <c r="AM852">
        <v>4.6188399999999996</v>
      </c>
      <c r="AN852">
        <f>Table817545[[#This Row],[CFNM]]/Table817545[[#This Row],[CAREA]]</f>
        <v>5.5945658519805132E-2</v>
      </c>
    </row>
  </sheetData>
  <pageMargins left="0.7" right="0.7" top="0.75" bottom="0.75" header="0.3" footer="0.3"/>
  <tableParts count="24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Sophie Turner</dc:creator>
  <cp:keywords/>
  <dc:description/>
  <cp:lastModifiedBy>Turner, Sophie</cp:lastModifiedBy>
  <cp:revision/>
  <dcterms:created xsi:type="dcterms:W3CDTF">2021-06-10T19:53:33Z</dcterms:created>
  <dcterms:modified xsi:type="dcterms:W3CDTF">2022-06-30T12:45:20Z</dcterms:modified>
  <cp:category/>
  <cp:contentStatus/>
</cp:coreProperties>
</file>