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CMS results\5NP_CMS\"/>
    </mc:Choice>
  </mc:AlternateContent>
  <xr:revisionPtr revIDLastSave="16" documentId="8_{A9555AD4-996B-439F-AD9E-3719798CF318}" xr6:coauthVersionLast="45" xr6:coauthVersionMax="47" xr10:uidLastSave="{EB8247D9-EF94-4B74-9D2F-490D51FACEF1}"/>
  <bookViews>
    <workbookView xWindow="7260" yWindow="4515" windowWidth="21600" windowHeight="11385" xr2:uid="{2AD24A5E-E983-43BA-B713-11AA0B197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52" i="1" l="1"/>
  <c r="AK852" i="1"/>
  <c r="AI852" i="1"/>
  <c r="AF852" i="1"/>
  <c r="AD852" i="1"/>
  <c r="AA852" i="1"/>
  <c r="Y852" i="1"/>
  <c r="V852" i="1"/>
  <c r="T852" i="1"/>
  <c r="Q852" i="1"/>
  <c r="O852" i="1"/>
  <c r="L852" i="1"/>
  <c r="J852" i="1"/>
  <c r="G852" i="1"/>
  <c r="E852" i="1"/>
  <c r="B852" i="1"/>
  <c r="AN851" i="1"/>
  <c r="AK851" i="1"/>
  <c r="AI851" i="1"/>
  <c r="AF851" i="1"/>
  <c r="AD851" i="1"/>
  <c r="AA851" i="1"/>
  <c r="Y851" i="1"/>
  <c r="V851" i="1"/>
  <c r="T851" i="1"/>
  <c r="Q851" i="1"/>
  <c r="O851" i="1"/>
  <c r="L851" i="1"/>
  <c r="J851" i="1"/>
  <c r="G851" i="1"/>
  <c r="E851" i="1"/>
  <c r="B851" i="1"/>
  <c r="AN850" i="1"/>
  <c r="AK850" i="1"/>
  <c r="AI850" i="1"/>
  <c r="AF850" i="1"/>
  <c r="AD850" i="1"/>
  <c r="AA850" i="1"/>
  <c r="Y850" i="1"/>
  <c r="V850" i="1"/>
  <c r="T850" i="1"/>
  <c r="Q850" i="1"/>
  <c r="O850" i="1"/>
  <c r="L850" i="1"/>
  <c r="J850" i="1"/>
  <c r="G850" i="1"/>
  <c r="E850" i="1"/>
  <c r="B850" i="1"/>
  <c r="AN849" i="1"/>
  <c r="AK849" i="1"/>
  <c r="AI849" i="1"/>
  <c r="AF849" i="1"/>
  <c r="AD849" i="1"/>
  <c r="AA849" i="1"/>
  <c r="Y849" i="1"/>
  <c r="V849" i="1"/>
  <c r="T849" i="1"/>
  <c r="Q849" i="1"/>
  <c r="O849" i="1"/>
  <c r="L849" i="1"/>
  <c r="J849" i="1"/>
  <c r="G849" i="1"/>
  <c r="E849" i="1"/>
  <c r="B849" i="1"/>
  <c r="AN848" i="1"/>
  <c r="AK848" i="1"/>
  <c r="AI848" i="1"/>
  <c r="AF848" i="1"/>
  <c r="AD848" i="1"/>
  <c r="AA848" i="1"/>
  <c r="Y848" i="1"/>
  <c r="V848" i="1"/>
  <c r="T848" i="1"/>
  <c r="Q848" i="1"/>
  <c r="O848" i="1"/>
  <c r="L848" i="1"/>
  <c r="J848" i="1"/>
  <c r="G848" i="1"/>
  <c r="E848" i="1"/>
  <c r="B848" i="1"/>
  <c r="AN847" i="1"/>
  <c r="AK847" i="1"/>
  <c r="AI847" i="1"/>
  <c r="AF847" i="1"/>
  <c r="AD847" i="1"/>
  <c r="AA847" i="1"/>
  <c r="Y847" i="1"/>
  <c r="V847" i="1"/>
  <c r="T847" i="1"/>
  <c r="Q847" i="1"/>
  <c r="O847" i="1"/>
  <c r="L847" i="1"/>
  <c r="J847" i="1"/>
  <c r="G847" i="1"/>
  <c r="E847" i="1"/>
  <c r="B847" i="1"/>
  <c r="AN846" i="1"/>
  <c r="AK846" i="1"/>
  <c r="AI846" i="1"/>
  <c r="AF846" i="1"/>
  <c r="AD846" i="1"/>
  <c r="AA846" i="1"/>
  <c r="Y846" i="1"/>
  <c r="V846" i="1"/>
  <c r="T846" i="1"/>
  <c r="Q846" i="1"/>
  <c r="O846" i="1"/>
  <c r="L846" i="1"/>
  <c r="J846" i="1"/>
  <c r="G846" i="1"/>
  <c r="E846" i="1"/>
  <c r="B846" i="1"/>
  <c r="AN845" i="1"/>
  <c r="AK845" i="1"/>
  <c r="AI845" i="1"/>
  <c r="AF845" i="1"/>
  <c r="AD845" i="1"/>
  <c r="AA845" i="1"/>
  <c r="Y845" i="1"/>
  <c r="V845" i="1"/>
  <c r="T845" i="1"/>
  <c r="Q845" i="1"/>
  <c r="O845" i="1"/>
  <c r="L845" i="1"/>
  <c r="J845" i="1"/>
  <c r="G845" i="1"/>
  <c r="E845" i="1"/>
  <c r="B845" i="1"/>
  <c r="AN844" i="1"/>
  <c r="AK844" i="1"/>
  <c r="AI844" i="1"/>
  <c r="AF844" i="1"/>
  <c r="AD844" i="1"/>
  <c r="AA844" i="1"/>
  <c r="Y844" i="1"/>
  <c r="V844" i="1"/>
  <c r="T844" i="1"/>
  <c r="Q844" i="1"/>
  <c r="O844" i="1"/>
  <c r="L844" i="1"/>
  <c r="J844" i="1"/>
  <c r="G844" i="1"/>
  <c r="E844" i="1"/>
  <c r="B844" i="1"/>
  <c r="AN843" i="1"/>
  <c r="AK843" i="1"/>
  <c r="AI843" i="1"/>
  <c r="AF843" i="1"/>
  <c r="AD843" i="1"/>
  <c r="AA843" i="1"/>
  <c r="Y843" i="1"/>
  <c r="V843" i="1"/>
  <c r="T843" i="1"/>
  <c r="Q843" i="1"/>
  <c r="O843" i="1"/>
  <c r="L843" i="1"/>
  <c r="J843" i="1"/>
  <c r="G843" i="1"/>
  <c r="E843" i="1"/>
  <c r="B843" i="1"/>
  <c r="AN842" i="1"/>
  <c r="AK842" i="1"/>
  <c r="AI842" i="1"/>
  <c r="AF842" i="1"/>
  <c r="AD842" i="1"/>
  <c r="AA842" i="1"/>
  <c r="Y842" i="1"/>
  <c r="V842" i="1"/>
  <c r="T842" i="1"/>
  <c r="Q842" i="1"/>
  <c r="O842" i="1"/>
  <c r="L842" i="1"/>
  <c r="J842" i="1"/>
  <c r="G842" i="1"/>
  <c r="E842" i="1"/>
  <c r="B842" i="1"/>
  <c r="AN841" i="1"/>
  <c r="AK841" i="1"/>
  <c r="AI841" i="1"/>
  <c r="AF841" i="1"/>
  <c r="AD841" i="1"/>
  <c r="AA841" i="1"/>
  <c r="Y841" i="1"/>
  <c r="V841" i="1"/>
  <c r="T841" i="1"/>
  <c r="Q841" i="1"/>
  <c r="O841" i="1"/>
  <c r="L841" i="1"/>
  <c r="J841" i="1"/>
  <c r="G841" i="1"/>
  <c r="E841" i="1"/>
  <c r="B841" i="1"/>
  <c r="AN840" i="1"/>
  <c r="AK840" i="1"/>
  <c r="AI840" i="1"/>
  <c r="AF840" i="1"/>
  <c r="AD840" i="1"/>
  <c r="AA840" i="1"/>
  <c r="Y840" i="1"/>
  <c r="V840" i="1"/>
  <c r="T840" i="1"/>
  <c r="Q840" i="1"/>
  <c r="O840" i="1"/>
  <c r="L840" i="1"/>
  <c r="J840" i="1"/>
  <c r="G840" i="1"/>
  <c r="E840" i="1"/>
  <c r="B840" i="1"/>
  <c r="AN839" i="1"/>
  <c r="AK839" i="1"/>
  <c r="AI839" i="1"/>
  <c r="AF839" i="1"/>
  <c r="AD839" i="1"/>
  <c r="AA839" i="1"/>
  <c r="Y839" i="1"/>
  <c r="V839" i="1"/>
  <c r="T839" i="1"/>
  <c r="Q839" i="1"/>
  <c r="O839" i="1"/>
  <c r="L839" i="1"/>
  <c r="J839" i="1"/>
  <c r="G839" i="1"/>
  <c r="E839" i="1"/>
  <c r="B839" i="1"/>
  <c r="AN838" i="1"/>
  <c r="AK838" i="1"/>
  <c r="AI838" i="1"/>
  <c r="AF838" i="1"/>
  <c r="AD838" i="1"/>
  <c r="AA838" i="1"/>
  <c r="Y838" i="1"/>
  <c r="V838" i="1"/>
  <c r="T838" i="1"/>
  <c r="Q838" i="1"/>
  <c r="O838" i="1"/>
  <c r="L838" i="1"/>
  <c r="J838" i="1"/>
  <c r="G838" i="1"/>
  <c r="E838" i="1"/>
  <c r="B838" i="1"/>
  <c r="AN837" i="1"/>
  <c r="AK837" i="1"/>
  <c r="AI837" i="1"/>
  <c r="AF837" i="1"/>
  <c r="AD837" i="1"/>
  <c r="AA837" i="1"/>
  <c r="Y837" i="1"/>
  <c r="V837" i="1"/>
  <c r="T837" i="1"/>
  <c r="Q837" i="1"/>
  <c r="O837" i="1"/>
  <c r="L837" i="1"/>
  <c r="J837" i="1"/>
  <c r="G837" i="1"/>
  <c r="E837" i="1"/>
  <c r="B837" i="1"/>
  <c r="AN836" i="1"/>
  <c r="AK836" i="1"/>
  <c r="AI836" i="1"/>
  <c r="AF836" i="1"/>
  <c r="AD836" i="1"/>
  <c r="AA836" i="1"/>
  <c r="Y836" i="1"/>
  <c r="V836" i="1"/>
  <c r="T836" i="1"/>
  <c r="Q836" i="1"/>
  <c r="O836" i="1"/>
  <c r="L836" i="1"/>
  <c r="J836" i="1"/>
  <c r="G836" i="1"/>
  <c r="E836" i="1"/>
  <c r="B836" i="1"/>
  <c r="AN835" i="1"/>
  <c r="AK835" i="1"/>
  <c r="AI835" i="1"/>
  <c r="AF835" i="1"/>
  <c r="AD835" i="1"/>
  <c r="AA835" i="1"/>
  <c r="Y835" i="1"/>
  <c r="V835" i="1"/>
  <c r="T835" i="1"/>
  <c r="Q835" i="1"/>
  <c r="O835" i="1"/>
  <c r="L835" i="1"/>
  <c r="J835" i="1"/>
  <c r="G835" i="1"/>
  <c r="E835" i="1"/>
  <c r="B835" i="1"/>
  <c r="AN834" i="1"/>
  <c r="AK834" i="1"/>
  <c r="AI834" i="1"/>
  <c r="AF834" i="1"/>
  <c r="AD834" i="1"/>
  <c r="AA834" i="1"/>
  <c r="Y834" i="1"/>
  <c r="V834" i="1"/>
  <c r="T834" i="1"/>
  <c r="Q834" i="1"/>
  <c r="O834" i="1"/>
  <c r="L834" i="1"/>
  <c r="J834" i="1"/>
  <c r="G834" i="1"/>
  <c r="E834" i="1"/>
  <c r="B834" i="1"/>
  <c r="AN833" i="1"/>
  <c r="AK833" i="1"/>
  <c r="AI833" i="1"/>
  <c r="AF833" i="1"/>
  <c r="AD833" i="1"/>
  <c r="AA833" i="1"/>
  <c r="Y833" i="1"/>
  <c r="V833" i="1"/>
  <c r="T833" i="1"/>
  <c r="Q833" i="1"/>
  <c r="O833" i="1"/>
  <c r="L833" i="1"/>
  <c r="J833" i="1"/>
  <c r="G833" i="1"/>
  <c r="E833" i="1"/>
  <c r="B833" i="1"/>
  <c r="AN832" i="1"/>
  <c r="AK832" i="1"/>
  <c r="AI832" i="1"/>
  <c r="AF832" i="1"/>
  <c r="AD832" i="1"/>
  <c r="AA832" i="1"/>
  <c r="Y832" i="1"/>
  <c r="V832" i="1"/>
  <c r="T832" i="1"/>
  <c r="Q832" i="1"/>
  <c r="O832" i="1"/>
  <c r="L832" i="1"/>
  <c r="J832" i="1"/>
  <c r="G832" i="1"/>
  <c r="E832" i="1"/>
  <c r="B832" i="1"/>
  <c r="AN825" i="1"/>
  <c r="AK825" i="1"/>
  <c r="AI825" i="1"/>
  <c r="AF825" i="1"/>
  <c r="AD825" i="1"/>
  <c r="AA825" i="1"/>
  <c r="Y825" i="1"/>
  <c r="V825" i="1"/>
  <c r="T825" i="1"/>
  <c r="Q825" i="1"/>
  <c r="O825" i="1"/>
  <c r="L825" i="1"/>
  <c r="J825" i="1"/>
  <c r="G825" i="1"/>
  <c r="E825" i="1"/>
  <c r="B825" i="1"/>
  <c r="AN824" i="1"/>
  <c r="AK824" i="1"/>
  <c r="AI824" i="1"/>
  <c r="AF824" i="1"/>
  <c r="AD824" i="1"/>
  <c r="AA824" i="1"/>
  <c r="Y824" i="1"/>
  <c r="V824" i="1"/>
  <c r="T824" i="1"/>
  <c r="Q824" i="1"/>
  <c r="O824" i="1"/>
  <c r="L824" i="1"/>
  <c r="J824" i="1"/>
  <c r="G824" i="1"/>
  <c r="E824" i="1"/>
  <c r="B824" i="1"/>
  <c r="AN823" i="1"/>
  <c r="AK823" i="1"/>
  <c r="AI823" i="1"/>
  <c r="AF823" i="1"/>
  <c r="AD823" i="1"/>
  <c r="AA823" i="1"/>
  <c r="Y823" i="1"/>
  <c r="V823" i="1"/>
  <c r="T823" i="1"/>
  <c r="Q823" i="1"/>
  <c r="O823" i="1"/>
  <c r="L823" i="1"/>
  <c r="J823" i="1"/>
  <c r="G823" i="1"/>
  <c r="E823" i="1"/>
  <c r="B823" i="1"/>
  <c r="AN822" i="1"/>
  <c r="AK822" i="1"/>
  <c r="AI822" i="1"/>
  <c r="AF822" i="1"/>
  <c r="AD822" i="1"/>
  <c r="AA822" i="1"/>
  <c r="Y822" i="1"/>
  <c r="V822" i="1"/>
  <c r="T822" i="1"/>
  <c r="Q822" i="1"/>
  <c r="O822" i="1"/>
  <c r="L822" i="1"/>
  <c r="J822" i="1"/>
  <c r="G822" i="1"/>
  <c r="E822" i="1"/>
  <c r="B822" i="1"/>
  <c r="AN821" i="1"/>
  <c r="AK821" i="1"/>
  <c r="AI821" i="1"/>
  <c r="AF821" i="1"/>
  <c r="AD821" i="1"/>
  <c r="AA821" i="1"/>
  <c r="Y821" i="1"/>
  <c r="V821" i="1"/>
  <c r="T821" i="1"/>
  <c r="Q821" i="1"/>
  <c r="O821" i="1"/>
  <c r="L821" i="1"/>
  <c r="J821" i="1"/>
  <c r="G821" i="1"/>
  <c r="E821" i="1"/>
  <c r="B821" i="1"/>
  <c r="AN820" i="1"/>
  <c r="AK820" i="1"/>
  <c r="AI820" i="1"/>
  <c r="AF820" i="1"/>
  <c r="AD820" i="1"/>
  <c r="AA820" i="1"/>
  <c r="Y820" i="1"/>
  <c r="V820" i="1"/>
  <c r="T820" i="1"/>
  <c r="Q820" i="1"/>
  <c r="O820" i="1"/>
  <c r="L820" i="1"/>
  <c r="J820" i="1"/>
  <c r="G820" i="1"/>
  <c r="E820" i="1"/>
  <c r="B820" i="1"/>
  <c r="AN819" i="1"/>
  <c r="AK819" i="1"/>
  <c r="AI819" i="1"/>
  <c r="AF819" i="1"/>
  <c r="AD819" i="1"/>
  <c r="AA819" i="1"/>
  <c r="Y819" i="1"/>
  <c r="V819" i="1"/>
  <c r="T819" i="1"/>
  <c r="Q819" i="1"/>
  <c r="O819" i="1"/>
  <c r="L819" i="1"/>
  <c r="J819" i="1"/>
  <c r="G819" i="1"/>
  <c r="E819" i="1"/>
  <c r="B819" i="1"/>
  <c r="AN818" i="1"/>
  <c r="AK818" i="1"/>
  <c r="AI818" i="1"/>
  <c r="AF818" i="1"/>
  <c r="AD818" i="1"/>
  <c r="AA818" i="1"/>
  <c r="Y818" i="1"/>
  <c r="V818" i="1"/>
  <c r="T818" i="1"/>
  <c r="Q818" i="1"/>
  <c r="O818" i="1"/>
  <c r="L818" i="1"/>
  <c r="J818" i="1"/>
  <c r="G818" i="1"/>
  <c r="E818" i="1"/>
  <c r="B818" i="1"/>
  <c r="AN817" i="1"/>
  <c r="AK817" i="1"/>
  <c r="AI817" i="1"/>
  <c r="AF817" i="1"/>
  <c r="AD817" i="1"/>
  <c r="AA817" i="1"/>
  <c r="Y817" i="1"/>
  <c r="V817" i="1"/>
  <c r="T817" i="1"/>
  <c r="Q817" i="1"/>
  <c r="O817" i="1"/>
  <c r="L817" i="1"/>
  <c r="J817" i="1"/>
  <c r="G817" i="1"/>
  <c r="E817" i="1"/>
  <c r="B817" i="1"/>
  <c r="AN816" i="1"/>
  <c r="AK816" i="1"/>
  <c r="AI816" i="1"/>
  <c r="AF816" i="1"/>
  <c r="AD816" i="1"/>
  <c r="AA816" i="1"/>
  <c r="Y816" i="1"/>
  <c r="V816" i="1"/>
  <c r="T816" i="1"/>
  <c r="Q816" i="1"/>
  <c r="O816" i="1"/>
  <c r="L816" i="1"/>
  <c r="J816" i="1"/>
  <c r="G816" i="1"/>
  <c r="E816" i="1"/>
  <c r="B816" i="1"/>
  <c r="AN815" i="1"/>
  <c r="AK815" i="1"/>
  <c r="AI815" i="1"/>
  <c r="AF815" i="1"/>
  <c r="AD815" i="1"/>
  <c r="AA815" i="1"/>
  <c r="Y815" i="1"/>
  <c r="V815" i="1"/>
  <c r="T815" i="1"/>
  <c r="Q815" i="1"/>
  <c r="O815" i="1"/>
  <c r="L815" i="1"/>
  <c r="J815" i="1"/>
  <c r="G815" i="1"/>
  <c r="E815" i="1"/>
  <c r="B815" i="1"/>
  <c r="AN814" i="1"/>
  <c r="AK814" i="1"/>
  <c r="AI814" i="1"/>
  <c r="AF814" i="1"/>
  <c r="AD814" i="1"/>
  <c r="AA814" i="1"/>
  <c r="Y814" i="1"/>
  <c r="V814" i="1"/>
  <c r="T814" i="1"/>
  <c r="Q814" i="1"/>
  <c r="O814" i="1"/>
  <c r="L814" i="1"/>
  <c r="J814" i="1"/>
  <c r="G814" i="1"/>
  <c r="E814" i="1"/>
  <c r="B814" i="1"/>
  <c r="AN813" i="1"/>
  <c r="AK813" i="1"/>
  <c r="AI813" i="1"/>
  <c r="AF813" i="1"/>
  <c r="AD813" i="1"/>
  <c r="AA813" i="1"/>
  <c r="Y813" i="1"/>
  <c r="V813" i="1"/>
  <c r="T813" i="1"/>
  <c r="Q813" i="1"/>
  <c r="O813" i="1"/>
  <c r="L813" i="1"/>
  <c r="J813" i="1"/>
  <c r="G813" i="1"/>
  <c r="E813" i="1"/>
  <c r="B813" i="1"/>
  <c r="AN812" i="1"/>
  <c r="AK812" i="1"/>
  <c r="AI812" i="1"/>
  <c r="AF812" i="1"/>
  <c r="AD812" i="1"/>
  <c r="AA812" i="1"/>
  <c r="Y812" i="1"/>
  <c r="V812" i="1"/>
  <c r="T812" i="1"/>
  <c r="Q812" i="1"/>
  <c r="O812" i="1"/>
  <c r="L812" i="1"/>
  <c r="J812" i="1"/>
  <c r="G812" i="1"/>
  <c r="E812" i="1"/>
  <c r="B812" i="1"/>
  <c r="AN811" i="1"/>
  <c r="AK811" i="1"/>
  <c r="AI811" i="1"/>
  <c r="AF811" i="1"/>
  <c r="AD811" i="1"/>
  <c r="AA811" i="1"/>
  <c r="Y811" i="1"/>
  <c r="V811" i="1"/>
  <c r="T811" i="1"/>
  <c r="Q811" i="1"/>
  <c r="O811" i="1"/>
  <c r="L811" i="1"/>
  <c r="J811" i="1"/>
  <c r="G811" i="1"/>
  <c r="E811" i="1"/>
  <c r="B811" i="1"/>
  <c r="AN810" i="1"/>
  <c r="AK810" i="1"/>
  <c r="AI810" i="1"/>
  <c r="AF810" i="1"/>
  <c r="AD810" i="1"/>
  <c r="AA810" i="1"/>
  <c r="Y810" i="1"/>
  <c r="V810" i="1"/>
  <c r="T810" i="1"/>
  <c r="Q810" i="1"/>
  <c r="O810" i="1"/>
  <c r="L810" i="1"/>
  <c r="J810" i="1"/>
  <c r="G810" i="1"/>
  <c r="E810" i="1"/>
  <c r="B810" i="1"/>
  <c r="AN809" i="1"/>
  <c r="AK809" i="1"/>
  <c r="AI809" i="1"/>
  <c r="AF809" i="1"/>
  <c r="AD809" i="1"/>
  <c r="AA809" i="1"/>
  <c r="Y809" i="1"/>
  <c r="V809" i="1"/>
  <c r="T809" i="1"/>
  <c r="Q809" i="1"/>
  <c r="O809" i="1"/>
  <c r="L809" i="1"/>
  <c r="J809" i="1"/>
  <c r="G809" i="1"/>
  <c r="E809" i="1"/>
  <c r="B809" i="1"/>
  <c r="AN808" i="1"/>
  <c r="AK808" i="1"/>
  <c r="AI808" i="1"/>
  <c r="AF808" i="1"/>
  <c r="AD808" i="1"/>
  <c r="AA808" i="1"/>
  <c r="Y808" i="1"/>
  <c r="V808" i="1"/>
  <c r="T808" i="1"/>
  <c r="Q808" i="1"/>
  <c r="O808" i="1"/>
  <c r="L808" i="1"/>
  <c r="J808" i="1"/>
  <c r="G808" i="1"/>
  <c r="E808" i="1"/>
  <c r="B808" i="1"/>
  <c r="AN807" i="1"/>
  <c r="AK807" i="1"/>
  <c r="AI807" i="1"/>
  <c r="AF807" i="1"/>
  <c r="AD807" i="1"/>
  <c r="AA807" i="1"/>
  <c r="Y807" i="1"/>
  <c r="V807" i="1"/>
  <c r="T807" i="1"/>
  <c r="Q807" i="1"/>
  <c r="O807" i="1"/>
  <c r="L807" i="1"/>
  <c r="J807" i="1"/>
  <c r="G807" i="1"/>
  <c r="E807" i="1"/>
  <c r="B807" i="1"/>
  <c r="AN806" i="1"/>
  <c r="AK806" i="1"/>
  <c r="AI806" i="1"/>
  <c r="AF806" i="1"/>
  <c r="AD806" i="1"/>
  <c r="AA806" i="1"/>
  <c r="Y806" i="1"/>
  <c r="V806" i="1"/>
  <c r="T806" i="1"/>
  <c r="Q806" i="1"/>
  <c r="O806" i="1"/>
  <c r="L806" i="1"/>
  <c r="J806" i="1"/>
  <c r="G806" i="1"/>
  <c r="E806" i="1"/>
  <c r="B806" i="1"/>
  <c r="AN805" i="1"/>
  <c r="AK805" i="1"/>
  <c r="AI805" i="1"/>
  <c r="AF805" i="1"/>
  <c r="AD805" i="1"/>
  <c r="AA805" i="1"/>
  <c r="Y805" i="1"/>
  <c r="V805" i="1"/>
  <c r="T805" i="1"/>
  <c r="Q805" i="1"/>
  <c r="O805" i="1"/>
  <c r="L805" i="1"/>
  <c r="J805" i="1"/>
  <c r="G805" i="1"/>
  <c r="E805" i="1"/>
  <c r="B805" i="1"/>
  <c r="AN796" i="1"/>
  <c r="AK796" i="1"/>
  <c r="AI796" i="1"/>
  <c r="AF796" i="1"/>
  <c r="AD796" i="1"/>
  <c r="AA796" i="1"/>
  <c r="Y796" i="1"/>
  <c r="V796" i="1"/>
  <c r="T796" i="1"/>
  <c r="Q796" i="1"/>
  <c r="O796" i="1"/>
  <c r="L796" i="1"/>
  <c r="J796" i="1"/>
  <c r="G796" i="1"/>
  <c r="E796" i="1"/>
  <c r="B796" i="1"/>
  <c r="AN795" i="1"/>
  <c r="AK795" i="1"/>
  <c r="AI795" i="1"/>
  <c r="AF795" i="1"/>
  <c r="AD795" i="1"/>
  <c r="AA795" i="1"/>
  <c r="Y795" i="1"/>
  <c r="V795" i="1"/>
  <c r="T795" i="1"/>
  <c r="Q795" i="1"/>
  <c r="O795" i="1"/>
  <c r="L795" i="1"/>
  <c r="J795" i="1"/>
  <c r="G795" i="1"/>
  <c r="E795" i="1"/>
  <c r="B795" i="1"/>
  <c r="AN794" i="1"/>
  <c r="AK794" i="1"/>
  <c r="AI794" i="1"/>
  <c r="AF794" i="1"/>
  <c r="AD794" i="1"/>
  <c r="AA794" i="1"/>
  <c r="Y794" i="1"/>
  <c r="V794" i="1"/>
  <c r="T794" i="1"/>
  <c r="Q794" i="1"/>
  <c r="O794" i="1"/>
  <c r="L794" i="1"/>
  <c r="J794" i="1"/>
  <c r="G794" i="1"/>
  <c r="E794" i="1"/>
  <c r="B794" i="1"/>
  <c r="AN793" i="1"/>
  <c r="AK793" i="1"/>
  <c r="AI793" i="1"/>
  <c r="AF793" i="1"/>
  <c r="AD793" i="1"/>
  <c r="AA793" i="1"/>
  <c r="Y793" i="1"/>
  <c r="V793" i="1"/>
  <c r="T793" i="1"/>
  <c r="Q793" i="1"/>
  <c r="O793" i="1"/>
  <c r="L793" i="1"/>
  <c r="J793" i="1"/>
  <c r="G793" i="1"/>
  <c r="E793" i="1"/>
  <c r="B793" i="1"/>
  <c r="AN792" i="1"/>
  <c r="AK792" i="1"/>
  <c r="AI792" i="1"/>
  <c r="AF792" i="1"/>
  <c r="AD792" i="1"/>
  <c r="AA792" i="1"/>
  <c r="Y792" i="1"/>
  <c r="V792" i="1"/>
  <c r="T792" i="1"/>
  <c r="Q792" i="1"/>
  <c r="O792" i="1"/>
  <c r="L792" i="1"/>
  <c r="J792" i="1"/>
  <c r="G792" i="1"/>
  <c r="E792" i="1"/>
  <c r="B792" i="1"/>
  <c r="AN791" i="1"/>
  <c r="AK791" i="1"/>
  <c r="AI791" i="1"/>
  <c r="AF791" i="1"/>
  <c r="AD791" i="1"/>
  <c r="AA791" i="1"/>
  <c r="Y791" i="1"/>
  <c r="V791" i="1"/>
  <c r="T791" i="1"/>
  <c r="Q791" i="1"/>
  <c r="O791" i="1"/>
  <c r="L791" i="1"/>
  <c r="J791" i="1"/>
  <c r="G791" i="1"/>
  <c r="E791" i="1"/>
  <c r="B791" i="1"/>
  <c r="AN790" i="1"/>
  <c r="AK790" i="1"/>
  <c r="AI790" i="1"/>
  <c r="AF790" i="1"/>
  <c r="AD790" i="1"/>
  <c r="AA790" i="1"/>
  <c r="Y790" i="1"/>
  <c r="V790" i="1"/>
  <c r="T790" i="1"/>
  <c r="Q790" i="1"/>
  <c r="O790" i="1"/>
  <c r="L790" i="1"/>
  <c r="J790" i="1"/>
  <c r="G790" i="1"/>
  <c r="E790" i="1"/>
  <c r="B790" i="1"/>
  <c r="AN789" i="1"/>
  <c r="AK789" i="1"/>
  <c r="AI789" i="1"/>
  <c r="AF789" i="1"/>
  <c r="AD789" i="1"/>
  <c r="AA789" i="1"/>
  <c r="Y789" i="1"/>
  <c r="V789" i="1"/>
  <c r="T789" i="1"/>
  <c r="Q789" i="1"/>
  <c r="O789" i="1"/>
  <c r="L789" i="1"/>
  <c r="J789" i="1"/>
  <c r="G789" i="1"/>
  <c r="E789" i="1"/>
  <c r="B789" i="1"/>
  <c r="AN788" i="1"/>
  <c r="AK788" i="1"/>
  <c r="AI788" i="1"/>
  <c r="AF788" i="1"/>
  <c r="AD788" i="1"/>
  <c r="AA788" i="1"/>
  <c r="Y788" i="1"/>
  <c r="V788" i="1"/>
  <c r="T788" i="1"/>
  <c r="Q788" i="1"/>
  <c r="O788" i="1"/>
  <c r="L788" i="1"/>
  <c r="J788" i="1"/>
  <c r="G788" i="1"/>
  <c r="E788" i="1"/>
  <c r="B788" i="1"/>
  <c r="AN787" i="1"/>
  <c r="AK787" i="1"/>
  <c r="AI787" i="1"/>
  <c r="AF787" i="1"/>
  <c r="AD787" i="1"/>
  <c r="AA787" i="1"/>
  <c r="Y787" i="1"/>
  <c r="V787" i="1"/>
  <c r="T787" i="1"/>
  <c r="Q787" i="1"/>
  <c r="O787" i="1"/>
  <c r="L787" i="1"/>
  <c r="J787" i="1"/>
  <c r="G787" i="1"/>
  <c r="E787" i="1"/>
  <c r="B787" i="1"/>
  <c r="AN786" i="1"/>
  <c r="AK786" i="1"/>
  <c r="AI786" i="1"/>
  <c r="AF786" i="1"/>
  <c r="AD786" i="1"/>
  <c r="AA786" i="1"/>
  <c r="Y786" i="1"/>
  <c r="V786" i="1"/>
  <c r="T786" i="1"/>
  <c r="Q786" i="1"/>
  <c r="O786" i="1"/>
  <c r="L786" i="1"/>
  <c r="J786" i="1"/>
  <c r="G786" i="1"/>
  <c r="E786" i="1"/>
  <c r="B786" i="1"/>
  <c r="AN785" i="1"/>
  <c r="AK785" i="1"/>
  <c r="AI785" i="1"/>
  <c r="AF785" i="1"/>
  <c r="AD785" i="1"/>
  <c r="AA785" i="1"/>
  <c r="Y785" i="1"/>
  <c r="V785" i="1"/>
  <c r="T785" i="1"/>
  <c r="Q785" i="1"/>
  <c r="O785" i="1"/>
  <c r="L785" i="1"/>
  <c r="J785" i="1"/>
  <c r="G785" i="1"/>
  <c r="E785" i="1"/>
  <c r="B785" i="1"/>
  <c r="AN784" i="1"/>
  <c r="AK784" i="1"/>
  <c r="AI784" i="1"/>
  <c r="AF784" i="1"/>
  <c r="AD784" i="1"/>
  <c r="AA784" i="1"/>
  <c r="Y784" i="1"/>
  <c r="V784" i="1"/>
  <c r="T784" i="1"/>
  <c r="Q784" i="1"/>
  <c r="O784" i="1"/>
  <c r="L784" i="1"/>
  <c r="J784" i="1"/>
  <c r="G784" i="1"/>
  <c r="E784" i="1"/>
  <c r="B784" i="1"/>
  <c r="AN783" i="1"/>
  <c r="AK783" i="1"/>
  <c r="AI783" i="1"/>
  <c r="AF783" i="1"/>
  <c r="AD783" i="1"/>
  <c r="AA783" i="1"/>
  <c r="Y783" i="1"/>
  <c r="V783" i="1"/>
  <c r="T783" i="1"/>
  <c r="Q783" i="1"/>
  <c r="O783" i="1"/>
  <c r="L783" i="1"/>
  <c r="J783" i="1"/>
  <c r="G783" i="1"/>
  <c r="E783" i="1"/>
  <c r="B783" i="1"/>
  <c r="AN782" i="1"/>
  <c r="AK782" i="1"/>
  <c r="AI782" i="1"/>
  <c r="AF782" i="1"/>
  <c r="AD782" i="1"/>
  <c r="AA782" i="1"/>
  <c r="Y782" i="1"/>
  <c r="V782" i="1"/>
  <c r="T782" i="1"/>
  <c r="Q782" i="1"/>
  <c r="O782" i="1"/>
  <c r="L782" i="1"/>
  <c r="J782" i="1"/>
  <c r="G782" i="1"/>
  <c r="E782" i="1"/>
  <c r="B782" i="1"/>
  <c r="AN781" i="1"/>
  <c r="AK781" i="1"/>
  <c r="AI781" i="1"/>
  <c r="AF781" i="1"/>
  <c r="AD781" i="1"/>
  <c r="AA781" i="1"/>
  <c r="Y781" i="1"/>
  <c r="V781" i="1"/>
  <c r="T781" i="1"/>
  <c r="Q781" i="1"/>
  <c r="O781" i="1"/>
  <c r="L781" i="1"/>
  <c r="J781" i="1"/>
  <c r="G781" i="1"/>
  <c r="E781" i="1"/>
  <c r="B781" i="1"/>
  <c r="AN780" i="1"/>
  <c r="AK780" i="1"/>
  <c r="AI780" i="1"/>
  <c r="AF780" i="1"/>
  <c r="AD780" i="1"/>
  <c r="AA780" i="1"/>
  <c r="Y780" i="1"/>
  <c r="V780" i="1"/>
  <c r="T780" i="1"/>
  <c r="Q780" i="1"/>
  <c r="O780" i="1"/>
  <c r="L780" i="1"/>
  <c r="J780" i="1"/>
  <c r="G780" i="1"/>
  <c r="E780" i="1"/>
  <c r="B780" i="1"/>
  <c r="AN779" i="1"/>
  <c r="AK779" i="1"/>
  <c r="AI779" i="1"/>
  <c r="AF779" i="1"/>
  <c r="AD779" i="1"/>
  <c r="AA779" i="1"/>
  <c r="Y779" i="1"/>
  <c r="V779" i="1"/>
  <c r="T779" i="1"/>
  <c r="Q779" i="1"/>
  <c r="O779" i="1"/>
  <c r="L779" i="1"/>
  <c r="J779" i="1"/>
  <c r="G779" i="1"/>
  <c r="E779" i="1"/>
  <c r="B779" i="1"/>
  <c r="AN778" i="1"/>
  <c r="AK778" i="1"/>
  <c r="AI778" i="1"/>
  <c r="AF778" i="1"/>
  <c r="AD778" i="1"/>
  <c r="AA778" i="1"/>
  <c r="Y778" i="1"/>
  <c r="V778" i="1"/>
  <c r="T778" i="1"/>
  <c r="Q778" i="1"/>
  <c r="O778" i="1"/>
  <c r="L778" i="1"/>
  <c r="J778" i="1"/>
  <c r="G778" i="1"/>
  <c r="E778" i="1"/>
  <c r="B778" i="1"/>
  <c r="AN777" i="1"/>
  <c r="AK777" i="1"/>
  <c r="AI777" i="1"/>
  <c r="AF777" i="1"/>
  <c r="AD777" i="1"/>
  <c r="AA777" i="1"/>
  <c r="Y777" i="1"/>
  <c r="V777" i="1"/>
  <c r="T777" i="1"/>
  <c r="Q777" i="1"/>
  <c r="O777" i="1"/>
  <c r="L777" i="1"/>
  <c r="J777" i="1"/>
  <c r="G777" i="1"/>
  <c r="E777" i="1"/>
  <c r="B777" i="1"/>
  <c r="AN776" i="1"/>
  <c r="AK776" i="1"/>
  <c r="AI776" i="1"/>
  <c r="AF776" i="1"/>
  <c r="AD776" i="1"/>
  <c r="AA776" i="1"/>
  <c r="Y776" i="1"/>
  <c r="V776" i="1"/>
  <c r="T776" i="1"/>
  <c r="Q776" i="1"/>
  <c r="O776" i="1"/>
  <c r="L776" i="1"/>
  <c r="J776" i="1"/>
  <c r="G776" i="1"/>
  <c r="E776" i="1"/>
  <c r="B776" i="1"/>
  <c r="AN769" i="1"/>
  <c r="AK769" i="1"/>
  <c r="AI769" i="1"/>
  <c r="AF769" i="1"/>
  <c r="AD769" i="1"/>
  <c r="AA769" i="1"/>
  <c r="Y769" i="1"/>
  <c r="V769" i="1"/>
  <c r="T769" i="1"/>
  <c r="Q769" i="1"/>
  <c r="O769" i="1"/>
  <c r="L769" i="1"/>
  <c r="J769" i="1"/>
  <c r="G769" i="1"/>
  <c r="E769" i="1"/>
  <c r="B769" i="1"/>
  <c r="AN768" i="1"/>
  <c r="AK768" i="1"/>
  <c r="AI768" i="1"/>
  <c r="AF768" i="1"/>
  <c r="AD768" i="1"/>
  <c r="AA768" i="1"/>
  <c r="Y768" i="1"/>
  <c r="V768" i="1"/>
  <c r="T768" i="1"/>
  <c r="Q768" i="1"/>
  <c r="O768" i="1"/>
  <c r="L768" i="1"/>
  <c r="J768" i="1"/>
  <c r="G768" i="1"/>
  <c r="E768" i="1"/>
  <c r="B768" i="1"/>
  <c r="AN767" i="1"/>
  <c r="AK767" i="1"/>
  <c r="AI767" i="1"/>
  <c r="AF767" i="1"/>
  <c r="AD767" i="1"/>
  <c r="AA767" i="1"/>
  <c r="Y767" i="1"/>
  <c r="V767" i="1"/>
  <c r="T767" i="1"/>
  <c r="Q767" i="1"/>
  <c r="O767" i="1"/>
  <c r="L767" i="1"/>
  <c r="J767" i="1"/>
  <c r="G767" i="1"/>
  <c r="E767" i="1"/>
  <c r="B767" i="1"/>
  <c r="AN766" i="1"/>
  <c r="AK766" i="1"/>
  <c r="AI766" i="1"/>
  <c r="AF766" i="1"/>
  <c r="AD766" i="1"/>
  <c r="AA766" i="1"/>
  <c r="Y766" i="1"/>
  <c r="V766" i="1"/>
  <c r="T766" i="1"/>
  <c r="Q766" i="1"/>
  <c r="O766" i="1"/>
  <c r="L766" i="1"/>
  <c r="J766" i="1"/>
  <c r="G766" i="1"/>
  <c r="E766" i="1"/>
  <c r="B766" i="1"/>
  <c r="AN765" i="1"/>
  <c r="AK765" i="1"/>
  <c r="AI765" i="1"/>
  <c r="AF765" i="1"/>
  <c r="AD765" i="1"/>
  <c r="AA765" i="1"/>
  <c r="Y765" i="1"/>
  <c r="V765" i="1"/>
  <c r="T765" i="1"/>
  <c r="Q765" i="1"/>
  <c r="O765" i="1"/>
  <c r="L765" i="1"/>
  <c r="J765" i="1"/>
  <c r="G765" i="1"/>
  <c r="E765" i="1"/>
  <c r="B765" i="1"/>
  <c r="AN764" i="1"/>
  <c r="AK764" i="1"/>
  <c r="AI764" i="1"/>
  <c r="AF764" i="1"/>
  <c r="AD764" i="1"/>
  <c r="AA764" i="1"/>
  <c r="Y764" i="1"/>
  <c r="V764" i="1"/>
  <c r="T764" i="1"/>
  <c r="Q764" i="1"/>
  <c r="O764" i="1"/>
  <c r="L764" i="1"/>
  <c r="J764" i="1"/>
  <c r="G764" i="1"/>
  <c r="E764" i="1"/>
  <c r="B764" i="1"/>
  <c r="AN763" i="1"/>
  <c r="AK763" i="1"/>
  <c r="AI763" i="1"/>
  <c r="AF763" i="1"/>
  <c r="AD763" i="1"/>
  <c r="AA763" i="1"/>
  <c r="Y763" i="1"/>
  <c r="V763" i="1"/>
  <c r="T763" i="1"/>
  <c r="Q763" i="1"/>
  <c r="O763" i="1"/>
  <c r="L763" i="1"/>
  <c r="J763" i="1"/>
  <c r="G763" i="1"/>
  <c r="E763" i="1"/>
  <c r="B763" i="1"/>
  <c r="AN762" i="1"/>
  <c r="AK762" i="1"/>
  <c r="AI762" i="1"/>
  <c r="AF762" i="1"/>
  <c r="AD762" i="1"/>
  <c r="AA762" i="1"/>
  <c r="Y762" i="1"/>
  <c r="V762" i="1"/>
  <c r="T762" i="1"/>
  <c r="Q762" i="1"/>
  <c r="O762" i="1"/>
  <c r="L762" i="1"/>
  <c r="J762" i="1"/>
  <c r="G762" i="1"/>
  <c r="E762" i="1"/>
  <c r="B762" i="1"/>
  <c r="AN761" i="1"/>
  <c r="AK761" i="1"/>
  <c r="AI761" i="1"/>
  <c r="AF761" i="1"/>
  <c r="AD761" i="1"/>
  <c r="AA761" i="1"/>
  <c r="Y761" i="1"/>
  <c r="V761" i="1"/>
  <c r="T761" i="1"/>
  <c r="Q761" i="1"/>
  <c r="O761" i="1"/>
  <c r="L761" i="1"/>
  <c r="J761" i="1"/>
  <c r="G761" i="1"/>
  <c r="E761" i="1"/>
  <c r="B761" i="1"/>
  <c r="AN760" i="1"/>
  <c r="AK760" i="1"/>
  <c r="AI760" i="1"/>
  <c r="AF760" i="1"/>
  <c r="AD760" i="1"/>
  <c r="AA760" i="1"/>
  <c r="Y760" i="1"/>
  <c r="V760" i="1"/>
  <c r="T760" i="1"/>
  <c r="Q760" i="1"/>
  <c r="O760" i="1"/>
  <c r="L760" i="1"/>
  <c r="J760" i="1"/>
  <c r="G760" i="1"/>
  <c r="E760" i="1"/>
  <c r="B760" i="1"/>
  <c r="AN759" i="1"/>
  <c r="AK759" i="1"/>
  <c r="AI759" i="1"/>
  <c r="AF759" i="1"/>
  <c r="AD759" i="1"/>
  <c r="AA759" i="1"/>
  <c r="Y759" i="1"/>
  <c r="V759" i="1"/>
  <c r="T759" i="1"/>
  <c r="Q759" i="1"/>
  <c r="O759" i="1"/>
  <c r="L759" i="1"/>
  <c r="J759" i="1"/>
  <c r="G759" i="1"/>
  <c r="E759" i="1"/>
  <c r="B759" i="1"/>
  <c r="AN758" i="1"/>
  <c r="AK758" i="1"/>
  <c r="AI758" i="1"/>
  <c r="AF758" i="1"/>
  <c r="AD758" i="1"/>
  <c r="AA758" i="1"/>
  <c r="Y758" i="1"/>
  <c r="V758" i="1"/>
  <c r="T758" i="1"/>
  <c r="Q758" i="1"/>
  <c r="O758" i="1"/>
  <c r="L758" i="1"/>
  <c r="J758" i="1"/>
  <c r="G758" i="1"/>
  <c r="E758" i="1"/>
  <c r="B758" i="1"/>
  <c r="AN757" i="1"/>
  <c r="AK757" i="1"/>
  <c r="AI757" i="1"/>
  <c r="AF757" i="1"/>
  <c r="AD757" i="1"/>
  <c r="AA757" i="1"/>
  <c r="Y757" i="1"/>
  <c r="V757" i="1"/>
  <c r="T757" i="1"/>
  <c r="Q757" i="1"/>
  <c r="O757" i="1"/>
  <c r="L757" i="1"/>
  <c r="J757" i="1"/>
  <c r="G757" i="1"/>
  <c r="E757" i="1"/>
  <c r="B757" i="1"/>
  <c r="AN756" i="1"/>
  <c r="AK756" i="1"/>
  <c r="AI756" i="1"/>
  <c r="AF756" i="1"/>
  <c r="AD756" i="1"/>
  <c r="AA756" i="1"/>
  <c r="Y756" i="1"/>
  <c r="V756" i="1"/>
  <c r="T756" i="1"/>
  <c r="Q756" i="1"/>
  <c r="O756" i="1"/>
  <c r="L756" i="1"/>
  <c r="J756" i="1"/>
  <c r="G756" i="1"/>
  <c r="E756" i="1"/>
  <c r="B756" i="1"/>
  <c r="AN755" i="1"/>
  <c r="AK755" i="1"/>
  <c r="AI755" i="1"/>
  <c r="AF755" i="1"/>
  <c r="AD755" i="1"/>
  <c r="AA755" i="1"/>
  <c r="Y755" i="1"/>
  <c r="V755" i="1"/>
  <c r="T755" i="1"/>
  <c r="Q755" i="1"/>
  <c r="O755" i="1"/>
  <c r="L755" i="1"/>
  <c r="J755" i="1"/>
  <c r="G755" i="1"/>
  <c r="E755" i="1"/>
  <c r="B755" i="1"/>
  <c r="AN754" i="1"/>
  <c r="AK754" i="1"/>
  <c r="AI754" i="1"/>
  <c r="AF754" i="1"/>
  <c r="AD754" i="1"/>
  <c r="AA754" i="1"/>
  <c r="Y754" i="1"/>
  <c r="V754" i="1"/>
  <c r="T754" i="1"/>
  <c r="Q754" i="1"/>
  <c r="O754" i="1"/>
  <c r="L754" i="1"/>
  <c r="J754" i="1"/>
  <c r="G754" i="1"/>
  <c r="E754" i="1"/>
  <c r="B754" i="1"/>
  <c r="AN753" i="1"/>
  <c r="AK753" i="1"/>
  <c r="AI753" i="1"/>
  <c r="AF753" i="1"/>
  <c r="AD753" i="1"/>
  <c r="AA753" i="1"/>
  <c r="Y753" i="1"/>
  <c r="V753" i="1"/>
  <c r="T753" i="1"/>
  <c r="Q753" i="1"/>
  <c r="O753" i="1"/>
  <c r="L753" i="1"/>
  <c r="J753" i="1"/>
  <c r="G753" i="1"/>
  <c r="E753" i="1"/>
  <c r="B753" i="1"/>
  <c r="AN752" i="1"/>
  <c r="AK752" i="1"/>
  <c r="AI752" i="1"/>
  <c r="AF752" i="1"/>
  <c r="AD752" i="1"/>
  <c r="AA752" i="1"/>
  <c r="Y752" i="1"/>
  <c r="V752" i="1"/>
  <c r="T752" i="1"/>
  <c r="Q752" i="1"/>
  <c r="O752" i="1"/>
  <c r="L752" i="1"/>
  <c r="J752" i="1"/>
  <c r="G752" i="1"/>
  <c r="E752" i="1"/>
  <c r="B752" i="1"/>
  <c r="AN751" i="1"/>
  <c r="AK751" i="1"/>
  <c r="AI751" i="1"/>
  <c r="AF751" i="1"/>
  <c r="AD751" i="1"/>
  <c r="AA751" i="1"/>
  <c r="Y751" i="1"/>
  <c r="V751" i="1"/>
  <c r="T751" i="1"/>
  <c r="Q751" i="1"/>
  <c r="O751" i="1"/>
  <c r="L751" i="1"/>
  <c r="J751" i="1"/>
  <c r="G751" i="1"/>
  <c r="E751" i="1"/>
  <c r="B751" i="1"/>
  <c r="AN750" i="1"/>
  <c r="AK750" i="1"/>
  <c r="AI750" i="1"/>
  <c r="AF750" i="1"/>
  <c r="AD750" i="1"/>
  <c r="AA750" i="1"/>
  <c r="Y750" i="1"/>
  <c r="V750" i="1"/>
  <c r="T750" i="1"/>
  <c r="Q750" i="1"/>
  <c r="O750" i="1"/>
  <c r="L750" i="1"/>
  <c r="J750" i="1"/>
  <c r="G750" i="1"/>
  <c r="E750" i="1"/>
  <c r="B750" i="1"/>
  <c r="AN749" i="1"/>
  <c r="AK749" i="1"/>
  <c r="AI749" i="1"/>
  <c r="AF749" i="1"/>
  <c r="AD749" i="1"/>
  <c r="AA749" i="1"/>
  <c r="Y749" i="1"/>
  <c r="V749" i="1"/>
  <c r="T749" i="1"/>
  <c r="Q749" i="1"/>
  <c r="O749" i="1"/>
  <c r="L749" i="1"/>
  <c r="J749" i="1"/>
  <c r="G749" i="1"/>
  <c r="E749" i="1"/>
  <c r="B749" i="1"/>
  <c r="AN739" i="1"/>
  <c r="AK739" i="1"/>
  <c r="AI739" i="1"/>
  <c r="AF739" i="1"/>
  <c r="AD739" i="1"/>
  <c r="AA739" i="1"/>
  <c r="Y739" i="1"/>
  <c r="V739" i="1"/>
  <c r="T739" i="1"/>
  <c r="Q739" i="1"/>
  <c r="O739" i="1"/>
  <c r="L739" i="1"/>
  <c r="J739" i="1"/>
  <c r="G739" i="1"/>
  <c r="E739" i="1"/>
  <c r="B739" i="1"/>
  <c r="AN738" i="1"/>
  <c r="AK738" i="1"/>
  <c r="AI738" i="1"/>
  <c r="AF738" i="1"/>
  <c r="AD738" i="1"/>
  <c r="AA738" i="1"/>
  <c r="Y738" i="1"/>
  <c r="V738" i="1"/>
  <c r="T738" i="1"/>
  <c r="Q738" i="1"/>
  <c r="O738" i="1"/>
  <c r="L738" i="1"/>
  <c r="J738" i="1"/>
  <c r="G738" i="1"/>
  <c r="E738" i="1"/>
  <c r="B738" i="1"/>
  <c r="AN737" i="1"/>
  <c r="AK737" i="1"/>
  <c r="AI737" i="1"/>
  <c r="AF737" i="1"/>
  <c r="AD737" i="1"/>
  <c r="AA737" i="1"/>
  <c r="Y737" i="1"/>
  <c r="V737" i="1"/>
  <c r="T737" i="1"/>
  <c r="Q737" i="1"/>
  <c r="O737" i="1"/>
  <c r="L737" i="1"/>
  <c r="J737" i="1"/>
  <c r="G737" i="1"/>
  <c r="E737" i="1"/>
  <c r="B737" i="1"/>
  <c r="AN736" i="1"/>
  <c r="AK736" i="1"/>
  <c r="AI736" i="1"/>
  <c r="AF736" i="1"/>
  <c r="AD736" i="1"/>
  <c r="AA736" i="1"/>
  <c r="Y736" i="1"/>
  <c r="V736" i="1"/>
  <c r="T736" i="1"/>
  <c r="Q736" i="1"/>
  <c r="O736" i="1"/>
  <c r="L736" i="1"/>
  <c r="J736" i="1"/>
  <c r="G736" i="1"/>
  <c r="E736" i="1"/>
  <c r="B736" i="1"/>
  <c r="AN735" i="1"/>
  <c r="AK735" i="1"/>
  <c r="AI735" i="1"/>
  <c r="AF735" i="1"/>
  <c r="AD735" i="1"/>
  <c r="AA735" i="1"/>
  <c r="Y735" i="1"/>
  <c r="V735" i="1"/>
  <c r="T735" i="1"/>
  <c r="Q735" i="1"/>
  <c r="O735" i="1"/>
  <c r="L735" i="1"/>
  <c r="J735" i="1"/>
  <c r="G735" i="1"/>
  <c r="E735" i="1"/>
  <c r="B735" i="1"/>
  <c r="AN734" i="1"/>
  <c r="AK734" i="1"/>
  <c r="AI734" i="1"/>
  <c r="AF734" i="1"/>
  <c r="AD734" i="1"/>
  <c r="AA734" i="1"/>
  <c r="Y734" i="1"/>
  <c r="V734" i="1"/>
  <c r="T734" i="1"/>
  <c r="Q734" i="1"/>
  <c r="O734" i="1"/>
  <c r="L734" i="1"/>
  <c r="J734" i="1"/>
  <c r="G734" i="1"/>
  <c r="E734" i="1"/>
  <c r="B734" i="1"/>
  <c r="AN733" i="1"/>
  <c r="AK733" i="1"/>
  <c r="AI733" i="1"/>
  <c r="AF733" i="1"/>
  <c r="AD733" i="1"/>
  <c r="AA733" i="1"/>
  <c r="Y733" i="1"/>
  <c r="V733" i="1"/>
  <c r="T733" i="1"/>
  <c r="Q733" i="1"/>
  <c r="O733" i="1"/>
  <c r="L733" i="1"/>
  <c r="J733" i="1"/>
  <c r="G733" i="1"/>
  <c r="E733" i="1"/>
  <c r="B733" i="1"/>
  <c r="AN732" i="1"/>
  <c r="AK732" i="1"/>
  <c r="AI732" i="1"/>
  <c r="AF732" i="1"/>
  <c r="AD732" i="1"/>
  <c r="AA732" i="1"/>
  <c r="Y732" i="1"/>
  <c r="V732" i="1"/>
  <c r="T732" i="1"/>
  <c r="Q732" i="1"/>
  <c r="O732" i="1"/>
  <c r="L732" i="1"/>
  <c r="J732" i="1"/>
  <c r="G732" i="1"/>
  <c r="E732" i="1"/>
  <c r="B732" i="1"/>
  <c r="AN731" i="1"/>
  <c r="AK731" i="1"/>
  <c r="AI731" i="1"/>
  <c r="AF731" i="1"/>
  <c r="AD731" i="1"/>
  <c r="AA731" i="1"/>
  <c r="Y731" i="1"/>
  <c r="V731" i="1"/>
  <c r="T731" i="1"/>
  <c r="Q731" i="1"/>
  <c r="O731" i="1"/>
  <c r="L731" i="1"/>
  <c r="J731" i="1"/>
  <c r="G731" i="1"/>
  <c r="E731" i="1"/>
  <c r="B731" i="1"/>
  <c r="AN730" i="1"/>
  <c r="AK730" i="1"/>
  <c r="AI730" i="1"/>
  <c r="AF730" i="1"/>
  <c r="AD730" i="1"/>
  <c r="AA730" i="1"/>
  <c r="Y730" i="1"/>
  <c r="V730" i="1"/>
  <c r="T730" i="1"/>
  <c r="Q730" i="1"/>
  <c r="O730" i="1"/>
  <c r="L730" i="1"/>
  <c r="J730" i="1"/>
  <c r="G730" i="1"/>
  <c r="E730" i="1"/>
  <c r="B730" i="1"/>
  <c r="AN729" i="1"/>
  <c r="AK729" i="1"/>
  <c r="AI729" i="1"/>
  <c r="AF729" i="1"/>
  <c r="AD729" i="1"/>
  <c r="AA729" i="1"/>
  <c r="Y729" i="1"/>
  <c r="V729" i="1"/>
  <c r="T729" i="1"/>
  <c r="Q729" i="1"/>
  <c r="O729" i="1"/>
  <c r="L729" i="1"/>
  <c r="J729" i="1"/>
  <c r="G729" i="1"/>
  <c r="E729" i="1"/>
  <c r="B729" i="1"/>
  <c r="AN728" i="1"/>
  <c r="AK728" i="1"/>
  <c r="AI728" i="1"/>
  <c r="AF728" i="1"/>
  <c r="AD728" i="1"/>
  <c r="AA728" i="1"/>
  <c r="Y728" i="1"/>
  <c r="V728" i="1"/>
  <c r="T728" i="1"/>
  <c r="Q728" i="1"/>
  <c r="O728" i="1"/>
  <c r="L728" i="1"/>
  <c r="J728" i="1"/>
  <c r="G728" i="1"/>
  <c r="E728" i="1"/>
  <c r="B728" i="1"/>
  <c r="AN727" i="1"/>
  <c r="AK727" i="1"/>
  <c r="AI727" i="1"/>
  <c r="AF727" i="1"/>
  <c r="AD727" i="1"/>
  <c r="AA727" i="1"/>
  <c r="Y727" i="1"/>
  <c r="V727" i="1"/>
  <c r="T727" i="1"/>
  <c r="Q727" i="1"/>
  <c r="O727" i="1"/>
  <c r="L727" i="1"/>
  <c r="J727" i="1"/>
  <c r="G727" i="1"/>
  <c r="E727" i="1"/>
  <c r="B727" i="1"/>
  <c r="AN726" i="1"/>
  <c r="AK726" i="1"/>
  <c r="AI726" i="1"/>
  <c r="AF726" i="1"/>
  <c r="AD726" i="1"/>
  <c r="AA726" i="1"/>
  <c r="Y726" i="1"/>
  <c r="V726" i="1"/>
  <c r="T726" i="1"/>
  <c r="Q726" i="1"/>
  <c r="O726" i="1"/>
  <c r="L726" i="1"/>
  <c r="J726" i="1"/>
  <c r="G726" i="1"/>
  <c r="E726" i="1"/>
  <c r="B726" i="1"/>
  <c r="AN725" i="1"/>
  <c r="AK725" i="1"/>
  <c r="AI725" i="1"/>
  <c r="AF725" i="1"/>
  <c r="AD725" i="1"/>
  <c r="AA725" i="1"/>
  <c r="Y725" i="1"/>
  <c r="V725" i="1"/>
  <c r="T725" i="1"/>
  <c r="Q725" i="1"/>
  <c r="O725" i="1"/>
  <c r="L725" i="1"/>
  <c r="J725" i="1"/>
  <c r="G725" i="1"/>
  <c r="E725" i="1"/>
  <c r="B725" i="1"/>
  <c r="AN724" i="1"/>
  <c r="AK724" i="1"/>
  <c r="AI724" i="1"/>
  <c r="AF724" i="1"/>
  <c r="AD724" i="1"/>
  <c r="AA724" i="1"/>
  <c r="Y724" i="1"/>
  <c r="V724" i="1"/>
  <c r="T724" i="1"/>
  <c r="Q724" i="1"/>
  <c r="O724" i="1"/>
  <c r="L724" i="1"/>
  <c r="J724" i="1"/>
  <c r="G724" i="1"/>
  <c r="E724" i="1"/>
  <c r="B724" i="1"/>
  <c r="AN723" i="1"/>
  <c r="AK723" i="1"/>
  <c r="AI723" i="1"/>
  <c r="AF723" i="1"/>
  <c r="AD723" i="1"/>
  <c r="AA723" i="1"/>
  <c r="Y723" i="1"/>
  <c r="V723" i="1"/>
  <c r="T723" i="1"/>
  <c r="Q723" i="1"/>
  <c r="O723" i="1"/>
  <c r="L723" i="1"/>
  <c r="J723" i="1"/>
  <c r="G723" i="1"/>
  <c r="E723" i="1"/>
  <c r="B723" i="1"/>
  <c r="AN722" i="1"/>
  <c r="AK722" i="1"/>
  <c r="AI722" i="1"/>
  <c r="AF722" i="1"/>
  <c r="AD722" i="1"/>
  <c r="AA722" i="1"/>
  <c r="Y722" i="1"/>
  <c r="V722" i="1"/>
  <c r="T722" i="1"/>
  <c r="Q722" i="1"/>
  <c r="O722" i="1"/>
  <c r="L722" i="1"/>
  <c r="J722" i="1"/>
  <c r="G722" i="1"/>
  <c r="E722" i="1"/>
  <c r="B722" i="1"/>
  <c r="AN721" i="1"/>
  <c r="AK721" i="1"/>
  <c r="AI721" i="1"/>
  <c r="AF721" i="1"/>
  <c r="AD721" i="1"/>
  <c r="AA721" i="1"/>
  <c r="Y721" i="1"/>
  <c r="V721" i="1"/>
  <c r="T721" i="1"/>
  <c r="Q721" i="1"/>
  <c r="O721" i="1"/>
  <c r="L721" i="1"/>
  <c r="J721" i="1"/>
  <c r="G721" i="1"/>
  <c r="E721" i="1"/>
  <c r="B721" i="1"/>
  <c r="AN720" i="1"/>
  <c r="AK720" i="1"/>
  <c r="AI720" i="1"/>
  <c r="AF720" i="1"/>
  <c r="AD720" i="1"/>
  <c r="AA720" i="1"/>
  <c r="Y720" i="1"/>
  <c r="V720" i="1"/>
  <c r="T720" i="1"/>
  <c r="Q720" i="1"/>
  <c r="O720" i="1"/>
  <c r="L720" i="1"/>
  <c r="J720" i="1"/>
  <c r="G720" i="1"/>
  <c r="E720" i="1"/>
  <c r="B720" i="1"/>
  <c r="AN719" i="1"/>
  <c r="AK719" i="1"/>
  <c r="AI719" i="1"/>
  <c r="AF719" i="1"/>
  <c r="AD719" i="1"/>
  <c r="AA719" i="1"/>
  <c r="Y719" i="1"/>
  <c r="V719" i="1"/>
  <c r="T719" i="1"/>
  <c r="Q719" i="1"/>
  <c r="O719" i="1"/>
  <c r="L719" i="1"/>
  <c r="J719" i="1"/>
  <c r="G719" i="1"/>
  <c r="E719" i="1"/>
  <c r="B719" i="1"/>
  <c r="AN712" i="1"/>
  <c r="AK712" i="1"/>
  <c r="AI712" i="1"/>
  <c r="AF712" i="1"/>
  <c r="AD712" i="1"/>
  <c r="AA712" i="1"/>
  <c r="Y712" i="1"/>
  <c r="V712" i="1"/>
  <c r="T712" i="1"/>
  <c r="Q712" i="1"/>
  <c r="O712" i="1"/>
  <c r="L712" i="1"/>
  <c r="J712" i="1"/>
  <c r="G712" i="1"/>
  <c r="E712" i="1"/>
  <c r="B712" i="1"/>
  <c r="AN711" i="1"/>
  <c r="AK711" i="1"/>
  <c r="AI711" i="1"/>
  <c r="AF711" i="1"/>
  <c r="AD711" i="1"/>
  <c r="AA711" i="1"/>
  <c r="Y711" i="1"/>
  <c r="V711" i="1"/>
  <c r="T711" i="1"/>
  <c r="Q711" i="1"/>
  <c r="O711" i="1"/>
  <c r="L711" i="1"/>
  <c r="J711" i="1"/>
  <c r="G711" i="1"/>
  <c r="E711" i="1"/>
  <c r="B711" i="1"/>
  <c r="AN710" i="1"/>
  <c r="AK710" i="1"/>
  <c r="AI710" i="1"/>
  <c r="AF710" i="1"/>
  <c r="AD710" i="1"/>
  <c r="AA710" i="1"/>
  <c r="Y710" i="1"/>
  <c r="V710" i="1"/>
  <c r="T710" i="1"/>
  <c r="Q710" i="1"/>
  <c r="O710" i="1"/>
  <c r="L710" i="1"/>
  <c r="J710" i="1"/>
  <c r="G710" i="1"/>
  <c r="E710" i="1"/>
  <c r="B710" i="1"/>
  <c r="AN709" i="1"/>
  <c r="AK709" i="1"/>
  <c r="AI709" i="1"/>
  <c r="AF709" i="1"/>
  <c r="AD709" i="1"/>
  <c r="AA709" i="1"/>
  <c r="Y709" i="1"/>
  <c r="V709" i="1"/>
  <c r="T709" i="1"/>
  <c r="Q709" i="1"/>
  <c r="O709" i="1"/>
  <c r="L709" i="1"/>
  <c r="J709" i="1"/>
  <c r="G709" i="1"/>
  <c r="E709" i="1"/>
  <c r="B709" i="1"/>
  <c r="AN708" i="1"/>
  <c r="AK708" i="1"/>
  <c r="AI708" i="1"/>
  <c r="AF708" i="1"/>
  <c r="AD708" i="1"/>
  <c r="AA708" i="1"/>
  <c r="Y708" i="1"/>
  <c r="V708" i="1"/>
  <c r="T708" i="1"/>
  <c r="Q708" i="1"/>
  <c r="O708" i="1"/>
  <c r="L708" i="1"/>
  <c r="J708" i="1"/>
  <c r="G708" i="1"/>
  <c r="E708" i="1"/>
  <c r="B708" i="1"/>
  <c r="AN707" i="1"/>
  <c r="AK707" i="1"/>
  <c r="AI707" i="1"/>
  <c r="AF707" i="1"/>
  <c r="AD707" i="1"/>
  <c r="AA707" i="1"/>
  <c r="Y707" i="1"/>
  <c r="V707" i="1"/>
  <c r="T707" i="1"/>
  <c r="Q707" i="1"/>
  <c r="O707" i="1"/>
  <c r="L707" i="1"/>
  <c r="J707" i="1"/>
  <c r="G707" i="1"/>
  <c r="E707" i="1"/>
  <c r="B707" i="1"/>
  <c r="AN706" i="1"/>
  <c r="AK706" i="1"/>
  <c r="AI706" i="1"/>
  <c r="AF706" i="1"/>
  <c r="AD706" i="1"/>
  <c r="AA706" i="1"/>
  <c r="Y706" i="1"/>
  <c r="V706" i="1"/>
  <c r="T706" i="1"/>
  <c r="Q706" i="1"/>
  <c r="O706" i="1"/>
  <c r="L706" i="1"/>
  <c r="J706" i="1"/>
  <c r="G706" i="1"/>
  <c r="E706" i="1"/>
  <c r="B706" i="1"/>
  <c r="AN705" i="1"/>
  <c r="AK705" i="1"/>
  <c r="AI705" i="1"/>
  <c r="AF705" i="1"/>
  <c r="AD705" i="1"/>
  <c r="AA705" i="1"/>
  <c r="Y705" i="1"/>
  <c r="V705" i="1"/>
  <c r="T705" i="1"/>
  <c r="Q705" i="1"/>
  <c r="O705" i="1"/>
  <c r="L705" i="1"/>
  <c r="J705" i="1"/>
  <c r="G705" i="1"/>
  <c r="E705" i="1"/>
  <c r="B705" i="1"/>
  <c r="AN704" i="1"/>
  <c r="AK704" i="1"/>
  <c r="AI704" i="1"/>
  <c r="AF704" i="1"/>
  <c r="AD704" i="1"/>
  <c r="AA704" i="1"/>
  <c r="Y704" i="1"/>
  <c r="V704" i="1"/>
  <c r="T704" i="1"/>
  <c r="Q704" i="1"/>
  <c r="O704" i="1"/>
  <c r="L704" i="1"/>
  <c r="J704" i="1"/>
  <c r="G704" i="1"/>
  <c r="E704" i="1"/>
  <c r="B704" i="1"/>
  <c r="AN703" i="1"/>
  <c r="AK703" i="1"/>
  <c r="AI703" i="1"/>
  <c r="AF703" i="1"/>
  <c r="AD703" i="1"/>
  <c r="AA703" i="1"/>
  <c r="Y703" i="1"/>
  <c r="V703" i="1"/>
  <c r="T703" i="1"/>
  <c r="Q703" i="1"/>
  <c r="O703" i="1"/>
  <c r="L703" i="1"/>
  <c r="J703" i="1"/>
  <c r="G703" i="1"/>
  <c r="E703" i="1"/>
  <c r="B703" i="1"/>
  <c r="AN702" i="1"/>
  <c r="AK702" i="1"/>
  <c r="AI702" i="1"/>
  <c r="AF702" i="1"/>
  <c r="AD702" i="1"/>
  <c r="AA702" i="1"/>
  <c r="Y702" i="1"/>
  <c r="V702" i="1"/>
  <c r="T702" i="1"/>
  <c r="Q702" i="1"/>
  <c r="O702" i="1"/>
  <c r="L702" i="1"/>
  <c r="J702" i="1"/>
  <c r="G702" i="1"/>
  <c r="E702" i="1"/>
  <c r="B702" i="1"/>
  <c r="AN701" i="1"/>
  <c r="AK701" i="1"/>
  <c r="AI701" i="1"/>
  <c r="AF701" i="1"/>
  <c r="AD701" i="1"/>
  <c r="AA701" i="1"/>
  <c r="Y701" i="1"/>
  <c r="V701" i="1"/>
  <c r="T701" i="1"/>
  <c r="Q701" i="1"/>
  <c r="O701" i="1"/>
  <c r="L701" i="1"/>
  <c r="J701" i="1"/>
  <c r="G701" i="1"/>
  <c r="E701" i="1"/>
  <c r="B701" i="1"/>
  <c r="AN700" i="1"/>
  <c r="AK700" i="1"/>
  <c r="AI700" i="1"/>
  <c r="AF700" i="1"/>
  <c r="AD700" i="1"/>
  <c r="AA700" i="1"/>
  <c r="Y700" i="1"/>
  <c r="V700" i="1"/>
  <c r="T700" i="1"/>
  <c r="Q700" i="1"/>
  <c r="O700" i="1"/>
  <c r="L700" i="1"/>
  <c r="J700" i="1"/>
  <c r="G700" i="1"/>
  <c r="E700" i="1"/>
  <c r="B700" i="1"/>
  <c r="AN699" i="1"/>
  <c r="AK699" i="1"/>
  <c r="AI699" i="1"/>
  <c r="AF699" i="1"/>
  <c r="AD699" i="1"/>
  <c r="AA699" i="1"/>
  <c r="Y699" i="1"/>
  <c r="V699" i="1"/>
  <c r="T699" i="1"/>
  <c r="Q699" i="1"/>
  <c r="O699" i="1"/>
  <c r="L699" i="1"/>
  <c r="J699" i="1"/>
  <c r="G699" i="1"/>
  <c r="E699" i="1"/>
  <c r="B699" i="1"/>
  <c r="AN698" i="1"/>
  <c r="AK698" i="1"/>
  <c r="AI698" i="1"/>
  <c r="AF698" i="1"/>
  <c r="AD698" i="1"/>
  <c r="AA698" i="1"/>
  <c r="Y698" i="1"/>
  <c r="V698" i="1"/>
  <c r="T698" i="1"/>
  <c r="Q698" i="1"/>
  <c r="O698" i="1"/>
  <c r="L698" i="1"/>
  <c r="J698" i="1"/>
  <c r="G698" i="1"/>
  <c r="E698" i="1"/>
  <c r="B698" i="1"/>
  <c r="AN697" i="1"/>
  <c r="AK697" i="1"/>
  <c r="AI697" i="1"/>
  <c r="AF697" i="1"/>
  <c r="AD697" i="1"/>
  <c r="AA697" i="1"/>
  <c r="Y697" i="1"/>
  <c r="V697" i="1"/>
  <c r="T697" i="1"/>
  <c r="Q697" i="1"/>
  <c r="O697" i="1"/>
  <c r="L697" i="1"/>
  <c r="J697" i="1"/>
  <c r="G697" i="1"/>
  <c r="E697" i="1"/>
  <c r="B697" i="1"/>
  <c r="AN696" i="1"/>
  <c r="AK696" i="1"/>
  <c r="AI696" i="1"/>
  <c r="AF696" i="1"/>
  <c r="AD696" i="1"/>
  <c r="AA696" i="1"/>
  <c r="Y696" i="1"/>
  <c r="V696" i="1"/>
  <c r="T696" i="1"/>
  <c r="Q696" i="1"/>
  <c r="O696" i="1"/>
  <c r="L696" i="1"/>
  <c r="J696" i="1"/>
  <c r="G696" i="1"/>
  <c r="E696" i="1"/>
  <c r="B696" i="1"/>
  <c r="AN695" i="1"/>
  <c r="AK695" i="1"/>
  <c r="AI695" i="1"/>
  <c r="AF695" i="1"/>
  <c r="AD695" i="1"/>
  <c r="AA695" i="1"/>
  <c r="Y695" i="1"/>
  <c r="V695" i="1"/>
  <c r="T695" i="1"/>
  <c r="Q695" i="1"/>
  <c r="O695" i="1"/>
  <c r="L695" i="1"/>
  <c r="J695" i="1"/>
  <c r="G695" i="1"/>
  <c r="E695" i="1"/>
  <c r="B695" i="1"/>
  <c r="AN694" i="1"/>
  <c r="AK694" i="1"/>
  <c r="AI694" i="1"/>
  <c r="AF694" i="1"/>
  <c r="AD694" i="1"/>
  <c r="AA694" i="1"/>
  <c r="Y694" i="1"/>
  <c r="V694" i="1"/>
  <c r="T694" i="1"/>
  <c r="Q694" i="1"/>
  <c r="O694" i="1"/>
  <c r="L694" i="1"/>
  <c r="J694" i="1"/>
  <c r="G694" i="1"/>
  <c r="E694" i="1"/>
  <c r="B694" i="1"/>
  <c r="AN693" i="1"/>
  <c r="AK693" i="1"/>
  <c r="AI693" i="1"/>
  <c r="AF693" i="1"/>
  <c r="AD693" i="1"/>
  <c r="AA693" i="1"/>
  <c r="Y693" i="1"/>
  <c r="V693" i="1"/>
  <c r="T693" i="1"/>
  <c r="Q693" i="1"/>
  <c r="O693" i="1"/>
  <c r="L693" i="1"/>
  <c r="J693" i="1"/>
  <c r="G693" i="1"/>
  <c r="E693" i="1"/>
  <c r="B693" i="1"/>
  <c r="AN692" i="1"/>
  <c r="AK692" i="1"/>
  <c r="AI692" i="1"/>
  <c r="AF692" i="1"/>
  <c r="AD692" i="1"/>
  <c r="AA692" i="1"/>
  <c r="Y692" i="1"/>
  <c r="V692" i="1"/>
  <c r="T692" i="1"/>
  <c r="Q692" i="1"/>
  <c r="O692" i="1"/>
  <c r="L692" i="1"/>
  <c r="J692" i="1"/>
  <c r="G692" i="1"/>
  <c r="E692" i="1"/>
  <c r="B692" i="1"/>
  <c r="AN682" i="1"/>
  <c r="AK682" i="1"/>
  <c r="AI682" i="1"/>
  <c r="AF682" i="1"/>
  <c r="AD682" i="1"/>
  <c r="AA682" i="1"/>
  <c r="Y682" i="1"/>
  <c r="V682" i="1"/>
  <c r="T682" i="1"/>
  <c r="Q682" i="1"/>
  <c r="O682" i="1"/>
  <c r="L682" i="1"/>
  <c r="J682" i="1"/>
  <c r="G682" i="1"/>
  <c r="E682" i="1"/>
  <c r="B682" i="1"/>
  <c r="AN681" i="1"/>
  <c r="AK681" i="1"/>
  <c r="AI681" i="1"/>
  <c r="AF681" i="1"/>
  <c r="AD681" i="1"/>
  <c r="AA681" i="1"/>
  <c r="Y681" i="1"/>
  <c r="V681" i="1"/>
  <c r="T681" i="1"/>
  <c r="Q681" i="1"/>
  <c r="O681" i="1"/>
  <c r="L681" i="1"/>
  <c r="J681" i="1"/>
  <c r="G681" i="1"/>
  <c r="E681" i="1"/>
  <c r="B681" i="1"/>
  <c r="AN680" i="1"/>
  <c r="AK680" i="1"/>
  <c r="AI680" i="1"/>
  <c r="AF680" i="1"/>
  <c r="AD680" i="1"/>
  <c r="AA680" i="1"/>
  <c r="Y680" i="1"/>
  <c r="V680" i="1"/>
  <c r="T680" i="1"/>
  <c r="Q680" i="1"/>
  <c r="O680" i="1"/>
  <c r="L680" i="1"/>
  <c r="J680" i="1"/>
  <c r="G680" i="1"/>
  <c r="E680" i="1"/>
  <c r="B680" i="1"/>
  <c r="AN679" i="1"/>
  <c r="AK679" i="1"/>
  <c r="AI679" i="1"/>
  <c r="AF679" i="1"/>
  <c r="AD679" i="1"/>
  <c r="AA679" i="1"/>
  <c r="Y679" i="1"/>
  <c r="V679" i="1"/>
  <c r="T679" i="1"/>
  <c r="Q679" i="1"/>
  <c r="O679" i="1"/>
  <c r="L679" i="1"/>
  <c r="J679" i="1"/>
  <c r="G679" i="1"/>
  <c r="E679" i="1"/>
  <c r="B679" i="1"/>
  <c r="AN678" i="1"/>
  <c r="AK678" i="1"/>
  <c r="AI678" i="1"/>
  <c r="AF678" i="1"/>
  <c r="AD678" i="1"/>
  <c r="AA678" i="1"/>
  <c r="Y678" i="1"/>
  <c r="V678" i="1"/>
  <c r="T678" i="1"/>
  <c r="Q678" i="1"/>
  <c r="O678" i="1"/>
  <c r="L678" i="1"/>
  <c r="J678" i="1"/>
  <c r="G678" i="1"/>
  <c r="E678" i="1"/>
  <c r="B678" i="1"/>
  <c r="AN677" i="1"/>
  <c r="AK677" i="1"/>
  <c r="AI677" i="1"/>
  <c r="AF677" i="1"/>
  <c r="AD677" i="1"/>
  <c r="AA677" i="1"/>
  <c r="Y677" i="1"/>
  <c r="V677" i="1"/>
  <c r="T677" i="1"/>
  <c r="Q677" i="1"/>
  <c r="O677" i="1"/>
  <c r="L677" i="1"/>
  <c r="J677" i="1"/>
  <c r="G677" i="1"/>
  <c r="E677" i="1"/>
  <c r="B677" i="1"/>
  <c r="AN676" i="1"/>
  <c r="AK676" i="1"/>
  <c r="AI676" i="1"/>
  <c r="AF676" i="1"/>
  <c r="AD676" i="1"/>
  <c r="AA676" i="1"/>
  <c r="Y676" i="1"/>
  <c r="V676" i="1"/>
  <c r="T676" i="1"/>
  <c r="Q676" i="1"/>
  <c r="O676" i="1"/>
  <c r="L676" i="1"/>
  <c r="J676" i="1"/>
  <c r="G676" i="1"/>
  <c r="E676" i="1"/>
  <c r="B676" i="1"/>
  <c r="AN675" i="1"/>
  <c r="AK675" i="1"/>
  <c r="AI675" i="1"/>
  <c r="AF675" i="1"/>
  <c r="AD675" i="1"/>
  <c r="AA675" i="1"/>
  <c r="Y675" i="1"/>
  <c r="V675" i="1"/>
  <c r="T675" i="1"/>
  <c r="Q675" i="1"/>
  <c r="O675" i="1"/>
  <c r="L675" i="1"/>
  <c r="J675" i="1"/>
  <c r="G675" i="1"/>
  <c r="E675" i="1"/>
  <c r="B675" i="1"/>
  <c r="AN674" i="1"/>
  <c r="AK674" i="1"/>
  <c r="AI674" i="1"/>
  <c r="AF674" i="1"/>
  <c r="AD674" i="1"/>
  <c r="AA674" i="1"/>
  <c r="Y674" i="1"/>
  <c r="V674" i="1"/>
  <c r="T674" i="1"/>
  <c r="Q674" i="1"/>
  <c r="O674" i="1"/>
  <c r="L674" i="1"/>
  <c r="J674" i="1"/>
  <c r="G674" i="1"/>
  <c r="E674" i="1"/>
  <c r="B674" i="1"/>
  <c r="AN673" i="1"/>
  <c r="AK673" i="1"/>
  <c r="AI673" i="1"/>
  <c r="AF673" i="1"/>
  <c r="AD673" i="1"/>
  <c r="AA673" i="1"/>
  <c r="Y673" i="1"/>
  <c r="V673" i="1"/>
  <c r="T673" i="1"/>
  <c r="Q673" i="1"/>
  <c r="O673" i="1"/>
  <c r="L673" i="1"/>
  <c r="J673" i="1"/>
  <c r="G673" i="1"/>
  <c r="E673" i="1"/>
  <c r="B673" i="1"/>
  <c r="AN672" i="1"/>
  <c r="AK672" i="1"/>
  <c r="AI672" i="1"/>
  <c r="AF672" i="1"/>
  <c r="AD672" i="1"/>
  <c r="AA672" i="1"/>
  <c r="Y672" i="1"/>
  <c r="V672" i="1"/>
  <c r="T672" i="1"/>
  <c r="Q672" i="1"/>
  <c r="O672" i="1"/>
  <c r="L672" i="1"/>
  <c r="J672" i="1"/>
  <c r="G672" i="1"/>
  <c r="E672" i="1"/>
  <c r="B672" i="1"/>
  <c r="AN671" i="1"/>
  <c r="AK671" i="1"/>
  <c r="AI671" i="1"/>
  <c r="AF671" i="1"/>
  <c r="AD671" i="1"/>
  <c r="AA671" i="1"/>
  <c r="Y671" i="1"/>
  <c r="V671" i="1"/>
  <c r="T671" i="1"/>
  <c r="Q671" i="1"/>
  <c r="O671" i="1"/>
  <c r="L671" i="1"/>
  <c r="J671" i="1"/>
  <c r="G671" i="1"/>
  <c r="E671" i="1"/>
  <c r="B671" i="1"/>
  <c r="AN670" i="1"/>
  <c r="AK670" i="1"/>
  <c r="AI670" i="1"/>
  <c r="AF670" i="1"/>
  <c r="AD670" i="1"/>
  <c r="AA670" i="1"/>
  <c r="Y670" i="1"/>
  <c r="V670" i="1"/>
  <c r="T670" i="1"/>
  <c r="Q670" i="1"/>
  <c r="O670" i="1"/>
  <c r="L670" i="1"/>
  <c r="J670" i="1"/>
  <c r="G670" i="1"/>
  <c r="E670" i="1"/>
  <c r="B670" i="1"/>
  <c r="AN669" i="1"/>
  <c r="AK669" i="1"/>
  <c r="AI669" i="1"/>
  <c r="AF669" i="1"/>
  <c r="AD669" i="1"/>
  <c r="AA669" i="1"/>
  <c r="Y669" i="1"/>
  <c r="V669" i="1"/>
  <c r="T669" i="1"/>
  <c r="Q669" i="1"/>
  <c r="O669" i="1"/>
  <c r="L669" i="1"/>
  <c r="J669" i="1"/>
  <c r="G669" i="1"/>
  <c r="E669" i="1"/>
  <c r="B669" i="1"/>
  <c r="AN668" i="1"/>
  <c r="AK668" i="1"/>
  <c r="AI668" i="1"/>
  <c r="AF668" i="1"/>
  <c r="AD668" i="1"/>
  <c r="AA668" i="1"/>
  <c r="Y668" i="1"/>
  <c r="V668" i="1"/>
  <c r="T668" i="1"/>
  <c r="Q668" i="1"/>
  <c r="O668" i="1"/>
  <c r="L668" i="1"/>
  <c r="J668" i="1"/>
  <c r="G668" i="1"/>
  <c r="E668" i="1"/>
  <c r="B668" i="1"/>
  <c r="AN667" i="1"/>
  <c r="AK667" i="1"/>
  <c r="AI667" i="1"/>
  <c r="AF667" i="1"/>
  <c r="AD667" i="1"/>
  <c r="AA667" i="1"/>
  <c r="Y667" i="1"/>
  <c r="V667" i="1"/>
  <c r="T667" i="1"/>
  <c r="Q667" i="1"/>
  <c r="O667" i="1"/>
  <c r="L667" i="1"/>
  <c r="J667" i="1"/>
  <c r="G667" i="1"/>
  <c r="E667" i="1"/>
  <c r="B667" i="1"/>
  <c r="AN666" i="1"/>
  <c r="AK666" i="1"/>
  <c r="AI666" i="1"/>
  <c r="AF666" i="1"/>
  <c r="AD666" i="1"/>
  <c r="AA666" i="1"/>
  <c r="Y666" i="1"/>
  <c r="V666" i="1"/>
  <c r="T666" i="1"/>
  <c r="Q666" i="1"/>
  <c r="O666" i="1"/>
  <c r="L666" i="1"/>
  <c r="J666" i="1"/>
  <c r="G666" i="1"/>
  <c r="E666" i="1"/>
  <c r="B666" i="1"/>
  <c r="AN665" i="1"/>
  <c r="AK665" i="1"/>
  <c r="AI665" i="1"/>
  <c r="AF665" i="1"/>
  <c r="AD665" i="1"/>
  <c r="AA665" i="1"/>
  <c r="Y665" i="1"/>
  <c r="V665" i="1"/>
  <c r="T665" i="1"/>
  <c r="Q665" i="1"/>
  <c r="O665" i="1"/>
  <c r="L665" i="1"/>
  <c r="J665" i="1"/>
  <c r="G665" i="1"/>
  <c r="E665" i="1"/>
  <c r="B665" i="1"/>
  <c r="AN664" i="1"/>
  <c r="AK664" i="1"/>
  <c r="AI664" i="1"/>
  <c r="AF664" i="1"/>
  <c r="AD664" i="1"/>
  <c r="AA664" i="1"/>
  <c r="Y664" i="1"/>
  <c r="V664" i="1"/>
  <c r="T664" i="1"/>
  <c r="Q664" i="1"/>
  <c r="O664" i="1"/>
  <c r="L664" i="1"/>
  <c r="J664" i="1"/>
  <c r="G664" i="1"/>
  <c r="E664" i="1"/>
  <c r="B664" i="1"/>
  <c r="AN663" i="1"/>
  <c r="AK663" i="1"/>
  <c r="AI663" i="1"/>
  <c r="AF663" i="1"/>
  <c r="AD663" i="1"/>
  <c r="AA663" i="1"/>
  <c r="Y663" i="1"/>
  <c r="V663" i="1"/>
  <c r="T663" i="1"/>
  <c r="Q663" i="1"/>
  <c r="O663" i="1"/>
  <c r="L663" i="1"/>
  <c r="J663" i="1"/>
  <c r="G663" i="1"/>
  <c r="E663" i="1"/>
  <c r="B663" i="1"/>
  <c r="AN662" i="1"/>
  <c r="AK662" i="1"/>
  <c r="AI662" i="1"/>
  <c r="AF662" i="1"/>
  <c r="AD662" i="1"/>
  <c r="AA662" i="1"/>
  <c r="Y662" i="1"/>
  <c r="V662" i="1"/>
  <c r="T662" i="1"/>
  <c r="Q662" i="1"/>
  <c r="O662" i="1"/>
  <c r="L662" i="1"/>
  <c r="J662" i="1"/>
  <c r="G662" i="1"/>
  <c r="E662" i="1"/>
  <c r="B662" i="1"/>
  <c r="AN655" i="1"/>
  <c r="AK655" i="1"/>
  <c r="AI655" i="1"/>
  <c r="AF655" i="1"/>
  <c r="AD655" i="1"/>
  <c r="AA655" i="1"/>
  <c r="Y655" i="1"/>
  <c r="V655" i="1"/>
  <c r="T655" i="1"/>
  <c r="Q655" i="1"/>
  <c r="O655" i="1"/>
  <c r="L655" i="1"/>
  <c r="J655" i="1"/>
  <c r="G655" i="1"/>
  <c r="E655" i="1"/>
  <c r="B655" i="1"/>
  <c r="AN654" i="1"/>
  <c r="AK654" i="1"/>
  <c r="AI654" i="1"/>
  <c r="AF654" i="1"/>
  <c r="AD654" i="1"/>
  <c r="AA654" i="1"/>
  <c r="Y654" i="1"/>
  <c r="V654" i="1"/>
  <c r="T654" i="1"/>
  <c r="Q654" i="1"/>
  <c r="O654" i="1"/>
  <c r="L654" i="1"/>
  <c r="J654" i="1"/>
  <c r="G654" i="1"/>
  <c r="E654" i="1"/>
  <c r="B654" i="1"/>
  <c r="AN653" i="1"/>
  <c r="AK653" i="1"/>
  <c r="AI653" i="1"/>
  <c r="AF653" i="1"/>
  <c r="AD653" i="1"/>
  <c r="AA653" i="1"/>
  <c r="Y653" i="1"/>
  <c r="V653" i="1"/>
  <c r="T653" i="1"/>
  <c r="Q653" i="1"/>
  <c r="O653" i="1"/>
  <c r="L653" i="1"/>
  <c r="J653" i="1"/>
  <c r="G653" i="1"/>
  <c r="E653" i="1"/>
  <c r="B653" i="1"/>
  <c r="AN652" i="1"/>
  <c r="AK652" i="1"/>
  <c r="AI652" i="1"/>
  <c r="AF652" i="1"/>
  <c r="AD652" i="1"/>
  <c r="AA652" i="1"/>
  <c r="Y652" i="1"/>
  <c r="V652" i="1"/>
  <c r="T652" i="1"/>
  <c r="Q652" i="1"/>
  <c r="O652" i="1"/>
  <c r="L652" i="1"/>
  <c r="J652" i="1"/>
  <c r="G652" i="1"/>
  <c r="E652" i="1"/>
  <c r="B652" i="1"/>
  <c r="AN651" i="1"/>
  <c r="AK651" i="1"/>
  <c r="AI651" i="1"/>
  <c r="AF651" i="1"/>
  <c r="AD651" i="1"/>
  <c r="AA651" i="1"/>
  <c r="Y651" i="1"/>
  <c r="V651" i="1"/>
  <c r="T651" i="1"/>
  <c r="Q651" i="1"/>
  <c r="O651" i="1"/>
  <c r="L651" i="1"/>
  <c r="J651" i="1"/>
  <c r="G651" i="1"/>
  <c r="E651" i="1"/>
  <c r="B651" i="1"/>
  <c r="AN650" i="1"/>
  <c r="AK650" i="1"/>
  <c r="AI650" i="1"/>
  <c r="AF650" i="1"/>
  <c r="AD650" i="1"/>
  <c r="AA650" i="1"/>
  <c r="Y650" i="1"/>
  <c r="V650" i="1"/>
  <c r="T650" i="1"/>
  <c r="Q650" i="1"/>
  <c r="O650" i="1"/>
  <c r="L650" i="1"/>
  <c r="J650" i="1"/>
  <c r="G650" i="1"/>
  <c r="E650" i="1"/>
  <c r="B650" i="1"/>
  <c r="AN649" i="1"/>
  <c r="AK649" i="1"/>
  <c r="AI649" i="1"/>
  <c r="AF649" i="1"/>
  <c r="AD649" i="1"/>
  <c r="AA649" i="1"/>
  <c r="Y649" i="1"/>
  <c r="V649" i="1"/>
  <c r="T649" i="1"/>
  <c r="Q649" i="1"/>
  <c r="O649" i="1"/>
  <c r="L649" i="1"/>
  <c r="J649" i="1"/>
  <c r="G649" i="1"/>
  <c r="E649" i="1"/>
  <c r="B649" i="1"/>
  <c r="AN648" i="1"/>
  <c r="AK648" i="1"/>
  <c r="AI648" i="1"/>
  <c r="AF648" i="1"/>
  <c r="AD648" i="1"/>
  <c r="AA648" i="1"/>
  <c r="Y648" i="1"/>
  <c r="V648" i="1"/>
  <c r="T648" i="1"/>
  <c r="Q648" i="1"/>
  <c r="O648" i="1"/>
  <c r="L648" i="1"/>
  <c r="J648" i="1"/>
  <c r="G648" i="1"/>
  <c r="E648" i="1"/>
  <c r="B648" i="1"/>
  <c r="AN647" i="1"/>
  <c r="AK647" i="1"/>
  <c r="AI647" i="1"/>
  <c r="AF647" i="1"/>
  <c r="AD647" i="1"/>
  <c r="AA647" i="1"/>
  <c r="Y647" i="1"/>
  <c r="V647" i="1"/>
  <c r="T647" i="1"/>
  <c r="Q647" i="1"/>
  <c r="O647" i="1"/>
  <c r="L647" i="1"/>
  <c r="J647" i="1"/>
  <c r="G647" i="1"/>
  <c r="E647" i="1"/>
  <c r="B647" i="1"/>
  <c r="AN646" i="1"/>
  <c r="AK646" i="1"/>
  <c r="AI646" i="1"/>
  <c r="AF646" i="1"/>
  <c r="AD646" i="1"/>
  <c r="AA646" i="1"/>
  <c r="Y646" i="1"/>
  <c r="V646" i="1"/>
  <c r="T646" i="1"/>
  <c r="Q646" i="1"/>
  <c r="O646" i="1"/>
  <c r="L646" i="1"/>
  <c r="J646" i="1"/>
  <c r="G646" i="1"/>
  <c r="E646" i="1"/>
  <c r="B646" i="1"/>
  <c r="AN645" i="1"/>
  <c r="AK645" i="1"/>
  <c r="AI645" i="1"/>
  <c r="AF645" i="1"/>
  <c r="AD645" i="1"/>
  <c r="AA645" i="1"/>
  <c r="Y645" i="1"/>
  <c r="V645" i="1"/>
  <c r="T645" i="1"/>
  <c r="Q645" i="1"/>
  <c r="O645" i="1"/>
  <c r="L645" i="1"/>
  <c r="J645" i="1"/>
  <c r="G645" i="1"/>
  <c r="E645" i="1"/>
  <c r="B645" i="1"/>
  <c r="AN644" i="1"/>
  <c r="AK644" i="1"/>
  <c r="AI644" i="1"/>
  <c r="AF644" i="1"/>
  <c r="AD644" i="1"/>
  <c r="AA644" i="1"/>
  <c r="Y644" i="1"/>
  <c r="V644" i="1"/>
  <c r="T644" i="1"/>
  <c r="Q644" i="1"/>
  <c r="O644" i="1"/>
  <c r="L644" i="1"/>
  <c r="J644" i="1"/>
  <c r="G644" i="1"/>
  <c r="E644" i="1"/>
  <c r="B644" i="1"/>
  <c r="AN643" i="1"/>
  <c r="AK643" i="1"/>
  <c r="AI643" i="1"/>
  <c r="AF643" i="1"/>
  <c r="AD643" i="1"/>
  <c r="AA643" i="1"/>
  <c r="Y643" i="1"/>
  <c r="V643" i="1"/>
  <c r="T643" i="1"/>
  <c r="Q643" i="1"/>
  <c r="O643" i="1"/>
  <c r="L643" i="1"/>
  <c r="J643" i="1"/>
  <c r="G643" i="1"/>
  <c r="E643" i="1"/>
  <c r="B643" i="1"/>
  <c r="AN642" i="1"/>
  <c r="AK642" i="1"/>
  <c r="AI642" i="1"/>
  <c r="AF642" i="1"/>
  <c r="AD642" i="1"/>
  <c r="AA642" i="1"/>
  <c r="Y642" i="1"/>
  <c r="V642" i="1"/>
  <c r="T642" i="1"/>
  <c r="Q642" i="1"/>
  <c r="O642" i="1"/>
  <c r="L642" i="1"/>
  <c r="J642" i="1"/>
  <c r="G642" i="1"/>
  <c r="E642" i="1"/>
  <c r="B642" i="1"/>
  <c r="AN641" i="1"/>
  <c r="AK641" i="1"/>
  <c r="AI641" i="1"/>
  <c r="AF641" i="1"/>
  <c r="AD641" i="1"/>
  <c r="AA641" i="1"/>
  <c r="Y641" i="1"/>
  <c r="V641" i="1"/>
  <c r="T641" i="1"/>
  <c r="Q641" i="1"/>
  <c r="O641" i="1"/>
  <c r="L641" i="1"/>
  <c r="J641" i="1"/>
  <c r="G641" i="1"/>
  <c r="E641" i="1"/>
  <c r="B641" i="1"/>
  <c r="AN640" i="1"/>
  <c r="AK640" i="1"/>
  <c r="AI640" i="1"/>
  <c r="AF640" i="1"/>
  <c r="AD640" i="1"/>
  <c r="AA640" i="1"/>
  <c r="Y640" i="1"/>
  <c r="V640" i="1"/>
  <c r="T640" i="1"/>
  <c r="Q640" i="1"/>
  <c r="O640" i="1"/>
  <c r="L640" i="1"/>
  <c r="J640" i="1"/>
  <c r="G640" i="1"/>
  <c r="E640" i="1"/>
  <c r="B640" i="1"/>
  <c r="AN639" i="1"/>
  <c r="AK639" i="1"/>
  <c r="AI639" i="1"/>
  <c r="AF639" i="1"/>
  <c r="AD639" i="1"/>
  <c r="AA639" i="1"/>
  <c r="Y639" i="1"/>
  <c r="V639" i="1"/>
  <c r="T639" i="1"/>
  <c r="Q639" i="1"/>
  <c r="O639" i="1"/>
  <c r="L639" i="1"/>
  <c r="J639" i="1"/>
  <c r="G639" i="1"/>
  <c r="E639" i="1"/>
  <c r="B639" i="1"/>
  <c r="AN638" i="1"/>
  <c r="AK638" i="1"/>
  <c r="AI638" i="1"/>
  <c r="AF638" i="1"/>
  <c r="AD638" i="1"/>
  <c r="AA638" i="1"/>
  <c r="Y638" i="1"/>
  <c r="V638" i="1"/>
  <c r="T638" i="1"/>
  <c r="Q638" i="1"/>
  <c r="O638" i="1"/>
  <c r="L638" i="1"/>
  <c r="J638" i="1"/>
  <c r="G638" i="1"/>
  <c r="E638" i="1"/>
  <c r="B638" i="1"/>
  <c r="AN637" i="1"/>
  <c r="AK637" i="1"/>
  <c r="AI637" i="1"/>
  <c r="AF637" i="1"/>
  <c r="AD637" i="1"/>
  <c r="AA637" i="1"/>
  <c r="Y637" i="1"/>
  <c r="V637" i="1"/>
  <c r="T637" i="1"/>
  <c r="Q637" i="1"/>
  <c r="O637" i="1"/>
  <c r="L637" i="1"/>
  <c r="J637" i="1"/>
  <c r="G637" i="1"/>
  <c r="E637" i="1"/>
  <c r="B637" i="1"/>
  <c r="AN636" i="1"/>
  <c r="AK636" i="1"/>
  <c r="AI636" i="1"/>
  <c r="AF636" i="1"/>
  <c r="AD636" i="1"/>
  <c r="AA636" i="1"/>
  <c r="Y636" i="1"/>
  <c r="V636" i="1"/>
  <c r="T636" i="1"/>
  <c r="Q636" i="1"/>
  <c r="O636" i="1"/>
  <c r="L636" i="1"/>
  <c r="J636" i="1"/>
  <c r="G636" i="1"/>
  <c r="E636" i="1"/>
  <c r="B636" i="1"/>
  <c r="AN635" i="1"/>
  <c r="AK635" i="1"/>
  <c r="AI635" i="1"/>
  <c r="AF635" i="1"/>
  <c r="AD635" i="1"/>
  <c r="AA635" i="1"/>
  <c r="Y635" i="1"/>
  <c r="V635" i="1"/>
  <c r="T635" i="1"/>
  <c r="Q635" i="1"/>
  <c r="O635" i="1"/>
  <c r="L635" i="1"/>
  <c r="J635" i="1"/>
  <c r="G635" i="1"/>
  <c r="E635" i="1"/>
  <c r="B635" i="1"/>
  <c r="AN625" i="1"/>
  <c r="AK625" i="1"/>
  <c r="AI625" i="1"/>
  <c r="AF625" i="1"/>
  <c r="AD625" i="1"/>
  <c r="AA625" i="1"/>
  <c r="Y625" i="1"/>
  <c r="V625" i="1"/>
  <c r="T625" i="1"/>
  <c r="Q625" i="1"/>
  <c r="O625" i="1"/>
  <c r="L625" i="1"/>
  <c r="J625" i="1"/>
  <c r="G625" i="1"/>
  <c r="E625" i="1"/>
  <c r="B625" i="1"/>
  <c r="AN624" i="1"/>
  <c r="AK624" i="1"/>
  <c r="AI624" i="1"/>
  <c r="AF624" i="1"/>
  <c r="AD624" i="1"/>
  <c r="AA624" i="1"/>
  <c r="Y624" i="1"/>
  <c r="V624" i="1"/>
  <c r="T624" i="1"/>
  <c r="Q624" i="1"/>
  <c r="O624" i="1"/>
  <c r="L624" i="1"/>
  <c r="J624" i="1"/>
  <c r="G624" i="1"/>
  <c r="E624" i="1"/>
  <c r="B624" i="1"/>
  <c r="AN623" i="1"/>
  <c r="AK623" i="1"/>
  <c r="AI623" i="1"/>
  <c r="AF623" i="1"/>
  <c r="AD623" i="1"/>
  <c r="AA623" i="1"/>
  <c r="Y623" i="1"/>
  <c r="V623" i="1"/>
  <c r="T623" i="1"/>
  <c r="Q623" i="1"/>
  <c r="O623" i="1"/>
  <c r="L623" i="1"/>
  <c r="J623" i="1"/>
  <c r="G623" i="1"/>
  <c r="E623" i="1"/>
  <c r="B623" i="1"/>
  <c r="AN622" i="1"/>
  <c r="AK622" i="1"/>
  <c r="AI622" i="1"/>
  <c r="AF622" i="1"/>
  <c r="AD622" i="1"/>
  <c r="AA622" i="1"/>
  <c r="Y622" i="1"/>
  <c r="V622" i="1"/>
  <c r="T622" i="1"/>
  <c r="Q622" i="1"/>
  <c r="O622" i="1"/>
  <c r="L622" i="1"/>
  <c r="J622" i="1"/>
  <c r="G622" i="1"/>
  <c r="E622" i="1"/>
  <c r="B622" i="1"/>
  <c r="AN621" i="1"/>
  <c r="AK621" i="1"/>
  <c r="AI621" i="1"/>
  <c r="AF621" i="1"/>
  <c r="AD621" i="1"/>
  <c r="AA621" i="1"/>
  <c r="Y621" i="1"/>
  <c r="V621" i="1"/>
  <c r="T621" i="1"/>
  <c r="Q621" i="1"/>
  <c r="O621" i="1"/>
  <c r="L621" i="1"/>
  <c r="J621" i="1"/>
  <c r="G621" i="1"/>
  <c r="E621" i="1"/>
  <c r="B621" i="1"/>
  <c r="AN620" i="1"/>
  <c r="AK620" i="1"/>
  <c r="AI620" i="1"/>
  <c r="AF620" i="1"/>
  <c r="AD620" i="1"/>
  <c r="AA620" i="1"/>
  <c r="Y620" i="1"/>
  <c r="V620" i="1"/>
  <c r="T620" i="1"/>
  <c r="Q620" i="1"/>
  <c r="O620" i="1"/>
  <c r="L620" i="1"/>
  <c r="J620" i="1"/>
  <c r="G620" i="1"/>
  <c r="E620" i="1"/>
  <c r="B620" i="1"/>
  <c r="AN619" i="1"/>
  <c r="AK619" i="1"/>
  <c r="AI619" i="1"/>
  <c r="AF619" i="1"/>
  <c r="AD619" i="1"/>
  <c r="AA619" i="1"/>
  <c r="Y619" i="1"/>
  <c r="V619" i="1"/>
  <c r="T619" i="1"/>
  <c r="Q619" i="1"/>
  <c r="O619" i="1"/>
  <c r="L619" i="1"/>
  <c r="J619" i="1"/>
  <c r="G619" i="1"/>
  <c r="E619" i="1"/>
  <c r="B619" i="1"/>
  <c r="AN618" i="1"/>
  <c r="AK618" i="1"/>
  <c r="AI618" i="1"/>
  <c r="AF618" i="1"/>
  <c r="AD618" i="1"/>
  <c r="AA618" i="1"/>
  <c r="Y618" i="1"/>
  <c r="V618" i="1"/>
  <c r="T618" i="1"/>
  <c r="Q618" i="1"/>
  <c r="O618" i="1"/>
  <c r="L618" i="1"/>
  <c r="J618" i="1"/>
  <c r="G618" i="1"/>
  <c r="E618" i="1"/>
  <c r="B618" i="1"/>
  <c r="AN617" i="1"/>
  <c r="AK617" i="1"/>
  <c r="AI617" i="1"/>
  <c r="AF617" i="1"/>
  <c r="AD617" i="1"/>
  <c r="AA617" i="1"/>
  <c r="Y617" i="1"/>
  <c r="V617" i="1"/>
  <c r="T617" i="1"/>
  <c r="Q617" i="1"/>
  <c r="O617" i="1"/>
  <c r="L617" i="1"/>
  <c r="J617" i="1"/>
  <c r="G617" i="1"/>
  <c r="E617" i="1"/>
  <c r="B617" i="1"/>
  <c r="AN616" i="1"/>
  <c r="AK616" i="1"/>
  <c r="AI616" i="1"/>
  <c r="AF616" i="1"/>
  <c r="AD616" i="1"/>
  <c r="AA616" i="1"/>
  <c r="Y616" i="1"/>
  <c r="V616" i="1"/>
  <c r="T616" i="1"/>
  <c r="Q616" i="1"/>
  <c r="O616" i="1"/>
  <c r="L616" i="1"/>
  <c r="J616" i="1"/>
  <c r="G616" i="1"/>
  <c r="E616" i="1"/>
  <c r="B616" i="1"/>
  <c r="AN615" i="1"/>
  <c r="AK615" i="1"/>
  <c r="AI615" i="1"/>
  <c r="AF615" i="1"/>
  <c r="AD615" i="1"/>
  <c r="AA615" i="1"/>
  <c r="Y615" i="1"/>
  <c r="V615" i="1"/>
  <c r="T615" i="1"/>
  <c r="Q615" i="1"/>
  <c r="O615" i="1"/>
  <c r="L615" i="1"/>
  <c r="J615" i="1"/>
  <c r="G615" i="1"/>
  <c r="E615" i="1"/>
  <c r="B615" i="1"/>
  <c r="AN614" i="1"/>
  <c r="AK614" i="1"/>
  <c r="AI614" i="1"/>
  <c r="AF614" i="1"/>
  <c r="AD614" i="1"/>
  <c r="AA614" i="1"/>
  <c r="Y614" i="1"/>
  <c r="V614" i="1"/>
  <c r="T614" i="1"/>
  <c r="Q614" i="1"/>
  <c r="O614" i="1"/>
  <c r="L614" i="1"/>
  <c r="J614" i="1"/>
  <c r="G614" i="1"/>
  <c r="E614" i="1"/>
  <c r="B614" i="1"/>
  <c r="AN613" i="1"/>
  <c r="AK613" i="1"/>
  <c r="AI613" i="1"/>
  <c r="AF613" i="1"/>
  <c r="AD613" i="1"/>
  <c r="AA613" i="1"/>
  <c r="Y613" i="1"/>
  <c r="V613" i="1"/>
  <c r="T613" i="1"/>
  <c r="Q613" i="1"/>
  <c r="O613" i="1"/>
  <c r="L613" i="1"/>
  <c r="J613" i="1"/>
  <c r="G613" i="1"/>
  <c r="E613" i="1"/>
  <c r="B613" i="1"/>
  <c r="AN612" i="1"/>
  <c r="AK612" i="1"/>
  <c r="AI612" i="1"/>
  <c r="AF612" i="1"/>
  <c r="AD612" i="1"/>
  <c r="AA612" i="1"/>
  <c r="Y612" i="1"/>
  <c r="V612" i="1"/>
  <c r="T612" i="1"/>
  <c r="Q612" i="1"/>
  <c r="O612" i="1"/>
  <c r="L612" i="1"/>
  <c r="J612" i="1"/>
  <c r="G612" i="1"/>
  <c r="E612" i="1"/>
  <c r="B612" i="1"/>
  <c r="AN611" i="1"/>
  <c r="AK611" i="1"/>
  <c r="AI611" i="1"/>
  <c r="AF611" i="1"/>
  <c r="AD611" i="1"/>
  <c r="AA611" i="1"/>
  <c r="Y611" i="1"/>
  <c r="V611" i="1"/>
  <c r="T611" i="1"/>
  <c r="Q611" i="1"/>
  <c r="O611" i="1"/>
  <c r="L611" i="1"/>
  <c r="J611" i="1"/>
  <c r="G611" i="1"/>
  <c r="E611" i="1"/>
  <c r="B611" i="1"/>
  <c r="AN610" i="1"/>
  <c r="AK610" i="1"/>
  <c r="AI610" i="1"/>
  <c r="AF610" i="1"/>
  <c r="AD610" i="1"/>
  <c r="AA610" i="1"/>
  <c r="Y610" i="1"/>
  <c r="V610" i="1"/>
  <c r="T610" i="1"/>
  <c r="Q610" i="1"/>
  <c r="O610" i="1"/>
  <c r="L610" i="1"/>
  <c r="J610" i="1"/>
  <c r="G610" i="1"/>
  <c r="E610" i="1"/>
  <c r="B610" i="1"/>
  <c r="AN609" i="1"/>
  <c r="AK609" i="1"/>
  <c r="AI609" i="1"/>
  <c r="AF609" i="1"/>
  <c r="AD609" i="1"/>
  <c r="AA609" i="1"/>
  <c r="Y609" i="1"/>
  <c r="V609" i="1"/>
  <c r="T609" i="1"/>
  <c r="Q609" i="1"/>
  <c r="O609" i="1"/>
  <c r="L609" i="1"/>
  <c r="J609" i="1"/>
  <c r="G609" i="1"/>
  <c r="E609" i="1"/>
  <c r="B609" i="1"/>
  <c r="AN608" i="1"/>
  <c r="AK608" i="1"/>
  <c r="AI608" i="1"/>
  <c r="AF608" i="1"/>
  <c r="AD608" i="1"/>
  <c r="AA608" i="1"/>
  <c r="Y608" i="1"/>
  <c r="V608" i="1"/>
  <c r="T608" i="1"/>
  <c r="Q608" i="1"/>
  <c r="O608" i="1"/>
  <c r="L608" i="1"/>
  <c r="J608" i="1"/>
  <c r="G608" i="1"/>
  <c r="E608" i="1"/>
  <c r="B608" i="1"/>
  <c r="AN607" i="1"/>
  <c r="AK607" i="1"/>
  <c r="AI607" i="1"/>
  <c r="AF607" i="1"/>
  <c r="AD607" i="1"/>
  <c r="AA607" i="1"/>
  <c r="Y607" i="1"/>
  <c r="V607" i="1"/>
  <c r="T607" i="1"/>
  <c r="Q607" i="1"/>
  <c r="O607" i="1"/>
  <c r="L607" i="1"/>
  <c r="J607" i="1"/>
  <c r="G607" i="1"/>
  <c r="E607" i="1"/>
  <c r="B607" i="1"/>
  <c r="AN606" i="1"/>
  <c r="AK606" i="1"/>
  <c r="AI606" i="1"/>
  <c r="AF606" i="1"/>
  <c r="AD606" i="1"/>
  <c r="AA606" i="1"/>
  <c r="Y606" i="1"/>
  <c r="V606" i="1"/>
  <c r="T606" i="1"/>
  <c r="Q606" i="1"/>
  <c r="O606" i="1"/>
  <c r="L606" i="1"/>
  <c r="J606" i="1"/>
  <c r="G606" i="1"/>
  <c r="E606" i="1"/>
  <c r="B606" i="1"/>
  <c r="AN605" i="1"/>
  <c r="AK605" i="1"/>
  <c r="AI605" i="1"/>
  <c r="AF605" i="1"/>
  <c r="AD605" i="1"/>
  <c r="AA605" i="1"/>
  <c r="Y605" i="1"/>
  <c r="V605" i="1"/>
  <c r="T605" i="1"/>
  <c r="Q605" i="1"/>
  <c r="O605" i="1"/>
  <c r="L605" i="1"/>
  <c r="J605" i="1"/>
  <c r="G605" i="1"/>
  <c r="E605" i="1"/>
  <c r="B605" i="1"/>
  <c r="AN598" i="1"/>
  <c r="AK598" i="1"/>
  <c r="AI598" i="1"/>
  <c r="AF598" i="1"/>
  <c r="AD598" i="1"/>
  <c r="AA598" i="1"/>
  <c r="Y598" i="1"/>
  <c r="V598" i="1"/>
  <c r="T598" i="1"/>
  <c r="Q598" i="1"/>
  <c r="O598" i="1"/>
  <c r="L598" i="1"/>
  <c r="J598" i="1"/>
  <c r="G598" i="1"/>
  <c r="E598" i="1"/>
  <c r="B598" i="1"/>
  <c r="AN597" i="1"/>
  <c r="AK597" i="1"/>
  <c r="AI597" i="1"/>
  <c r="AF597" i="1"/>
  <c r="AD597" i="1"/>
  <c r="AA597" i="1"/>
  <c r="Y597" i="1"/>
  <c r="V597" i="1"/>
  <c r="T597" i="1"/>
  <c r="Q597" i="1"/>
  <c r="O597" i="1"/>
  <c r="L597" i="1"/>
  <c r="J597" i="1"/>
  <c r="G597" i="1"/>
  <c r="E597" i="1"/>
  <c r="B597" i="1"/>
  <c r="AN596" i="1"/>
  <c r="AK596" i="1"/>
  <c r="AI596" i="1"/>
  <c r="AF596" i="1"/>
  <c r="AD596" i="1"/>
  <c r="AA596" i="1"/>
  <c r="Y596" i="1"/>
  <c r="V596" i="1"/>
  <c r="T596" i="1"/>
  <c r="Q596" i="1"/>
  <c r="O596" i="1"/>
  <c r="L596" i="1"/>
  <c r="J596" i="1"/>
  <c r="G596" i="1"/>
  <c r="E596" i="1"/>
  <c r="B596" i="1"/>
  <c r="AN595" i="1"/>
  <c r="AK595" i="1"/>
  <c r="AI595" i="1"/>
  <c r="AF595" i="1"/>
  <c r="AD595" i="1"/>
  <c r="AA595" i="1"/>
  <c r="Y595" i="1"/>
  <c r="V595" i="1"/>
  <c r="T595" i="1"/>
  <c r="Q595" i="1"/>
  <c r="O595" i="1"/>
  <c r="L595" i="1"/>
  <c r="J595" i="1"/>
  <c r="G595" i="1"/>
  <c r="E595" i="1"/>
  <c r="B595" i="1"/>
  <c r="AN594" i="1"/>
  <c r="AK594" i="1"/>
  <c r="AI594" i="1"/>
  <c r="AF594" i="1"/>
  <c r="AD594" i="1"/>
  <c r="AA594" i="1"/>
  <c r="Y594" i="1"/>
  <c r="V594" i="1"/>
  <c r="T594" i="1"/>
  <c r="Q594" i="1"/>
  <c r="O594" i="1"/>
  <c r="L594" i="1"/>
  <c r="J594" i="1"/>
  <c r="G594" i="1"/>
  <c r="E594" i="1"/>
  <c r="B594" i="1"/>
  <c r="AN593" i="1"/>
  <c r="AK593" i="1"/>
  <c r="AI593" i="1"/>
  <c r="AF593" i="1"/>
  <c r="AD593" i="1"/>
  <c r="AA593" i="1"/>
  <c r="Y593" i="1"/>
  <c r="V593" i="1"/>
  <c r="T593" i="1"/>
  <c r="Q593" i="1"/>
  <c r="O593" i="1"/>
  <c r="L593" i="1"/>
  <c r="J593" i="1"/>
  <c r="G593" i="1"/>
  <c r="E593" i="1"/>
  <c r="B593" i="1"/>
  <c r="AN592" i="1"/>
  <c r="AK592" i="1"/>
  <c r="AI592" i="1"/>
  <c r="AF592" i="1"/>
  <c r="AD592" i="1"/>
  <c r="AA592" i="1"/>
  <c r="Y592" i="1"/>
  <c r="V592" i="1"/>
  <c r="T592" i="1"/>
  <c r="Q592" i="1"/>
  <c r="O592" i="1"/>
  <c r="L592" i="1"/>
  <c r="J592" i="1"/>
  <c r="G592" i="1"/>
  <c r="E592" i="1"/>
  <c r="B592" i="1"/>
  <c r="AN591" i="1"/>
  <c r="AK591" i="1"/>
  <c r="AI591" i="1"/>
  <c r="AF591" i="1"/>
  <c r="AD591" i="1"/>
  <c r="AA591" i="1"/>
  <c r="Y591" i="1"/>
  <c r="V591" i="1"/>
  <c r="T591" i="1"/>
  <c r="Q591" i="1"/>
  <c r="O591" i="1"/>
  <c r="L591" i="1"/>
  <c r="J591" i="1"/>
  <c r="G591" i="1"/>
  <c r="E591" i="1"/>
  <c r="B591" i="1"/>
  <c r="AN590" i="1"/>
  <c r="AK590" i="1"/>
  <c r="AI590" i="1"/>
  <c r="AF590" i="1"/>
  <c r="AD590" i="1"/>
  <c r="AA590" i="1"/>
  <c r="Y590" i="1"/>
  <c r="V590" i="1"/>
  <c r="T590" i="1"/>
  <c r="Q590" i="1"/>
  <c r="O590" i="1"/>
  <c r="L590" i="1"/>
  <c r="J590" i="1"/>
  <c r="G590" i="1"/>
  <c r="E590" i="1"/>
  <c r="B590" i="1"/>
  <c r="AN589" i="1"/>
  <c r="AK589" i="1"/>
  <c r="AI589" i="1"/>
  <c r="AF589" i="1"/>
  <c r="AD589" i="1"/>
  <c r="AA589" i="1"/>
  <c r="Y589" i="1"/>
  <c r="V589" i="1"/>
  <c r="T589" i="1"/>
  <c r="Q589" i="1"/>
  <c r="O589" i="1"/>
  <c r="L589" i="1"/>
  <c r="J589" i="1"/>
  <c r="G589" i="1"/>
  <c r="E589" i="1"/>
  <c r="B589" i="1"/>
  <c r="AN588" i="1"/>
  <c r="AK588" i="1"/>
  <c r="AI588" i="1"/>
  <c r="AF588" i="1"/>
  <c r="AD588" i="1"/>
  <c r="AA588" i="1"/>
  <c r="Y588" i="1"/>
  <c r="V588" i="1"/>
  <c r="T588" i="1"/>
  <c r="Q588" i="1"/>
  <c r="O588" i="1"/>
  <c r="L588" i="1"/>
  <c r="J588" i="1"/>
  <c r="G588" i="1"/>
  <c r="E588" i="1"/>
  <c r="B588" i="1"/>
  <c r="AN587" i="1"/>
  <c r="AK587" i="1"/>
  <c r="AI587" i="1"/>
  <c r="AF587" i="1"/>
  <c r="AD587" i="1"/>
  <c r="AA587" i="1"/>
  <c r="Y587" i="1"/>
  <c r="V587" i="1"/>
  <c r="T587" i="1"/>
  <c r="Q587" i="1"/>
  <c r="O587" i="1"/>
  <c r="L587" i="1"/>
  <c r="J587" i="1"/>
  <c r="G587" i="1"/>
  <c r="E587" i="1"/>
  <c r="B587" i="1"/>
  <c r="AN586" i="1"/>
  <c r="AK586" i="1"/>
  <c r="AI586" i="1"/>
  <c r="AF586" i="1"/>
  <c r="AD586" i="1"/>
  <c r="AA586" i="1"/>
  <c r="Y586" i="1"/>
  <c r="V586" i="1"/>
  <c r="T586" i="1"/>
  <c r="Q586" i="1"/>
  <c r="O586" i="1"/>
  <c r="L586" i="1"/>
  <c r="J586" i="1"/>
  <c r="G586" i="1"/>
  <c r="E586" i="1"/>
  <c r="B586" i="1"/>
  <c r="AN585" i="1"/>
  <c r="AK585" i="1"/>
  <c r="AI585" i="1"/>
  <c r="AF585" i="1"/>
  <c r="AD585" i="1"/>
  <c r="AA585" i="1"/>
  <c r="Y585" i="1"/>
  <c r="V585" i="1"/>
  <c r="T585" i="1"/>
  <c r="Q585" i="1"/>
  <c r="O585" i="1"/>
  <c r="L585" i="1"/>
  <c r="J585" i="1"/>
  <c r="G585" i="1"/>
  <c r="E585" i="1"/>
  <c r="B585" i="1"/>
  <c r="AN584" i="1"/>
  <c r="AK584" i="1"/>
  <c r="AI584" i="1"/>
  <c r="AF584" i="1"/>
  <c r="AD584" i="1"/>
  <c r="AA584" i="1"/>
  <c r="Y584" i="1"/>
  <c r="V584" i="1"/>
  <c r="T584" i="1"/>
  <c r="Q584" i="1"/>
  <c r="O584" i="1"/>
  <c r="L584" i="1"/>
  <c r="J584" i="1"/>
  <c r="G584" i="1"/>
  <c r="E584" i="1"/>
  <c r="B584" i="1"/>
  <c r="AN583" i="1"/>
  <c r="AK583" i="1"/>
  <c r="AI583" i="1"/>
  <c r="AF583" i="1"/>
  <c r="AD583" i="1"/>
  <c r="AA583" i="1"/>
  <c r="Y583" i="1"/>
  <c r="V583" i="1"/>
  <c r="T583" i="1"/>
  <c r="Q583" i="1"/>
  <c r="O583" i="1"/>
  <c r="L583" i="1"/>
  <c r="J583" i="1"/>
  <c r="G583" i="1"/>
  <c r="E583" i="1"/>
  <c r="B583" i="1"/>
  <c r="AN582" i="1"/>
  <c r="AK582" i="1"/>
  <c r="AI582" i="1"/>
  <c r="AF582" i="1"/>
  <c r="AD582" i="1"/>
  <c r="AA582" i="1"/>
  <c r="Y582" i="1"/>
  <c r="V582" i="1"/>
  <c r="T582" i="1"/>
  <c r="Q582" i="1"/>
  <c r="O582" i="1"/>
  <c r="L582" i="1"/>
  <c r="J582" i="1"/>
  <c r="G582" i="1"/>
  <c r="E582" i="1"/>
  <c r="B582" i="1"/>
  <c r="AN581" i="1"/>
  <c r="AK581" i="1"/>
  <c r="AI581" i="1"/>
  <c r="AF581" i="1"/>
  <c r="AD581" i="1"/>
  <c r="AA581" i="1"/>
  <c r="Y581" i="1"/>
  <c r="V581" i="1"/>
  <c r="T581" i="1"/>
  <c r="Q581" i="1"/>
  <c r="O581" i="1"/>
  <c r="L581" i="1"/>
  <c r="J581" i="1"/>
  <c r="G581" i="1"/>
  <c r="E581" i="1"/>
  <c r="B581" i="1"/>
  <c r="AN580" i="1"/>
  <c r="AK580" i="1"/>
  <c r="AI580" i="1"/>
  <c r="AF580" i="1"/>
  <c r="AD580" i="1"/>
  <c r="AA580" i="1"/>
  <c r="Y580" i="1"/>
  <c r="V580" i="1"/>
  <c r="T580" i="1"/>
  <c r="Q580" i="1"/>
  <c r="O580" i="1"/>
  <c r="L580" i="1"/>
  <c r="J580" i="1"/>
  <c r="G580" i="1"/>
  <c r="E580" i="1"/>
  <c r="B580" i="1"/>
  <c r="AN579" i="1"/>
  <c r="AK579" i="1"/>
  <c r="AI579" i="1"/>
  <c r="AF579" i="1"/>
  <c r="AD579" i="1"/>
  <c r="AA579" i="1"/>
  <c r="Y579" i="1"/>
  <c r="V579" i="1"/>
  <c r="T579" i="1"/>
  <c r="Q579" i="1"/>
  <c r="O579" i="1"/>
  <c r="L579" i="1"/>
  <c r="J579" i="1"/>
  <c r="G579" i="1"/>
  <c r="E579" i="1"/>
  <c r="B579" i="1"/>
  <c r="AN578" i="1"/>
  <c r="AK578" i="1"/>
  <c r="AI578" i="1"/>
  <c r="AF578" i="1"/>
  <c r="AD578" i="1"/>
  <c r="AA578" i="1"/>
  <c r="Y578" i="1"/>
  <c r="V578" i="1"/>
  <c r="T578" i="1"/>
  <c r="Q578" i="1"/>
  <c r="O578" i="1"/>
  <c r="L578" i="1"/>
  <c r="J578" i="1"/>
  <c r="G578" i="1"/>
  <c r="E578" i="1"/>
  <c r="B578" i="1"/>
  <c r="AN568" i="1"/>
  <c r="AK568" i="1"/>
  <c r="AI568" i="1"/>
  <c r="AF568" i="1"/>
  <c r="AD568" i="1"/>
  <c r="AA568" i="1"/>
  <c r="Y568" i="1"/>
  <c r="V568" i="1"/>
  <c r="T568" i="1"/>
  <c r="Q568" i="1"/>
  <c r="O568" i="1"/>
  <c r="L568" i="1"/>
  <c r="J568" i="1"/>
  <c r="G568" i="1"/>
  <c r="E568" i="1"/>
  <c r="B568" i="1"/>
  <c r="AN567" i="1"/>
  <c r="AK567" i="1"/>
  <c r="AI567" i="1"/>
  <c r="AF567" i="1"/>
  <c r="AD567" i="1"/>
  <c r="AA567" i="1"/>
  <c r="Y567" i="1"/>
  <c r="V567" i="1"/>
  <c r="T567" i="1"/>
  <c r="Q567" i="1"/>
  <c r="O567" i="1"/>
  <c r="L567" i="1"/>
  <c r="J567" i="1"/>
  <c r="G567" i="1"/>
  <c r="E567" i="1"/>
  <c r="B567" i="1"/>
  <c r="AN566" i="1"/>
  <c r="AK566" i="1"/>
  <c r="AI566" i="1"/>
  <c r="AF566" i="1"/>
  <c r="AD566" i="1"/>
  <c r="AA566" i="1"/>
  <c r="Y566" i="1"/>
  <c r="V566" i="1"/>
  <c r="T566" i="1"/>
  <c r="Q566" i="1"/>
  <c r="O566" i="1"/>
  <c r="L566" i="1"/>
  <c r="J566" i="1"/>
  <c r="G566" i="1"/>
  <c r="E566" i="1"/>
  <c r="B566" i="1"/>
  <c r="AN565" i="1"/>
  <c r="AK565" i="1"/>
  <c r="AI565" i="1"/>
  <c r="AF565" i="1"/>
  <c r="AD565" i="1"/>
  <c r="AA565" i="1"/>
  <c r="Y565" i="1"/>
  <c r="V565" i="1"/>
  <c r="T565" i="1"/>
  <c r="Q565" i="1"/>
  <c r="O565" i="1"/>
  <c r="L565" i="1"/>
  <c r="J565" i="1"/>
  <c r="G565" i="1"/>
  <c r="E565" i="1"/>
  <c r="B565" i="1"/>
  <c r="AN564" i="1"/>
  <c r="AK564" i="1"/>
  <c r="AI564" i="1"/>
  <c r="AF564" i="1"/>
  <c r="AD564" i="1"/>
  <c r="AA564" i="1"/>
  <c r="Y564" i="1"/>
  <c r="V564" i="1"/>
  <c r="T564" i="1"/>
  <c r="Q564" i="1"/>
  <c r="O564" i="1"/>
  <c r="L564" i="1"/>
  <c r="J564" i="1"/>
  <c r="G564" i="1"/>
  <c r="E564" i="1"/>
  <c r="B564" i="1"/>
  <c r="AN563" i="1"/>
  <c r="AK563" i="1"/>
  <c r="AI563" i="1"/>
  <c r="AF563" i="1"/>
  <c r="AD563" i="1"/>
  <c r="AA563" i="1"/>
  <c r="Y563" i="1"/>
  <c r="V563" i="1"/>
  <c r="T563" i="1"/>
  <c r="Q563" i="1"/>
  <c r="O563" i="1"/>
  <c r="L563" i="1"/>
  <c r="J563" i="1"/>
  <c r="G563" i="1"/>
  <c r="E563" i="1"/>
  <c r="B563" i="1"/>
  <c r="AN562" i="1"/>
  <c r="AK562" i="1"/>
  <c r="AI562" i="1"/>
  <c r="AF562" i="1"/>
  <c r="AD562" i="1"/>
  <c r="AA562" i="1"/>
  <c r="Y562" i="1"/>
  <c r="V562" i="1"/>
  <c r="T562" i="1"/>
  <c r="Q562" i="1"/>
  <c r="O562" i="1"/>
  <c r="L562" i="1"/>
  <c r="J562" i="1"/>
  <c r="G562" i="1"/>
  <c r="E562" i="1"/>
  <c r="B562" i="1"/>
  <c r="AN561" i="1"/>
  <c r="AK561" i="1"/>
  <c r="AI561" i="1"/>
  <c r="AF561" i="1"/>
  <c r="AD561" i="1"/>
  <c r="AA561" i="1"/>
  <c r="Y561" i="1"/>
  <c r="V561" i="1"/>
  <c r="T561" i="1"/>
  <c r="Q561" i="1"/>
  <c r="O561" i="1"/>
  <c r="L561" i="1"/>
  <c r="J561" i="1"/>
  <c r="G561" i="1"/>
  <c r="E561" i="1"/>
  <c r="B561" i="1"/>
  <c r="AN560" i="1"/>
  <c r="AK560" i="1"/>
  <c r="AI560" i="1"/>
  <c r="AF560" i="1"/>
  <c r="AD560" i="1"/>
  <c r="AA560" i="1"/>
  <c r="Y560" i="1"/>
  <c r="V560" i="1"/>
  <c r="T560" i="1"/>
  <c r="Q560" i="1"/>
  <c r="O560" i="1"/>
  <c r="L560" i="1"/>
  <c r="J560" i="1"/>
  <c r="G560" i="1"/>
  <c r="E560" i="1"/>
  <c r="B560" i="1"/>
  <c r="AN559" i="1"/>
  <c r="AK559" i="1"/>
  <c r="AI559" i="1"/>
  <c r="AF559" i="1"/>
  <c r="AD559" i="1"/>
  <c r="AA559" i="1"/>
  <c r="Y559" i="1"/>
  <c r="V559" i="1"/>
  <c r="T559" i="1"/>
  <c r="Q559" i="1"/>
  <c r="O559" i="1"/>
  <c r="L559" i="1"/>
  <c r="J559" i="1"/>
  <c r="G559" i="1"/>
  <c r="E559" i="1"/>
  <c r="B559" i="1"/>
  <c r="AN558" i="1"/>
  <c r="AK558" i="1"/>
  <c r="AI558" i="1"/>
  <c r="AF558" i="1"/>
  <c r="AD558" i="1"/>
  <c r="AA558" i="1"/>
  <c r="Y558" i="1"/>
  <c r="V558" i="1"/>
  <c r="T558" i="1"/>
  <c r="Q558" i="1"/>
  <c r="O558" i="1"/>
  <c r="L558" i="1"/>
  <c r="J558" i="1"/>
  <c r="G558" i="1"/>
  <c r="E558" i="1"/>
  <c r="B558" i="1"/>
  <c r="AN557" i="1"/>
  <c r="AK557" i="1"/>
  <c r="AI557" i="1"/>
  <c r="AF557" i="1"/>
  <c r="AD557" i="1"/>
  <c r="AA557" i="1"/>
  <c r="Y557" i="1"/>
  <c r="V557" i="1"/>
  <c r="T557" i="1"/>
  <c r="Q557" i="1"/>
  <c r="O557" i="1"/>
  <c r="L557" i="1"/>
  <c r="J557" i="1"/>
  <c r="G557" i="1"/>
  <c r="E557" i="1"/>
  <c r="B557" i="1"/>
  <c r="AN556" i="1"/>
  <c r="AK556" i="1"/>
  <c r="AI556" i="1"/>
  <c r="AF556" i="1"/>
  <c r="AD556" i="1"/>
  <c r="AA556" i="1"/>
  <c r="Y556" i="1"/>
  <c r="V556" i="1"/>
  <c r="T556" i="1"/>
  <c r="Q556" i="1"/>
  <c r="O556" i="1"/>
  <c r="L556" i="1"/>
  <c r="J556" i="1"/>
  <c r="G556" i="1"/>
  <c r="E556" i="1"/>
  <c r="B556" i="1"/>
  <c r="AN555" i="1"/>
  <c r="AK555" i="1"/>
  <c r="AI555" i="1"/>
  <c r="AF555" i="1"/>
  <c r="AD555" i="1"/>
  <c r="AA555" i="1"/>
  <c r="Y555" i="1"/>
  <c r="V555" i="1"/>
  <c r="T555" i="1"/>
  <c r="Q555" i="1"/>
  <c r="O555" i="1"/>
  <c r="L555" i="1"/>
  <c r="J555" i="1"/>
  <c r="G555" i="1"/>
  <c r="E555" i="1"/>
  <c r="B555" i="1"/>
  <c r="AN554" i="1"/>
  <c r="AK554" i="1"/>
  <c r="AI554" i="1"/>
  <c r="AF554" i="1"/>
  <c r="AD554" i="1"/>
  <c r="AA554" i="1"/>
  <c r="Y554" i="1"/>
  <c r="V554" i="1"/>
  <c r="T554" i="1"/>
  <c r="Q554" i="1"/>
  <c r="O554" i="1"/>
  <c r="L554" i="1"/>
  <c r="J554" i="1"/>
  <c r="G554" i="1"/>
  <c r="E554" i="1"/>
  <c r="B554" i="1"/>
  <c r="AN553" i="1"/>
  <c r="AK553" i="1"/>
  <c r="AI553" i="1"/>
  <c r="AF553" i="1"/>
  <c r="AD553" i="1"/>
  <c r="AA553" i="1"/>
  <c r="Y553" i="1"/>
  <c r="V553" i="1"/>
  <c r="T553" i="1"/>
  <c r="Q553" i="1"/>
  <c r="O553" i="1"/>
  <c r="L553" i="1"/>
  <c r="J553" i="1"/>
  <c r="G553" i="1"/>
  <c r="E553" i="1"/>
  <c r="B553" i="1"/>
  <c r="AN552" i="1"/>
  <c r="AK552" i="1"/>
  <c r="AI552" i="1"/>
  <c r="AF552" i="1"/>
  <c r="AD552" i="1"/>
  <c r="AA552" i="1"/>
  <c r="Y552" i="1"/>
  <c r="V552" i="1"/>
  <c r="T552" i="1"/>
  <c r="Q552" i="1"/>
  <c r="O552" i="1"/>
  <c r="L552" i="1"/>
  <c r="J552" i="1"/>
  <c r="G552" i="1"/>
  <c r="E552" i="1"/>
  <c r="B552" i="1"/>
  <c r="AN551" i="1"/>
  <c r="AK551" i="1"/>
  <c r="AI551" i="1"/>
  <c r="AF551" i="1"/>
  <c r="AD551" i="1"/>
  <c r="AA551" i="1"/>
  <c r="Y551" i="1"/>
  <c r="V551" i="1"/>
  <c r="T551" i="1"/>
  <c r="Q551" i="1"/>
  <c r="O551" i="1"/>
  <c r="L551" i="1"/>
  <c r="J551" i="1"/>
  <c r="G551" i="1"/>
  <c r="E551" i="1"/>
  <c r="B551" i="1"/>
  <c r="AN550" i="1"/>
  <c r="AK550" i="1"/>
  <c r="AI550" i="1"/>
  <c r="AF550" i="1"/>
  <c r="AD550" i="1"/>
  <c r="AA550" i="1"/>
  <c r="Y550" i="1"/>
  <c r="V550" i="1"/>
  <c r="T550" i="1"/>
  <c r="Q550" i="1"/>
  <c r="O550" i="1"/>
  <c r="L550" i="1"/>
  <c r="J550" i="1"/>
  <c r="G550" i="1"/>
  <c r="E550" i="1"/>
  <c r="B550" i="1"/>
  <c r="AN549" i="1"/>
  <c r="AK549" i="1"/>
  <c r="AI549" i="1"/>
  <c r="AF549" i="1"/>
  <c r="AD549" i="1"/>
  <c r="AA549" i="1"/>
  <c r="Y549" i="1"/>
  <c r="V549" i="1"/>
  <c r="T549" i="1"/>
  <c r="Q549" i="1"/>
  <c r="O549" i="1"/>
  <c r="L549" i="1"/>
  <c r="J549" i="1"/>
  <c r="G549" i="1"/>
  <c r="E549" i="1"/>
  <c r="B549" i="1"/>
  <c r="AN548" i="1"/>
  <c r="AK548" i="1"/>
  <c r="AI548" i="1"/>
  <c r="AF548" i="1"/>
  <c r="AD548" i="1"/>
  <c r="AA548" i="1"/>
  <c r="Y548" i="1"/>
  <c r="V548" i="1"/>
  <c r="T548" i="1"/>
  <c r="Q548" i="1"/>
  <c r="O548" i="1"/>
  <c r="L548" i="1"/>
  <c r="J548" i="1"/>
  <c r="G548" i="1"/>
  <c r="E548" i="1"/>
  <c r="B548" i="1"/>
  <c r="AN541" i="1"/>
  <c r="AK541" i="1"/>
  <c r="AI541" i="1"/>
  <c r="AF541" i="1"/>
  <c r="AD541" i="1"/>
  <c r="AA541" i="1"/>
  <c r="Y541" i="1"/>
  <c r="V541" i="1"/>
  <c r="T541" i="1"/>
  <c r="Q541" i="1"/>
  <c r="O541" i="1"/>
  <c r="L541" i="1"/>
  <c r="J541" i="1"/>
  <c r="G541" i="1"/>
  <c r="E541" i="1"/>
  <c r="B541" i="1"/>
  <c r="AN540" i="1"/>
  <c r="AK540" i="1"/>
  <c r="AI540" i="1"/>
  <c r="AF540" i="1"/>
  <c r="AD540" i="1"/>
  <c r="AA540" i="1"/>
  <c r="Y540" i="1"/>
  <c r="V540" i="1"/>
  <c r="T540" i="1"/>
  <c r="Q540" i="1"/>
  <c r="O540" i="1"/>
  <c r="L540" i="1"/>
  <c r="J540" i="1"/>
  <c r="G540" i="1"/>
  <c r="E540" i="1"/>
  <c r="B540" i="1"/>
  <c r="AN539" i="1"/>
  <c r="AK539" i="1"/>
  <c r="AI539" i="1"/>
  <c r="AF539" i="1"/>
  <c r="AD539" i="1"/>
  <c r="AA539" i="1"/>
  <c r="Y539" i="1"/>
  <c r="V539" i="1"/>
  <c r="T539" i="1"/>
  <c r="Q539" i="1"/>
  <c r="O539" i="1"/>
  <c r="L539" i="1"/>
  <c r="J539" i="1"/>
  <c r="G539" i="1"/>
  <c r="E539" i="1"/>
  <c r="B539" i="1"/>
  <c r="AN538" i="1"/>
  <c r="AK538" i="1"/>
  <c r="AI538" i="1"/>
  <c r="AF538" i="1"/>
  <c r="AD538" i="1"/>
  <c r="AA538" i="1"/>
  <c r="Y538" i="1"/>
  <c r="V538" i="1"/>
  <c r="T538" i="1"/>
  <c r="Q538" i="1"/>
  <c r="O538" i="1"/>
  <c r="L538" i="1"/>
  <c r="J538" i="1"/>
  <c r="G538" i="1"/>
  <c r="E538" i="1"/>
  <c r="B538" i="1"/>
  <c r="AN537" i="1"/>
  <c r="AK537" i="1"/>
  <c r="AI537" i="1"/>
  <c r="AF537" i="1"/>
  <c r="AD537" i="1"/>
  <c r="AA537" i="1"/>
  <c r="Y537" i="1"/>
  <c r="V537" i="1"/>
  <c r="T537" i="1"/>
  <c r="Q537" i="1"/>
  <c r="O537" i="1"/>
  <c r="L537" i="1"/>
  <c r="J537" i="1"/>
  <c r="G537" i="1"/>
  <c r="E537" i="1"/>
  <c r="B537" i="1"/>
  <c r="AN536" i="1"/>
  <c r="AK536" i="1"/>
  <c r="AI536" i="1"/>
  <c r="AF536" i="1"/>
  <c r="AD536" i="1"/>
  <c r="AA536" i="1"/>
  <c r="Y536" i="1"/>
  <c r="V536" i="1"/>
  <c r="T536" i="1"/>
  <c r="Q536" i="1"/>
  <c r="O536" i="1"/>
  <c r="L536" i="1"/>
  <c r="J536" i="1"/>
  <c r="G536" i="1"/>
  <c r="E536" i="1"/>
  <c r="B536" i="1"/>
  <c r="AN535" i="1"/>
  <c r="AK535" i="1"/>
  <c r="AI535" i="1"/>
  <c r="AF535" i="1"/>
  <c r="AD535" i="1"/>
  <c r="AA535" i="1"/>
  <c r="Y535" i="1"/>
  <c r="V535" i="1"/>
  <c r="T535" i="1"/>
  <c r="Q535" i="1"/>
  <c r="O535" i="1"/>
  <c r="L535" i="1"/>
  <c r="J535" i="1"/>
  <c r="G535" i="1"/>
  <c r="E535" i="1"/>
  <c r="B535" i="1"/>
  <c r="AN534" i="1"/>
  <c r="AK534" i="1"/>
  <c r="AI534" i="1"/>
  <c r="AF534" i="1"/>
  <c r="AD534" i="1"/>
  <c r="AA534" i="1"/>
  <c r="Y534" i="1"/>
  <c r="V534" i="1"/>
  <c r="T534" i="1"/>
  <c r="Q534" i="1"/>
  <c r="O534" i="1"/>
  <c r="L534" i="1"/>
  <c r="J534" i="1"/>
  <c r="G534" i="1"/>
  <c r="E534" i="1"/>
  <c r="B534" i="1"/>
  <c r="AN533" i="1"/>
  <c r="AK533" i="1"/>
  <c r="AI533" i="1"/>
  <c r="AF533" i="1"/>
  <c r="AD533" i="1"/>
  <c r="AA533" i="1"/>
  <c r="Y533" i="1"/>
  <c r="V533" i="1"/>
  <c r="T533" i="1"/>
  <c r="Q533" i="1"/>
  <c r="O533" i="1"/>
  <c r="L533" i="1"/>
  <c r="J533" i="1"/>
  <c r="G533" i="1"/>
  <c r="E533" i="1"/>
  <c r="B533" i="1"/>
  <c r="AN532" i="1"/>
  <c r="AK532" i="1"/>
  <c r="AI532" i="1"/>
  <c r="AF532" i="1"/>
  <c r="AD532" i="1"/>
  <c r="AA532" i="1"/>
  <c r="Y532" i="1"/>
  <c r="V532" i="1"/>
  <c r="T532" i="1"/>
  <c r="Q532" i="1"/>
  <c r="O532" i="1"/>
  <c r="L532" i="1"/>
  <c r="J532" i="1"/>
  <c r="G532" i="1"/>
  <c r="E532" i="1"/>
  <c r="B532" i="1"/>
  <c r="AN531" i="1"/>
  <c r="AK531" i="1"/>
  <c r="AI531" i="1"/>
  <c r="AF531" i="1"/>
  <c r="AD531" i="1"/>
  <c r="AA531" i="1"/>
  <c r="Y531" i="1"/>
  <c r="V531" i="1"/>
  <c r="T531" i="1"/>
  <c r="Q531" i="1"/>
  <c r="O531" i="1"/>
  <c r="L531" i="1"/>
  <c r="J531" i="1"/>
  <c r="G531" i="1"/>
  <c r="E531" i="1"/>
  <c r="B531" i="1"/>
  <c r="AN530" i="1"/>
  <c r="AK530" i="1"/>
  <c r="AI530" i="1"/>
  <c r="AF530" i="1"/>
  <c r="AD530" i="1"/>
  <c r="AA530" i="1"/>
  <c r="Y530" i="1"/>
  <c r="V530" i="1"/>
  <c r="T530" i="1"/>
  <c r="Q530" i="1"/>
  <c r="O530" i="1"/>
  <c r="L530" i="1"/>
  <c r="J530" i="1"/>
  <c r="G530" i="1"/>
  <c r="E530" i="1"/>
  <c r="B530" i="1"/>
  <c r="AN529" i="1"/>
  <c r="AK529" i="1"/>
  <c r="AI529" i="1"/>
  <c r="AF529" i="1"/>
  <c r="AD529" i="1"/>
  <c r="AA529" i="1"/>
  <c r="Y529" i="1"/>
  <c r="V529" i="1"/>
  <c r="T529" i="1"/>
  <c r="Q529" i="1"/>
  <c r="O529" i="1"/>
  <c r="L529" i="1"/>
  <c r="J529" i="1"/>
  <c r="G529" i="1"/>
  <c r="E529" i="1"/>
  <c r="B529" i="1"/>
  <c r="AN528" i="1"/>
  <c r="AK528" i="1"/>
  <c r="AI528" i="1"/>
  <c r="AF528" i="1"/>
  <c r="AD528" i="1"/>
  <c r="AA528" i="1"/>
  <c r="Y528" i="1"/>
  <c r="V528" i="1"/>
  <c r="T528" i="1"/>
  <c r="Q528" i="1"/>
  <c r="O528" i="1"/>
  <c r="L528" i="1"/>
  <c r="J528" i="1"/>
  <c r="G528" i="1"/>
  <c r="E528" i="1"/>
  <c r="B528" i="1"/>
  <c r="AN527" i="1"/>
  <c r="AK527" i="1"/>
  <c r="AI527" i="1"/>
  <c r="AF527" i="1"/>
  <c r="AD527" i="1"/>
  <c r="AA527" i="1"/>
  <c r="Y527" i="1"/>
  <c r="V527" i="1"/>
  <c r="T527" i="1"/>
  <c r="Q527" i="1"/>
  <c r="O527" i="1"/>
  <c r="L527" i="1"/>
  <c r="J527" i="1"/>
  <c r="G527" i="1"/>
  <c r="E527" i="1"/>
  <c r="B527" i="1"/>
  <c r="AN526" i="1"/>
  <c r="AK526" i="1"/>
  <c r="AI526" i="1"/>
  <c r="AF526" i="1"/>
  <c r="AD526" i="1"/>
  <c r="AA526" i="1"/>
  <c r="Y526" i="1"/>
  <c r="V526" i="1"/>
  <c r="T526" i="1"/>
  <c r="Q526" i="1"/>
  <c r="O526" i="1"/>
  <c r="L526" i="1"/>
  <c r="J526" i="1"/>
  <c r="G526" i="1"/>
  <c r="E526" i="1"/>
  <c r="B526" i="1"/>
  <c r="AN525" i="1"/>
  <c r="AK525" i="1"/>
  <c r="AI525" i="1"/>
  <c r="AF525" i="1"/>
  <c r="AD525" i="1"/>
  <c r="AA525" i="1"/>
  <c r="Y525" i="1"/>
  <c r="V525" i="1"/>
  <c r="T525" i="1"/>
  <c r="Q525" i="1"/>
  <c r="O525" i="1"/>
  <c r="L525" i="1"/>
  <c r="J525" i="1"/>
  <c r="G525" i="1"/>
  <c r="E525" i="1"/>
  <c r="B525" i="1"/>
  <c r="AN524" i="1"/>
  <c r="AK524" i="1"/>
  <c r="AI524" i="1"/>
  <c r="AF524" i="1"/>
  <c r="AD524" i="1"/>
  <c r="AA524" i="1"/>
  <c r="Y524" i="1"/>
  <c r="V524" i="1"/>
  <c r="T524" i="1"/>
  <c r="Q524" i="1"/>
  <c r="O524" i="1"/>
  <c r="L524" i="1"/>
  <c r="J524" i="1"/>
  <c r="G524" i="1"/>
  <c r="E524" i="1"/>
  <c r="B524" i="1"/>
  <c r="AN523" i="1"/>
  <c r="AK523" i="1"/>
  <c r="AI523" i="1"/>
  <c r="AF523" i="1"/>
  <c r="AD523" i="1"/>
  <c r="AA523" i="1"/>
  <c r="Y523" i="1"/>
  <c r="V523" i="1"/>
  <c r="T523" i="1"/>
  <c r="Q523" i="1"/>
  <c r="O523" i="1"/>
  <c r="L523" i="1"/>
  <c r="J523" i="1"/>
  <c r="G523" i="1"/>
  <c r="E523" i="1"/>
  <c r="B523" i="1"/>
  <c r="AN522" i="1"/>
  <c r="AK522" i="1"/>
  <c r="AI522" i="1"/>
  <c r="AF522" i="1"/>
  <c r="AD522" i="1"/>
  <c r="AA522" i="1"/>
  <c r="Y522" i="1"/>
  <c r="V522" i="1"/>
  <c r="T522" i="1"/>
  <c r="Q522" i="1"/>
  <c r="O522" i="1"/>
  <c r="L522" i="1"/>
  <c r="J522" i="1"/>
  <c r="G522" i="1"/>
  <c r="E522" i="1"/>
  <c r="B522" i="1"/>
  <c r="AN521" i="1"/>
  <c r="AK521" i="1"/>
  <c r="AI521" i="1"/>
  <c r="AF521" i="1"/>
  <c r="AD521" i="1"/>
  <c r="AA521" i="1"/>
  <c r="Y521" i="1"/>
  <c r="V521" i="1"/>
  <c r="T521" i="1"/>
  <c r="Q521" i="1"/>
  <c r="O521" i="1"/>
  <c r="L521" i="1"/>
  <c r="J521" i="1"/>
  <c r="G521" i="1"/>
  <c r="E521" i="1"/>
  <c r="B521" i="1"/>
  <c r="AN511" i="1"/>
  <c r="AK511" i="1"/>
  <c r="AI511" i="1"/>
  <c r="AF511" i="1"/>
  <c r="AD511" i="1"/>
  <c r="AA511" i="1"/>
  <c r="Y511" i="1"/>
  <c r="V511" i="1"/>
  <c r="T511" i="1"/>
  <c r="Q511" i="1"/>
  <c r="O511" i="1"/>
  <c r="L511" i="1"/>
  <c r="J511" i="1"/>
  <c r="G511" i="1"/>
  <c r="E511" i="1"/>
  <c r="B511" i="1"/>
  <c r="AN510" i="1"/>
  <c r="AK510" i="1"/>
  <c r="AI510" i="1"/>
  <c r="AF510" i="1"/>
  <c r="AD510" i="1"/>
  <c r="AA510" i="1"/>
  <c r="Y510" i="1"/>
  <c r="V510" i="1"/>
  <c r="T510" i="1"/>
  <c r="Q510" i="1"/>
  <c r="O510" i="1"/>
  <c r="L510" i="1"/>
  <c r="J510" i="1"/>
  <c r="G510" i="1"/>
  <c r="E510" i="1"/>
  <c r="B510" i="1"/>
  <c r="AN509" i="1"/>
  <c r="AK509" i="1"/>
  <c r="AI509" i="1"/>
  <c r="AF509" i="1"/>
  <c r="AD509" i="1"/>
  <c r="AA509" i="1"/>
  <c r="Y509" i="1"/>
  <c r="V509" i="1"/>
  <c r="T509" i="1"/>
  <c r="Q509" i="1"/>
  <c r="O509" i="1"/>
  <c r="L509" i="1"/>
  <c r="J509" i="1"/>
  <c r="G509" i="1"/>
  <c r="E509" i="1"/>
  <c r="B509" i="1"/>
  <c r="AN508" i="1"/>
  <c r="AK508" i="1"/>
  <c r="AI508" i="1"/>
  <c r="AF508" i="1"/>
  <c r="AD508" i="1"/>
  <c r="AA508" i="1"/>
  <c r="Y508" i="1"/>
  <c r="V508" i="1"/>
  <c r="T508" i="1"/>
  <c r="Q508" i="1"/>
  <c r="O508" i="1"/>
  <c r="L508" i="1"/>
  <c r="J508" i="1"/>
  <c r="G508" i="1"/>
  <c r="E508" i="1"/>
  <c r="B508" i="1"/>
  <c r="AN507" i="1"/>
  <c r="AK507" i="1"/>
  <c r="AI507" i="1"/>
  <c r="AF507" i="1"/>
  <c r="AD507" i="1"/>
  <c r="AA507" i="1"/>
  <c r="Y507" i="1"/>
  <c r="V507" i="1"/>
  <c r="T507" i="1"/>
  <c r="Q507" i="1"/>
  <c r="O507" i="1"/>
  <c r="L507" i="1"/>
  <c r="J507" i="1"/>
  <c r="G507" i="1"/>
  <c r="E507" i="1"/>
  <c r="B507" i="1"/>
  <c r="AN506" i="1"/>
  <c r="AK506" i="1"/>
  <c r="AI506" i="1"/>
  <c r="AF506" i="1"/>
  <c r="AD506" i="1"/>
  <c r="AA506" i="1"/>
  <c r="Y506" i="1"/>
  <c r="V506" i="1"/>
  <c r="T506" i="1"/>
  <c r="Q506" i="1"/>
  <c r="O506" i="1"/>
  <c r="L506" i="1"/>
  <c r="J506" i="1"/>
  <c r="G506" i="1"/>
  <c r="E506" i="1"/>
  <c r="B506" i="1"/>
  <c r="AN505" i="1"/>
  <c r="AK505" i="1"/>
  <c r="AI505" i="1"/>
  <c r="AF505" i="1"/>
  <c r="AD505" i="1"/>
  <c r="AA505" i="1"/>
  <c r="Y505" i="1"/>
  <c r="V505" i="1"/>
  <c r="T505" i="1"/>
  <c r="Q505" i="1"/>
  <c r="O505" i="1"/>
  <c r="L505" i="1"/>
  <c r="J505" i="1"/>
  <c r="G505" i="1"/>
  <c r="E505" i="1"/>
  <c r="B505" i="1"/>
  <c r="AN504" i="1"/>
  <c r="AK504" i="1"/>
  <c r="AI504" i="1"/>
  <c r="AF504" i="1"/>
  <c r="AD504" i="1"/>
  <c r="AA504" i="1"/>
  <c r="Y504" i="1"/>
  <c r="V504" i="1"/>
  <c r="T504" i="1"/>
  <c r="Q504" i="1"/>
  <c r="O504" i="1"/>
  <c r="L504" i="1"/>
  <c r="J504" i="1"/>
  <c r="G504" i="1"/>
  <c r="E504" i="1"/>
  <c r="B504" i="1"/>
  <c r="AN503" i="1"/>
  <c r="AK503" i="1"/>
  <c r="AI503" i="1"/>
  <c r="AF503" i="1"/>
  <c r="AD503" i="1"/>
  <c r="AA503" i="1"/>
  <c r="Y503" i="1"/>
  <c r="V503" i="1"/>
  <c r="T503" i="1"/>
  <c r="Q503" i="1"/>
  <c r="O503" i="1"/>
  <c r="L503" i="1"/>
  <c r="J503" i="1"/>
  <c r="G503" i="1"/>
  <c r="E503" i="1"/>
  <c r="B503" i="1"/>
  <c r="AN502" i="1"/>
  <c r="AK502" i="1"/>
  <c r="AI502" i="1"/>
  <c r="AF502" i="1"/>
  <c r="AD502" i="1"/>
  <c r="AA502" i="1"/>
  <c r="Y502" i="1"/>
  <c r="V502" i="1"/>
  <c r="T502" i="1"/>
  <c r="Q502" i="1"/>
  <c r="O502" i="1"/>
  <c r="L502" i="1"/>
  <c r="J502" i="1"/>
  <c r="G502" i="1"/>
  <c r="E502" i="1"/>
  <c r="B502" i="1"/>
  <c r="AN501" i="1"/>
  <c r="AK501" i="1"/>
  <c r="AI501" i="1"/>
  <c r="AF501" i="1"/>
  <c r="AD501" i="1"/>
  <c r="AA501" i="1"/>
  <c r="Y501" i="1"/>
  <c r="V501" i="1"/>
  <c r="T501" i="1"/>
  <c r="Q501" i="1"/>
  <c r="O501" i="1"/>
  <c r="L501" i="1"/>
  <c r="J501" i="1"/>
  <c r="G501" i="1"/>
  <c r="E501" i="1"/>
  <c r="B501" i="1"/>
  <c r="AN500" i="1"/>
  <c r="AK500" i="1"/>
  <c r="AI500" i="1"/>
  <c r="AF500" i="1"/>
  <c r="AD500" i="1"/>
  <c r="AA500" i="1"/>
  <c r="Y500" i="1"/>
  <c r="V500" i="1"/>
  <c r="T500" i="1"/>
  <c r="Q500" i="1"/>
  <c r="O500" i="1"/>
  <c r="L500" i="1"/>
  <c r="J500" i="1"/>
  <c r="G500" i="1"/>
  <c r="E500" i="1"/>
  <c r="B500" i="1"/>
  <c r="AN499" i="1"/>
  <c r="AK499" i="1"/>
  <c r="AI499" i="1"/>
  <c r="AF499" i="1"/>
  <c r="AD499" i="1"/>
  <c r="AA499" i="1"/>
  <c r="Y499" i="1"/>
  <c r="V499" i="1"/>
  <c r="T499" i="1"/>
  <c r="Q499" i="1"/>
  <c r="O499" i="1"/>
  <c r="L499" i="1"/>
  <c r="J499" i="1"/>
  <c r="G499" i="1"/>
  <c r="E499" i="1"/>
  <c r="B499" i="1"/>
  <c r="AN498" i="1"/>
  <c r="AK498" i="1"/>
  <c r="AI498" i="1"/>
  <c r="AF498" i="1"/>
  <c r="AD498" i="1"/>
  <c r="AA498" i="1"/>
  <c r="Y498" i="1"/>
  <c r="V498" i="1"/>
  <c r="T498" i="1"/>
  <c r="Q498" i="1"/>
  <c r="O498" i="1"/>
  <c r="L498" i="1"/>
  <c r="J498" i="1"/>
  <c r="G498" i="1"/>
  <c r="E498" i="1"/>
  <c r="B498" i="1"/>
  <c r="AN497" i="1"/>
  <c r="AK497" i="1"/>
  <c r="AI497" i="1"/>
  <c r="AF497" i="1"/>
  <c r="AD497" i="1"/>
  <c r="AA497" i="1"/>
  <c r="Y497" i="1"/>
  <c r="V497" i="1"/>
  <c r="T497" i="1"/>
  <c r="Q497" i="1"/>
  <c r="O497" i="1"/>
  <c r="L497" i="1"/>
  <c r="J497" i="1"/>
  <c r="G497" i="1"/>
  <c r="E497" i="1"/>
  <c r="B497" i="1"/>
  <c r="AN496" i="1"/>
  <c r="AK496" i="1"/>
  <c r="AI496" i="1"/>
  <c r="AF496" i="1"/>
  <c r="AD496" i="1"/>
  <c r="AA496" i="1"/>
  <c r="Y496" i="1"/>
  <c r="V496" i="1"/>
  <c r="T496" i="1"/>
  <c r="Q496" i="1"/>
  <c r="O496" i="1"/>
  <c r="L496" i="1"/>
  <c r="J496" i="1"/>
  <c r="G496" i="1"/>
  <c r="E496" i="1"/>
  <c r="B496" i="1"/>
  <c r="AN495" i="1"/>
  <c r="AK495" i="1"/>
  <c r="AI495" i="1"/>
  <c r="AF495" i="1"/>
  <c r="AD495" i="1"/>
  <c r="AA495" i="1"/>
  <c r="Y495" i="1"/>
  <c r="V495" i="1"/>
  <c r="T495" i="1"/>
  <c r="Q495" i="1"/>
  <c r="O495" i="1"/>
  <c r="L495" i="1"/>
  <c r="J495" i="1"/>
  <c r="G495" i="1"/>
  <c r="E495" i="1"/>
  <c r="B495" i="1"/>
  <c r="AN494" i="1"/>
  <c r="AK494" i="1"/>
  <c r="AI494" i="1"/>
  <c r="AF494" i="1"/>
  <c r="AD494" i="1"/>
  <c r="AA494" i="1"/>
  <c r="Y494" i="1"/>
  <c r="V494" i="1"/>
  <c r="T494" i="1"/>
  <c r="Q494" i="1"/>
  <c r="O494" i="1"/>
  <c r="L494" i="1"/>
  <c r="J494" i="1"/>
  <c r="G494" i="1"/>
  <c r="E494" i="1"/>
  <c r="B494" i="1"/>
  <c r="AN493" i="1"/>
  <c r="AK493" i="1"/>
  <c r="AI493" i="1"/>
  <c r="AF493" i="1"/>
  <c r="AD493" i="1"/>
  <c r="AA493" i="1"/>
  <c r="Y493" i="1"/>
  <c r="V493" i="1"/>
  <c r="T493" i="1"/>
  <c r="Q493" i="1"/>
  <c r="O493" i="1"/>
  <c r="L493" i="1"/>
  <c r="J493" i="1"/>
  <c r="G493" i="1"/>
  <c r="E493" i="1"/>
  <c r="B493" i="1"/>
  <c r="AN492" i="1"/>
  <c r="AK492" i="1"/>
  <c r="AI492" i="1"/>
  <c r="AF492" i="1"/>
  <c r="AD492" i="1"/>
  <c r="AA492" i="1"/>
  <c r="Y492" i="1"/>
  <c r="V492" i="1"/>
  <c r="T492" i="1"/>
  <c r="Q492" i="1"/>
  <c r="O492" i="1"/>
  <c r="L492" i="1"/>
  <c r="J492" i="1"/>
  <c r="G492" i="1"/>
  <c r="E492" i="1"/>
  <c r="B492" i="1"/>
  <c r="AN491" i="1"/>
  <c r="AK491" i="1"/>
  <c r="AI491" i="1"/>
  <c r="AF491" i="1"/>
  <c r="AD491" i="1"/>
  <c r="AA491" i="1"/>
  <c r="Y491" i="1"/>
  <c r="V491" i="1"/>
  <c r="T491" i="1"/>
  <c r="Q491" i="1"/>
  <c r="O491" i="1"/>
  <c r="L491" i="1"/>
  <c r="J491" i="1"/>
  <c r="G491" i="1"/>
  <c r="E491" i="1"/>
  <c r="B491" i="1"/>
  <c r="AN484" i="1"/>
  <c r="AK484" i="1"/>
  <c r="AI484" i="1"/>
  <c r="AF484" i="1"/>
  <c r="AD484" i="1"/>
  <c r="AA484" i="1"/>
  <c r="Y484" i="1"/>
  <c r="V484" i="1"/>
  <c r="T484" i="1"/>
  <c r="Q484" i="1"/>
  <c r="O484" i="1"/>
  <c r="L484" i="1"/>
  <c r="J484" i="1"/>
  <c r="G484" i="1"/>
  <c r="E484" i="1"/>
  <c r="B484" i="1"/>
  <c r="AN483" i="1"/>
  <c r="AK483" i="1"/>
  <c r="AI483" i="1"/>
  <c r="AF483" i="1"/>
  <c r="AD483" i="1"/>
  <c r="AA483" i="1"/>
  <c r="Y483" i="1"/>
  <c r="V483" i="1"/>
  <c r="T483" i="1"/>
  <c r="Q483" i="1"/>
  <c r="O483" i="1"/>
  <c r="L483" i="1"/>
  <c r="J483" i="1"/>
  <c r="G483" i="1"/>
  <c r="E483" i="1"/>
  <c r="B483" i="1"/>
  <c r="AN482" i="1"/>
  <c r="AK482" i="1"/>
  <c r="AI482" i="1"/>
  <c r="AF482" i="1"/>
  <c r="AD482" i="1"/>
  <c r="AA482" i="1"/>
  <c r="Y482" i="1"/>
  <c r="V482" i="1"/>
  <c r="T482" i="1"/>
  <c r="Q482" i="1"/>
  <c r="O482" i="1"/>
  <c r="L482" i="1"/>
  <c r="J482" i="1"/>
  <c r="G482" i="1"/>
  <c r="E482" i="1"/>
  <c r="B482" i="1"/>
  <c r="AN481" i="1"/>
  <c r="AK481" i="1"/>
  <c r="AI481" i="1"/>
  <c r="AF481" i="1"/>
  <c r="AD481" i="1"/>
  <c r="AA481" i="1"/>
  <c r="Y481" i="1"/>
  <c r="V481" i="1"/>
  <c r="T481" i="1"/>
  <c r="Q481" i="1"/>
  <c r="O481" i="1"/>
  <c r="L481" i="1"/>
  <c r="J481" i="1"/>
  <c r="G481" i="1"/>
  <c r="E481" i="1"/>
  <c r="B481" i="1"/>
  <c r="AN480" i="1"/>
  <c r="AK480" i="1"/>
  <c r="AI480" i="1"/>
  <c r="AF480" i="1"/>
  <c r="AD480" i="1"/>
  <c r="AA480" i="1"/>
  <c r="Y480" i="1"/>
  <c r="V480" i="1"/>
  <c r="T480" i="1"/>
  <c r="Q480" i="1"/>
  <c r="O480" i="1"/>
  <c r="L480" i="1"/>
  <c r="J480" i="1"/>
  <c r="G480" i="1"/>
  <c r="E480" i="1"/>
  <c r="B480" i="1"/>
  <c r="AN479" i="1"/>
  <c r="AK479" i="1"/>
  <c r="AI479" i="1"/>
  <c r="AF479" i="1"/>
  <c r="AD479" i="1"/>
  <c r="AA479" i="1"/>
  <c r="Y479" i="1"/>
  <c r="V479" i="1"/>
  <c r="T479" i="1"/>
  <c r="Q479" i="1"/>
  <c r="O479" i="1"/>
  <c r="L479" i="1"/>
  <c r="J479" i="1"/>
  <c r="G479" i="1"/>
  <c r="E479" i="1"/>
  <c r="B479" i="1"/>
  <c r="AN478" i="1"/>
  <c r="AK478" i="1"/>
  <c r="AI478" i="1"/>
  <c r="AF478" i="1"/>
  <c r="AD478" i="1"/>
  <c r="AA478" i="1"/>
  <c r="Y478" i="1"/>
  <c r="V478" i="1"/>
  <c r="T478" i="1"/>
  <c r="Q478" i="1"/>
  <c r="O478" i="1"/>
  <c r="L478" i="1"/>
  <c r="J478" i="1"/>
  <c r="G478" i="1"/>
  <c r="E478" i="1"/>
  <c r="B478" i="1"/>
  <c r="AN477" i="1"/>
  <c r="AK477" i="1"/>
  <c r="AI477" i="1"/>
  <c r="AF477" i="1"/>
  <c r="AD477" i="1"/>
  <c r="AA477" i="1"/>
  <c r="Y477" i="1"/>
  <c r="V477" i="1"/>
  <c r="T477" i="1"/>
  <c r="Q477" i="1"/>
  <c r="O477" i="1"/>
  <c r="L477" i="1"/>
  <c r="J477" i="1"/>
  <c r="G477" i="1"/>
  <c r="E477" i="1"/>
  <c r="B477" i="1"/>
  <c r="AN476" i="1"/>
  <c r="AK476" i="1"/>
  <c r="AI476" i="1"/>
  <c r="AF476" i="1"/>
  <c r="AD476" i="1"/>
  <c r="AA476" i="1"/>
  <c r="Y476" i="1"/>
  <c r="V476" i="1"/>
  <c r="T476" i="1"/>
  <c r="Q476" i="1"/>
  <c r="O476" i="1"/>
  <c r="L476" i="1"/>
  <c r="J476" i="1"/>
  <c r="G476" i="1"/>
  <c r="E476" i="1"/>
  <c r="B476" i="1"/>
  <c r="AN475" i="1"/>
  <c r="AK475" i="1"/>
  <c r="AI475" i="1"/>
  <c r="AF475" i="1"/>
  <c r="AD475" i="1"/>
  <c r="AA475" i="1"/>
  <c r="Y475" i="1"/>
  <c r="V475" i="1"/>
  <c r="T475" i="1"/>
  <c r="Q475" i="1"/>
  <c r="O475" i="1"/>
  <c r="L475" i="1"/>
  <c r="J475" i="1"/>
  <c r="G475" i="1"/>
  <c r="E475" i="1"/>
  <c r="B475" i="1"/>
  <c r="AN474" i="1"/>
  <c r="AK474" i="1"/>
  <c r="AI474" i="1"/>
  <c r="AF474" i="1"/>
  <c r="AD474" i="1"/>
  <c r="AA474" i="1"/>
  <c r="Y474" i="1"/>
  <c r="V474" i="1"/>
  <c r="T474" i="1"/>
  <c r="Q474" i="1"/>
  <c r="O474" i="1"/>
  <c r="L474" i="1"/>
  <c r="J474" i="1"/>
  <c r="G474" i="1"/>
  <c r="E474" i="1"/>
  <c r="B474" i="1"/>
  <c r="AN473" i="1"/>
  <c r="AK473" i="1"/>
  <c r="AI473" i="1"/>
  <c r="AF473" i="1"/>
  <c r="AD473" i="1"/>
  <c r="AA473" i="1"/>
  <c r="Y473" i="1"/>
  <c r="V473" i="1"/>
  <c r="T473" i="1"/>
  <c r="Q473" i="1"/>
  <c r="O473" i="1"/>
  <c r="L473" i="1"/>
  <c r="J473" i="1"/>
  <c r="G473" i="1"/>
  <c r="E473" i="1"/>
  <c r="B473" i="1"/>
  <c r="AN472" i="1"/>
  <c r="AK472" i="1"/>
  <c r="AI472" i="1"/>
  <c r="AF472" i="1"/>
  <c r="AD472" i="1"/>
  <c r="AA472" i="1"/>
  <c r="Y472" i="1"/>
  <c r="V472" i="1"/>
  <c r="T472" i="1"/>
  <c r="Q472" i="1"/>
  <c r="O472" i="1"/>
  <c r="L472" i="1"/>
  <c r="J472" i="1"/>
  <c r="G472" i="1"/>
  <c r="E472" i="1"/>
  <c r="B472" i="1"/>
  <c r="AN471" i="1"/>
  <c r="AK471" i="1"/>
  <c r="AI471" i="1"/>
  <c r="AF471" i="1"/>
  <c r="AD471" i="1"/>
  <c r="AA471" i="1"/>
  <c r="Y471" i="1"/>
  <c r="V471" i="1"/>
  <c r="T471" i="1"/>
  <c r="Q471" i="1"/>
  <c r="O471" i="1"/>
  <c r="L471" i="1"/>
  <c r="J471" i="1"/>
  <c r="G471" i="1"/>
  <c r="E471" i="1"/>
  <c r="B471" i="1"/>
  <c r="AN470" i="1"/>
  <c r="AK470" i="1"/>
  <c r="AI470" i="1"/>
  <c r="AF470" i="1"/>
  <c r="AD470" i="1"/>
  <c r="AA470" i="1"/>
  <c r="Y470" i="1"/>
  <c r="V470" i="1"/>
  <c r="T470" i="1"/>
  <c r="Q470" i="1"/>
  <c r="O470" i="1"/>
  <c r="L470" i="1"/>
  <c r="J470" i="1"/>
  <c r="G470" i="1"/>
  <c r="E470" i="1"/>
  <c r="B470" i="1"/>
  <c r="AN469" i="1"/>
  <c r="AK469" i="1"/>
  <c r="AI469" i="1"/>
  <c r="AF469" i="1"/>
  <c r="AD469" i="1"/>
  <c r="AA469" i="1"/>
  <c r="Y469" i="1"/>
  <c r="V469" i="1"/>
  <c r="T469" i="1"/>
  <c r="Q469" i="1"/>
  <c r="O469" i="1"/>
  <c r="L469" i="1"/>
  <c r="J469" i="1"/>
  <c r="G469" i="1"/>
  <c r="E469" i="1"/>
  <c r="B469" i="1"/>
  <c r="AN468" i="1"/>
  <c r="AK468" i="1"/>
  <c r="AI468" i="1"/>
  <c r="AF468" i="1"/>
  <c r="AD468" i="1"/>
  <c r="AA468" i="1"/>
  <c r="Y468" i="1"/>
  <c r="V468" i="1"/>
  <c r="T468" i="1"/>
  <c r="Q468" i="1"/>
  <c r="O468" i="1"/>
  <c r="L468" i="1"/>
  <c r="J468" i="1"/>
  <c r="G468" i="1"/>
  <c r="E468" i="1"/>
  <c r="B468" i="1"/>
  <c r="AN467" i="1"/>
  <c r="AK467" i="1"/>
  <c r="AI467" i="1"/>
  <c r="AF467" i="1"/>
  <c r="AD467" i="1"/>
  <c r="AA467" i="1"/>
  <c r="Y467" i="1"/>
  <c r="V467" i="1"/>
  <c r="T467" i="1"/>
  <c r="Q467" i="1"/>
  <c r="O467" i="1"/>
  <c r="L467" i="1"/>
  <c r="J467" i="1"/>
  <c r="G467" i="1"/>
  <c r="E467" i="1"/>
  <c r="B467" i="1"/>
  <c r="AN466" i="1"/>
  <c r="AK466" i="1"/>
  <c r="AI466" i="1"/>
  <c r="AF466" i="1"/>
  <c r="AD466" i="1"/>
  <c r="AA466" i="1"/>
  <c r="Y466" i="1"/>
  <c r="V466" i="1"/>
  <c r="T466" i="1"/>
  <c r="Q466" i="1"/>
  <c r="O466" i="1"/>
  <c r="L466" i="1"/>
  <c r="J466" i="1"/>
  <c r="G466" i="1"/>
  <c r="E466" i="1"/>
  <c r="B466" i="1"/>
  <c r="AN465" i="1"/>
  <c r="AK465" i="1"/>
  <c r="AI465" i="1"/>
  <c r="AF465" i="1"/>
  <c r="AD465" i="1"/>
  <c r="AA465" i="1"/>
  <c r="Y465" i="1"/>
  <c r="V465" i="1"/>
  <c r="T465" i="1"/>
  <c r="Q465" i="1"/>
  <c r="O465" i="1"/>
  <c r="L465" i="1"/>
  <c r="J465" i="1"/>
  <c r="G465" i="1"/>
  <c r="E465" i="1"/>
  <c r="B465" i="1"/>
  <c r="AN464" i="1"/>
  <c r="AK464" i="1"/>
  <c r="AI464" i="1"/>
  <c r="AF464" i="1"/>
  <c r="AD464" i="1"/>
  <c r="AA464" i="1"/>
  <c r="Y464" i="1"/>
  <c r="V464" i="1"/>
  <c r="T464" i="1"/>
  <c r="Q464" i="1"/>
  <c r="O464" i="1"/>
  <c r="L464" i="1"/>
  <c r="J464" i="1"/>
  <c r="G464" i="1"/>
  <c r="E464" i="1"/>
  <c r="B464" i="1"/>
  <c r="AN454" i="1"/>
  <c r="AK454" i="1"/>
  <c r="AI454" i="1"/>
  <c r="AF454" i="1"/>
  <c r="AD454" i="1"/>
  <c r="AA454" i="1"/>
  <c r="Y454" i="1"/>
  <c r="V454" i="1"/>
  <c r="T454" i="1"/>
  <c r="Q454" i="1"/>
  <c r="O454" i="1"/>
  <c r="L454" i="1"/>
  <c r="J454" i="1"/>
  <c r="G454" i="1"/>
  <c r="E454" i="1"/>
  <c r="B454" i="1"/>
  <c r="AN453" i="1"/>
  <c r="AK453" i="1"/>
  <c r="AI453" i="1"/>
  <c r="AF453" i="1"/>
  <c r="AD453" i="1"/>
  <c r="AA453" i="1"/>
  <c r="Y453" i="1"/>
  <c r="V453" i="1"/>
  <c r="T453" i="1"/>
  <c r="Q453" i="1"/>
  <c r="O453" i="1"/>
  <c r="L453" i="1"/>
  <c r="J453" i="1"/>
  <c r="G453" i="1"/>
  <c r="E453" i="1"/>
  <c r="B453" i="1"/>
  <c r="AN452" i="1"/>
  <c r="AK452" i="1"/>
  <c r="AI452" i="1"/>
  <c r="AF452" i="1"/>
  <c r="AD452" i="1"/>
  <c r="AA452" i="1"/>
  <c r="Y452" i="1"/>
  <c r="V452" i="1"/>
  <c r="T452" i="1"/>
  <c r="Q452" i="1"/>
  <c r="O452" i="1"/>
  <c r="L452" i="1"/>
  <c r="J452" i="1"/>
  <c r="G452" i="1"/>
  <c r="E452" i="1"/>
  <c r="B452" i="1"/>
  <c r="AN451" i="1"/>
  <c r="AK451" i="1"/>
  <c r="AI451" i="1"/>
  <c r="AF451" i="1"/>
  <c r="AD451" i="1"/>
  <c r="AA451" i="1"/>
  <c r="Y451" i="1"/>
  <c r="V451" i="1"/>
  <c r="T451" i="1"/>
  <c r="Q451" i="1"/>
  <c r="O451" i="1"/>
  <c r="L451" i="1"/>
  <c r="J451" i="1"/>
  <c r="G451" i="1"/>
  <c r="E451" i="1"/>
  <c r="B451" i="1"/>
  <c r="AN450" i="1"/>
  <c r="AK450" i="1"/>
  <c r="AI450" i="1"/>
  <c r="AF450" i="1"/>
  <c r="AD450" i="1"/>
  <c r="AA450" i="1"/>
  <c r="Y450" i="1"/>
  <c r="V450" i="1"/>
  <c r="T450" i="1"/>
  <c r="Q450" i="1"/>
  <c r="O450" i="1"/>
  <c r="L450" i="1"/>
  <c r="J450" i="1"/>
  <c r="G450" i="1"/>
  <c r="E450" i="1"/>
  <c r="B450" i="1"/>
  <c r="AN449" i="1"/>
  <c r="AK449" i="1"/>
  <c r="AI449" i="1"/>
  <c r="AF449" i="1"/>
  <c r="AD449" i="1"/>
  <c r="AA449" i="1"/>
  <c r="Y449" i="1"/>
  <c r="V449" i="1"/>
  <c r="T449" i="1"/>
  <c r="Q449" i="1"/>
  <c r="O449" i="1"/>
  <c r="L449" i="1"/>
  <c r="J449" i="1"/>
  <c r="G449" i="1"/>
  <c r="E449" i="1"/>
  <c r="B449" i="1"/>
  <c r="AN448" i="1"/>
  <c r="AK448" i="1"/>
  <c r="AI448" i="1"/>
  <c r="AF448" i="1"/>
  <c r="AD448" i="1"/>
  <c r="AA448" i="1"/>
  <c r="Y448" i="1"/>
  <c r="V448" i="1"/>
  <c r="T448" i="1"/>
  <c r="Q448" i="1"/>
  <c r="O448" i="1"/>
  <c r="L448" i="1"/>
  <c r="J448" i="1"/>
  <c r="G448" i="1"/>
  <c r="E448" i="1"/>
  <c r="B448" i="1"/>
  <c r="AN447" i="1"/>
  <c r="AK447" i="1"/>
  <c r="AI447" i="1"/>
  <c r="AF447" i="1"/>
  <c r="AD447" i="1"/>
  <c r="AA447" i="1"/>
  <c r="Y447" i="1"/>
  <c r="V447" i="1"/>
  <c r="T447" i="1"/>
  <c r="Q447" i="1"/>
  <c r="O447" i="1"/>
  <c r="L447" i="1"/>
  <c r="J447" i="1"/>
  <c r="G447" i="1"/>
  <c r="E447" i="1"/>
  <c r="B447" i="1"/>
  <c r="AN446" i="1"/>
  <c r="AK446" i="1"/>
  <c r="AI446" i="1"/>
  <c r="AF446" i="1"/>
  <c r="AD446" i="1"/>
  <c r="AA446" i="1"/>
  <c r="Y446" i="1"/>
  <c r="V446" i="1"/>
  <c r="T446" i="1"/>
  <c r="Q446" i="1"/>
  <c r="O446" i="1"/>
  <c r="L446" i="1"/>
  <c r="J446" i="1"/>
  <c r="G446" i="1"/>
  <c r="E446" i="1"/>
  <c r="B446" i="1"/>
  <c r="AN445" i="1"/>
  <c r="AK445" i="1"/>
  <c r="AI445" i="1"/>
  <c r="AF445" i="1"/>
  <c r="AD445" i="1"/>
  <c r="AA445" i="1"/>
  <c r="Y445" i="1"/>
  <c r="V445" i="1"/>
  <c r="T445" i="1"/>
  <c r="Q445" i="1"/>
  <c r="O445" i="1"/>
  <c r="L445" i="1"/>
  <c r="J445" i="1"/>
  <c r="G445" i="1"/>
  <c r="E445" i="1"/>
  <c r="B445" i="1"/>
  <c r="AN444" i="1"/>
  <c r="AK444" i="1"/>
  <c r="AI444" i="1"/>
  <c r="AF444" i="1"/>
  <c r="AD444" i="1"/>
  <c r="AA444" i="1"/>
  <c r="Y444" i="1"/>
  <c r="V444" i="1"/>
  <c r="T444" i="1"/>
  <c r="Q444" i="1"/>
  <c r="O444" i="1"/>
  <c r="L444" i="1"/>
  <c r="J444" i="1"/>
  <c r="G444" i="1"/>
  <c r="E444" i="1"/>
  <c r="B444" i="1"/>
  <c r="AN443" i="1"/>
  <c r="AK443" i="1"/>
  <c r="AI443" i="1"/>
  <c r="AF443" i="1"/>
  <c r="AD443" i="1"/>
  <c r="AA443" i="1"/>
  <c r="Y443" i="1"/>
  <c r="V443" i="1"/>
  <c r="T443" i="1"/>
  <c r="Q443" i="1"/>
  <c r="O443" i="1"/>
  <c r="L443" i="1"/>
  <c r="J443" i="1"/>
  <c r="G443" i="1"/>
  <c r="E443" i="1"/>
  <c r="B443" i="1"/>
  <c r="AN442" i="1"/>
  <c r="AK442" i="1"/>
  <c r="AI442" i="1"/>
  <c r="AF442" i="1"/>
  <c r="AD442" i="1"/>
  <c r="AA442" i="1"/>
  <c r="Y442" i="1"/>
  <c r="V442" i="1"/>
  <c r="T442" i="1"/>
  <c r="Q442" i="1"/>
  <c r="O442" i="1"/>
  <c r="L442" i="1"/>
  <c r="J442" i="1"/>
  <c r="G442" i="1"/>
  <c r="E442" i="1"/>
  <c r="B442" i="1"/>
  <c r="AN441" i="1"/>
  <c r="AK441" i="1"/>
  <c r="AI441" i="1"/>
  <c r="AF441" i="1"/>
  <c r="AD441" i="1"/>
  <c r="AA441" i="1"/>
  <c r="Y441" i="1"/>
  <c r="V441" i="1"/>
  <c r="T441" i="1"/>
  <c r="Q441" i="1"/>
  <c r="O441" i="1"/>
  <c r="L441" i="1"/>
  <c r="J441" i="1"/>
  <c r="G441" i="1"/>
  <c r="E441" i="1"/>
  <c r="B441" i="1"/>
  <c r="AN440" i="1"/>
  <c r="AK440" i="1"/>
  <c r="AI440" i="1"/>
  <c r="AF440" i="1"/>
  <c r="AD440" i="1"/>
  <c r="AA440" i="1"/>
  <c r="Y440" i="1"/>
  <c r="V440" i="1"/>
  <c r="T440" i="1"/>
  <c r="Q440" i="1"/>
  <c r="O440" i="1"/>
  <c r="L440" i="1"/>
  <c r="J440" i="1"/>
  <c r="G440" i="1"/>
  <c r="E440" i="1"/>
  <c r="B440" i="1"/>
  <c r="AN439" i="1"/>
  <c r="AK439" i="1"/>
  <c r="AI439" i="1"/>
  <c r="AF439" i="1"/>
  <c r="AD439" i="1"/>
  <c r="AA439" i="1"/>
  <c r="Y439" i="1"/>
  <c r="V439" i="1"/>
  <c r="T439" i="1"/>
  <c r="Q439" i="1"/>
  <c r="O439" i="1"/>
  <c r="L439" i="1"/>
  <c r="J439" i="1"/>
  <c r="G439" i="1"/>
  <c r="E439" i="1"/>
  <c r="B439" i="1"/>
  <c r="AN438" i="1"/>
  <c r="AK438" i="1"/>
  <c r="AI438" i="1"/>
  <c r="AF438" i="1"/>
  <c r="AD438" i="1"/>
  <c r="AA438" i="1"/>
  <c r="Y438" i="1"/>
  <c r="V438" i="1"/>
  <c r="T438" i="1"/>
  <c r="Q438" i="1"/>
  <c r="O438" i="1"/>
  <c r="L438" i="1"/>
  <c r="J438" i="1"/>
  <c r="G438" i="1"/>
  <c r="E438" i="1"/>
  <c r="B438" i="1"/>
  <c r="AN437" i="1"/>
  <c r="AK437" i="1"/>
  <c r="AI437" i="1"/>
  <c r="AF437" i="1"/>
  <c r="AD437" i="1"/>
  <c r="AA437" i="1"/>
  <c r="Y437" i="1"/>
  <c r="V437" i="1"/>
  <c r="T437" i="1"/>
  <c r="Q437" i="1"/>
  <c r="O437" i="1"/>
  <c r="L437" i="1"/>
  <c r="J437" i="1"/>
  <c r="G437" i="1"/>
  <c r="E437" i="1"/>
  <c r="B437" i="1"/>
  <c r="AN436" i="1"/>
  <c r="AK436" i="1"/>
  <c r="AI436" i="1"/>
  <c r="AF436" i="1"/>
  <c r="AD436" i="1"/>
  <c r="AA436" i="1"/>
  <c r="Y436" i="1"/>
  <c r="V436" i="1"/>
  <c r="T436" i="1"/>
  <c r="Q436" i="1"/>
  <c r="O436" i="1"/>
  <c r="L436" i="1"/>
  <c r="J436" i="1"/>
  <c r="G436" i="1"/>
  <c r="E436" i="1"/>
  <c r="B436" i="1"/>
  <c r="AN435" i="1"/>
  <c r="AK435" i="1"/>
  <c r="AI435" i="1"/>
  <c r="AF435" i="1"/>
  <c r="AD435" i="1"/>
  <c r="AA435" i="1"/>
  <c r="Y435" i="1"/>
  <c r="V435" i="1"/>
  <c r="T435" i="1"/>
  <c r="Q435" i="1"/>
  <c r="O435" i="1"/>
  <c r="L435" i="1"/>
  <c r="J435" i="1"/>
  <c r="G435" i="1"/>
  <c r="E435" i="1"/>
  <c r="B435" i="1"/>
  <c r="AN434" i="1"/>
  <c r="AK434" i="1"/>
  <c r="AI434" i="1"/>
  <c r="AF434" i="1"/>
  <c r="AD434" i="1"/>
  <c r="AA434" i="1"/>
  <c r="Y434" i="1"/>
  <c r="V434" i="1"/>
  <c r="T434" i="1"/>
  <c r="Q434" i="1"/>
  <c r="O434" i="1"/>
  <c r="L434" i="1"/>
  <c r="J434" i="1"/>
  <c r="G434" i="1"/>
  <c r="E434" i="1"/>
  <c r="B434" i="1"/>
  <c r="AN427" i="1"/>
  <c r="AK427" i="1"/>
  <c r="AI427" i="1"/>
  <c r="AF427" i="1"/>
  <c r="AD427" i="1"/>
  <c r="AA427" i="1"/>
  <c r="Y427" i="1"/>
  <c r="V427" i="1"/>
  <c r="T427" i="1"/>
  <c r="Q427" i="1"/>
  <c r="O427" i="1"/>
  <c r="L427" i="1"/>
  <c r="J427" i="1"/>
  <c r="G427" i="1"/>
  <c r="E427" i="1"/>
  <c r="B427" i="1"/>
  <c r="AN426" i="1"/>
  <c r="AK426" i="1"/>
  <c r="AI426" i="1"/>
  <c r="AF426" i="1"/>
  <c r="AD426" i="1"/>
  <c r="AA426" i="1"/>
  <c r="Y426" i="1"/>
  <c r="V426" i="1"/>
  <c r="T426" i="1"/>
  <c r="Q426" i="1"/>
  <c r="O426" i="1"/>
  <c r="L426" i="1"/>
  <c r="J426" i="1"/>
  <c r="G426" i="1"/>
  <c r="E426" i="1"/>
  <c r="B426" i="1"/>
  <c r="AN425" i="1"/>
  <c r="AK425" i="1"/>
  <c r="AI425" i="1"/>
  <c r="AF425" i="1"/>
  <c r="AD425" i="1"/>
  <c r="AA425" i="1"/>
  <c r="Y425" i="1"/>
  <c r="V425" i="1"/>
  <c r="T425" i="1"/>
  <c r="Q425" i="1"/>
  <c r="O425" i="1"/>
  <c r="L425" i="1"/>
  <c r="J425" i="1"/>
  <c r="G425" i="1"/>
  <c r="E425" i="1"/>
  <c r="B425" i="1"/>
  <c r="AN424" i="1"/>
  <c r="AK424" i="1"/>
  <c r="AI424" i="1"/>
  <c r="AF424" i="1"/>
  <c r="AD424" i="1"/>
  <c r="AA424" i="1"/>
  <c r="Y424" i="1"/>
  <c r="V424" i="1"/>
  <c r="T424" i="1"/>
  <c r="Q424" i="1"/>
  <c r="O424" i="1"/>
  <c r="L424" i="1"/>
  <c r="J424" i="1"/>
  <c r="G424" i="1"/>
  <c r="E424" i="1"/>
  <c r="B424" i="1"/>
  <c r="AN423" i="1"/>
  <c r="AK423" i="1"/>
  <c r="AI423" i="1"/>
  <c r="AF423" i="1"/>
  <c r="AD423" i="1"/>
  <c r="AA423" i="1"/>
  <c r="Y423" i="1"/>
  <c r="V423" i="1"/>
  <c r="T423" i="1"/>
  <c r="Q423" i="1"/>
  <c r="O423" i="1"/>
  <c r="L423" i="1"/>
  <c r="J423" i="1"/>
  <c r="G423" i="1"/>
  <c r="E423" i="1"/>
  <c r="B423" i="1"/>
  <c r="AN422" i="1"/>
  <c r="AK422" i="1"/>
  <c r="AI422" i="1"/>
  <c r="AF422" i="1"/>
  <c r="AD422" i="1"/>
  <c r="AA422" i="1"/>
  <c r="Y422" i="1"/>
  <c r="V422" i="1"/>
  <c r="T422" i="1"/>
  <c r="Q422" i="1"/>
  <c r="O422" i="1"/>
  <c r="L422" i="1"/>
  <c r="J422" i="1"/>
  <c r="G422" i="1"/>
  <c r="E422" i="1"/>
  <c r="B422" i="1"/>
  <c r="AN421" i="1"/>
  <c r="AK421" i="1"/>
  <c r="AI421" i="1"/>
  <c r="AF421" i="1"/>
  <c r="AD421" i="1"/>
  <c r="AA421" i="1"/>
  <c r="Y421" i="1"/>
  <c r="V421" i="1"/>
  <c r="T421" i="1"/>
  <c r="Q421" i="1"/>
  <c r="O421" i="1"/>
  <c r="L421" i="1"/>
  <c r="J421" i="1"/>
  <c r="G421" i="1"/>
  <c r="E421" i="1"/>
  <c r="B421" i="1"/>
  <c r="AN420" i="1"/>
  <c r="AK420" i="1"/>
  <c r="AI420" i="1"/>
  <c r="AF420" i="1"/>
  <c r="AD420" i="1"/>
  <c r="AA420" i="1"/>
  <c r="Y420" i="1"/>
  <c r="V420" i="1"/>
  <c r="T420" i="1"/>
  <c r="Q420" i="1"/>
  <c r="O420" i="1"/>
  <c r="L420" i="1"/>
  <c r="J420" i="1"/>
  <c r="G420" i="1"/>
  <c r="E420" i="1"/>
  <c r="B420" i="1"/>
  <c r="AN419" i="1"/>
  <c r="AK419" i="1"/>
  <c r="AI419" i="1"/>
  <c r="AF419" i="1"/>
  <c r="AD419" i="1"/>
  <c r="AA419" i="1"/>
  <c r="Y419" i="1"/>
  <c r="V419" i="1"/>
  <c r="T419" i="1"/>
  <c r="Q419" i="1"/>
  <c r="O419" i="1"/>
  <c r="L419" i="1"/>
  <c r="J419" i="1"/>
  <c r="G419" i="1"/>
  <c r="E419" i="1"/>
  <c r="B419" i="1"/>
  <c r="AN418" i="1"/>
  <c r="AK418" i="1"/>
  <c r="AI418" i="1"/>
  <c r="AF418" i="1"/>
  <c r="AD418" i="1"/>
  <c r="AA418" i="1"/>
  <c r="Y418" i="1"/>
  <c r="V418" i="1"/>
  <c r="T418" i="1"/>
  <c r="Q418" i="1"/>
  <c r="O418" i="1"/>
  <c r="L418" i="1"/>
  <c r="J418" i="1"/>
  <c r="G418" i="1"/>
  <c r="E418" i="1"/>
  <c r="B418" i="1"/>
  <c r="AN417" i="1"/>
  <c r="AK417" i="1"/>
  <c r="AI417" i="1"/>
  <c r="AF417" i="1"/>
  <c r="AD417" i="1"/>
  <c r="AA417" i="1"/>
  <c r="Y417" i="1"/>
  <c r="V417" i="1"/>
  <c r="T417" i="1"/>
  <c r="Q417" i="1"/>
  <c r="O417" i="1"/>
  <c r="L417" i="1"/>
  <c r="J417" i="1"/>
  <c r="G417" i="1"/>
  <c r="E417" i="1"/>
  <c r="B417" i="1"/>
  <c r="AN416" i="1"/>
  <c r="AK416" i="1"/>
  <c r="AI416" i="1"/>
  <c r="AF416" i="1"/>
  <c r="AD416" i="1"/>
  <c r="AA416" i="1"/>
  <c r="Y416" i="1"/>
  <c r="V416" i="1"/>
  <c r="T416" i="1"/>
  <c r="Q416" i="1"/>
  <c r="O416" i="1"/>
  <c r="L416" i="1"/>
  <c r="J416" i="1"/>
  <c r="G416" i="1"/>
  <c r="E416" i="1"/>
  <c r="B416" i="1"/>
  <c r="AN415" i="1"/>
  <c r="AK415" i="1"/>
  <c r="AI415" i="1"/>
  <c r="AF415" i="1"/>
  <c r="AD415" i="1"/>
  <c r="AA415" i="1"/>
  <c r="Y415" i="1"/>
  <c r="V415" i="1"/>
  <c r="T415" i="1"/>
  <c r="Q415" i="1"/>
  <c r="O415" i="1"/>
  <c r="L415" i="1"/>
  <c r="J415" i="1"/>
  <c r="G415" i="1"/>
  <c r="E415" i="1"/>
  <c r="B415" i="1"/>
  <c r="AN414" i="1"/>
  <c r="AK414" i="1"/>
  <c r="AI414" i="1"/>
  <c r="AF414" i="1"/>
  <c r="AD414" i="1"/>
  <c r="AA414" i="1"/>
  <c r="Y414" i="1"/>
  <c r="V414" i="1"/>
  <c r="T414" i="1"/>
  <c r="Q414" i="1"/>
  <c r="O414" i="1"/>
  <c r="L414" i="1"/>
  <c r="J414" i="1"/>
  <c r="G414" i="1"/>
  <c r="E414" i="1"/>
  <c r="B414" i="1"/>
  <c r="AN413" i="1"/>
  <c r="AK413" i="1"/>
  <c r="AI413" i="1"/>
  <c r="AF413" i="1"/>
  <c r="AD413" i="1"/>
  <c r="AA413" i="1"/>
  <c r="Y413" i="1"/>
  <c r="V413" i="1"/>
  <c r="T413" i="1"/>
  <c r="Q413" i="1"/>
  <c r="O413" i="1"/>
  <c r="L413" i="1"/>
  <c r="J413" i="1"/>
  <c r="G413" i="1"/>
  <c r="E413" i="1"/>
  <c r="B413" i="1"/>
  <c r="AN412" i="1"/>
  <c r="AK412" i="1"/>
  <c r="AI412" i="1"/>
  <c r="AF412" i="1"/>
  <c r="AD412" i="1"/>
  <c r="AA412" i="1"/>
  <c r="Y412" i="1"/>
  <c r="V412" i="1"/>
  <c r="T412" i="1"/>
  <c r="Q412" i="1"/>
  <c r="O412" i="1"/>
  <c r="L412" i="1"/>
  <c r="J412" i="1"/>
  <c r="G412" i="1"/>
  <c r="E412" i="1"/>
  <c r="B412" i="1"/>
  <c r="AN411" i="1"/>
  <c r="AK411" i="1"/>
  <c r="AI411" i="1"/>
  <c r="AF411" i="1"/>
  <c r="AD411" i="1"/>
  <c r="AA411" i="1"/>
  <c r="Y411" i="1"/>
  <c r="V411" i="1"/>
  <c r="T411" i="1"/>
  <c r="Q411" i="1"/>
  <c r="O411" i="1"/>
  <c r="L411" i="1"/>
  <c r="J411" i="1"/>
  <c r="G411" i="1"/>
  <c r="E411" i="1"/>
  <c r="B411" i="1"/>
  <c r="AN410" i="1"/>
  <c r="AK410" i="1"/>
  <c r="AI410" i="1"/>
  <c r="AF410" i="1"/>
  <c r="AD410" i="1"/>
  <c r="AA410" i="1"/>
  <c r="Y410" i="1"/>
  <c r="V410" i="1"/>
  <c r="T410" i="1"/>
  <c r="Q410" i="1"/>
  <c r="O410" i="1"/>
  <c r="L410" i="1"/>
  <c r="J410" i="1"/>
  <c r="G410" i="1"/>
  <c r="E410" i="1"/>
  <c r="B410" i="1"/>
  <c r="AN409" i="1"/>
  <c r="AK409" i="1"/>
  <c r="AI409" i="1"/>
  <c r="AF409" i="1"/>
  <c r="AD409" i="1"/>
  <c r="AA409" i="1"/>
  <c r="Y409" i="1"/>
  <c r="V409" i="1"/>
  <c r="T409" i="1"/>
  <c r="Q409" i="1"/>
  <c r="O409" i="1"/>
  <c r="L409" i="1"/>
  <c r="J409" i="1"/>
  <c r="G409" i="1"/>
  <c r="E409" i="1"/>
  <c r="B409" i="1"/>
  <c r="AN408" i="1"/>
  <c r="AK408" i="1"/>
  <c r="AI408" i="1"/>
  <c r="AF408" i="1"/>
  <c r="AD408" i="1"/>
  <c r="AA408" i="1"/>
  <c r="Y408" i="1"/>
  <c r="V408" i="1"/>
  <c r="T408" i="1"/>
  <c r="Q408" i="1"/>
  <c r="O408" i="1"/>
  <c r="L408" i="1"/>
  <c r="J408" i="1"/>
  <c r="G408" i="1"/>
  <c r="E408" i="1"/>
  <c r="B408" i="1"/>
  <c r="AN407" i="1"/>
  <c r="AK407" i="1"/>
  <c r="AI407" i="1"/>
  <c r="AF407" i="1"/>
  <c r="AD407" i="1"/>
  <c r="AA407" i="1"/>
  <c r="Y407" i="1"/>
  <c r="V407" i="1"/>
  <c r="T407" i="1"/>
  <c r="Q407" i="1"/>
  <c r="O407" i="1"/>
  <c r="L407" i="1"/>
  <c r="J407" i="1"/>
  <c r="G407" i="1"/>
  <c r="E407" i="1"/>
  <c r="B407" i="1"/>
  <c r="AN397" i="1"/>
  <c r="AK397" i="1"/>
  <c r="AI397" i="1"/>
  <c r="AF397" i="1"/>
  <c r="AD397" i="1"/>
  <c r="AA397" i="1"/>
  <c r="Y397" i="1"/>
  <c r="V397" i="1"/>
  <c r="T397" i="1"/>
  <c r="Q397" i="1"/>
  <c r="O397" i="1"/>
  <c r="L397" i="1"/>
  <c r="J397" i="1"/>
  <c r="G397" i="1"/>
  <c r="E397" i="1"/>
  <c r="B397" i="1"/>
  <c r="AN396" i="1"/>
  <c r="AK396" i="1"/>
  <c r="AI396" i="1"/>
  <c r="AF396" i="1"/>
  <c r="AD396" i="1"/>
  <c r="AA396" i="1"/>
  <c r="Y396" i="1"/>
  <c r="V396" i="1"/>
  <c r="T396" i="1"/>
  <c r="Q396" i="1"/>
  <c r="O396" i="1"/>
  <c r="L396" i="1"/>
  <c r="J396" i="1"/>
  <c r="G396" i="1"/>
  <c r="E396" i="1"/>
  <c r="B396" i="1"/>
  <c r="AN395" i="1"/>
  <c r="AK395" i="1"/>
  <c r="AI395" i="1"/>
  <c r="AF395" i="1"/>
  <c r="AD395" i="1"/>
  <c r="AA395" i="1"/>
  <c r="Y395" i="1"/>
  <c r="V395" i="1"/>
  <c r="T395" i="1"/>
  <c r="Q395" i="1"/>
  <c r="O395" i="1"/>
  <c r="L395" i="1"/>
  <c r="J395" i="1"/>
  <c r="G395" i="1"/>
  <c r="E395" i="1"/>
  <c r="B395" i="1"/>
  <c r="AN394" i="1"/>
  <c r="AK394" i="1"/>
  <c r="AI394" i="1"/>
  <c r="AF394" i="1"/>
  <c r="AD394" i="1"/>
  <c r="AA394" i="1"/>
  <c r="Y394" i="1"/>
  <c r="V394" i="1"/>
  <c r="T394" i="1"/>
  <c r="Q394" i="1"/>
  <c r="O394" i="1"/>
  <c r="L394" i="1"/>
  <c r="J394" i="1"/>
  <c r="G394" i="1"/>
  <c r="E394" i="1"/>
  <c r="B394" i="1"/>
  <c r="AN393" i="1"/>
  <c r="AK393" i="1"/>
  <c r="AI393" i="1"/>
  <c r="AF393" i="1"/>
  <c r="AD393" i="1"/>
  <c r="AA393" i="1"/>
  <c r="Y393" i="1"/>
  <c r="V393" i="1"/>
  <c r="T393" i="1"/>
  <c r="Q393" i="1"/>
  <c r="O393" i="1"/>
  <c r="L393" i="1"/>
  <c r="J393" i="1"/>
  <c r="G393" i="1"/>
  <c r="E393" i="1"/>
  <c r="B393" i="1"/>
  <c r="AN392" i="1"/>
  <c r="AK392" i="1"/>
  <c r="AI392" i="1"/>
  <c r="AF392" i="1"/>
  <c r="AD392" i="1"/>
  <c r="AA392" i="1"/>
  <c r="Y392" i="1"/>
  <c r="V392" i="1"/>
  <c r="T392" i="1"/>
  <c r="Q392" i="1"/>
  <c r="O392" i="1"/>
  <c r="L392" i="1"/>
  <c r="J392" i="1"/>
  <c r="G392" i="1"/>
  <c r="E392" i="1"/>
  <c r="B392" i="1"/>
  <c r="AN391" i="1"/>
  <c r="AK391" i="1"/>
  <c r="AI391" i="1"/>
  <c r="AF391" i="1"/>
  <c r="AD391" i="1"/>
  <c r="AA391" i="1"/>
  <c r="Y391" i="1"/>
  <c r="V391" i="1"/>
  <c r="T391" i="1"/>
  <c r="Q391" i="1"/>
  <c r="O391" i="1"/>
  <c r="L391" i="1"/>
  <c r="J391" i="1"/>
  <c r="G391" i="1"/>
  <c r="E391" i="1"/>
  <c r="B391" i="1"/>
  <c r="AN390" i="1"/>
  <c r="AK390" i="1"/>
  <c r="AI390" i="1"/>
  <c r="AF390" i="1"/>
  <c r="AD390" i="1"/>
  <c r="AA390" i="1"/>
  <c r="Y390" i="1"/>
  <c r="V390" i="1"/>
  <c r="T390" i="1"/>
  <c r="Q390" i="1"/>
  <c r="O390" i="1"/>
  <c r="L390" i="1"/>
  <c r="J390" i="1"/>
  <c r="G390" i="1"/>
  <c r="E390" i="1"/>
  <c r="B390" i="1"/>
  <c r="AN389" i="1"/>
  <c r="AK389" i="1"/>
  <c r="AI389" i="1"/>
  <c r="AF389" i="1"/>
  <c r="AD389" i="1"/>
  <c r="AA389" i="1"/>
  <c r="Y389" i="1"/>
  <c r="V389" i="1"/>
  <c r="T389" i="1"/>
  <c r="Q389" i="1"/>
  <c r="O389" i="1"/>
  <c r="L389" i="1"/>
  <c r="J389" i="1"/>
  <c r="G389" i="1"/>
  <c r="E389" i="1"/>
  <c r="B389" i="1"/>
  <c r="AN388" i="1"/>
  <c r="AK388" i="1"/>
  <c r="AI388" i="1"/>
  <c r="AF388" i="1"/>
  <c r="AD388" i="1"/>
  <c r="AA388" i="1"/>
  <c r="Y388" i="1"/>
  <c r="V388" i="1"/>
  <c r="T388" i="1"/>
  <c r="Q388" i="1"/>
  <c r="O388" i="1"/>
  <c r="L388" i="1"/>
  <c r="J388" i="1"/>
  <c r="G388" i="1"/>
  <c r="E388" i="1"/>
  <c r="B388" i="1"/>
  <c r="AN387" i="1"/>
  <c r="AK387" i="1"/>
  <c r="AI387" i="1"/>
  <c r="AF387" i="1"/>
  <c r="AD387" i="1"/>
  <c r="AA387" i="1"/>
  <c r="Y387" i="1"/>
  <c r="V387" i="1"/>
  <c r="T387" i="1"/>
  <c r="Q387" i="1"/>
  <c r="O387" i="1"/>
  <c r="L387" i="1"/>
  <c r="J387" i="1"/>
  <c r="G387" i="1"/>
  <c r="E387" i="1"/>
  <c r="B387" i="1"/>
  <c r="AN386" i="1"/>
  <c r="AK386" i="1"/>
  <c r="AI386" i="1"/>
  <c r="AF386" i="1"/>
  <c r="AD386" i="1"/>
  <c r="AA386" i="1"/>
  <c r="Y386" i="1"/>
  <c r="V386" i="1"/>
  <c r="T386" i="1"/>
  <c r="Q386" i="1"/>
  <c r="O386" i="1"/>
  <c r="L386" i="1"/>
  <c r="J386" i="1"/>
  <c r="G386" i="1"/>
  <c r="E386" i="1"/>
  <c r="B386" i="1"/>
  <c r="AN385" i="1"/>
  <c r="AK385" i="1"/>
  <c r="AI385" i="1"/>
  <c r="AF385" i="1"/>
  <c r="AD385" i="1"/>
  <c r="AA385" i="1"/>
  <c r="Y385" i="1"/>
  <c r="V385" i="1"/>
  <c r="T385" i="1"/>
  <c r="Q385" i="1"/>
  <c r="O385" i="1"/>
  <c r="L385" i="1"/>
  <c r="J385" i="1"/>
  <c r="G385" i="1"/>
  <c r="E385" i="1"/>
  <c r="B385" i="1"/>
  <c r="AN384" i="1"/>
  <c r="AK384" i="1"/>
  <c r="AI384" i="1"/>
  <c r="AF384" i="1"/>
  <c r="AD384" i="1"/>
  <c r="AA384" i="1"/>
  <c r="Y384" i="1"/>
  <c r="V384" i="1"/>
  <c r="T384" i="1"/>
  <c r="Q384" i="1"/>
  <c r="O384" i="1"/>
  <c r="L384" i="1"/>
  <c r="J384" i="1"/>
  <c r="G384" i="1"/>
  <c r="E384" i="1"/>
  <c r="B384" i="1"/>
  <c r="AN383" i="1"/>
  <c r="AK383" i="1"/>
  <c r="AI383" i="1"/>
  <c r="AF383" i="1"/>
  <c r="AD383" i="1"/>
  <c r="AA383" i="1"/>
  <c r="Y383" i="1"/>
  <c r="V383" i="1"/>
  <c r="T383" i="1"/>
  <c r="Q383" i="1"/>
  <c r="O383" i="1"/>
  <c r="L383" i="1"/>
  <c r="J383" i="1"/>
  <c r="G383" i="1"/>
  <c r="E383" i="1"/>
  <c r="B383" i="1"/>
  <c r="AN382" i="1"/>
  <c r="AK382" i="1"/>
  <c r="AI382" i="1"/>
  <c r="AF382" i="1"/>
  <c r="AD382" i="1"/>
  <c r="AA382" i="1"/>
  <c r="Y382" i="1"/>
  <c r="V382" i="1"/>
  <c r="T382" i="1"/>
  <c r="Q382" i="1"/>
  <c r="O382" i="1"/>
  <c r="L382" i="1"/>
  <c r="J382" i="1"/>
  <c r="G382" i="1"/>
  <c r="E382" i="1"/>
  <c r="B382" i="1"/>
  <c r="AN381" i="1"/>
  <c r="AK381" i="1"/>
  <c r="AI381" i="1"/>
  <c r="AF381" i="1"/>
  <c r="AD381" i="1"/>
  <c r="AA381" i="1"/>
  <c r="Y381" i="1"/>
  <c r="V381" i="1"/>
  <c r="T381" i="1"/>
  <c r="Q381" i="1"/>
  <c r="O381" i="1"/>
  <c r="L381" i="1"/>
  <c r="J381" i="1"/>
  <c r="G381" i="1"/>
  <c r="E381" i="1"/>
  <c r="B381" i="1"/>
  <c r="AN380" i="1"/>
  <c r="AK380" i="1"/>
  <c r="AI380" i="1"/>
  <c r="AF380" i="1"/>
  <c r="AD380" i="1"/>
  <c r="AA380" i="1"/>
  <c r="Y380" i="1"/>
  <c r="V380" i="1"/>
  <c r="T380" i="1"/>
  <c r="Q380" i="1"/>
  <c r="O380" i="1"/>
  <c r="L380" i="1"/>
  <c r="J380" i="1"/>
  <c r="G380" i="1"/>
  <c r="E380" i="1"/>
  <c r="B380" i="1"/>
  <c r="AN379" i="1"/>
  <c r="AK379" i="1"/>
  <c r="AI379" i="1"/>
  <c r="AF379" i="1"/>
  <c r="AD379" i="1"/>
  <c r="AA379" i="1"/>
  <c r="Y379" i="1"/>
  <c r="V379" i="1"/>
  <c r="T379" i="1"/>
  <c r="Q379" i="1"/>
  <c r="O379" i="1"/>
  <c r="L379" i="1"/>
  <c r="J379" i="1"/>
  <c r="G379" i="1"/>
  <c r="E379" i="1"/>
  <c r="B379" i="1"/>
  <c r="AN378" i="1"/>
  <c r="AK378" i="1"/>
  <c r="AI378" i="1"/>
  <c r="AF378" i="1"/>
  <c r="AD378" i="1"/>
  <c r="AA378" i="1"/>
  <c r="Y378" i="1"/>
  <c r="V378" i="1"/>
  <c r="T378" i="1"/>
  <c r="Q378" i="1"/>
  <c r="O378" i="1"/>
  <c r="L378" i="1"/>
  <c r="J378" i="1"/>
  <c r="G378" i="1"/>
  <c r="E378" i="1"/>
  <c r="B378" i="1"/>
  <c r="AN377" i="1"/>
  <c r="AK377" i="1"/>
  <c r="AI377" i="1"/>
  <c r="AF377" i="1"/>
  <c r="AD377" i="1"/>
  <c r="AA377" i="1"/>
  <c r="Y377" i="1"/>
  <c r="V377" i="1"/>
  <c r="T377" i="1"/>
  <c r="Q377" i="1"/>
  <c r="O377" i="1"/>
  <c r="L377" i="1"/>
  <c r="J377" i="1"/>
  <c r="G377" i="1"/>
  <c r="E377" i="1"/>
  <c r="B377" i="1"/>
  <c r="AN370" i="1"/>
  <c r="AK370" i="1"/>
  <c r="AI370" i="1"/>
  <c r="AF370" i="1"/>
  <c r="AD370" i="1"/>
  <c r="AA370" i="1"/>
  <c r="Y370" i="1"/>
  <c r="V370" i="1"/>
  <c r="T370" i="1"/>
  <c r="Q370" i="1"/>
  <c r="O370" i="1"/>
  <c r="L370" i="1"/>
  <c r="J370" i="1"/>
  <c r="G370" i="1"/>
  <c r="E370" i="1"/>
  <c r="B370" i="1"/>
  <c r="AN369" i="1"/>
  <c r="AK369" i="1"/>
  <c r="AI369" i="1"/>
  <c r="AF369" i="1"/>
  <c r="AD369" i="1"/>
  <c r="AA369" i="1"/>
  <c r="Y369" i="1"/>
  <c r="V369" i="1"/>
  <c r="T369" i="1"/>
  <c r="Q369" i="1"/>
  <c r="O369" i="1"/>
  <c r="L369" i="1"/>
  <c r="J369" i="1"/>
  <c r="G369" i="1"/>
  <c r="E369" i="1"/>
  <c r="B369" i="1"/>
  <c r="AN368" i="1"/>
  <c r="AK368" i="1"/>
  <c r="AI368" i="1"/>
  <c r="AF368" i="1"/>
  <c r="AD368" i="1"/>
  <c r="AA368" i="1"/>
  <c r="Y368" i="1"/>
  <c r="V368" i="1"/>
  <c r="T368" i="1"/>
  <c r="Q368" i="1"/>
  <c r="O368" i="1"/>
  <c r="L368" i="1"/>
  <c r="J368" i="1"/>
  <c r="G368" i="1"/>
  <c r="E368" i="1"/>
  <c r="B368" i="1"/>
  <c r="AN367" i="1"/>
  <c r="AK367" i="1"/>
  <c r="AI367" i="1"/>
  <c r="AF367" i="1"/>
  <c r="AD367" i="1"/>
  <c r="AA367" i="1"/>
  <c r="Y367" i="1"/>
  <c r="V367" i="1"/>
  <c r="T367" i="1"/>
  <c r="Q367" i="1"/>
  <c r="O367" i="1"/>
  <c r="L367" i="1"/>
  <c r="J367" i="1"/>
  <c r="G367" i="1"/>
  <c r="E367" i="1"/>
  <c r="B367" i="1"/>
  <c r="AN366" i="1"/>
  <c r="AK366" i="1"/>
  <c r="AI366" i="1"/>
  <c r="AF366" i="1"/>
  <c r="AD366" i="1"/>
  <c r="AA366" i="1"/>
  <c r="Y366" i="1"/>
  <c r="V366" i="1"/>
  <c r="T366" i="1"/>
  <c r="Q366" i="1"/>
  <c r="O366" i="1"/>
  <c r="L366" i="1"/>
  <c r="J366" i="1"/>
  <c r="G366" i="1"/>
  <c r="E366" i="1"/>
  <c r="B366" i="1"/>
  <c r="AN365" i="1"/>
  <c r="AK365" i="1"/>
  <c r="AI365" i="1"/>
  <c r="AF365" i="1"/>
  <c r="AD365" i="1"/>
  <c r="AA365" i="1"/>
  <c r="Y365" i="1"/>
  <c r="V365" i="1"/>
  <c r="T365" i="1"/>
  <c r="Q365" i="1"/>
  <c r="O365" i="1"/>
  <c r="L365" i="1"/>
  <c r="J365" i="1"/>
  <c r="G365" i="1"/>
  <c r="E365" i="1"/>
  <c r="B365" i="1"/>
  <c r="AN364" i="1"/>
  <c r="AK364" i="1"/>
  <c r="AI364" i="1"/>
  <c r="AF364" i="1"/>
  <c r="AD364" i="1"/>
  <c r="AA364" i="1"/>
  <c r="Y364" i="1"/>
  <c r="V364" i="1"/>
  <c r="T364" i="1"/>
  <c r="Q364" i="1"/>
  <c r="O364" i="1"/>
  <c r="L364" i="1"/>
  <c r="J364" i="1"/>
  <c r="G364" i="1"/>
  <c r="E364" i="1"/>
  <c r="B364" i="1"/>
  <c r="AN363" i="1"/>
  <c r="AK363" i="1"/>
  <c r="AI363" i="1"/>
  <c r="AF363" i="1"/>
  <c r="AD363" i="1"/>
  <c r="AA363" i="1"/>
  <c r="Y363" i="1"/>
  <c r="V363" i="1"/>
  <c r="T363" i="1"/>
  <c r="Q363" i="1"/>
  <c r="O363" i="1"/>
  <c r="L363" i="1"/>
  <c r="J363" i="1"/>
  <c r="G363" i="1"/>
  <c r="E363" i="1"/>
  <c r="B363" i="1"/>
  <c r="AN362" i="1"/>
  <c r="AK362" i="1"/>
  <c r="AI362" i="1"/>
  <c r="AF362" i="1"/>
  <c r="AD362" i="1"/>
  <c r="AA362" i="1"/>
  <c r="Y362" i="1"/>
  <c r="V362" i="1"/>
  <c r="T362" i="1"/>
  <c r="Q362" i="1"/>
  <c r="O362" i="1"/>
  <c r="L362" i="1"/>
  <c r="J362" i="1"/>
  <c r="G362" i="1"/>
  <c r="E362" i="1"/>
  <c r="B362" i="1"/>
  <c r="AN361" i="1"/>
  <c r="AK361" i="1"/>
  <c r="AI361" i="1"/>
  <c r="AF361" i="1"/>
  <c r="AD361" i="1"/>
  <c r="AA361" i="1"/>
  <c r="Y361" i="1"/>
  <c r="V361" i="1"/>
  <c r="T361" i="1"/>
  <c r="Q361" i="1"/>
  <c r="O361" i="1"/>
  <c r="L361" i="1"/>
  <c r="J361" i="1"/>
  <c r="G361" i="1"/>
  <c r="E361" i="1"/>
  <c r="B361" i="1"/>
  <c r="AN360" i="1"/>
  <c r="AK360" i="1"/>
  <c r="AI360" i="1"/>
  <c r="AF360" i="1"/>
  <c r="AD360" i="1"/>
  <c r="AA360" i="1"/>
  <c r="Y360" i="1"/>
  <c r="V360" i="1"/>
  <c r="T360" i="1"/>
  <c r="Q360" i="1"/>
  <c r="O360" i="1"/>
  <c r="L360" i="1"/>
  <c r="J360" i="1"/>
  <c r="G360" i="1"/>
  <c r="E360" i="1"/>
  <c r="B360" i="1"/>
  <c r="AN359" i="1"/>
  <c r="AK359" i="1"/>
  <c r="AI359" i="1"/>
  <c r="AF359" i="1"/>
  <c r="AD359" i="1"/>
  <c r="AA359" i="1"/>
  <c r="Y359" i="1"/>
  <c r="V359" i="1"/>
  <c r="T359" i="1"/>
  <c r="Q359" i="1"/>
  <c r="O359" i="1"/>
  <c r="L359" i="1"/>
  <c r="J359" i="1"/>
  <c r="G359" i="1"/>
  <c r="E359" i="1"/>
  <c r="B359" i="1"/>
  <c r="AN358" i="1"/>
  <c r="AK358" i="1"/>
  <c r="AI358" i="1"/>
  <c r="AF358" i="1"/>
  <c r="AD358" i="1"/>
  <c r="AA358" i="1"/>
  <c r="Y358" i="1"/>
  <c r="V358" i="1"/>
  <c r="T358" i="1"/>
  <c r="Q358" i="1"/>
  <c r="O358" i="1"/>
  <c r="L358" i="1"/>
  <c r="J358" i="1"/>
  <c r="G358" i="1"/>
  <c r="E358" i="1"/>
  <c r="B358" i="1"/>
  <c r="AN357" i="1"/>
  <c r="AK357" i="1"/>
  <c r="AI357" i="1"/>
  <c r="AF357" i="1"/>
  <c r="AD357" i="1"/>
  <c r="AA357" i="1"/>
  <c r="Y357" i="1"/>
  <c r="V357" i="1"/>
  <c r="T357" i="1"/>
  <c r="Q357" i="1"/>
  <c r="O357" i="1"/>
  <c r="L357" i="1"/>
  <c r="J357" i="1"/>
  <c r="G357" i="1"/>
  <c r="E357" i="1"/>
  <c r="B357" i="1"/>
  <c r="AN356" i="1"/>
  <c r="AK356" i="1"/>
  <c r="AI356" i="1"/>
  <c r="AF356" i="1"/>
  <c r="AD356" i="1"/>
  <c r="AA356" i="1"/>
  <c r="Y356" i="1"/>
  <c r="V356" i="1"/>
  <c r="T356" i="1"/>
  <c r="Q356" i="1"/>
  <c r="O356" i="1"/>
  <c r="L356" i="1"/>
  <c r="J356" i="1"/>
  <c r="G356" i="1"/>
  <c r="E356" i="1"/>
  <c r="B356" i="1"/>
  <c r="AN355" i="1"/>
  <c r="AK355" i="1"/>
  <c r="AI355" i="1"/>
  <c r="AF355" i="1"/>
  <c r="AD355" i="1"/>
  <c r="AA355" i="1"/>
  <c r="Y355" i="1"/>
  <c r="V355" i="1"/>
  <c r="T355" i="1"/>
  <c r="Q355" i="1"/>
  <c r="O355" i="1"/>
  <c r="L355" i="1"/>
  <c r="J355" i="1"/>
  <c r="G355" i="1"/>
  <c r="E355" i="1"/>
  <c r="B355" i="1"/>
  <c r="AN354" i="1"/>
  <c r="AK354" i="1"/>
  <c r="AI354" i="1"/>
  <c r="AF354" i="1"/>
  <c r="AD354" i="1"/>
  <c r="AA354" i="1"/>
  <c r="Y354" i="1"/>
  <c r="V354" i="1"/>
  <c r="T354" i="1"/>
  <c r="Q354" i="1"/>
  <c r="O354" i="1"/>
  <c r="L354" i="1"/>
  <c r="J354" i="1"/>
  <c r="G354" i="1"/>
  <c r="E354" i="1"/>
  <c r="B354" i="1"/>
  <c r="AN353" i="1"/>
  <c r="AK353" i="1"/>
  <c r="AI353" i="1"/>
  <c r="AF353" i="1"/>
  <c r="AD353" i="1"/>
  <c r="AA353" i="1"/>
  <c r="Y353" i="1"/>
  <c r="V353" i="1"/>
  <c r="T353" i="1"/>
  <c r="Q353" i="1"/>
  <c r="O353" i="1"/>
  <c r="L353" i="1"/>
  <c r="J353" i="1"/>
  <c r="G353" i="1"/>
  <c r="E353" i="1"/>
  <c r="B353" i="1"/>
  <c r="AN352" i="1"/>
  <c r="AK352" i="1"/>
  <c r="AI352" i="1"/>
  <c r="AF352" i="1"/>
  <c r="AD352" i="1"/>
  <c r="AA352" i="1"/>
  <c r="Y352" i="1"/>
  <c r="V352" i="1"/>
  <c r="T352" i="1"/>
  <c r="Q352" i="1"/>
  <c r="O352" i="1"/>
  <c r="L352" i="1"/>
  <c r="J352" i="1"/>
  <c r="G352" i="1"/>
  <c r="E352" i="1"/>
  <c r="B352" i="1"/>
  <c r="AN351" i="1"/>
  <c r="AK351" i="1"/>
  <c r="AI351" i="1"/>
  <c r="AF351" i="1"/>
  <c r="AD351" i="1"/>
  <c r="AA351" i="1"/>
  <c r="Y351" i="1"/>
  <c r="V351" i="1"/>
  <c r="T351" i="1"/>
  <c r="Q351" i="1"/>
  <c r="O351" i="1"/>
  <c r="L351" i="1"/>
  <c r="J351" i="1"/>
  <c r="G351" i="1"/>
  <c r="E351" i="1"/>
  <c r="B351" i="1"/>
  <c r="AN350" i="1"/>
  <c r="AK350" i="1"/>
  <c r="AI350" i="1"/>
  <c r="AF350" i="1"/>
  <c r="AD350" i="1"/>
  <c r="AA350" i="1"/>
  <c r="Y350" i="1"/>
  <c r="V350" i="1"/>
  <c r="T350" i="1"/>
  <c r="Q350" i="1"/>
  <c r="O350" i="1"/>
  <c r="L350" i="1"/>
  <c r="J350" i="1"/>
  <c r="G350" i="1"/>
  <c r="E350" i="1"/>
  <c r="B350" i="1"/>
  <c r="AN340" i="1"/>
  <c r="AK340" i="1"/>
  <c r="AI340" i="1"/>
  <c r="AF340" i="1"/>
  <c r="AD340" i="1"/>
  <c r="AA340" i="1"/>
  <c r="Y340" i="1"/>
  <c r="V340" i="1"/>
  <c r="T340" i="1"/>
  <c r="Q340" i="1"/>
  <c r="O340" i="1"/>
  <c r="L340" i="1"/>
  <c r="J340" i="1"/>
  <c r="G340" i="1"/>
  <c r="E340" i="1"/>
  <c r="B340" i="1"/>
  <c r="AN339" i="1"/>
  <c r="AK339" i="1"/>
  <c r="AI339" i="1"/>
  <c r="AF339" i="1"/>
  <c r="AD339" i="1"/>
  <c r="AA339" i="1"/>
  <c r="Y339" i="1"/>
  <c r="V339" i="1"/>
  <c r="T339" i="1"/>
  <c r="Q339" i="1"/>
  <c r="O339" i="1"/>
  <c r="L339" i="1"/>
  <c r="J339" i="1"/>
  <c r="G339" i="1"/>
  <c r="E339" i="1"/>
  <c r="B339" i="1"/>
  <c r="AN338" i="1"/>
  <c r="AK338" i="1"/>
  <c r="AI338" i="1"/>
  <c r="AF338" i="1"/>
  <c r="AD338" i="1"/>
  <c r="AA338" i="1"/>
  <c r="Y338" i="1"/>
  <c r="V338" i="1"/>
  <c r="T338" i="1"/>
  <c r="Q338" i="1"/>
  <c r="O338" i="1"/>
  <c r="L338" i="1"/>
  <c r="J338" i="1"/>
  <c r="G338" i="1"/>
  <c r="E338" i="1"/>
  <c r="B338" i="1"/>
  <c r="AN337" i="1"/>
  <c r="AK337" i="1"/>
  <c r="AI337" i="1"/>
  <c r="AF337" i="1"/>
  <c r="AD337" i="1"/>
  <c r="AA337" i="1"/>
  <c r="Y337" i="1"/>
  <c r="V337" i="1"/>
  <c r="T337" i="1"/>
  <c r="Q337" i="1"/>
  <c r="O337" i="1"/>
  <c r="L337" i="1"/>
  <c r="J337" i="1"/>
  <c r="G337" i="1"/>
  <c r="E337" i="1"/>
  <c r="B337" i="1"/>
  <c r="AN336" i="1"/>
  <c r="AK336" i="1"/>
  <c r="AI336" i="1"/>
  <c r="AF336" i="1"/>
  <c r="AD336" i="1"/>
  <c r="AA336" i="1"/>
  <c r="Y336" i="1"/>
  <c r="V336" i="1"/>
  <c r="T336" i="1"/>
  <c r="Q336" i="1"/>
  <c r="O336" i="1"/>
  <c r="L336" i="1"/>
  <c r="J336" i="1"/>
  <c r="G336" i="1"/>
  <c r="E336" i="1"/>
  <c r="B336" i="1"/>
  <c r="AN335" i="1"/>
  <c r="AK335" i="1"/>
  <c r="AI335" i="1"/>
  <c r="AF335" i="1"/>
  <c r="AD335" i="1"/>
  <c r="AA335" i="1"/>
  <c r="Y335" i="1"/>
  <c r="V335" i="1"/>
  <c r="T335" i="1"/>
  <c r="Q335" i="1"/>
  <c r="O335" i="1"/>
  <c r="L335" i="1"/>
  <c r="J335" i="1"/>
  <c r="G335" i="1"/>
  <c r="E335" i="1"/>
  <c r="B335" i="1"/>
  <c r="AN334" i="1"/>
  <c r="AK334" i="1"/>
  <c r="AI334" i="1"/>
  <c r="AF334" i="1"/>
  <c r="AD334" i="1"/>
  <c r="AA334" i="1"/>
  <c r="Y334" i="1"/>
  <c r="V334" i="1"/>
  <c r="T334" i="1"/>
  <c r="Q334" i="1"/>
  <c r="O334" i="1"/>
  <c r="L334" i="1"/>
  <c r="J334" i="1"/>
  <c r="G334" i="1"/>
  <c r="E334" i="1"/>
  <c r="B334" i="1"/>
  <c r="AN333" i="1"/>
  <c r="AK333" i="1"/>
  <c r="AI333" i="1"/>
  <c r="AF333" i="1"/>
  <c r="AD333" i="1"/>
  <c r="AA333" i="1"/>
  <c r="Y333" i="1"/>
  <c r="V333" i="1"/>
  <c r="T333" i="1"/>
  <c r="Q333" i="1"/>
  <c r="O333" i="1"/>
  <c r="L333" i="1"/>
  <c r="J333" i="1"/>
  <c r="G333" i="1"/>
  <c r="E333" i="1"/>
  <c r="B333" i="1"/>
  <c r="AN332" i="1"/>
  <c r="AK332" i="1"/>
  <c r="AI332" i="1"/>
  <c r="AF332" i="1"/>
  <c r="AD332" i="1"/>
  <c r="AA332" i="1"/>
  <c r="Y332" i="1"/>
  <c r="V332" i="1"/>
  <c r="T332" i="1"/>
  <c r="Q332" i="1"/>
  <c r="O332" i="1"/>
  <c r="L332" i="1"/>
  <c r="J332" i="1"/>
  <c r="G332" i="1"/>
  <c r="E332" i="1"/>
  <c r="B332" i="1"/>
  <c r="AN331" i="1"/>
  <c r="AK331" i="1"/>
  <c r="AI331" i="1"/>
  <c r="AF331" i="1"/>
  <c r="AD331" i="1"/>
  <c r="AA331" i="1"/>
  <c r="Y331" i="1"/>
  <c r="V331" i="1"/>
  <c r="T331" i="1"/>
  <c r="Q331" i="1"/>
  <c r="O331" i="1"/>
  <c r="L331" i="1"/>
  <c r="J331" i="1"/>
  <c r="G331" i="1"/>
  <c r="E331" i="1"/>
  <c r="B331" i="1"/>
  <c r="AN330" i="1"/>
  <c r="AK330" i="1"/>
  <c r="AI330" i="1"/>
  <c r="AF330" i="1"/>
  <c r="AD330" i="1"/>
  <c r="AA330" i="1"/>
  <c r="Y330" i="1"/>
  <c r="V330" i="1"/>
  <c r="T330" i="1"/>
  <c r="Q330" i="1"/>
  <c r="O330" i="1"/>
  <c r="L330" i="1"/>
  <c r="J330" i="1"/>
  <c r="G330" i="1"/>
  <c r="E330" i="1"/>
  <c r="B330" i="1"/>
  <c r="AN329" i="1"/>
  <c r="AK329" i="1"/>
  <c r="AI329" i="1"/>
  <c r="AF329" i="1"/>
  <c r="AD329" i="1"/>
  <c r="AA329" i="1"/>
  <c r="Y329" i="1"/>
  <c r="V329" i="1"/>
  <c r="T329" i="1"/>
  <c r="Q329" i="1"/>
  <c r="O329" i="1"/>
  <c r="L329" i="1"/>
  <c r="J329" i="1"/>
  <c r="G329" i="1"/>
  <c r="E329" i="1"/>
  <c r="B329" i="1"/>
  <c r="AN328" i="1"/>
  <c r="AK328" i="1"/>
  <c r="AI328" i="1"/>
  <c r="AF328" i="1"/>
  <c r="AD328" i="1"/>
  <c r="AA328" i="1"/>
  <c r="Y328" i="1"/>
  <c r="V328" i="1"/>
  <c r="T328" i="1"/>
  <c r="Q328" i="1"/>
  <c r="O328" i="1"/>
  <c r="L328" i="1"/>
  <c r="J328" i="1"/>
  <c r="G328" i="1"/>
  <c r="E328" i="1"/>
  <c r="B328" i="1"/>
  <c r="AN327" i="1"/>
  <c r="AK327" i="1"/>
  <c r="AI327" i="1"/>
  <c r="AF327" i="1"/>
  <c r="AD327" i="1"/>
  <c r="AA327" i="1"/>
  <c r="Y327" i="1"/>
  <c r="V327" i="1"/>
  <c r="T327" i="1"/>
  <c r="Q327" i="1"/>
  <c r="O327" i="1"/>
  <c r="L327" i="1"/>
  <c r="J327" i="1"/>
  <c r="G327" i="1"/>
  <c r="E327" i="1"/>
  <c r="B327" i="1"/>
  <c r="AN326" i="1"/>
  <c r="AK326" i="1"/>
  <c r="AI326" i="1"/>
  <c r="AF326" i="1"/>
  <c r="AD326" i="1"/>
  <c r="AA326" i="1"/>
  <c r="Y326" i="1"/>
  <c r="V326" i="1"/>
  <c r="T326" i="1"/>
  <c r="Q326" i="1"/>
  <c r="O326" i="1"/>
  <c r="L326" i="1"/>
  <c r="J326" i="1"/>
  <c r="G326" i="1"/>
  <c r="E326" i="1"/>
  <c r="B326" i="1"/>
  <c r="AN325" i="1"/>
  <c r="AK325" i="1"/>
  <c r="AI325" i="1"/>
  <c r="AF325" i="1"/>
  <c r="AD325" i="1"/>
  <c r="AA325" i="1"/>
  <c r="Y325" i="1"/>
  <c r="V325" i="1"/>
  <c r="T325" i="1"/>
  <c r="Q325" i="1"/>
  <c r="O325" i="1"/>
  <c r="L325" i="1"/>
  <c r="J325" i="1"/>
  <c r="G325" i="1"/>
  <c r="E325" i="1"/>
  <c r="B325" i="1"/>
  <c r="AN324" i="1"/>
  <c r="AK324" i="1"/>
  <c r="AI324" i="1"/>
  <c r="AF324" i="1"/>
  <c r="AD324" i="1"/>
  <c r="AA324" i="1"/>
  <c r="Y324" i="1"/>
  <c r="V324" i="1"/>
  <c r="T324" i="1"/>
  <c r="Q324" i="1"/>
  <c r="O324" i="1"/>
  <c r="L324" i="1"/>
  <c r="J324" i="1"/>
  <c r="G324" i="1"/>
  <c r="E324" i="1"/>
  <c r="B324" i="1"/>
  <c r="AN323" i="1"/>
  <c r="AK323" i="1"/>
  <c r="AI323" i="1"/>
  <c r="AF323" i="1"/>
  <c r="AD323" i="1"/>
  <c r="AA323" i="1"/>
  <c r="Y323" i="1"/>
  <c r="V323" i="1"/>
  <c r="T323" i="1"/>
  <c r="Q323" i="1"/>
  <c r="O323" i="1"/>
  <c r="L323" i="1"/>
  <c r="J323" i="1"/>
  <c r="G323" i="1"/>
  <c r="E323" i="1"/>
  <c r="B323" i="1"/>
  <c r="AN322" i="1"/>
  <c r="AK322" i="1"/>
  <c r="AI322" i="1"/>
  <c r="AF322" i="1"/>
  <c r="AD322" i="1"/>
  <c r="AA322" i="1"/>
  <c r="Y322" i="1"/>
  <c r="V322" i="1"/>
  <c r="T322" i="1"/>
  <c r="Q322" i="1"/>
  <c r="O322" i="1"/>
  <c r="L322" i="1"/>
  <c r="J322" i="1"/>
  <c r="G322" i="1"/>
  <c r="E322" i="1"/>
  <c r="B322" i="1"/>
  <c r="AN321" i="1"/>
  <c r="AK321" i="1"/>
  <c r="AI321" i="1"/>
  <c r="AF321" i="1"/>
  <c r="AD321" i="1"/>
  <c r="AA321" i="1"/>
  <c r="Y321" i="1"/>
  <c r="V321" i="1"/>
  <c r="T321" i="1"/>
  <c r="Q321" i="1"/>
  <c r="O321" i="1"/>
  <c r="L321" i="1"/>
  <c r="J321" i="1"/>
  <c r="G321" i="1"/>
  <c r="E321" i="1"/>
  <c r="B321" i="1"/>
  <c r="AN320" i="1"/>
  <c r="AK320" i="1"/>
  <c r="AI320" i="1"/>
  <c r="AF320" i="1"/>
  <c r="AD320" i="1"/>
  <c r="AA320" i="1"/>
  <c r="Y320" i="1"/>
  <c r="V320" i="1"/>
  <c r="T320" i="1"/>
  <c r="Q320" i="1"/>
  <c r="O320" i="1"/>
  <c r="L320" i="1"/>
  <c r="J320" i="1"/>
  <c r="G320" i="1"/>
  <c r="E320" i="1"/>
  <c r="B320" i="1"/>
  <c r="AN313" i="1"/>
  <c r="AK313" i="1"/>
  <c r="AI313" i="1"/>
  <c r="AF313" i="1"/>
  <c r="AD313" i="1"/>
  <c r="AA313" i="1"/>
  <c r="Y313" i="1"/>
  <c r="V313" i="1"/>
  <c r="T313" i="1"/>
  <c r="Q313" i="1"/>
  <c r="O313" i="1"/>
  <c r="L313" i="1"/>
  <c r="J313" i="1"/>
  <c r="G313" i="1"/>
  <c r="E313" i="1"/>
  <c r="B313" i="1"/>
  <c r="AN312" i="1"/>
  <c r="AK312" i="1"/>
  <c r="AI312" i="1"/>
  <c r="AF312" i="1"/>
  <c r="AD312" i="1"/>
  <c r="AA312" i="1"/>
  <c r="Y312" i="1"/>
  <c r="V312" i="1"/>
  <c r="T312" i="1"/>
  <c r="Q312" i="1"/>
  <c r="O312" i="1"/>
  <c r="L312" i="1"/>
  <c r="J312" i="1"/>
  <c r="G312" i="1"/>
  <c r="E312" i="1"/>
  <c r="B312" i="1"/>
  <c r="AN311" i="1"/>
  <c r="AK311" i="1"/>
  <c r="AI311" i="1"/>
  <c r="AF311" i="1"/>
  <c r="AD311" i="1"/>
  <c r="AA311" i="1"/>
  <c r="Y311" i="1"/>
  <c r="V311" i="1"/>
  <c r="T311" i="1"/>
  <c r="Q311" i="1"/>
  <c r="O311" i="1"/>
  <c r="L311" i="1"/>
  <c r="J311" i="1"/>
  <c r="G311" i="1"/>
  <c r="E311" i="1"/>
  <c r="B311" i="1"/>
  <c r="AN310" i="1"/>
  <c r="AK310" i="1"/>
  <c r="AI310" i="1"/>
  <c r="AF310" i="1"/>
  <c r="AD310" i="1"/>
  <c r="AA310" i="1"/>
  <c r="Y310" i="1"/>
  <c r="V310" i="1"/>
  <c r="T310" i="1"/>
  <c r="Q310" i="1"/>
  <c r="O310" i="1"/>
  <c r="L310" i="1"/>
  <c r="J310" i="1"/>
  <c r="G310" i="1"/>
  <c r="E310" i="1"/>
  <c r="B310" i="1"/>
  <c r="AN309" i="1"/>
  <c r="AK309" i="1"/>
  <c r="AI309" i="1"/>
  <c r="AF309" i="1"/>
  <c r="AD309" i="1"/>
  <c r="AA309" i="1"/>
  <c r="Y309" i="1"/>
  <c r="V309" i="1"/>
  <c r="T309" i="1"/>
  <c r="Q309" i="1"/>
  <c r="O309" i="1"/>
  <c r="L309" i="1"/>
  <c r="J309" i="1"/>
  <c r="G309" i="1"/>
  <c r="E309" i="1"/>
  <c r="B309" i="1"/>
  <c r="AN308" i="1"/>
  <c r="AK308" i="1"/>
  <c r="AI308" i="1"/>
  <c r="AF308" i="1"/>
  <c r="AD308" i="1"/>
  <c r="AA308" i="1"/>
  <c r="Y308" i="1"/>
  <c r="V308" i="1"/>
  <c r="T308" i="1"/>
  <c r="Q308" i="1"/>
  <c r="O308" i="1"/>
  <c r="L308" i="1"/>
  <c r="J308" i="1"/>
  <c r="G308" i="1"/>
  <c r="E308" i="1"/>
  <c r="B308" i="1"/>
  <c r="AN307" i="1"/>
  <c r="AK307" i="1"/>
  <c r="AI307" i="1"/>
  <c r="AF307" i="1"/>
  <c r="AD307" i="1"/>
  <c r="AA307" i="1"/>
  <c r="Y307" i="1"/>
  <c r="V307" i="1"/>
  <c r="T307" i="1"/>
  <c r="Q307" i="1"/>
  <c r="O307" i="1"/>
  <c r="L307" i="1"/>
  <c r="J307" i="1"/>
  <c r="G307" i="1"/>
  <c r="E307" i="1"/>
  <c r="B307" i="1"/>
  <c r="AN306" i="1"/>
  <c r="AK306" i="1"/>
  <c r="AI306" i="1"/>
  <c r="AF306" i="1"/>
  <c r="AD306" i="1"/>
  <c r="AA306" i="1"/>
  <c r="Y306" i="1"/>
  <c r="V306" i="1"/>
  <c r="T306" i="1"/>
  <c r="Q306" i="1"/>
  <c r="O306" i="1"/>
  <c r="L306" i="1"/>
  <c r="J306" i="1"/>
  <c r="G306" i="1"/>
  <c r="E306" i="1"/>
  <c r="B306" i="1"/>
  <c r="AN305" i="1"/>
  <c r="AK305" i="1"/>
  <c r="AI305" i="1"/>
  <c r="AF305" i="1"/>
  <c r="AD305" i="1"/>
  <c r="AA305" i="1"/>
  <c r="Y305" i="1"/>
  <c r="V305" i="1"/>
  <c r="T305" i="1"/>
  <c r="Q305" i="1"/>
  <c r="O305" i="1"/>
  <c r="L305" i="1"/>
  <c r="J305" i="1"/>
  <c r="G305" i="1"/>
  <c r="E305" i="1"/>
  <c r="B305" i="1"/>
  <c r="AN304" i="1"/>
  <c r="AK304" i="1"/>
  <c r="AI304" i="1"/>
  <c r="AF304" i="1"/>
  <c r="AD304" i="1"/>
  <c r="AA304" i="1"/>
  <c r="Y304" i="1"/>
  <c r="V304" i="1"/>
  <c r="T304" i="1"/>
  <c r="Q304" i="1"/>
  <c r="O304" i="1"/>
  <c r="L304" i="1"/>
  <c r="J304" i="1"/>
  <c r="G304" i="1"/>
  <c r="E304" i="1"/>
  <c r="B304" i="1"/>
  <c r="AN303" i="1"/>
  <c r="AK303" i="1"/>
  <c r="AI303" i="1"/>
  <c r="AF303" i="1"/>
  <c r="AD303" i="1"/>
  <c r="AA303" i="1"/>
  <c r="Y303" i="1"/>
  <c r="V303" i="1"/>
  <c r="T303" i="1"/>
  <c r="Q303" i="1"/>
  <c r="O303" i="1"/>
  <c r="L303" i="1"/>
  <c r="J303" i="1"/>
  <c r="G303" i="1"/>
  <c r="E303" i="1"/>
  <c r="B303" i="1"/>
  <c r="AN302" i="1"/>
  <c r="AK302" i="1"/>
  <c r="AI302" i="1"/>
  <c r="AF302" i="1"/>
  <c r="AD302" i="1"/>
  <c r="AA302" i="1"/>
  <c r="Y302" i="1"/>
  <c r="V302" i="1"/>
  <c r="T302" i="1"/>
  <c r="Q302" i="1"/>
  <c r="O302" i="1"/>
  <c r="L302" i="1"/>
  <c r="J302" i="1"/>
  <c r="G302" i="1"/>
  <c r="E302" i="1"/>
  <c r="B302" i="1"/>
  <c r="AN301" i="1"/>
  <c r="AK301" i="1"/>
  <c r="AI301" i="1"/>
  <c r="AF301" i="1"/>
  <c r="AD301" i="1"/>
  <c r="AA301" i="1"/>
  <c r="Y301" i="1"/>
  <c r="V301" i="1"/>
  <c r="T301" i="1"/>
  <c r="Q301" i="1"/>
  <c r="O301" i="1"/>
  <c r="L301" i="1"/>
  <c r="J301" i="1"/>
  <c r="G301" i="1"/>
  <c r="E301" i="1"/>
  <c r="B301" i="1"/>
  <c r="AN300" i="1"/>
  <c r="AK300" i="1"/>
  <c r="AI300" i="1"/>
  <c r="AF300" i="1"/>
  <c r="AD300" i="1"/>
  <c r="AA300" i="1"/>
  <c r="Y300" i="1"/>
  <c r="V300" i="1"/>
  <c r="T300" i="1"/>
  <c r="Q300" i="1"/>
  <c r="O300" i="1"/>
  <c r="L300" i="1"/>
  <c r="J300" i="1"/>
  <c r="G300" i="1"/>
  <c r="E300" i="1"/>
  <c r="B300" i="1"/>
  <c r="AN299" i="1"/>
  <c r="AK299" i="1"/>
  <c r="AI299" i="1"/>
  <c r="AF299" i="1"/>
  <c r="AD299" i="1"/>
  <c r="AA299" i="1"/>
  <c r="Y299" i="1"/>
  <c r="V299" i="1"/>
  <c r="T299" i="1"/>
  <c r="Q299" i="1"/>
  <c r="O299" i="1"/>
  <c r="L299" i="1"/>
  <c r="J299" i="1"/>
  <c r="G299" i="1"/>
  <c r="E299" i="1"/>
  <c r="B299" i="1"/>
  <c r="AN298" i="1"/>
  <c r="AK298" i="1"/>
  <c r="AI298" i="1"/>
  <c r="AF298" i="1"/>
  <c r="AD298" i="1"/>
  <c r="AA298" i="1"/>
  <c r="Y298" i="1"/>
  <c r="V298" i="1"/>
  <c r="T298" i="1"/>
  <c r="Q298" i="1"/>
  <c r="O298" i="1"/>
  <c r="L298" i="1"/>
  <c r="J298" i="1"/>
  <c r="G298" i="1"/>
  <c r="E298" i="1"/>
  <c r="B298" i="1"/>
  <c r="AN297" i="1"/>
  <c r="AK297" i="1"/>
  <c r="AI297" i="1"/>
  <c r="AF297" i="1"/>
  <c r="AD297" i="1"/>
  <c r="AA297" i="1"/>
  <c r="Y297" i="1"/>
  <c r="V297" i="1"/>
  <c r="T297" i="1"/>
  <c r="Q297" i="1"/>
  <c r="O297" i="1"/>
  <c r="L297" i="1"/>
  <c r="J297" i="1"/>
  <c r="G297" i="1"/>
  <c r="E297" i="1"/>
  <c r="B297" i="1"/>
  <c r="AN296" i="1"/>
  <c r="AK296" i="1"/>
  <c r="AI296" i="1"/>
  <c r="AF296" i="1"/>
  <c r="AD296" i="1"/>
  <c r="AA296" i="1"/>
  <c r="Y296" i="1"/>
  <c r="V296" i="1"/>
  <c r="T296" i="1"/>
  <c r="Q296" i="1"/>
  <c r="O296" i="1"/>
  <c r="L296" i="1"/>
  <c r="J296" i="1"/>
  <c r="G296" i="1"/>
  <c r="E296" i="1"/>
  <c r="B296" i="1"/>
  <c r="AN295" i="1"/>
  <c r="AK295" i="1"/>
  <c r="AI295" i="1"/>
  <c r="AF295" i="1"/>
  <c r="AD295" i="1"/>
  <c r="AA295" i="1"/>
  <c r="Y295" i="1"/>
  <c r="V295" i="1"/>
  <c r="T295" i="1"/>
  <c r="Q295" i="1"/>
  <c r="O295" i="1"/>
  <c r="L295" i="1"/>
  <c r="J295" i="1"/>
  <c r="G295" i="1"/>
  <c r="E295" i="1"/>
  <c r="B295" i="1"/>
  <c r="AN294" i="1"/>
  <c r="AK294" i="1"/>
  <c r="AI294" i="1"/>
  <c r="AF294" i="1"/>
  <c r="AD294" i="1"/>
  <c r="AA294" i="1"/>
  <c r="Y294" i="1"/>
  <c r="V294" i="1"/>
  <c r="T294" i="1"/>
  <c r="Q294" i="1"/>
  <c r="O294" i="1"/>
  <c r="L294" i="1"/>
  <c r="J294" i="1"/>
  <c r="G294" i="1"/>
  <c r="E294" i="1"/>
  <c r="B294" i="1"/>
  <c r="AN293" i="1"/>
  <c r="AK293" i="1"/>
  <c r="AI293" i="1"/>
  <c r="AF293" i="1"/>
  <c r="AD293" i="1"/>
  <c r="AA293" i="1"/>
  <c r="Y293" i="1"/>
  <c r="V293" i="1"/>
  <c r="T293" i="1"/>
  <c r="Q293" i="1"/>
  <c r="O293" i="1"/>
  <c r="L293" i="1"/>
  <c r="J293" i="1"/>
  <c r="G293" i="1"/>
  <c r="E293" i="1"/>
  <c r="B293" i="1"/>
  <c r="AN283" i="1"/>
  <c r="AK283" i="1"/>
  <c r="AI283" i="1"/>
  <c r="AF283" i="1"/>
  <c r="AD283" i="1"/>
  <c r="AA283" i="1"/>
  <c r="Y283" i="1"/>
  <c r="V283" i="1"/>
  <c r="T283" i="1"/>
  <c r="Q283" i="1"/>
  <c r="O283" i="1"/>
  <c r="L283" i="1"/>
  <c r="J283" i="1"/>
  <c r="G283" i="1"/>
  <c r="E283" i="1"/>
  <c r="B283" i="1"/>
  <c r="AN282" i="1"/>
  <c r="AK282" i="1"/>
  <c r="AI282" i="1"/>
  <c r="AF282" i="1"/>
  <c r="AD282" i="1"/>
  <c r="AA282" i="1"/>
  <c r="Y282" i="1"/>
  <c r="V282" i="1"/>
  <c r="T282" i="1"/>
  <c r="Q282" i="1"/>
  <c r="O282" i="1"/>
  <c r="L282" i="1"/>
  <c r="J282" i="1"/>
  <c r="G282" i="1"/>
  <c r="E282" i="1"/>
  <c r="B282" i="1"/>
  <c r="AN281" i="1"/>
  <c r="AK281" i="1"/>
  <c r="AI281" i="1"/>
  <c r="AF281" i="1"/>
  <c r="AD281" i="1"/>
  <c r="AA281" i="1"/>
  <c r="Y281" i="1"/>
  <c r="V281" i="1"/>
  <c r="T281" i="1"/>
  <c r="Q281" i="1"/>
  <c r="O281" i="1"/>
  <c r="L281" i="1"/>
  <c r="J281" i="1"/>
  <c r="G281" i="1"/>
  <c r="E281" i="1"/>
  <c r="B281" i="1"/>
  <c r="AN280" i="1"/>
  <c r="AK280" i="1"/>
  <c r="AI280" i="1"/>
  <c r="AF280" i="1"/>
  <c r="AD280" i="1"/>
  <c r="AA280" i="1"/>
  <c r="Y280" i="1"/>
  <c r="V280" i="1"/>
  <c r="T280" i="1"/>
  <c r="Q280" i="1"/>
  <c r="O280" i="1"/>
  <c r="L280" i="1"/>
  <c r="J280" i="1"/>
  <c r="G280" i="1"/>
  <c r="E280" i="1"/>
  <c r="B280" i="1"/>
  <c r="AN279" i="1"/>
  <c r="AK279" i="1"/>
  <c r="AI279" i="1"/>
  <c r="AF279" i="1"/>
  <c r="AD279" i="1"/>
  <c r="AA279" i="1"/>
  <c r="Y279" i="1"/>
  <c r="V279" i="1"/>
  <c r="T279" i="1"/>
  <c r="Q279" i="1"/>
  <c r="O279" i="1"/>
  <c r="L279" i="1"/>
  <c r="J279" i="1"/>
  <c r="G279" i="1"/>
  <c r="E279" i="1"/>
  <c r="B279" i="1"/>
  <c r="AN278" i="1"/>
  <c r="AK278" i="1"/>
  <c r="AI278" i="1"/>
  <c r="AF278" i="1"/>
  <c r="AD278" i="1"/>
  <c r="AA278" i="1"/>
  <c r="Y278" i="1"/>
  <c r="V278" i="1"/>
  <c r="T278" i="1"/>
  <c r="Q278" i="1"/>
  <c r="O278" i="1"/>
  <c r="L278" i="1"/>
  <c r="J278" i="1"/>
  <c r="G278" i="1"/>
  <c r="E278" i="1"/>
  <c r="B278" i="1"/>
  <c r="AN277" i="1"/>
  <c r="AK277" i="1"/>
  <c r="AI277" i="1"/>
  <c r="AF277" i="1"/>
  <c r="AD277" i="1"/>
  <c r="AA277" i="1"/>
  <c r="Y277" i="1"/>
  <c r="V277" i="1"/>
  <c r="T277" i="1"/>
  <c r="Q277" i="1"/>
  <c r="O277" i="1"/>
  <c r="L277" i="1"/>
  <c r="J277" i="1"/>
  <c r="G277" i="1"/>
  <c r="E277" i="1"/>
  <c r="B277" i="1"/>
  <c r="AN276" i="1"/>
  <c r="AK276" i="1"/>
  <c r="AI276" i="1"/>
  <c r="AF276" i="1"/>
  <c r="AD276" i="1"/>
  <c r="AA276" i="1"/>
  <c r="Y276" i="1"/>
  <c r="V276" i="1"/>
  <c r="T276" i="1"/>
  <c r="Q276" i="1"/>
  <c r="O276" i="1"/>
  <c r="L276" i="1"/>
  <c r="J276" i="1"/>
  <c r="G276" i="1"/>
  <c r="E276" i="1"/>
  <c r="B276" i="1"/>
  <c r="AN275" i="1"/>
  <c r="AK275" i="1"/>
  <c r="AI275" i="1"/>
  <c r="AF275" i="1"/>
  <c r="AD275" i="1"/>
  <c r="AA275" i="1"/>
  <c r="Y275" i="1"/>
  <c r="V275" i="1"/>
  <c r="T275" i="1"/>
  <c r="Q275" i="1"/>
  <c r="O275" i="1"/>
  <c r="L275" i="1"/>
  <c r="J275" i="1"/>
  <c r="G275" i="1"/>
  <c r="E275" i="1"/>
  <c r="B275" i="1"/>
  <c r="AN274" i="1"/>
  <c r="AK274" i="1"/>
  <c r="AI274" i="1"/>
  <c r="AF274" i="1"/>
  <c r="AD274" i="1"/>
  <c r="AA274" i="1"/>
  <c r="Y274" i="1"/>
  <c r="V274" i="1"/>
  <c r="T274" i="1"/>
  <c r="Q274" i="1"/>
  <c r="O274" i="1"/>
  <c r="L274" i="1"/>
  <c r="J274" i="1"/>
  <c r="G274" i="1"/>
  <c r="E274" i="1"/>
  <c r="B274" i="1"/>
  <c r="AN273" i="1"/>
  <c r="AK273" i="1"/>
  <c r="AI273" i="1"/>
  <c r="AF273" i="1"/>
  <c r="AD273" i="1"/>
  <c r="AA273" i="1"/>
  <c r="Y273" i="1"/>
  <c r="V273" i="1"/>
  <c r="T273" i="1"/>
  <c r="Q273" i="1"/>
  <c r="O273" i="1"/>
  <c r="L273" i="1"/>
  <c r="J273" i="1"/>
  <c r="G273" i="1"/>
  <c r="E273" i="1"/>
  <c r="B273" i="1"/>
  <c r="AN272" i="1"/>
  <c r="AK272" i="1"/>
  <c r="AI272" i="1"/>
  <c r="AF272" i="1"/>
  <c r="AD272" i="1"/>
  <c r="AA272" i="1"/>
  <c r="Y272" i="1"/>
  <c r="V272" i="1"/>
  <c r="T272" i="1"/>
  <c r="Q272" i="1"/>
  <c r="O272" i="1"/>
  <c r="L272" i="1"/>
  <c r="J272" i="1"/>
  <c r="G272" i="1"/>
  <c r="E272" i="1"/>
  <c r="B272" i="1"/>
  <c r="AN271" i="1"/>
  <c r="AK271" i="1"/>
  <c r="AI271" i="1"/>
  <c r="AF271" i="1"/>
  <c r="AD271" i="1"/>
  <c r="AA271" i="1"/>
  <c r="Y271" i="1"/>
  <c r="V271" i="1"/>
  <c r="T271" i="1"/>
  <c r="Q271" i="1"/>
  <c r="O271" i="1"/>
  <c r="L271" i="1"/>
  <c r="J271" i="1"/>
  <c r="G271" i="1"/>
  <c r="E271" i="1"/>
  <c r="B271" i="1"/>
  <c r="AN270" i="1"/>
  <c r="AK270" i="1"/>
  <c r="AI270" i="1"/>
  <c r="AF270" i="1"/>
  <c r="AD270" i="1"/>
  <c r="AA270" i="1"/>
  <c r="Y270" i="1"/>
  <c r="V270" i="1"/>
  <c r="T270" i="1"/>
  <c r="Q270" i="1"/>
  <c r="O270" i="1"/>
  <c r="L270" i="1"/>
  <c r="J270" i="1"/>
  <c r="G270" i="1"/>
  <c r="E270" i="1"/>
  <c r="B270" i="1"/>
  <c r="AN269" i="1"/>
  <c r="AK269" i="1"/>
  <c r="AI269" i="1"/>
  <c r="AF269" i="1"/>
  <c r="AD269" i="1"/>
  <c r="AA269" i="1"/>
  <c r="Y269" i="1"/>
  <c r="V269" i="1"/>
  <c r="T269" i="1"/>
  <c r="Q269" i="1"/>
  <c r="O269" i="1"/>
  <c r="L269" i="1"/>
  <c r="J269" i="1"/>
  <c r="G269" i="1"/>
  <c r="E269" i="1"/>
  <c r="B269" i="1"/>
  <c r="AN268" i="1"/>
  <c r="AK268" i="1"/>
  <c r="AI268" i="1"/>
  <c r="AF268" i="1"/>
  <c r="AD268" i="1"/>
  <c r="AA268" i="1"/>
  <c r="Y268" i="1"/>
  <c r="V268" i="1"/>
  <c r="T268" i="1"/>
  <c r="Q268" i="1"/>
  <c r="O268" i="1"/>
  <c r="L268" i="1"/>
  <c r="J268" i="1"/>
  <c r="G268" i="1"/>
  <c r="E268" i="1"/>
  <c r="B268" i="1"/>
  <c r="AN267" i="1"/>
  <c r="AK267" i="1"/>
  <c r="AI267" i="1"/>
  <c r="AF267" i="1"/>
  <c r="AD267" i="1"/>
  <c r="AA267" i="1"/>
  <c r="Y267" i="1"/>
  <c r="V267" i="1"/>
  <c r="T267" i="1"/>
  <c r="Q267" i="1"/>
  <c r="O267" i="1"/>
  <c r="L267" i="1"/>
  <c r="J267" i="1"/>
  <c r="G267" i="1"/>
  <c r="E267" i="1"/>
  <c r="B267" i="1"/>
  <c r="AN266" i="1"/>
  <c r="AK266" i="1"/>
  <c r="AI266" i="1"/>
  <c r="AF266" i="1"/>
  <c r="AD266" i="1"/>
  <c r="AA266" i="1"/>
  <c r="Y266" i="1"/>
  <c r="V266" i="1"/>
  <c r="T266" i="1"/>
  <c r="Q266" i="1"/>
  <c r="O266" i="1"/>
  <c r="L266" i="1"/>
  <c r="J266" i="1"/>
  <c r="G266" i="1"/>
  <c r="E266" i="1"/>
  <c r="B266" i="1"/>
  <c r="AN265" i="1"/>
  <c r="AK265" i="1"/>
  <c r="AI265" i="1"/>
  <c r="AF265" i="1"/>
  <c r="AD265" i="1"/>
  <c r="AA265" i="1"/>
  <c r="Y265" i="1"/>
  <c r="V265" i="1"/>
  <c r="T265" i="1"/>
  <c r="Q265" i="1"/>
  <c r="O265" i="1"/>
  <c r="L265" i="1"/>
  <c r="J265" i="1"/>
  <c r="G265" i="1"/>
  <c r="E265" i="1"/>
  <c r="B265" i="1"/>
  <c r="AN264" i="1"/>
  <c r="AK264" i="1"/>
  <c r="AI264" i="1"/>
  <c r="AF264" i="1"/>
  <c r="AD264" i="1"/>
  <c r="AA264" i="1"/>
  <c r="Y264" i="1"/>
  <c r="V264" i="1"/>
  <c r="T264" i="1"/>
  <c r="Q264" i="1"/>
  <c r="O264" i="1"/>
  <c r="L264" i="1"/>
  <c r="J264" i="1"/>
  <c r="G264" i="1"/>
  <c r="E264" i="1"/>
  <c r="B264" i="1"/>
  <c r="AN263" i="1"/>
  <c r="AK263" i="1"/>
  <c r="AI263" i="1"/>
  <c r="AF263" i="1"/>
  <c r="AD263" i="1"/>
  <c r="AA263" i="1"/>
  <c r="Y263" i="1"/>
  <c r="V263" i="1"/>
  <c r="T263" i="1"/>
  <c r="Q263" i="1"/>
  <c r="O263" i="1"/>
  <c r="L263" i="1"/>
  <c r="J263" i="1"/>
  <c r="G263" i="1"/>
  <c r="E263" i="1"/>
  <c r="B263" i="1"/>
  <c r="AN256" i="1"/>
  <c r="AK256" i="1"/>
  <c r="AI256" i="1"/>
  <c r="AF256" i="1"/>
  <c r="AD256" i="1"/>
  <c r="AA256" i="1"/>
  <c r="Y256" i="1"/>
  <c r="V256" i="1"/>
  <c r="T256" i="1"/>
  <c r="Q256" i="1"/>
  <c r="O256" i="1"/>
  <c r="L256" i="1"/>
  <c r="J256" i="1"/>
  <c r="G256" i="1"/>
  <c r="E256" i="1"/>
  <c r="B256" i="1"/>
  <c r="AN255" i="1"/>
  <c r="AK255" i="1"/>
  <c r="AI255" i="1"/>
  <c r="AF255" i="1"/>
  <c r="AD255" i="1"/>
  <c r="AA255" i="1"/>
  <c r="Y255" i="1"/>
  <c r="V255" i="1"/>
  <c r="T255" i="1"/>
  <c r="Q255" i="1"/>
  <c r="O255" i="1"/>
  <c r="L255" i="1"/>
  <c r="J255" i="1"/>
  <c r="G255" i="1"/>
  <c r="E255" i="1"/>
  <c r="B255" i="1"/>
  <c r="AN254" i="1"/>
  <c r="AK254" i="1"/>
  <c r="AI254" i="1"/>
  <c r="AF254" i="1"/>
  <c r="AD254" i="1"/>
  <c r="AA254" i="1"/>
  <c r="Y254" i="1"/>
  <c r="V254" i="1"/>
  <c r="T254" i="1"/>
  <c r="Q254" i="1"/>
  <c r="O254" i="1"/>
  <c r="L254" i="1"/>
  <c r="J254" i="1"/>
  <c r="G254" i="1"/>
  <c r="E254" i="1"/>
  <c r="B254" i="1"/>
  <c r="AN253" i="1"/>
  <c r="AK253" i="1"/>
  <c r="AI253" i="1"/>
  <c r="AF253" i="1"/>
  <c r="AD253" i="1"/>
  <c r="AA253" i="1"/>
  <c r="Y253" i="1"/>
  <c r="V253" i="1"/>
  <c r="T253" i="1"/>
  <c r="Q253" i="1"/>
  <c r="O253" i="1"/>
  <c r="L253" i="1"/>
  <c r="J253" i="1"/>
  <c r="G253" i="1"/>
  <c r="E253" i="1"/>
  <c r="B253" i="1"/>
  <c r="AN252" i="1"/>
  <c r="AK252" i="1"/>
  <c r="AI252" i="1"/>
  <c r="AF252" i="1"/>
  <c r="AD252" i="1"/>
  <c r="AA252" i="1"/>
  <c r="Y252" i="1"/>
  <c r="V252" i="1"/>
  <c r="T252" i="1"/>
  <c r="Q252" i="1"/>
  <c r="O252" i="1"/>
  <c r="L252" i="1"/>
  <c r="J252" i="1"/>
  <c r="G252" i="1"/>
  <c r="E252" i="1"/>
  <c r="B252" i="1"/>
  <c r="AN251" i="1"/>
  <c r="AK251" i="1"/>
  <c r="AI251" i="1"/>
  <c r="AF251" i="1"/>
  <c r="AD251" i="1"/>
  <c r="AA251" i="1"/>
  <c r="Y251" i="1"/>
  <c r="V251" i="1"/>
  <c r="T251" i="1"/>
  <c r="Q251" i="1"/>
  <c r="O251" i="1"/>
  <c r="L251" i="1"/>
  <c r="J251" i="1"/>
  <c r="G251" i="1"/>
  <c r="E251" i="1"/>
  <c r="B251" i="1"/>
  <c r="AN250" i="1"/>
  <c r="AK250" i="1"/>
  <c r="AI250" i="1"/>
  <c r="AF250" i="1"/>
  <c r="AD250" i="1"/>
  <c r="AA250" i="1"/>
  <c r="Y250" i="1"/>
  <c r="V250" i="1"/>
  <c r="T250" i="1"/>
  <c r="Q250" i="1"/>
  <c r="O250" i="1"/>
  <c r="L250" i="1"/>
  <c r="J250" i="1"/>
  <c r="G250" i="1"/>
  <c r="E250" i="1"/>
  <c r="B250" i="1"/>
  <c r="AN249" i="1"/>
  <c r="AK249" i="1"/>
  <c r="AI249" i="1"/>
  <c r="AF249" i="1"/>
  <c r="AD249" i="1"/>
  <c r="AA249" i="1"/>
  <c r="Y249" i="1"/>
  <c r="V249" i="1"/>
  <c r="T249" i="1"/>
  <c r="Q249" i="1"/>
  <c r="O249" i="1"/>
  <c r="L249" i="1"/>
  <c r="J249" i="1"/>
  <c r="G249" i="1"/>
  <c r="E249" i="1"/>
  <c r="B249" i="1"/>
  <c r="AN248" i="1"/>
  <c r="AK248" i="1"/>
  <c r="AI248" i="1"/>
  <c r="AF248" i="1"/>
  <c r="AD248" i="1"/>
  <c r="AA248" i="1"/>
  <c r="Y248" i="1"/>
  <c r="V248" i="1"/>
  <c r="T248" i="1"/>
  <c r="Q248" i="1"/>
  <c r="O248" i="1"/>
  <c r="L248" i="1"/>
  <c r="J248" i="1"/>
  <c r="G248" i="1"/>
  <c r="E248" i="1"/>
  <c r="B248" i="1"/>
  <c r="AN247" i="1"/>
  <c r="AK247" i="1"/>
  <c r="AI247" i="1"/>
  <c r="AF247" i="1"/>
  <c r="AD247" i="1"/>
  <c r="AA247" i="1"/>
  <c r="Y247" i="1"/>
  <c r="V247" i="1"/>
  <c r="T247" i="1"/>
  <c r="Q247" i="1"/>
  <c r="O247" i="1"/>
  <c r="L247" i="1"/>
  <c r="J247" i="1"/>
  <c r="G247" i="1"/>
  <c r="E247" i="1"/>
  <c r="B247" i="1"/>
  <c r="AN246" i="1"/>
  <c r="AK246" i="1"/>
  <c r="AI246" i="1"/>
  <c r="AF246" i="1"/>
  <c r="AD246" i="1"/>
  <c r="AA246" i="1"/>
  <c r="Y246" i="1"/>
  <c r="V246" i="1"/>
  <c r="T246" i="1"/>
  <c r="Q246" i="1"/>
  <c r="O246" i="1"/>
  <c r="L246" i="1"/>
  <c r="J246" i="1"/>
  <c r="G246" i="1"/>
  <c r="E246" i="1"/>
  <c r="B246" i="1"/>
  <c r="AN245" i="1"/>
  <c r="AK245" i="1"/>
  <c r="AI245" i="1"/>
  <c r="AF245" i="1"/>
  <c r="AD245" i="1"/>
  <c r="AA245" i="1"/>
  <c r="Y245" i="1"/>
  <c r="V245" i="1"/>
  <c r="T245" i="1"/>
  <c r="Q245" i="1"/>
  <c r="O245" i="1"/>
  <c r="L245" i="1"/>
  <c r="J245" i="1"/>
  <c r="G245" i="1"/>
  <c r="E245" i="1"/>
  <c r="B245" i="1"/>
  <c r="AN244" i="1"/>
  <c r="AK244" i="1"/>
  <c r="AI244" i="1"/>
  <c r="AF244" i="1"/>
  <c r="AD244" i="1"/>
  <c r="AA244" i="1"/>
  <c r="Y244" i="1"/>
  <c r="V244" i="1"/>
  <c r="T244" i="1"/>
  <c r="Q244" i="1"/>
  <c r="O244" i="1"/>
  <c r="L244" i="1"/>
  <c r="J244" i="1"/>
  <c r="G244" i="1"/>
  <c r="E244" i="1"/>
  <c r="B244" i="1"/>
  <c r="AN243" i="1"/>
  <c r="AK243" i="1"/>
  <c r="AI243" i="1"/>
  <c r="AF243" i="1"/>
  <c r="AD243" i="1"/>
  <c r="AA243" i="1"/>
  <c r="Y243" i="1"/>
  <c r="V243" i="1"/>
  <c r="T243" i="1"/>
  <c r="Q243" i="1"/>
  <c r="O243" i="1"/>
  <c r="L243" i="1"/>
  <c r="J243" i="1"/>
  <c r="G243" i="1"/>
  <c r="E243" i="1"/>
  <c r="B243" i="1"/>
  <c r="AN242" i="1"/>
  <c r="AK242" i="1"/>
  <c r="AI242" i="1"/>
  <c r="AF242" i="1"/>
  <c r="AD242" i="1"/>
  <c r="AA242" i="1"/>
  <c r="Y242" i="1"/>
  <c r="V242" i="1"/>
  <c r="T242" i="1"/>
  <c r="Q242" i="1"/>
  <c r="O242" i="1"/>
  <c r="L242" i="1"/>
  <c r="J242" i="1"/>
  <c r="G242" i="1"/>
  <c r="E242" i="1"/>
  <c r="B242" i="1"/>
  <c r="AN241" i="1"/>
  <c r="AK241" i="1"/>
  <c r="AI241" i="1"/>
  <c r="AF241" i="1"/>
  <c r="AD241" i="1"/>
  <c r="AA241" i="1"/>
  <c r="Y241" i="1"/>
  <c r="V241" i="1"/>
  <c r="T241" i="1"/>
  <c r="Q241" i="1"/>
  <c r="O241" i="1"/>
  <c r="L241" i="1"/>
  <c r="J241" i="1"/>
  <c r="G241" i="1"/>
  <c r="E241" i="1"/>
  <c r="B241" i="1"/>
  <c r="AN240" i="1"/>
  <c r="AK240" i="1"/>
  <c r="AI240" i="1"/>
  <c r="AF240" i="1"/>
  <c r="AD240" i="1"/>
  <c r="AA240" i="1"/>
  <c r="Y240" i="1"/>
  <c r="V240" i="1"/>
  <c r="T240" i="1"/>
  <c r="Q240" i="1"/>
  <c r="O240" i="1"/>
  <c r="L240" i="1"/>
  <c r="J240" i="1"/>
  <c r="G240" i="1"/>
  <c r="E240" i="1"/>
  <c r="B240" i="1"/>
  <c r="AN239" i="1"/>
  <c r="AK239" i="1"/>
  <c r="AI239" i="1"/>
  <c r="AF239" i="1"/>
  <c r="AD239" i="1"/>
  <c r="AA239" i="1"/>
  <c r="Y239" i="1"/>
  <c r="V239" i="1"/>
  <c r="T239" i="1"/>
  <c r="Q239" i="1"/>
  <c r="O239" i="1"/>
  <c r="L239" i="1"/>
  <c r="J239" i="1"/>
  <c r="G239" i="1"/>
  <c r="E239" i="1"/>
  <c r="B239" i="1"/>
  <c r="AN238" i="1"/>
  <c r="AK238" i="1"/>
  <c r="AI238" i="1"/>
  <c r="AF238" i="1"/>
  <c r="AD238" i="1"/>
  <c r="AA238" i="1"/>
  <c r="Y238" i="1"/>
  <c r="V238" i="1"/>
  <c r="T238" i="1"/>
  <c r="Q238" i="1"/>
  <c r="O238" i="1"/>
  <c r="L238" i="1"/>
  <c r="J238" i="1"/>
  <c r="G238" i="1"/>
  <c r="E238" i="1"/>
  <c r="B238" i="1"/>
  <c r="AN237" i="1"/>
  <c r="AK237" i="1"/>
  <c r="AI237" i="1"/>
  <c r="AF237" i="1"/>
  <c r="AD237" i="1"/>
  <c r="AA237" i="1"/>
  <c r="Y237" i="1"/>
  <c r="V237" i="1"/>
  <c r="T237" i="1"/>
  <c r="Q237" i="1"/>
  <c r="O237" i="1"/>
  <c r="L237" i="1"/>
  <c r="J237" i="1"/>
  <c r="G237" i="1"/>
  <c r="E237" i="1"/>
  <c r="B237" i="1"/>
  <c r="AN236" i="1"/>
  <c r="AK236" i="1"/>
  <c r="AI236" i="1"/>
  <c r="AF236" i="1"/>
  <c r="AD236" i="1"/>
  <c r="AA236" i="1"/>
  <c r="Y236" i="1"/>
  <c r="V236" i="1"/>
  <c r="T236" i="1"/>
  <c r="Q236" i="1"/>
  <c r="O236" i="1"/>
  <c r="L236" i="1"/>
  <c r="J236" i="1"/>
  <c r="G236" i="1"/>
  <c r="E236" i="1"/>
  <c r="B236" i="1"/>
  <c r="AN226" i="1"/>
  <c r="AK226" i="1"/>
  <c r="AI226" i="1"/>
  <c r="AF226" i="1"/>
  <c r="AD226" i="1"/>
  <c r="AA226" i="1"/>
  <c r="Y226" i="1"/>
  <c r="V226" i="1"/>
  <c r="T226" i="1"/>
  <c r="Q226" i="1"/>
  <c r="O226" i="1"/>
  <c r="L226" i="1"/>
  <c r="J226" i="1"/>
  <c r="G226" i="1"/>
  <c r="E226" i="1"/>
  <c r="B226" i="1"/>
  <c r="AN225" i="1"/>
  <c r="AK225" i="1"/>
  <c r="AI225" i="1"/>
  <c r="AF225" i="1"/>
  <c r="AD225" i="1"/>
  <c r="AA225" i="1"/>
  <c r="Y225" i="1"/>
  <c r="V225" i="1"/>
  <c r="T225" i="1"/>
  <c r="Q225" i="1"/>
  <c r="O225" i="1"/>
  <c r="L225" i="1"/>
  <c r="J225" i="1"/>
  <c r="G225" i="1"/>
  <c r="E225" i="1"/>
  <c r="B225" i="1"/>
  <c r="AN224" i="1"/>
  <c r="AK224" i="1"/>
  <c r="AI224" i="1"/>
  <c r="AF224" i="1"/>
  <c r="AD224" i="1"/>
  <c r="AA224" i="1"/>
  <c r="Y224" i="1"/>
  <c r="V224" i="1"/>
  <c r="T224" i="1"/>
  <c r="Q224" i="1"/>
  <c r="O224" i="1"/>
  <c r="L224" i="1"/>
  <c r="J224" i="1"/>
  <c r="G224" i="1"/>
  <c r="E224" i="1"/>
  <c r="B224" i="1"/>
  <c r="AN223" i="1"/>
  <c r="AK223" i="1"/>
  <c r="AI223" i="1"/>
  <c r="AF223" i="1"/>
  <c r="AD223" i="1"/>
  <c r="AA223" i="1"/>
  <c r="Y223" i="1"/>
  <c r="V223" i="1"/>
  <c r="T223" i="1"/>
  <c r="Q223" i="1"/>
  <c r="O223" i="1"/>
  <c r="L223" i="1"/>
  <c r="J223" i="1"/>
  <c r="G223" i="1"/>
  <c r="E223" i="1"/>
  <c r="B223" i="1"/>
  <c r="AN222" i="1"/>
  <c r="AK222" i="1"/>
  <c r="AI222" i="1"/>
  <c r="AF222" i="1"/>
  <c r="AD222" i="1"/>
  <c r="AA222" i="1"/>
  <c r="Y222" i="1"/>
  <c r="V222" i="1"/>
  <c r="T222" i="1"/>
  <c r="Q222" i="1"/>
  <c r="O222" i="1"/>
  <c r="L222" i="1"/>
  <c r="J222" i="1"/>
  <c r="G222" i="1"/>
  <c r="E222" i="1"/>
  <c r="B222" i="1"/>
  <c r="AN221" i="1"/>
  <c r="AK221" i="1"/>
  <c r="AI221" i="1"/>
  <c r="AF221" i="1"/>
  <c r="AD221" i="1"/>
  <c r="AA221" i="1"/>
  <c r="Y221" i="1"/>
  <c r="V221" i="1"/>
  <c r="T221" i="1"/>
  <c r="Q221" i="1"/>
  <c r="O221" i="1"/>
  <c r="L221" i="1"/>
  <c r="J221" i="1"/>
  <c r="G221" i="1"/>
  <c r="E221" i="1"/>
  <c r="B221" i="1"/>
  <c r="AN220" i="1"/>
  <c r="AK220" i="1"/>
  <c r="AI220" i="1"/>
  <c r="AF220" i="1"/>
  <c r="AD220" i="1"/>
  <c r="AA220" i="1"/>
  <c r="Y220" i="1"/>
  <c r="V220" i="1"/>
  <c r="T220" i="1"/>
  <c r="Q220" i="1"/>
  <c r="O220" i="1"/>
  <c r="L220" i="1"/>
  <c r="J220" i="1"/>
  <c r="G220" i="1"/>
  <c r="E220" i="1"/>
  <c r="B220" i="1"/>
  <c r="AN219" i="1"/>
  <c r="AK219" i="1"/>
  <c r="AI219" i="1"/>
  <c r="AF219" i="1"/>
  <c r="AD219" i="1"/>
  <c r="AA219" i="1"/>
  <c r="Y219" i="1"/>
  <c r="V219" i="1"/>
  <c r="T219" i="1"/>
  <c r="Q219" i="1"/>
  <c r="O219" i="1"/>
  <c r="L219" i="1"/>
  <c r="J219" i="1"/>
  <c r="G219" i="1"/>
  <c r="E219" i="1"/>
  <c r="B219" i="1"/>
  <c r="AN218" i="1"/>
  <c r="AK218" i="1"/>
  <c r="AI218" i="1"/>
  <c r="AF218" i="1"/>
  <c r="AD218" i="1"/>
  <c r="AA218" i="1"/>
  <c r="Y218" i="1"/>
  <c r="V218" i="1"/>
  <c r="T218" i="1"/>
  <c r="Q218" i="1"/>
  <c r="O218" i="1"/>
  <c r="L218" i="1"/>
  <c r="J218" i="1"/>
  <c r="G218" i="1"/>
  <c r="E218" i="1"/>
  <c r="B218" i="1"/>
  <c r="AN217" i="1"/>
  <c r="AK217" i="1"/>
  <c r="AI217" i="1"/>
  <c r="AF217" i="1"/>
  <c r="AD217" i="1"/>
  <c r="AA217" i="1"/>
  <c r="Y217" i="1"/>
  <c r="V217" i="1"/>
  <c r="T217" i="1"/>
  <c r="Q217" i="1"/>
  <c r="O217" i="1"/>
  <c r="L217" i="1"/>
  <c r="J217" i="1"/>
  <c r="G217" i="1"/>
  <c r="E217" i="1"/>
  <c r="B217" i="1"/>
  <c r="AN216" i="1"/>
  <c r="AK216" i="1"/>
  <c r="AI216" i="1"/>
  <c r="AF216" i="1"/>
  <c r="AD216" i="1"/>
  <c r="AA216" i="1"/>
  <c r="Y216" i="1"/>
  <c r="V216" i="1"/>
  <c r="T216" i="1"/>
  <c r="Q216" i="1"/>
  <c r="O216" i="1"/>
  <c r="L216" i="1"/>
  <c r="J216" i="1"/>
  <c r="G216" i="1"/>
  <c r="E216" i="1"/>
  <c r="B216" i="1"/>
  <c r="AN215" i="1"/>
  <c r="AK215" i="1"/>
  <c r="AI215" i="1"/>
  <c r="AF215" i="1"/>
  <c r="AD215" i="1"/>
  <c r="AA215" i="1"/>
  <c r="Y215" i="1"/>
  <c r="V215" i="1"/>
  <c r="T215" i="1"/>
  <c r="Q215" i="1"/>
  <c r="O215" i="1"/>
  <c r="L215" i="1"/>
  <c r="J215" i="1"/>
  <c r="G215" i="1"/>
  <c r="E215" i="1"/>
  <c r="B215" i="1"/>
  <c r="AN214" i="1"/>
  <c r="AK214" i="1"/>
  <c r="AI214" i="1"/>
  <c r="AF214" i="1"/>
  <c r="AD214" i="1"/>
  <c r="AA214" i="1"/>
  <c r="Y214" i="1"/>
  <c r="V214" i="1"/>
  <c r="T214" i="1"/>
  <c r="Q214" i="1"/>
  <c r="O214" i="1"/>
  <c r="L214" i="1"/>
  <c r="J214" i="1"/>
  <c r="G214" i="1"/>
  <c r="E214" i="1"/>
  <c r="B214" i="1"/>
  <c r="AN213" i="1"/>
  <c r="AK213" i="1"/>
  <c r="AI213" i="1"/>
  <c r="AF213" i="1"/>
  <c r="AD213" i="1"/>
  <c r="AA213" i="1"/>
  <c r="Y213" i="1"/>
  <c r="V213" i="1"/>
  <c r="T213" i="1"/>
  <c r="Q213" i="1"/>
  <c r="O213" i="1"/>
  <c r="L213" i="1"/>
  <c r="J213" i="1"/>
  <c r="G213" i="1"/>
  <c r="E213" i="1"/>
  <c r="B213" i="1"/>
  <c r="AN212" i="1"/>
  <c r="AK212" i="1"/>
  <c r="AI212" i="1"/>
  <c r="AF212" i="1"/>
  <c r="AD212" i="1"/>
  <c r="AA212" i="1"/>
  <c r="Y212" i="1"/>
  <c r="V212" i="1"/>
  <c r="T212" i="1"/>
  <c r="Q212" i="1"/>
  <c r="O212" i="1"/>
  <c r="L212" i="1"/>
  <c r="J212" i="1"/>
  <c r="G212" i="1"/>
  <c r="E212" i="1"/>
  <c r="B212" i="1"/>
  <c r="AN211" i="1"/>
  <c r="AK211" i="1"/>
  <c r="AI211" i="1"/>
  <c r="AF211" i="1"/>
  <c r="AD211" i="1"/>
  <c r="AA211" i="1"/>
  <c r="Y211" i="1"/>
  <c r="V211" i="1"/>
  <c r="T211" i="1"/>
  <c r="Q211" i="1"/>
  <c r="O211" i="1"/>
  <c r="L211" i="1"/>
  <c r="J211" i="1"/>
  <c r="G211" i="1"/>
  <c r="E211" i="1"/>
  <c r="B211" i="1"/>
  <c r="AN210" i="1"/>
  <c r="AK210" i="1"/>
  <c r="AI210" i="1"/>
  <c r="AF210" i="1"/>
  <c r="AD210" i="1"/>
  <c r="AA210" i="1"/>
  <c r="Y210" i="1"/>
  <c r="V210" i="1"/>
  <c r="T210" i="1"/>
  <c r="Q210" i="1"/>
  <c r="O210" i="1"/>
  <c r="L210" i="1"/>
  <c r="J210" i="1"/>
  <c r="G210" i="1"/>
  <c r="E210" i="1"/>
  <c r="B210" i="1"/>
  <c r="AN209" i="1"/>
  <c r="AK209" i="1"/>
  <c r="AI209" i="1"/>
  <c r="AF209" i="1"/>
  <c r="AD209" i="1"/>
  <c r="AA209" i="1"/>
  <c r="Y209" i="1"/>
  <c r="V209" i="1"/>
  <c r="T209" i="1"/>
  <c r="Q209" i="1"/>
  <c r="O209" i="1"/>
  <c r="L209" i="1"/>
  <c r="J209" i="1"/>
  <c r="G209" i="1"/>
  <c r="E209" i="1"/>
  <c r="B209" i="1"/>
  <c r="AN208" i="1"/>
  <c r="AK208" i="1"/>
  <c r="AI208" i="1"/>
  <c r="AF208" i="1"/>
  <c r="AD208" i="1"/>
  <c r="AA208" i="1"/>
  <c r="Y208" i="1"/>
  <c r="V208" i="1"/>
  <c r="T208" i="1"/>
  <c r="Q208" i="1"/>
  <c r="O208" i="1"/>
  <c r="L208" i="1"/>
  <c r="J208" i="1"/>
  <c r="G208" i="1"/>
  <c r="E208" i="1"/>
  <c r="B208" i="1"/>
  <c r="AN207" i="1"/>
  <c r="AK207" i="1"/>
  <c r="AI207" i="1"/>
  <c r="AF207" i="1"/>
  <c r="AD207" i="1"/>
  <c r="AA207" i="1"/>
  <c r="Y207" i="1"/>
  <c r="V207" i="1"/>
  <c r="T207" i="1"/>
  <c r="Q207" i="1"/>
  <c r="O207" i="1"/>
  <c r="L207" i="1"/>
  <c r="J207" i="1"/>
  <c r="G207" i="1"/>
  <c r="E207" i="1"/>
  <c r="B207" i="1"/>
  <c r="AN206" i="1"/>
  <c r="AK206" i="1"/>
  <c r="AI206" i="1"/>
  <c r="AF206" i="1"/>
  <c r="AD206" i="1"/>
  <c r="AA206" i="1"/>
  <c r="Y206" i="1"/>
  <c r="V206" i="1"/>
  <c r="T206" i="1"/>
  <c r="Q206" i="1"/>
  <c r="O206" i="1"/>
  <c r="L206" i="1"/>
  <c r="J206" i="1"/>
  <c r="G206" i="1"/>
  <c r="E206" i="1"/>
  <c r="B206" i="1"/>
  <c r="AN199" i="1"/>
  <c r="AK199" i="1"/>
  <c r="AI199" i="1"/>
  <c r="AF199" i="1"/>
  <c r="AD199" i="1"/>
  <c r="AA199" i="1"/>
  <c r="Y199" i="1"/>
  <c r="V199" i="1"/>
  <c r="T199" i="1"/>
  <c r="Q199" i="1"/>
  <c r="O199" i="1"/>
  <c r="L199" i="1"/>
  <c r="J199" i="1"/>
  <c r="G199" i="1"/>
  <c r="E199" i="1"/>
  <c r="B199" i="1"/>
  <c r="AN198" i="1"/>
  <c r="AK198" i="1"/>
  <c r="AI198" i="1"/>
  <c r="AF198" i="1"/>
  <c r="AD198" i="1"/>
  <c r="AA198" i="1"/>
  <c r="Y198" i="1"/>
  <c r="V198" i="1"/>
  <c r="T198" i="1"/>
  <c r="Q198" i="1"/>
  <c r="O198" i="1"/>
  <c r="L198" i="1"/>
  <c r="J198" i="1"/>
  <c r="G198" i="1"/>
  <c r="E198" i="1"/>
  <c r="B198" i="1"/>
  <c r="AN197" i="1"/>
  <c r="AK197" i="1"/>
  <c r="AI197" i="1"/>
  <c r="AF197" i="1"/>
  <c r="AD197" i="1"/>
  <c r="AA197" i="1"/>
  <c r="Y197" i="1"/>
  <c r="V197" i="1"/>
  <c r="T197" i="1"/>
  <c r="Q197" i="1"/>
  <c r="O197" i="1"/>
  <c r="L197" i="1"/>
  <c r="J197" i="1"/>
  <c r="G197" i="1"/>
  <c r="E197" i="1"/>
  <c r="B197" i="1"/>
  <c r="AN196" i="1"/>
  <c r="AK196" i="1"/>
  <c r="AI196" i="1"/>
  <c r="AF196" i="1"/>
  <c r="AD196" i="1"/>
  <c r="AA196" i="1"/>
  <c r="Y196" i="1"/>
  <c r="V196" i="1"/>
  <c r="T196" i="1"/>
  <c r="Q196" i="1"/>
  <c r="O196" i="1"/>
  <c r="L196" i="1"/>
  <c r="J196" i="1"/>
  <c r="G196" i="1"/>
  <c r="E196" i="1"/>
  <c r="B196" i="1"/>
  <c r="AN195" i="1"/>
  <c r="AK195" i="1"/>
  <c r="AI195" i="1"/>
  <c r="AF195" i="1"/>
  <c r="AD195" i="1"/>
  <c r="AA195" i="1"/>
  <c r="Y195" i="1"/>
  <c r="V195" i="1"/>
  <c r="T195" i="1"/>
  <c r="Q195" i="1"/>
  <c r="O195" i="1"/>
  <c r="L195" i="1"/>
  <c r="J195" i="1"/>
  <c r="G195" i="1"/>
  <c r="E195" i="1"/>
  <c r="B195" i="1"/>
  <c r="AN194" i="1"/>
  <c r="AK194" i="1"/>
  <c r="AI194" i="1"/>
  <c r="AF194" i="1"/>
  <c r="AD194" i="1"/>
  <c r="AA194" i="1"/>
  <c r="Y194" i="1"/>
  <c r="V194" i="1"/>
  <c r="T194" i="1"/>
  <c r="Q194" i="1"/>
  <c r="O194" i="1"/>
  <c r="L194" i="1"/>
  <c r="J194" i="1"/>
  <c r="G194" i="1"/>
  <c r="E194" i="1"/>
  <c r="B194" i="1"/>
  <c r="AN193" i="1"/>
  <c r="AK193" i="1"/>
  <c r="AI193" i="1"/>
  <c r="AF193" i="1"/>
  <c r="AD193" i="1"/>
  <c r="AA193" i="1"/>
  <c r="Y193" i="1"/>
  <c r="V193" i="1"/>
  <c r="T193" i="1"/>
  <c r="Q193" i="1"/>
  <c r="O193" i="1"/>
  <c r="L193" i="1"/>
  <c r="J193" i="1"/>
  <c r="G193" i="1"/>
  <c r="E193" i="1"/>
  <c r="B193" i="1"/>
  <c r="AN192" i="1"/>
  <c r="AK192" i="1"/>
  <c r="AI192" i="1"/>
  <c r="AF192" i="1"/>
  <c r="AD192" i="1"/>
  <c r="AA192" i="1"/>
  <c r="Y192" i="1"/>
  <c r="V192" i="1"/>
  <c r="T192" i="1"/>
  <c r="Q192" i="1"/>
  <c r="O192" i="1"/>
  <c r="L192" i="1"/>
  <c r="J192" i="1"/>
  <c r="G192" i="1"/>
  <c r="E192" i="1"/>
  <c r="B192" i="1"/>
  <c r="AN191" i="1"/>
  <c r="AK191" i="1"/>
  <c r="AI191" i="1"/>
  <c r="AF191" i="1"/>
  <c r="AD191" i="1"/>
  <c r="AA191" i="1"/>
  <c r="Y191" i="1"/>
  <c r="V191" i="1"/>
  <c r="T191" i="1"/>
  <c r="Q191" i="1"/>
  <c r="O191" i="1"/>
  <c r="L191" i="1"/>
  <c r="J191" i="1"/>
  <c r="G191" i="1"/>
  <c r="E191" i="1"/>
  <c r="B191" i="1"/>
  <c r="AN190" i="1"/>
  <c r="AK190" i="1"/>
  <c r="AI190" i="1"/>
  <c r="AF190" i="1"/>
  <c r="AD190" i="1"/>
  <c r="AA190" i="1"/>
  <c r="Y190" i="1"/>
  <c r="V190" i="1"/>
  <c r="T190" i="1"/>
  <c r="Q190" i="1"/>
  <c r="O190" i="1"/>
  <c r="L190" i="1"/>
  <c r="J190" i="1"/>
  <c r="G190" i="1"/>
  <c r="E190" i="1"/>
  <c r="B190" i="1"/>
  <c r="AN189" i="1"/>
  <c r="AK189" i="1"/>
  <c r="AI189" i="1"/>
  <c r="AF189" i="1"/>
  <c r="AD189" i="1"/>
  <c r="AA189" i="1"/>
  <c r="Y189" i="1"/>
  <c r="V189" i="1"/>
  <c r="T189" i="1"/>
  <c r="Q189" i="1"/>
  <c r="O189" i="1"/>
  <c r="L189" i="1"/>
  <c r="J189" i="1"/>
  <c r="G189" i="1"/>
  <c r="E189" i="1"/>
  <c r="B189" i="1"/>
  <c r="AN188" i="1"/>
  <c r="AK188" i="1"/>
  <c r="AI188" i="1"/>
  <c r="AF188" i="1"/>
  <c r="AD188" i="1"/>
  <c r="AA188" i="1"/>
  <c r="Y188" i="1"/>
  <c r="V188" i="1"/>
  <c r="T188" i="1"/>
  <c r="Q188" i="1"/>
  <c r="O188" i="1"/>
  <c r="L188" i="1"/>
  <c r="J188" i="1"/>
  <c r="G188" i="1"/>
  <c r="E188" i="1"/>
  <c r="B188" i="1"/>
  <c r="AN187" i="1"/>
  <c r="AK187" i="1"/>
  <c r="AI187" i="1"/>
  <c r="AF187" i="1"/>
  <c r="AD187" i="1"/>
  <c r="AA187" i="1"/>
  <c r="Y187" i="1"/>
  <c r="V187" i="1"/>
  <c r="T187" i="1"/>
  <c r="Q187" i="1"/>
  <c r="O187" i="1"/>
  <c r="L187" i="1"/>
  <c r="J187" i="1"/>
  <c r="G187" i="1"/>
  <c r="E187" i="1"/>
  <c r="B187" i="1"/>
  <c r="AN186" i="1"/>
  <c r="AK186" i="1"/>
  <c r="AI186" i="1"/>
  <c r="AF186" i="1"/>
  <c r="AD186" i="1"/>
  <c r="AA186" i="1"/>
  <c r="Y186" i="1"/>
  <c r="V186" i="1"/>
  <c r="T186" i="1"/>
  <c r="Q186" i="1"/>
  <c r="O186" i="1"/>
  <c r="L186" i="1"/>
  <c r="J186" i="1"/>
  <c r="G186" i="1"/>
  <c r="E186" i="1"/>
  <c r="B186" i="1"/>
  <c r="AN185" i="1"/>
  <c r="AK185" i="1"/>
  <c r="AI185" i="1"/>
  <c r="AF185" i="1"/>
  <c r="AD185" i="1"/>
  <c r="AA185" i="1"/>
  <c r="Y185" i="1"/>
  <c r="V185" i="1"/>
  <c r="T185" i="1"/>
  <c r="Q185" i="1"/>
  <c r="O185" i="1"/>
  <c r="L185" i="1"/>
  <c r="J185" i="1"/>
  <c r="G185" i="1"/>
  <c r="E185" i="1"/>
  <c r="B185" i="1"/>
  <c r="AN184" i="1"/>
  <c r="AK184" i="1"/>
  <c r="AI184" i="1"/>
  <c r="AF184" i="1"/>
  <c r="AD184" i="1"/>
  <c r="AA184" i="1"/>
  <c r="Y184" i="1"/>
  <c r="V184" i="1"/>
  <c r="T184" i="1"/>
  <c r="Q184" i="1"/>
  <c r="O184" i="1"/>
  <c r="L184" i="1"/>
  <c r="J184" i="1"/>
  <c r="G184" i="1"/>
  <c r="E184" i="1"/>
  <c r="B184" i="1"/>
  <c r="AN183" i="1"/>
  <c r="AK183" i="1"/>
  <c r="AI183" i="1"/>
  <c r="AF183" i="1"/>
  <c r="AD183" i="1"/>
  <c r="AA183" i="1"/>
  <c r="Y183" i="1"/>
  <c r="V183" i="1"/>
  <c r="T183" i="1"/>
  <c r="Q183" i="1"/>
  <c r="O183" i="1"/>
  <c r="L183" i="1"/>
  <c r="J183" i="1"/>
  <c r="G183" i="1"/>
  <c r="E183" i="1"/>
  <c r="B183" i="1"/>
  <c r="AN182" i="1"/>
  <c r="AK182" i="1"/>
  <c r="AI182" i="1"/>
  <c r="AF182" i="1"/>
  <c r="AD182" i="1"/>
  <c r="AA182" i="1"/>
  <c r="Y182" i="1"/>
  <c r="V182" i="1"/>
  <c r="T182" i="1"/>
  <c r="Q182" i="1"/>
  <c r="O182" i="1"/>
  <c r="L182" i="1"/>
  <c r="J182" i="1"/>
  <c r="G182" i="1"/>
  <c r="E182" i="1"/>
  <c r="B182" i="1"/>
  <c r="AN181" i="1"/>
  <c r="AK181" i="1"/>
  <c r="AI181" i="1"/>
  <c r="AF181" i="1"/>
  <c r="AD181" i="1"/>
  <c r="AA181" i="1"/>
  <c r="Y181" i="1"/>
  <c r="V181" i="1"/>
  <c r="T181" i="1"/>
  <c r="Q181" i="1"/>
  <c r="O181" i="1"/>
  <c r="L181" i="1"/>
  <c r="J181" i="1"/>
  <c r="G181" i="1"/>
  <c r="E181" i="1"/>
  <c r="B181" i="1"/>
  <c r="AN180" i="1"/>
  <c r="AK180" i="1"/>
  <c r="AI180" i="1"/>
  <c r="AF180" i="1"/>
  <c r="AD180" i="1"/>
  <c r="AA180" i="1"/>
  <c r="Y180" i="1"/>
  <c r="V180" i="1"/>
  <c r="T180" i="1"/>
  <c r="Q180" i="1"/>
  <c r="O180" i="1"/>
  <c r="L180" i="1"/>
  <c r="J180" i="1"/>
  <c r="G180" i="1"/>
  <c r="E180" i="1"/>
  <c r="B180" i="1"/>
  <c r="AN179" i="1"/>
  <c r="AK179" i="1"/>
  <c r="AI179" i="1"/>
  <c r="AF179" i="1"/>
  <c r="AD179" i="1"/>
  <c r="AA179" i="1"/>
  <c r="Y179" i="1"/>
  <c r="V179" i="1"/>
  <c r="T179" i="1"/>
  <c r="Q179" i="1"/>
  <c r="O179" i="1"/>
  <c r="L179" i="1"/>
  <c r="J179" i="1"/>
  <c r="G179" i="1"/>
  <c r="E179" i="1"/>
  <c r="B179" i="1"/>
  <c r="AN169" i="1"/>
  <c r="AK169" i="1"/>
  <c r="AI169" i="1"/>
  <c r="AF169" i="1"/>
  <c r="AD169" i="1"/>
  <c r="AA169" i="1"/>
  <c r="Y169" i="1"/>
  <c r="V169" i="1"/>
  <c r="T169" i="1"/>
  <c r="Q169" i="1"/>
  <c r="O169" i="1"/>
  <c r="L169" i="1"/>
  <c r="J169" i="1"/>
  <c r="G169" i="1"/>
  <c r="E169" i="1"/>
  <c r="B169" i="1"/>
  <c r="AN168" i="1"/>
  <c r="AK168" i="1"/>
  <c r="AI168" i="1"/>
  <c r="AF168" i="1"/>
  <c r="AD168" i="1"/>
  <c r="AA168" i="1"/>
  <c r="Y168" i="1"/>
  <c r="V168" i="1"/>
  <c r="T168" i="1"/>
  <c r="Q168" i="1"/>
  <c r="O168" i="1"/>
  <c r="L168" i="1"/>
  <c r="J168" i="1"/>
  <c r="G168" i="1"/>
  <c r="E168" i="1"/>
  <c r="B168" i="1"/>
  <c r="AN167" i="1"/>
  <c r="AK167" i="1"/>
  <c r="AI167" i="1"/>
  <c r="AF167" i="1"/>
  <c r="AD167" i="1"/>
  <c r="AA167" i="1"/>
  <c r="Y167" i="1"/>
  <c r="V167" i="1"/>
  <c r="T167" i="1"/>
  <c r="Q167" i="1"/>
  <c r="O167" i="1"/>
  <c r="L167" i="1"/>
  <c r="J167" i="1"/>
  <c r="G167" i="1"/>
  <c r="E167" i="1"/>
  <c r="B167" i="1"/>
  <c r="AN166" i="1"/>
  <c r="AK166" i="1"/>
  <c r="AI166" i="1"/>
  <c r="AF166" i="1"/>
  <c r="AD166" i="1"/>
  <c r="AA166" i="1"/>
  <c r="Y166" i="1"/>
  <c r="V166" i="1"/>
  <c r="T166" i="1"/>
  <c r="Q166" i="1"/>
  <c r="O166" i="1"/>
  <c r="L166" i="1"/>
  <c r="J166" i="1"/>
  <c r="G166" i="1"/>
  <c r="E166" i="1"/>
  <c r="B166" i="1"/>
  <c r="AN165" i="1"/>
  <c r="AK165" i="1"/>
  <c r="AI165" i="1"/>
  <c r="AF165" i="1"/>
  <c r="AD165" i="1"/>
  <c r="AA165" i="1"/>
  <c r="Y165" i="1"/>
  <c r="V165" i="1"/>
  <c r="T165" i="1"/>
  <c r="Q165" i="1"/>
  <c r="O165" i="1"/>
  <c r="L165" i="1"/>
  <c r="J165" i="1"/>
  <c r="G165" i="1"/>
  <c r="E165" i="1"/>
  <c r="B165" i="1"/>
  <c r="AN164" i="1"/>
  <c r="AK164" i="1"/>
  <c r="AI164" i="1"/>
  <c r="AF164" i="1"/>
  <c r="AD164" i="1"/>
  <c r="AA164" i="1"/>
  <c r="Y164" i="1"/>
  <c r="V164" i="1"/>
  <c r="T164" i="1"/>
  <c r="Q164" i="1"/>
  <c r="O164" i="1"/>
  <c r="L164" i="1"/>
  <c r="J164" i="1"/>
  <c r="G164" i="1"/>
  <c r="E164" i="1"/>
  <c r="B164" i="1"/>
  <c r="AN163" i="1"/>
  <c r="AK163" i="1"/>
  <c r="AI163" i="1"/>
  <c r="AF163" i="1"/>
  <c r="AD163" i="1"/>
  <c r="AA163" i="1"/>
  <c r="Y163" i="1"/>
  <c r="V163" i="1"/>
  <c r="T163" i="1"/>
  <c r="Q163" i="1"/>
  <c r="O163" i="1"/>
  <c r="L163" i="1"/>
  <c r="J163" i="1"/>
  <c r="G163" i="1"/>
  <c r="E163" i="1"/>
  <c r="B163" i="1"/>
  <c r="AN162" i="1"/>
  <c r="AK162" i="1"/>
  <c r="AI162" i="1"/>
  <c r="AF162" i="1"/>
  <c r="AD162" i="1"/>
  <c r="AA162" i="1"/>
  <c r="Y162" i="1"/>
  <c r="V162" i="1"/>
  <c r="T162" i="1"/>
  <c r="Q162" i="1"/>
  <c r="O162" i="1"/>
  <c r="L162" i="1"/>
  <c r="J162" i="1"/>
  <c r="G162" i="1"/>
  <c r="E162" i="1"/>
  <c r="B162" i="1"/>
  <c r="AN161" i="1"/>
  <c r="AK161" i="1"/>
  <c r="AI161" i="1"/>
  <c r="AF161" i="1"/>
  <c r="AD161" i="1"/>
  <c r="AA161" i="1"/>
  <c r="Y161" i="1"/>
  <c r="V161" i="1"/>
  <c r="T161" i="1"/>
  <c r="Q161" i="1"/>
  <c r="O161" i="1"/>
  <c r="L161" i="1"/>
  <c r="J161" i="1"/>
  <c r="G161" i="1"/>
  <c r="E161" i="1"/>
  <c r="B161" i="1"/>
  <c r="AN160" i="1"/>
  <c r="AK160" i="1"/>
  <c r="AI160" i="1"/>
  <c r="AF160" i="1"/>
  <c r="AD160" i="1"/>
  <c r="AA160" i="1"/>
  <c r="Y160" i="1"/>
  <c r="V160" i="1"/>
  <c r="T160" i="1"/>
  <c r="Q160" i="1"/>
  <c r="O160" i="1"/>
  <c r="L160" i="1"/>
  <c r="J160" i="1"/>
  <c r="G160" i="1"/>
  <c r="E160" i="1"/>
  <c r="B160" i="1"/>
  <c r="AN159" i="1"/>
  <c r="AK159" i="1"/>
  <c r="AI159" i="1"/>
  <c r="AF159" i="1"/>
  <c r="AD159" i="1"/>
  <c r="AA159" i="1"/>
  <c r="Y159" i="1"/>
  <c r="V159" i="1"/>
  <c r="T159" i="1"/>
  <c r="Q159" i="1"/>
  <c r="O159" i="1"/>
  <c r="L159" i="1"/>
  <c r="J159" i="1"/>
  <c r="G159" i="1"/>
  <c r="E159" i="1"/>
  <c r="B159" i="1"/>
  <c r="AN158" i="1"/>
  <c r="AK158" i="1"/>
  <c r="AI158" i="1"/>
  <c r="AF158" i="1"/>
  <c r="AD158" i="1"/>
  <c r="AA158" i="1"/>
  <c r="Y158" i="1"/>
  <c r="V158" i="1"/>
  <c r="T158" i="1"/>
  <c r="Q158" i="1"/>
  <c r="O158" i="1"/>
  <c r="L158" i="1"/>
  <c r="J158" i="1"/>
  <c r="G158" i="1"/>
  <c r="E158" i="1"/>
  <c r="B158" i="1"/>
  <c r="AN157" i="1"/>
  <c r="AK157" i="1"/>
  <c r="AI157" i="1"/>
  <c r="AF157" i="1"/>
  <c r="AD157" i="1"/>
  <c r="AA157" i="1"/>
  <c r="Y157" i="1"/>
  <c r="V157" i="1"/>
  <c r="T157" i="1"/>
  <c r="Q157" i="1"/>
  <c r="O157" i="1"/>
  <c r="L157" i="1"/>
  <c r="J157" i="1"/>
  <c r="G157" i="1"/>
  <c r="E157" i="1"/>
  <c r="B157" i="1"/>
  <c r="AN156" i="1"/>
  <c r="AK156" i="1"/>
  <c r="AI156" i="1"/>
  <c r="AF156" i="1"/>
  <c r="AD156" i="1"/>
  <c r="AA156" i="1"/>
  <c r="Y156" i="1"/>
  <c r="V156" i="1"/>
  <c r="T156" i="1"/>
  <c r="Q156" i="1"/>
  <c r="O156" i="1"/>
  <c r="L156" i="1"/>
  <c r="J156" i="1"/>
  <c r="G156" i="1"/>
  <c r="E156" i="1"/>
  <c r="B156" i="1"/>
  <c r="AN155" i="1"/>
  <c r="AK155" i="1"/>
  <c r="AI155" i="1"/>
  <c r="AF155" i="1"/>
  <c r="AD155" i="1"/>
  <c r="AA155" i="1"/>
  <c r="Y155" i="1"/>
  <c r="V155" i="1"/>
  <c r="T155" i="1"/>
  <c r="Q155" i="1"/>
  <c r="O155" i="1"/>
  <c r="L155" i="1"/>
  <c r="J155" i="1"/>
  <c r="G155" i="1"/>
  <c r="E155" i="1"/>
  <c r="B155" i="1"/>
  <c r="AN154" i="1"/>
  <c r="AK154" i="1"/>
  <c r="AI154" i="1"/>
  <c r="AF154" i="1"/>
  <c r="AD154" i="1"/>
  <c r="AA154" i="1"/>
  <c r="Y154" i="1"/>
  <c r="V154" i="1"/>
  <c r="T154" i="1"/>
  <c r="Q154" i="1"/>
  <c r="O154" i="1"/>
  <c r="L154" i="1"/>
  <c r="J154" i="1"/>
  <c r="G154" i="1"/>
  <c r="E154" i="1"/>
  <c r="B154" i="1"/>
  <c r="AN153" i="1"/>
  <c r="AK153" i="1"/>
  <c r="AI153" i="1"/>
  <c r="AF153" i="1"/>
  <c r="AD153" i="1"/>
  <c r="AA153" i="1"/>
  <c r="Y153" i="1"/>
  <c r="V153" i="1"/>
  <c r="T153" i="1"/>
  <c r="Q153" i="1"/>
  <c r="O153" i="1"/>
  <c r="L153" i="1"/>
  <c r="J153" i="1"/>
  <c r="G153" i="1"/>
  <c r="E153" i="1"/>
  <c r="B153" i="1"/>
  <c r="AN152" i="1"/>
  <c r="AK152" i="1"/>
  <c r="AI152" i="1"/>
  <c r="AF152" i="1"/>
  <c r="AD152" i="1"/>
  <c r="AA152" i="1"/>
  <c r="Y152" i="1"/>
  <c r="V152" i="1"/>
  <c r="T152" i="1"/>
  <c r="Q152" i="1"/>
  <c r="O152" i="1"/>
  <c r="L152" i="1"/>
  <c r="J152" i="1"/>
  <c r="G152" i="1"/>
  <c r="E152" i="1"/>
  <c r="B152" i="1"/>
  <c r="AN151" i="1"/>
  <c r="AK151" i="1"/>
  <c r="AI151" i="1"/>
  <c r="AF151" i="1"/>
  <c r="AD151" i="1"/>
  <c r="AA151" i="1"/>
  <c r="Y151" i="1"/>
  <c r="V151" i="1"/>
  <c r="T151" i="1"/>
  <c r="Q151" i="1"/>
  <c r="O151" i="1"/>
  <c r="L151" i="1"/>
  <c r="J151" i="1"/>
  <c r="G151" i="1"/>
  <c r="E151" i="1"/>
  <c r="B151" i="1"/>
  <c r="AN150" i="1"/>
  <c r="AK150" i="1"/>
  <c r="AI150" i="1"/>
  <c r="AF150" i="1"/>
  <c r="AD150" i="1"/>
  <c r="AA150" i="1"/>
  <c r="Y150" i="1"/>
  <c r="V150" i="1"/>
  <c r="T150" i="1"/>
  <c r="Q150" i="1"/>
  <c r="O150" i="1"/>
  <c r="L150" i="1"/>
  <c r="J150" i="1"/>
  <c r="G150" i="1"/>
  <c r="E150" i="1"/>
  <c r="B150" i="1"/>
  <c r="AN149" i="1"/>
  <c r="AK149" i="1"/>
  <c r="AI149" i="1"/>
  <c r="AF149" i="1"/>
  <c r="AD149" i="1"/>
  <c r="AA149" i="1"/>
  <c r="Y149" i="1"/>
  <c r="V149" i="1"/>
  <c r="T149" i="1"/>
  <c r="Q149" i="1"/>
  <c r="O149" i="1"/>
  <c r="L149" i="1"/>
  <c r="J149" i="1"/>
  <c r="G149" i="1"/>
  <c r="E149" i="1"/>
  <c r="B149" i="1"/>
  <c r="AN142" i="1"/>
  <c r="AK142" i="1"/>
  <c r="AI142" i="1"/>
  <c r="AF142" i="1"/>
  <c r="AD142" i="1"/>
  <c r="AA142" i="1"/>
  <c r="Y142" i="1"/>
  <c r="V142" i="1"/>
  <c r="T142" i="1"/>
  <c r="Q142" i="1"/>
  <c r="O142" i="1"/>
  <c r="L142" i="1"/>
  <c r="J142" i="1"/>
  <c r="G142" i="1"/>
  <c r="E142" i="1"/>
  <c r="B142" i="1"/>
  <c r="AN141" i="1"/>
  <c r="AK141" i="1"/>
  <c r="AI141" i="1"/>
  <c r="AF141" i="1"/>
  <c r="AD141" i="1"/>
  <c r="AA141" i="1"/>
  <c r="Y141" i="1"/>
  <c r="V141" i="1"/>
  <c r="T141" i="1"/>
  <c r="Q141" i="1"/>
  <c r="O141" i="1"/>
  <c r="L141" i="1"/>
  <c r="J141" i="1"/>
  <c r="G141" i="1"/>
  <c r="E141" i="1"/>
  <c r="B141" i="1"/>
  <c r="AN140" i="1"/>
  <c r="AK140" i="1"/>
  <c r="AI140" i="1"/>
  <c r="AF140" i="1"/>
  <c r="AD140" i="1"/>
  <c r="AA140" i="1"/>
  <c r="Y140" i="1"/>
  <c r="V140" i="1"/>
  <c r="T140" i="1"/>
  <c r="Q140" i="1"/>
  <c r="O140" i="1"/>
  <c r="L140" i="1"/>
  <c r="J140" i="1"/>
  <c r="G140" i="1"/>
  <c r="E140" i="1"/>
  <c r="B140" i="1"/>
  <c r="AN139" i="1"/>
  <c r="AK139" i="1"/>
  <c r="AI139" i="1"/>
  <c r="AF139" i="1"/>
  <c r="AD139" i="1"/>
  <c r="AA139" i="1"/>
  <c r="Y139" i="1"/>
  <c r="V139" i="1"/>
  <c r="T139" i="1"/>
  <c r="Q139" i="1"/>
  <c r="O139" i="1"/>
  <c r="L139" i="1"/>
  <c r="J139" i="1"/>
  <c r="G139" i="1"/>
  <c r="E139" i="1"/>
  <c r="B139" i="1"/>
  <c r="AN138" i="1"/>
  <c r="AK138" i="1"/>
  <c r="AI138" i="1"/>
  <c r="AF138" i="1"/>
  <c r="AD138" i="1"/>
  <c r="AA138" i="1"/>
  <c r="Y138" i="1"/>
  <c r="V138" i="1"/>
  <c r="T138" i="1"/>
  <c r="Q138" i="1"/>
  <c r="O138" i="1"/>
  <c r="L138" i="1"/>
  <c r="J138" i="1"/>
  <c r="G138" i="1"/>
  <c r="E138" i="1"/>
  <c r="B138" i="1"/>
  <c r="AN137" i="1"/>
  <c r="AK137" i="1"/>
  <c r="AI137" i="1"/>
  <c r="AF137" i="1"/>
  <c r="AD137" i="1"/>
  <c r="AA137" i="1"/>
  <c r="Y137" i="1"/>
  <c r="V137" i="1"/>
  <c r="T137" i="1"/>
  <c r="Q137" i="1"/>
  <c r="O137" i="1"/>
  <c r="L137" i="1"/>
  <c r="J137" i="1"/>
  <c r="G137" i="1"/>
  <c r="E137" i="1"/>
  <c r="B137" i="1"/>
  <c r="AN136" i="1"/>
  <c r="AK136" i="1"/>
  <c r="AI136" i="1"/>
  <c r="AF136" i="1"/>
  <c r="AD136" i="1"/>
  <c r="AA136" i="1"/>
  <c r="Y136" i="1"/>
  <c r="V136" i="1"/>
  <c r="T136" i="1"/>
  <c r="Q136" i="1"/>
  <c r="O136" i="1"/>
  <c r="L136" i="1"/>
  <c r="J136" i="1"/>
  <c r="G136" i="1"/>
  <c r="E136" i="1"/>
  <c r="B136" i="1"/>
  <c r="AN135" i="1"/>
  <c r="AK135" i="1"/>
  <c r="AI135" i="1"/>
  <c r="AF135" i="1"/>
  <c r="AD135" i="1"/>
  <c r="AA135" i="1"/>
  <c r="Y135" i="1"/>
  <c r="V135" i="1"/>
  <c r="T135" i="1"/>
  <c r="Q135" i="1"/>
  <c r="O135" i="1"/>
  <c r="L135" i="1"/>
  <c r="J135" i="1"/>
  <c r="G135" i="1"/>
  <c r="E135" i="1"/>
  <c r="B135" i="1"/>
  <c r="AN134" i="1"/>
  <c r="AK134" i="1"/>
  <c r="AI134" i="1"/>
  <c r="AF134" i="1"/>
  <c r="AD134" i="1"/>
  <c r="AA134" i="1"/>
  <c r="Y134" i="1"/>
  <c r="V134" i="1"/>
  <c r="T134" i="1"/>
  <c r="Q134" i="1"/>
  <c r="O134" i="1"/>
  <c r="L134" i="1"/>
  <c r="J134" i="1"/>
  <c r="G134" i="1"/>
  <c r="E134" i="1"/>
  <c r="B134" i="1"/>
  <c r="AN133" i="1"/>
  <c r="AK133" i="1"/>
  <c r="AI133" i="1"/>
  <c r="AF133" i="1"/>
  <c r="AD133" i="1"/>
  <c r="AA133" i="1"/>
  <c r="Y133" i="1"/>
  <c r="V133" i="1"/>
  <c r="T133" i="1"/>
  <c r="Q133" i="1"/>
  <c r="O133" i="1"/>
  <c r="L133" i="1"/>
  <c r="J133" i="1"/>
  <c r="G133" i="1"/>
  <c r="E133" i="1"/>
  <c r="B133" i="1"/>
  <c r="AN132" i="1"/>
  <c r="AK132" i="1"/>
  <c r="AI132" i="1"/>
  <c r="AF132" i="1"/>
  <c r="AD132" i="1"/>
  <c r="AA132" i="1"/>
  <c r="Y132" i="1"/>
  <c r="V132" i="1"/>
  <c r="T132" i="1"/>
  <c r="Q132" i="1"/>
  <c r="O132" i="1"/>
  <c r="L132" i="1"/>
  <c r="J132" i="1"/>
  <c r="G132" i="1"/>
  <c r="E132" i="1"/>
  <c r="B132" i="1"/>
  <c r="AN131" i="1"/>
  <c r="AK131" i="1"/>
  <c r="AI131" i="1"/>
  <c r="AF131" i="1"/>
  <c r="AD131" i="1"/>
  <c r="AA131" i="1"/>
  <c r="Y131" i="1"/>
  <c r="V131" i="1"/>
  <c r="T131" i="1"/>
  <c r="Q131" i="1"/>
  <c r="O131" i="1"/>
  <c r="L131" i="1"/>
  <c r="J131" i="1"/>
  <c r="G131" i="1"/>
  <c r="E131" i="1"/>
  <c r="B131" i="1"/>
  <c r="AN130" i="1"/>
  <c r="AK130" i="1"/>
  <c r="AI130" i="1"/>
  <c r="AF130" i="1"/>
  <c r="AD130" i="1"/>
  <c r="AA130" i="1"/>
  <c r="Y130" i="1"/>
  <c r="V130" i="1"/>
  <c r="T130" i="1"/>
  <c r="Q130" i="1"/>
  <c r="O130" i="1"/>
  <c r="L130" i="1"/>
  <c r="J130" i="1"/>
  <c r="G130" i="1"/>
  <c r="E130" i="1"/>
  <c r="B130" i="1"/>
  <c r="AN129" i="1"/>
  <c r="AK129" i="1"/>
  <c r="AI129" i="1"/>
  <c r="AF129" i="1"/>
  <c r="AD129" i="1"/>
  <c r="AA129" i="1"/>
  <c r="Y129" i="1"/>
  <c r="V129" i="1"/>
  <c r="T129" i="1"/>
  <c r="Q129" i="1"/>
  <c r="O129" i="1"/>
  <c r="L129" i="1"/>
  <c r="J129" i="1"/>
  <c r="G129" i="1"/>
  <c r="E129" i="1"/>
  <c r="B129" i="1"/>
  <c r="AN128" i="1"/>
  <c r="AK128" i="1"/>
  <c r="AI128" i="1"/>
  <c r="AF128" i="1"/>
  <c r="AD128" i="1"/>
  <c r="AA128" i="1"/>
  <c r="Y128" i="1"/>
  <c r="V128" i="1"/>
  <c r="T128" i="1"/>
  <c r="Q128" i="1"/>
  <c r="O128" i="1"/>
  <c r="L128" i="1"/>
  <c r="J128" i="1"/>
  <c r="G128" i="1"/>
  <c r="E128" i="1"/>
  <c r="B128" i="1"/>
  <c r="AN127" i="1"/>
  <c r="AK127" i="1"/>
  <c r="AI127" i="1"/>
  <c r="AF127" i="1"/>
  <c r="AD127" i="1"/>
  <c r="AA127" i="1"/>
  <c r="Y127" i="1"/>
  <c r="V127" i="1"/>
  <c r="T127" i="1"/>
  <c r="Q127" i="1"/>
  <c r="O127" i="1"/>
  <c r="L127" i="1"/>
  <c r="J127" i="1"/>
  <c r="G127" i="1"/>
  <c r="E127" i="1"/>
  <c r="B127" i="1"/>
  <c r="AN126" i="1"/>
  <c r="AK126" i="1"/>
  <c r="AI126" i="1"/>
  <c r="AF126" i="1"/>
  <c r="AD126" i="1"/>
  <c r="AA126" i="1"/>
  <c r="Y126" i="1"/>
  <c r="V126" i="1"/>
  <c r="T126" i="1"/>
  <c r="Q126" i="1"/>
  <c r="O126" i="1"/>
  <c r="L126" i="1"/>
  <c r="J126" i="1"/>
  <c r="G126" i="1"/>
  <c r="E126" i="1"/>
  <c r="B126" i="1"/>
  <c r="AN125" i="1"/>
  <c r="AK125" i="1"/>
  <c r="AI125" i="1"/>
  <c r="AF125" i="1"/>
  <c r="AD125" i="1"/>
  <c r="AA125" i="1"/>
  <c r="Y125" i="1"/>
  <c r="V125" i="1"/>
  <c r="T125" i="1"/>
  <c r="Q125" i="1"/>
  <c r="O125" i="1"/>
  <c r="L125" i="1"/>
  <c r="J125" i="1"/>
  <c r="G125" i="1"/>
  <c r="E125" i="1"/>
  <c r="B125" i="1"/>
  <c r="AN124" i="1"/>
  <c r="AK124" i="1"/>
  <c r="AI124" i="1"/>
  <c r="AF124" i="1"/>
  <c r="AD124" i="1"/>
  <c r="AA124" i="1"/>
  <c r="Y124" i="1"/>
  <c r="V124" i="1"/>
  <c r="T124" i="1"/>
  <c r="Q124" i="1"/>
  <c r="O124" i="1"/>
  <c r="L124" i="1"/>
  <c r="J124" i="1"/>
  <c r="G124" i="1"/>
  <c r="E124" i="1"/>
  <c r="B124" i="1"/>
  <c r="AN123" i="1"/>
  <c r="AK123" i="1"/>
  <c r="AI123" i="1"/>
  <c r="AF123" i="1"/>
  <c r="AD123" i="1"/>
  <c r="AA123" i="1"/>
  <c r="Y123" i="1"/>
  <c r="V123" i="1"/>
  <c r="T123" i="1"/>
  <c r="Q123" i="1"/>
  <c r="O123" i="1"/>
  <c r="L123" i="1"/>
  <c r="J123" i="1"/>
  <c r="G123" i="1"/>
  <c r="E123" i="1"/>
  <c r="B123" i="1"/>
  <c r="AN122" i="1"/>
  <c r="AK122" i="1"/>
  <c r="AI122" i="1"/>
  <c r="AF122" i="1"/>
  <c r="AD122" i="1"/>
  <c r="AA122" i="1"/>
  <c r="Y122" i="1"/>
  <c r="V122" i="1"/>
  <c r="T122" i="1"/>
  <c r="Q122" i="1"/>
  <c r="O122" i="1"/>
  <c r="L122" i="1"/>
  <c r="J122" i="1"/>
  <c r="G122" i="1"/>
  <c r="E122" i="1"/>
  <c r="B122" i="1"/>
  <c r="AN112" i="1"/>
  <c r="AK112" i="1"/>
  <c r="AI112" i="1"/>
  <c r="AF112" i="1"/>
  <c r="AD112" i="1"/>
  <c r="AA112" i="1"/>
  <c r="Y112" i="1"/>
  <c r="V112" i="1"/>
  <c r="T112" i="1"/>
  <c r="Q112" i="1"/>
  <c r="O112" i="1"/>
  <c r="L112" i="1"/>
  <c r="J112" i="1"/>
  <c r="G112" i="1"/>
  <c r="E112" i="1"/>
  <c r="B112" i="1"/>
  <c r="AN111" i="1"/>
  <c r="AK111" i="1"/>
  <c r="AI111" i="1"/>
  <c r="AF111" i="1"/>
  <c r="AD111" i="1"/>
  <c r="AA111" i="1"/>
  <c r="Y111" i="1"/>
  <c r="V111" i="1"/>
  <c r="T111" i="1"/>
  <c r="Q111" i="1"/>
  <c r="O111" i="1"/>
  <c r="L111" i="1"/>
  <c r="J111" i="1"/>
  <c r="G111" i="1"/>
  <c r="E111" i="1"/>
  <c r="B111" i="1"/>
  <c r="AN110" i="1"/>
  <c r="AK110" i="1"/>
  <c r="AI110" i="1"/>
  <c r="AF110" i="1"/>
  <c r="AD110" i="1"/>
  <c r="AA110" i="1"/>
  <c r="Y110" i="1"/>
  <c r="V110" i="1"/>
  <c r="T110" i="1"/>
  <c r="Q110" i="1"/>
  <c r="O110" i="1"/>
  <c r="L110" i="1"/>
  <c r="J110" i="1"/>
  <c r="G110" i="1"/>
  <c r="E110" i="1"/>
  <c r="B110" i="1"/>
  <c r="AN109" i="1"/>
  <c r="AK109" i="1"/>
  <c r="AI109" i="1"/>
  <c r="AF109" i="1"/>
  <c r="AD109" i="1"/>
  <c r="AA109" i="1"/>
  <c r="Y109" i="1"/>
  <c r="V109" i="1"/>
  <c r="T109" i="1"/>
  <c r="Q109" i="1"/>
  <c r="O109" i="1"/>
  <c r="L109" i="1"/>
  <c r="J109" i="1"/>
  <c r="G109" i="1"/>
  <c r="E109" i="1"/>
  <c r="B109" i="1"/>
  <c r="AN108" i="1"/>
  <c r="AK108" i="1"/>
  <c r="AI108" i="1"/>
  <c r="AF108" i="1"/>
  <c r="AD108" i="1"/>
  <c r="AA108" i="1"/>
  <c r="Y108" i="1"/>
  <c r="V108" i="1"/>
  <c r="T108" i="1"/>
  <c r="Q108" i="1"/>
  <c r="O108" i="1"/>
  <c r="L108" i="1"/>
  <c r="J108" i="1"/>
  <c r="G108" i="1"/>
  <c r="E108" i="1"/>
  <c r="B108" i="1"/>
  <c r="AN107" i="1"/>
  <c r="AK107" i="1"/>
  <c r="AI107" i="1"/>
  <c r="AF107" i="1"/>
  <c r="AD107" i="1"/>
  <c r="AA107" i="1"/>
  <c r="Y107" i="1"/>
  <c r="V107" i="1"/>
  <c r="T107" i="1"/>
  <c r="Q107" i="1"/>
  <c r="O107" i="1"/>
  <c r="L107" i="1"/>
  <c r="J107" i="1"/>
  <c r="G107" i="1"/>
  <c r="E107" i="1"/>
  <c r="B107" i="1"/>
  <c r="AN106" i="1"/>
  <c r="AK106" i="1"/>
  <c r="AI106" i="1"/>
  <c r="AF106" i="1"/>
  <c r="AD106" i="1"/>
  <c r="AA106" i="1"/>
  <c r="Y106" i="1"/>
  <c r="V106" i="1"/>
  <c r="T106" i="1"/>
  <c r="Q106" i="1"/>
  <c r="O106" i="1"/>
  <c r="L106" i="1"/>
  <c r="J106" i="1"/>
  <c r="G106" i="1"/>
  <c r="E106" i="1"/>
  <c r="B106" i="1"/>
  <c r="AN105" i="1"/>
  <c r="AK105" i="1"/>
  <c r="AI105" i="1"/>
  <c r="AF105" i="1"/>
  <c r="AD105" i="1"/>
  <c r="AA105" i="1"/>
  <c r="Y105" i="1"/>
  <c r="V105" i="1"/>
  <c r="T105" i="1"/>
  <c r="Q105" i="1"/>
  <c r="O105" i="1"/>
  <c r="L105" i="1"/>
  <c r="J105" i="1"/>
  <c r="G105" i="1"/>
  <c r="E105" i="1"/>
  <c r="B105" i="1"/>
  <c r="AN104" i="1"/>
  <c r="AK104" i="1"/>
  <c r="AI104" i="1"/>
  <c r="AF104" i="1"/>
  <c r="AD104" i="1"/>
  <c r="AA104" i="1"/>
  <c r="Y104" i="1"/>
  <c r="V104" i="1"/>
  <c r="T104" i="1"/>
  <c r="Q104" i="1"/>
  <c r="O104" i="1"/>
  <c r="L104" i="1"/>
  <c r="J104" i="1"/>
  <c r="G104" i="1"/>
  <c r="E104" i="1"/>
  <c r="B104" i="1"/>
  <c r="AN103" i="1"/>
  <c r="AK103" i="1"/>
  <c r="AI103" i="1"/>
  <c r="AF103" i="1"/>
  <c r="AD103" i="1"/>
  <c r="AA103" i="1"/>
  <c r="Y103" i="1"/>
  <c r="V103" i="1"/>
  <c r="T103" i="1"/>
  <c r="Q103" i="1"/>
  <c r="O103" i="1"/>
  <c r="L103" i="1"/>
  <c r="J103" i="1"/>
  <c r="G103" i="1"/>
  <c r="E103" i="1"/>
  <c r="B103" i="1"/>
  <c r="AN102" i="1"/>
  <c r="AK102" i="1"/>
  <c r="AI102" i="1"/>
  <c r="AF102" i="1"/>
  <c r="AD102" i="1"/>
  <c r="AA102" i="1"/>
  <c r="Y102" i="1"/>
  <c r="V102" i="1"/>
  <c r="T102" i="1"/>
  <c r="Q102" i="1"/>
  <c r="O102" i="1"/>
  <c r="L102" i="1"/>
  <c r="J102" i="1"/>
  <c r="G102" i="1"/>
  <c r="E102" i="1"/>
  <c r="B102" i="1"/>
  <c r="AN101" i="1"/>
  <c r="AK101" i="1"/>
  <c r="AI101" i="1"/>
  <c r="AF101" i="1"/>
  <c r="AD101" i="1"/>
  <c r="AA101" i="1"/>
  <c r="Y101" i="1"/>
  <c r="V101" i="1"/>
  <c r="T101" i="1"/>
  <c r="Q101" i="1"/>
  <c r="O101" i="1"/>
  <c r="L101" i="1"/>
  <c r="J101" i="1"/>
  <c r="G101" i="1"/>
  <c r="E101" i="1"/>
  <c r="B101" i="1"/>
  <c r="AN100" i="1"/>
  <c r="AK100" i="1"/>
  <c r="AI100" i="1"/>
  <c r="AF100" i="1"/>
  <c r="AD100" i="1"/>
  <c r="AA100" i="1"/>
  <c r="Y100" i="1"/>
  <c r="V100" i="1"/>
  <c r="T100" i="1"/>
  <c r="Q100" i="1"/>
  <c r="O100" i="1"/>
  <c r="L100" i="1"/>
  <c r="J100" i="1"/>
  <c r="G100" i="1"/>
  <c r="E100" i="1"/>
  <c r="B100" i="1"/>
  <c r="AN99" i="1"/>
  <c r="AK99" i="1"/>
  <c r="AI99" i="1"/>
  <c r="AF99" i="1"/>
  <c r="AD99" i="1"/>
  <c r="AA99" i="1"/>
  <c r="Y99" i="1"/>
  <c r="V99" i="1"/>
  <c r="T99" i="1"/>
  <c r="Q99" i="1"/>
  <c r="O99" i="1"/>
  <c r="L99" i="1"/>
  <c r="J99" i="1"/>
  <c r="G99" i="1"/>
  <c r="E99" i="1"/>
  <c r="B99" i="1"/>
  <c r="AN98" i="1"/>
  <c r="AK98" i="1"/>
  <c r="AI98" i="1"/>
  <c r="AF98" i="1"/>
  <c r="AD98" i="1"/>
  <c r="AA98" i="1"/>
  <c r="Y98" i="1"/>
  <c r="V98" i="1"/>
  <c r="T98" i="1"/>
  <c r="Q98" i="1"/>
  <c r="O98" i="1"/>
  <c r="L98" i="1"/>
  <c r="J98" i="1"/>
  <c r="G98" i="1"/>
  <c r="E98" i="1"/>
  <c r="B98" i="1"/>
  <c r="AN97" i="1"/>
  <c r="AK97" i="1"/>
  <c r="AI97" i="1"/>
  <c r="AF97" i="1"/>
  <c r="AD97" i="1"/>
  <c r="AA97" i="1"/>
  <c r="Y97" i="1"/>
  <c r="V97" i="1"/>
  <c r="T97" i="1"/>
  <c r="Q97" i="1"/>
  <c r="O97" i="1"/>
  <c r="L97" i="1"/>
  <c r="J97" i="1"/>
  <c r="G97" i="1"/>
  <c r="E97" i="1"/>
  <c r="B97" i="1"/>
  <c r="AN96" i="1"/>
  <c r="AK96" i="1"/>
  <c r="AI96" i="1"/>
  <c r="AF96" i="1"/>
  <c r="AD96" i="1"/>
  <c r="AA96" i="1"/>
  <c r="Y96" i="1"/>
  <c r="V96" i="1"/>
  <c r="T96" i="1"/>
  <c r="Q96" i="1"/>
  <c r="O96" i="1"/>
  <c r="L96" i="1"/>
  <c r="J96" i="1"/>
  <c r="G96" i="1"/>
  <c r="E96" i="1"/>
  <c r="B96" i="1"/>
  <c r="AN95" i="1"/>
  <c r="AK95" i="1"/>
  <c r="AI95" i="1"/>
  <c r="AF95" i="1"/>
  <c r="AD95" i="1"/>
  <c r="AA95" i="1"/>
  <c r="Y95" i="1"/>
  <c r="V95" i="1"/>
  <c r="T95" i="1"/>
  <c r="Q95" i="1"/>
  <c r="O95" i="1"/>
  <c r="L95" i="1"/>
  <c r="J95" i="1"/>
  <c r="G95" i="1"/>
  <c r="E95" i="1"/>
  <c r="B95" i="1"/>
  <c r="AN94" i="1"/>
  <c r="AK94" i="1"/>
  <c r="AI94" i="1"/>
  <c r="AF94" i="1"/>
  <c r="AD94" i="1"/>
  <c r="AA94" i="1"/>
  <c r="Y94" i="1"/>
  <c r="V94" i="1"/>
  <c r="T94" i="1"/>
  <c r="Q94" i="1"/>
  <c r="O94" i="1"/>
  <c r="L94" i="1"/>
  <c r="J94" i="1"/>
  <c r="G94" i="1"/>
  <c r="E94" i="1"/>
  <c r="B94" i="1"/>
  <c r="AN93" i="1"/>
  <c r="AK93" i="1"/>
  <c r="AI93" i="1"/>
  <c r="AF93" i="1"/>
  <c r="AD93" i="1"/>
  <c r="AA93" i="1"/>
  <c r="Y93" i="1"/>
  <c r="V93" i="1"/>
  <c r="T93" i="1"/>
  <c r="Q93" i="1"/>
  <c r="O93" i="1"/>
  <c r="L93" i="1"/>
  <c r="J93" i="1"/>
  <c r="G93" i="1"/>
  <c r="E93" i="1"/>
  <c r="B93" i="1"/>
  <c r="AN92" i="1"/>
  <c r="AK92" i="1"/>
  <c r="AI92" i="1"/>
  <c r="AF92" i="1"/>
  <c r="AD92" i="1"/>
  <c r="AA92" i="1"/>
  <c r="Y92" i="1"/>
  <c r="V92" i="1"/>
  <c r="T92" i="1"/>
  <c r="Q92" i="1"/>
  <c r="O92" i="1"/>
  <c r="L92" i="1"/>
  <c r="J92" i="1"/>
  <c r="G92" i="1"/>
  <c r="E92" i="1"/>
  <c r="B92" i="1"/>
  <c r="AN85" i="1"/>
  <c r="AK85" i="1"/>
  <c r="AI85" i="1"/>
  <c r="AF85" i="1"/>
  <c r="AD85" i="1"/>
  <c r="AA85" i="1"/>
  <c r="Y85" i="1"/>
  <c r="V85" i="1"/>
  <c r="T85" i="1"/>
  <c r="Q85" i="1"/>
  <c r="O85" i="1"/>
  <c r="L85" i="1"/>
  <c r="J85" i="1"/>
  <c r="G85" i="1"/>
  <c r="E85" i="1"/>
  <c r="B85" i="1"/>
  <c r="AN84" i="1"/>
  <c r="AK84" i="1"/>
  <c r="AI84" i="1"/>
  <c r="AF84" i="1"/>
  <c r="AD84" i="1"/>
  <c r="AA84" i="1"/>
  <c r="Y84" i="1"/>
  <c r="V84" i="1"/>
  <c r="T84" i="1"/>
  <c r="Q84" i="1"/>
  <c r="O84" i="1"/>
  <c r="L84" i="1"/>
  <c r="J84" i="1"/>
  <c r="G84" i="1"/>
  <c r="E84" i="1"/>
  <c r="B84" i="1"/>
  <c r="AN83" i="1"/>
  <c r="AK83" i="1"/>
  <c r="AI83" i="1"/>
  <c r="AF83" i="1"/>
  <c r="AD83" i="1"/>
  <c r="AA83" i="1"/>
  <c r="Y83" i="1"/>
  <c r="V83" i="1"/>
  <c r="T83" i="1"/>
  <c r="Q83" i="1"/>
  <c r="O83" i="1"/>
  <c r="L83" i="1"/>
  <c r="J83" i="1"/>
  <c r="G83" i="1"/>
  <c r="E83" i="1"/>
  <c r="B83" i="1"/>
  <c r="AN82" i="1"/>
  <c r="AK82" i="1"/>
  <c r="AI82" i="1"/>
  <c r="AF82" i="1"/>
  <c r="AD82" i="1"/>
  <c r="AA82" i="1"/>
  <c r="Y82" i="1"/>
  <c r="V82" i="1"/>
  <c r="T82" i="1"/>
  <c r="Q82" i="1"/>
  <c r="O82" i="1"/>
  <c r="L82" i="1"/>
  <c r="J82" i="1"/>
  <c r="G82" i="1"/>
  <c r="E82" i="1"/>
  <c r="B82" i="1"/>
  <c r="AN81" i="1"/>
  <c r="AK81" i="1"/>
  <c r="AI81" i="1"/>
  <c r="AF81" i="1"/>
  <c r="AD81" i="1"/>
  <c r="AA81" i="1"/>
  <c r="Y81" i="1"/>
  <c r="V81" i="1"/>
  <c r="T81" i="1"/>
  <c r="Q81" i="1"/>
  <c r="O81" i="1"/>
  <c r="L81" i="1"/>
  <c r="J81" i="1"/>
  <c r="G81" i="1"/>
  <c r="E81" i="1"/>
  <c r="B81" i="1"/>
  <c r="AN80" i="1"/>
  <c r="AK80" i="1"/>
  <c r="AI80" i="1"/>
  <c r="AF80" i="1"/>
  <c r="AD80" i="1"/>
  <c r="AA80" i="1"/>
  <c r="Y80" i="1"/>
  <c r="V80" i="1"/>
  <c r="T80" i="1"/>
  <c r="Q80" i="1"/>
  <c r="O80" i="1"/>
  <c r="L80" i="1"/>
  <c r="J80" i="1"/>
  <c r="G80" i="1"/>
  <c r="E80" i="1"/>
  <c r="B80" i="1"/>
  <c r="AN79" i="1"/>
  <c r="AK79" i="1"/>
  <c r="AI79" i="1"/>
  <c r="AF79" i="1"/>
  <c r="AD79" i="1"/>
  <c r="AA79" i="1"/>
  <c r="Y79" i="1"/>
  <c r="V79" i="1"/>
  <c r="T79" i="1"/>
  <c r="Q79" i="1"/>
  <c r="O79" i="1"/>
  <c r="L79" i="1"/>
  <c r="J79" i="1"/>
  <c r="G79" i="1"/>
  <c r="E79" i="1"/>
  <c r="B79" i="1"/>
  <c r="AN78" i="1"/>
  <c r="AK78" i="1"/>
  <c r="AI78" i="1"/>
  <c r="AF78" i="1"/>
  <c r="AD78" i="1"/>
  <c r="AA78" i="1"/>
  <c r="Y78" i="1"/>
  <c r="V78" i="1"/>
  <c r="T78" i="1"/>
  <c r="Q78" i="1"/>
  <c r="O78" i="1"/>
  <c r="L78" i="1"/>
  <c r="J78" i="1"/>
  <c r="G78" i="1"/>
  <c r="E78" i="1"/>
  <c r="B78" i="1"/>
  <c r="AN77" i="1"/>
  <c r="AK77" i="1"/>
  <c r="AI77" i="1"/>
  <c r="AF77" i="1"/>
  <c r="AD77" i="1"/>
  <c r="AA77" i="1"/>
  <c r="Y77" i="1"/>
  <c r="V77" i="1"/>
  <c r="T77" i="1"/>
  <c r="Q77" i="1"/>
  <c r="O77" i="1"/>
  <c r="L77" i="1"/>
  <c r="J77" i="1"/>
  <c r="G77" i="1"/>
  <c r="E77" i="1"/>
  <c r="B77" i="1"/>
  <c r="AN76" i="1"/>
  <c r="AK76" i="1"/>
  <c r="AI76" i="1"/>
  <c r="AF76" i="1"/>
  <c r="AD76" i="1"/>
  <c r="AA76" i="1"/>
  <c r="Y76" i="1"/>
  <c r="V76" i="1"/>
  <c r="T76" i="1"/>
  <c r="Q76" i="1"/>
  <c r="O76" i="1"/>
  <c r="L76" i="1"/>
  <c r="J76" i="1"/>
  <c r="G76" i="1"/>
  <c r="E76" i="1"/>
  <c r="B76" i="1"/>
  <c r="AN75" i="1"/>
  <c r="AK75" i="1"/>
  <c r="AI75" i="1"/>
  <c r="AF75" i="1"/>
  <c r="AD75" i="1"/>
  <c r="AA75" i="1"/>
  <c r="Y75" i="1"/>
  <c r="V75" i="1"/>
  <c r="T75" i="1"/>
  <c r="Q75" i="1"/>
  <c r="O75" i="1"/>
  <c r="L75" i="1"/>
  <c r="J75" i="1"/>
  <c r="G75" i="1"/>
  <c r="E75" i="1"/>
  <c r="B75" i="1"/>
  <c r="AN74" i="1"/>
  <c r="AK74" i="1"/>
  <c r="AI74" i="1"/>
  <c r="AF74" i="1"/>
  <c r="AD74" i="1"/>
  <c r="AA74" i="1"/>
  <c r="Y74" i="1"/>
  <c r="V74" i="1"/>
  <c r="T74" i="1"/>
  <c r="Q74" i="1"/>
  <c r="O74" i="1"/>
  <c r="L74" i="1"/>
  <c r="J74" i="1"/>
  <c r="G74" i="1"/>
  <c r="E74" i="1"/>
  <c r="B74" i="1"/>
  <c r="AN73" i="1"/>
  <c r="AK73" i="1"/>
  <c r="AI73" i="1"/>
  <c r="AF73" i="1"/>
  <c r="AD73" i="1"/>
  <c r="AA73" i="1"/>
  <c r="Y73" i="1"/>
  <c r="V73" i="1"/>
  <c r="T73" i="1"/>
  <c r="Q73" i="1"/>
  <c r="O73" i="1"/>
  <c r="L73" i="1"/>
  <c r="J73" i="1"/>
  <c r="G73" i="1"/>
  <c r="E73" i="1"/>
  <c r="B73" i="1"/>
  <c r="AN72" i="1"/>
  <c r="AK72" i="1"/>
  <c r="AI72" i="1"/>
  <c r="AF72" i="1"/>
  <c r="AD72" i="1"/>
  <c r="AA72" i="1"/>
  <c r="Y72" i="1"/>
  <c r="V72" i="1"/>
  <c r="T72" i="1"/>
  <c r="Q72" i="1"/>
  <c r="O72" i="1"/>
  <c r="L72" i="1"/>
  <c r="J72" i="1"/>
  <c r="G72" i="1"/>
  <c r="E72" i="1"/>
  <c r="B72" i="1"/>
  <c r="AN71" i="1"/>
  <c r="AK71" i="1"/>
  <c r="AI71" i="1"/>
  <c r="AF71" i="1"/>
  <c r="AD71" i="1"/>
  <c r="AA71" i="1"/>
  <c r="Y71" i="1"/>
  <c r="V71" i="1"/>
  <c r="T71" i="1"/>
  <c r="Q71" i="1"/>
  <c r="O71" i="1"/>
  <c r="L71" i="1"/>
  <c r="J71" i="1"/>
  <c r="G71" i="1"/>
  <c r="E71" i="1"/>
  <c r="B71" i="1"/>
  <c r="AN70" i="1"/>
  <c r="AK70" i="1"/>
  <c r="AI70" i="1"/>
  <c r="AF70" i="1"/>
  <c r="AD70" i="1"/>
  <c r="AA70" i="1"/>
  <c r="Y70" i="1"/>
  <c r="V70" i="1"/>
  <c r="T70" i="1"/>
  <c r="Q70" i="1"/>
  <c r="O70" i="1"/>
  <c r="L70" i="1"/>
  <c r="J70" i="1"/>
  <c r="G70" i="1"/>
  <c r="E70" i="1"/>
  <c r="B70" i="1"/>
  <c r="AN69" i="1"/>
  <c r="AK69" i="1"/>
  <c r="AI69" i="1"/>
  <c r="AF69" i="1"/>
  <c r="AD69" i="1"/>
  <c r="AA69" i="1"/>
  <c r="Y69" i="1"/>
  <c r="V69" i="1"/>
  <c r="T69" i="1"/>
  <c r="Q69" i="1"/>
  <c r="O69" i="1"/>
  <c r="L69" i="1"/>
  <c r="J69" i="1"/>
  <c r="G69" i="1"/>
  <c r="E69" i="1"/>
  <c r="B69" i="1"/>
  <c r="AN68" i="1"/>
  <c r="AK68" i="1"/>
  <c r="AI68" i="1"/>
  <c r="AF68" i="1"/>
  <c r="AD68" i="1"/>
  <c r="AA68" i="1"/>
  <c r="Y68" i="1"/>
  <c r="V68" i="1"/>
  <c r="T68" i="1"/>
  <c r="Q68" i="1"/>
  <c r="O68" i="1"/>
  <c r="L68" i="1"/>
  <c r="J68" i="1"/>
  <c r="G68" i="1"/>
  <c r="E68" i="1"/>
  <c r="B68" i="1"/>
  <c r="AN67" i="1"/>
  <c r="AK67" i="1"/>
  <c r="AI67" i="1"/>
  <c r="AF67" i="1"/>
  <c r="AD67" i="1"/>
  <c r="AA67" i="1"/>
  <c r="Y67" i="1"/>
  <c r="V67" i="1"/>
  <c r="T67" i="1"/>
  <c r="Q67" i="1"/>
  <c r="O67" i="1"/>
  <c r="L67" i="1"/>
  <c r="J67" i="1"/>
  <c r="G67" i="1"/>
  <c r="E67" i="1"/>
  <c r="B67" i="1"/>
  <c r="AN66" i="1"/>
  <c r="AK66" i="1"/>
  <c r="AI66" i="1"/>
  <c r="AF66" i="1"/>
  <c r="AD66" i="1"/>
  <c r="AA66" i="1"/>
  <c r="Y66" i="1"/>
  <c r="V66" i="1"/>
  <c r="T66" i="1"/>
  <c r="Q66" i="1"/>
  <c r="O66" i="1"/>
  <c r="L66" i="1"/>
  <c r="J66" i="1"/>
  <c r="G66" i="1"/>
  <c r="E66" i="1"/>
  <c r="B66" i="1"/>
  <c r="AN65" i="1"/>
  <c r="AK65" i="1"/>
  <c r="AI65" i="1"/>
  <c r="AF65" i="1"/>
  <c r="AD65" i="1"/>
  <c r="AA65" i="1"/>
  <c r="Y65" i="1"/>
  <c r="V65" i="1"/>
  <c r="T65" i="1"/>
  <c r="Q65" i="1"/>
  <c r="O65" i="1"/>
  <c r="L65" i="1"/>
  <c r="J65" i="1"/>
  <c r="G65" i="1"/>
  <c r="E65" i="1"/>
  <c r="B65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7" i="1"/>
  <c r="AK37" i="1"/>
  <c r="AI37" i="1"/>
  <c r="AF37" i="1"/>
  <c r="AD37" i="1"/>
  <c r="AA37" i="1"/>
  <c r="Y37" i="1"/>
  <c r="V37" i="1"/>
  <c r="T37" i="1"/>
  <c r="Q37" i="1"/>
  <c r="O37" i="1"/>
  <c r="L37" i="1"/>
  <c r="J37" i="1"/>
  <c r="G37" i="1"/>
  <c r="E37" i="1"/>
  <c r="B37" i="1"/>
  <c r="AN36" i="1"/>
  <c r="AK36" i="1"/>
  <c r="AI36" i="1"/>
  <c r="AF36" i="1"/>
  <c r="AD36" i="1"/>
  <c r="AA36" i="1"/>
  <c r="Y36" i="1"/>
  <c r="V36" i="1"/>
  <c r="T36" i="1"/>
  <c r="Q36" i="1"/>
  <c r="O36" i="1"/>
  <c r="L36" i="1"/>
  <c r="J36" i="1"/>
  <c r="G36" i="1"/>
  <c r="E36" i="1"/>
  <c r="B36" i="1"/>
  <c r="AN35" i="1"/>
  <c r="AK35" i="1"/>
  <c r="AI35" i="1"/>
  <c r="AF35" i="1"/>
  <c r="AD35" i="1"/>
  <c r="AA35" i="1"/>
  <c r="Y35" i="1"/>
  <c r="V35" i="1"/>
  <c r="T35" i="1"/>
  <c r="Q35" i="1"/>
  <c r="O35" i="1"/>
  <c r="L35" i="1"/>
  <c r="J35" i="1"/>
  <c r="G35" i="1"/>
  <c r="E35" i="1"/>
  <c r="B35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  <c r="AN9" i="1"/>
  <c r="AK9" i="1"/>
  <c r="AI9" i="1"/>
  <c r="AF9" i="1"/>
  <c r="AD9" i="1"/>
  <c r="AA9" i="1"/>
  <c r="Y9" i="1"/>
  <c r="V9" i="1"/>
  <c r="T9" i="1"/>
  <c r="Q9" i="1"/>
  <c r="O9" i="1"/>
  <c r="L9" i="1"/>
  <c r="J9" i="1"/>
  <c r="G9" i="1"/>
  <c r="E9" i="1"/>
  <c r="B9" i="1"/>
  <c r="AN8" i="1"/>
  <c r="AK8" i="1"/>
  <c r="AI8" i="1"/>
  <c r="AF8" i="1"/>
  <c r="AD8" i="1"/>
  <c r="AA8" i="1"/>
  <c r="Y8" i="1"/>
  <c r="V8" i="1"/>
  <c r="T8" i="1"/>
  <c r="Q8" i="1"/>
  <c r="O8" i="1"/>
  <c r="L8" i="1"/>
  <c r="J8" i="1"/>
  <c r="G8" i="1"/>
  <c r="E8" i="1"/>
  <c r="B8" i="1"/>
</calcChain>
</file>

<file path=xl/sharedStrings.xml><?xml version="1.0" encoding="utf-8"?>
<sst xmlns="http://schemas.openxmlformats.org/spreadsheetml/2006/main" count="1593" uniqueCount="80">
  <si>
    <t>Model 1</t>
  </si>
  <si>
    <t>facet stress = facet contact force magnitude/facet contact area</t>
  </si>
  <si>
    <t>units=</t>
  </si>
  <si>
    <t>(N/mm^2)=MPa</t>
  </si>
  <si>
    <t>moment is negative bc of rotation</t>
  </si>
  <si>
    <t>6LR_7UR</t>
  </si>
  <si>
    <t>6LL_7UL</t>
  </si>
  <si>
    <t>5LR_6UR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</si>
  <si>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</si>
  <si>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</si>
  <si>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</si>
  <si>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</si>
  <si>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</si>
  <si>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</si>
  <si>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</si>
  <si>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CFNM</t>
  </si>
  <si>
    <t>CFNM/Total area contact</t>
  </si>
  <si>
    <t>CAREA</t>
  </si>
  <si>
    <t>Model 2</t>
  </si>
  <si>
    <t>5LL_6UL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</si>
  <si>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</si>
  <si>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</si>
  <si>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</si>
  <si>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</si>
  <si>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</si>
  <si>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</si>
  <si>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</si>
  <si>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</si>
  <si>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</si>
  <si>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</si>
  <si>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</si>
  <si>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</si>
  <si>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</si>
  <si>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 xml:space="preserve">S2_5N_SlideSlide_Tether.odb </t>
  </si>
  <si>
    <t xml:space="preserve">5P Slide Slide Tether </t>
  </si>
  <si>
    <t>S2_5P_SlideSlide_Tether.odb</t>
  </si>
  <si>
    <t>5N slide slide No tether</t>
  </si>
  <si>
    <t>S2_5N_SlideSlide_NoTether.odb</t>
  </si>
  <si>
    <t>5P slide slide No tether</t>
  </si>
  <si>
    <t>S2_5P_SlideSlide_NoTether.odb</t>
  </si>
  <si>
    <t xml:space="preserve">S2_5N_APSlide_Tether.odb </t>
  </si>
  <si>
    <t xml:space="preserve">5P AP slide tether </t>
  </si>
  <si>
    <t>S2_5P_APSlide_Tether.odb</t>
  </si>
  <si>
    <t xml:space="preserve">S2_5N_APSlide_NoTether.odb </t>
  </si>
  <si>
    <t xml:space="preserve">5P AP Slide No Tether </t>
  </si>
  <si>
    <t>S2_5P_APSlide_NoTether.odb</t>
  </si>
  <si>
    <t xml:space="preserve">S2_5N_LatSlide_Tether.odb </t>
  </si>
  <si>
    <t xml:space="preserve">5P Lat Slide Tether  </t>
  </si>
  <si>
    <t>S2_5P_LatSlide_Tether.odb</t>
  </si>
  <si>
    <t xml:space="preserve">S2_5N_LatSlide_NoTether.odb </t>
  </si>
  <si>
    <t xml:space="preserve">5P Lat Slide NoTether  </t>
  </si>
  <si>
    <t>S2_5P_LatSlide_NoTether.odb</t>
  </si>
  <si>
    <t xml:space="preserve">S2_5N_PhysPhys_Tether.odb </t>
  </si>
  <si>
    <t xml:space="preserve">5P PhysPhys Tether  </t>
  </si>
  <si>
    <t>S2_5P_PhysPhys_Tether.odb</t>
  </si>
  <si>
    <t xml:space="preserve">S2_5N_PhysPhys_NoTether.odb </t>
  </si>
  <si>
    <t xml:space="preserve">5P PhysPhys No Tether  </t>
  </si>
  <si>
    <t>S2_5P_PhysPhys_NoTether.odb</t>
  </si>
  <si>
    <t xml:space="preserve">S2_5N_APPhys_Tether.odb </t>
  </si>
  <si>
    <t xml:space="preserve">5P AP Phys Tether </t>
  </si>
  <si>
    <t>S2_5P_APPhys_Tether.odb</t>
  </si>
  <si>
    <t xml:space="preserve">S2_5N_APPhys_NoTether.odb </t>
  </si>
  <si>
    <t xml:space="preserve">5P AP Phys NoTether  </t>
  </si>
  <si>
    <t>S2_5P_APPhys_NoTether.odb</t>
  </si>
  <si>
    <t xml:space="preserve">S2_5N_LatPhys_Tether.odb </t>
  </si>
  <si>
    <t xml:space="preserve">5P LatPhys Tether  </t>
  </si>
  <si>
    <t>S2_5P_LatPhys_Tether.odb</t>
  </si>
  <si>
    <t xml:space="preserve">S2_5N_LatPhys_NoTether.odb </t>
  </si>
  <si>
    <t xml:space="preserve">5P LatPhys NoTether  </t>
  </si>
  <si>
    <t>S2_5P_LatPhys_NoTether.odb</t>
  </si>
  <si>
    <t xml:space="preserve">S2_5N_Fixed_Tether.odb </t>
  </si>
  <si>
    <t xml:space="preserve">5P Fixed Tether  </t>
  </si>
  <si>
    <t>S2_5P_Fixed_Tether.odb</t>
  </si>
  <si>
    <t xml:space="preserve">S2_5N_Fixed_NoTether.odb </t>
  </si>
  <si>
    <t xml:space="preserve">5P Fixed NoTether  </t>
  </si>
  <si>
    <t>S2_5P_Fixed_NoTether.odb</t>
  </si>
  <si>
    <t xml:space="preserve">5N intact </t>
  </si>
  <si>
    <t>TLC_5N_1-26.odb</t>
  </si>
  <si>
    <t xml:space="preserve">5P intact </t>
  </si>
  <si>
    <t>TLC_5P_1-26.odb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</si>
</sst>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7776FCD5-F862-4D4A-8973-ACDA919D8632}" name="Table1242" displayName="Table1242" ref="A7:E28" totalsRowShown="0">
  <autoFilter ref="A7:E28" xr:uid="{7776FCD5-F862-4D4A-8973-ACDA919D8632}"/>
  <tableColumns count="5">
    <tableColumn id="1" xr3:uid="{0451255F-88A9-444F-AFCC-6D5568DD5D5D}" name="time"/>
    <tableColumn id="2" xr3:uid="{FBEB1E23-C61E-4D76-9D7D-0F067AC48549}" name="moment" dataDxfId="479">
      <calculatedColumnFormula>-(Table1242[[#This Row],[time]]-2)*2</calculatedColumnFormula>
    </tableColumn>
    <tableColumn id="3" xr3:uid="{9696AE82-7ABE-4B6E-AF34-CC1826D526DD}" name="CAREA"/>
    <tableColumn id="4" xr3:uid="{3A2D2DE4-CEDF-4304-9723-74E636D8EE07}" name="CFNM"/>
    <tableColumn id="5" xr3:uid="{C8B74A42-A254-4C2D-AD89-7F9791DAC961}" name="CFNM/Total area contact" dataDxfId="478">
      <calculatedColumnFormula>Table1242[[#This Row],[CFNM]]/Table1242[[#This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8DA5E8CD-380A-4A2C-B550-ACD3BB0CA20F}" name="Table211251" displayName="Table211251" ref="F34:J55" totalsRowShown="0">
  <autoFilter ref="F34:J55" xr:uid="{8DA5E8CD-380A-4A2C-B550-ACD3BB0CA20F}"/>
  <tableColumns count="5">
    <tableColumn id="1" xr3:uid="{B9E07487-7D55-4262-A57C-CF16C7FCEEBC}" name="time"/>
    <tableColumn id="2" xr3:uid="{B111D796-ABD5-479A-9D13-4DA7E1F69C3A}" name="moment" dataDxfId="461">
      <calculatedColumnFormula>(Table211251[[#This Row],[time]]-2)*2</calculatedColumnFormula>
    </tableColumn>
    <tableColumn id="3" xr3:uid="{F220352A-9E8E-4565-962E-15CE8C48A78E}" name="CAREA"/>
    <tableColumn id="4" xr3:uid="{DE0AB16D-F968-411D-A7B7-FC38B825BA90}" name="CFNM"/>
    <tableColumn id="5" xr3:uid="{DF5F418A-A9B2-41FA-ADCB-267E2D523612}" name="CFNM/Total area contact" dataDxfId="460">
      <calculatedColumnFormula>Table211251[[#This Row],[CFNM]]/Table211251[[#This Row],[CAREA]]</calculatedColumnFormula>
    </tableColumn>
  </tableColumns>
  <tableStyleInfo name="TableStyleLight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A163D803-79B4-4A9D-8CEE-4B329C858734}" name="Table4341" displayName="Table4341" ref="P349:T370" totalsRowShown="0">
  <autoFilter ref="P349:T370" xr:uid="{A163D803-79B4-4A9D-8CEE-4B329C858734}"/>
  <tableColumns count="5">
    <tableColumn id="1" xr3:uid="{051FB16A-2688-4DB8-82EB-D9119FF6C91A}" name="time"/>
    <tableColumn id="2" xr3:uid="{601026B7-DEB7-4312-8F9A-D585439171BF}" name="moment" dataDxfId="281">
      <calculatedColumnFormula>-(Table4341[[#This Row],[time]]-2)*2</calculatedColumnFormula>
    </tableColumn>
    <tableColumn id="3" xr3:uid="{17099DC6-4F2D-41BE-B05B-820D11608B1E}" name="CAREA"/>
    <tableColumn id="4" xr3:uid="{9DEC9A42-C021-4EA7-AE76-A382A4024B70}" name="CFNM"/>
    <tableColumn id="5" xr3:uid="{203A5470-D0D8-4AC7-92F6-3AAA7D4B2DC2}" name="CFNM/Total area contact" dataDxfId="280">
      <calculatedColumnFormula>Table4341[[#This Row],[CFNM]]/Table4341[[#This Row],[CAREA]]</calculatedColumnFormula>
    </tableColumn>
  </tableColumns>
  <tableStyleInfo name="TableStyleLight4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4F82A55E-3754-4EF5-B635-EDF21199B7A1}" name="Table5342" displayName="Table5342" ref="U349:Y370" totalsRowShown="0">
  <autoFilter ref="U349:Y370" xr:uid="{4F82A55E-3754-4EF5-B635-EDF21199B7A1}"/>
  <tableColumns count="5">
    <tableColumn id="1" xr3:uid="{D33E6EF1-1F06-4477-AD48-53DBC652B365}" name="time"/>
    <tableColumn id="2" xr3:uid="{2F74D0C2-7887-44B0-91E3-343ABDBF94A2}" name="moment" dataDxfId="279">
      <calculatedColumnFormula>-(Table5342[[#This Row],[time]]-2)*2</calculatedColumnFormula>
    </tableColumn>
    <tableColumn id="3" xr3:uid="{1A272604-0199-4A02-AFA3-DE0BBD2F4811}" name="CAREA"/>
    <tableColumn id="4" xr3:uid="{997DEB80-CCFC-4BDA-BF1E-F4C3E51949FB}" name="CFNM"/>
    <tableColumn id="5" xr3:uid="{A179E09C-1F93-48E3-A18E-7F784108F8A0}" name="CFNM/Total area contact" dataDxfId="278">
      <calculatedColumnFormula>Table5342[[#This Row],[CFNM]]/Table5342[[#This Row],[CAREA]]</calculatedColumnFormula>
    </tableColumn>
  </tableColumns>
  <tableStyleInfo name="TableStyleLight5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940FB2D1-4C0A-46A7-A2D2-AE9D0521FC85}" name="Table6343" displayName="Table6343" ref="Z349:AD370" totalsRowShown="0">
  <autoFilter ref="Z349:AD370" xr:uid="{940FB2D1-4C0A-46A7-A2D2-AE9D0521FC85}"/>
  <tableColumns count="5">
    <tableColumn id="1" xr3:uid="{7704F20D-3E49-4F67-953E-0C14AF3C1CF8}" name="time"/>
    <tableColumn id="2" xr3:uid="{59101A8C-435A-4F02-B4A2-7D5C148330B0}" name="moment" dataDxfId="277">
      <calculatedColumnFormula>-(Table6343[[#This Row],[time]]-2)*2</calculatedColumnFormula>
    </tableColumn>
    <tableColumn id="3" xr3:uid="{8ED11F13-46E2-41B2-B27B-26B9D4D293F9}" name="CAREA"/>
    <tableColumn id="4" xr3:uid="{2D2AF981-C797-47DD-9CE3-EACF01B578E1}" name="CFNM"/>
    <tableColumn id="5" xr3:uid="{E1320EB9-D750-4372-B1CE-E4159176E55C}" name="CFNM/Total area contact" dataDxfId="276">
      <calculatedColumnFormula>Table6343[[#This Row],[CFNM]]/Table6343[[#This Row],[CAREA]]</calculatedColumnFormula>
    </tableColumn>
  </tableColumns>
  <tableStyleInfo name="TableStyleLight6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F9ECDDF8-1A48-4B4E-B0E9-B50FB7711B22}" name="Table7344" displayName="Table7344" ref="AE349:AI370" totalsRowShown="0">
  <autoFilter ref="AE349:AI370" xr:uid="{F9ECDDF8-1A48-4B4E-B0E9-B50FB7711B22}"/>
  <tableColumns count="5">
    <tableColumn id="1" xr3:uid="{049A0CB5-9241-49F9-A38F-F98544DCE53A}" name="time"/>
    <tableColumn id="2" xr3:uid="{66648342-AA21-4B0B-B9D6-BC8FDEA77D62}" name="moment" dataDxfId="275">
      <calculatedColumnFormula>-(Table7344[[#This Row],[time]]-2)*2</calculatedColumnFormula>
    </tableColumn>
    <tableColumn id="3" xr3:uid="{481D25E8-5C44-44D1-9027-05A02F238A5C}" name="CAREA"/>
    <tableColumn id="4" xr3:uid="{E047EB17-86C3-4C46-98DA-CB0F6D645049}" name="CFNM"/>
    <tableColumn id="5" xr3:uid="{DD3ADC0F-337B-4FE2-A9E4-A1A59F463AFB}" name="CFNM/Total area contact" dataDxfId="274">
      <calculatedColumnFormula>Table7344[[#This Row],[CFNM]]/Table7344[[#This Row],[CAREA]]</calculatedColumnFormula>
    </tableColumn>
  </tableColumns>
  <tableStyleInfo name="TableStyleLight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84BF3C52-F07C-4110-B230-3EB7DCDB4951}" name="Table8345" displayName="Table8345" ref="AJ349:AN370" totalsRowShown="0">
  <autoFilter ref="AJ349:AN370" xr:uid="{84BF3C52-F07C-4110-B230-3EB7DCDB4951}"/>
  <tableColumns count="5">
    <tableColumn id="1" xr3:uid="{BBB3BD8F-85FB-4072-ADDB-BD538492F03A}" name="time"/>
    <tableColumn id="2" xr3:uid="{14A071CC-4A69-436B-A2A9-F46B35419EB7}" name="moment" dataDxfId="273">
      <calculatedColumnFormula>-(Table8345[[#This Row],[time]]-2)*2</calculatedColumnFormula>
    </tableColumn>
    <tableColumn id="3" xr3:uid="{0901FF13-188A-4AAF-B577-973028A59D26}" name="CAREA"/>
    <tableColumn id="4" xr3:uid="{746C4C2E-B999-4E3A-89BA-238B3A51B9C3}" name="CFNM"/>
    <tableColumn id="5" xr3:uid="{2F81D06E-3D3F-4797-8856-43B99D09A37D}" name="CFNM/Total area contact" dataDxfId="272">
      <calculatedColumnFormula>Table8345[[#This Row],[CFNM]]/Table8345[[#This Row],[CAREA]]</calculatedColumnFormula>
    </tableColumn>
  </tableColumns>
  <tableStyleInfo name="TableStyleLight15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343B2C6D-1C29-47C0-8605-820A54995DEB}" name="Table110346" displayName="Table110346" ref="A376:E397" totalsRowShown="0">
  <autoFilter ref="A376:E397" xr:uid="{343B2C6D-1C29-47C0-8605-820A54995DEB}"/>
  <tableColumns count="5">
    <tableColumn id="1" xr3:uid="{0961007E-3453-41AA-BBB6-3118FCDA92EE}" name="time"/>
    <tableColumn id="2" xr3:uid="{BA5C039E-D513-458C-A6F9-30731DA9F2D5}" name="moment" dataDxfId="271">
      <calculatedColumnFormula>(Table110346[[#This Row],[time]]-2)*2</calculatedColumnFormula>
    </tableColumn>
    <tableColumn id="3" xr3:uid="{9ED75194-90FA-4A5D-8D62-10D44D32FCD5}" name="CAREA"/>
    <tableColumn id="4" xr3:uid="{3D7F2B64-A98A-4BE8-B655-B01FDA9A6582}" name="CFNM"/>
    <tableColumn id="5" xr3:uid="{AD4FB3B8-A230-4569-B8CC-ADEF498720FB}" name="CFNM/Total area contact" dataDxfId="270">
      <calculatedColumnFormula>Table110346[[#This Row],[CFNM]]/Table110346[[#This Row],[CAREA]]</calculatedColumnFormula>
    </tableColumn>
  </tableColumns>
  <tableStyleInfo name="TableStyleLight1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63F9CB41-F244-4BB8-B36F-AA59D40AC6FF}" name="Table211347" displayName="Table211347" ref="F376:J397" totalsRowShown="0">
  <autoFilter ref="F376:J397" xr:uid="{63F9CB41-F244-4BB8-B36F-AA59D40AC6FF}"/>
  <tableColumns count="5">
    <tableColumn id="1" xr3:uid="{3DA029E1-7C42-4B88-999A-ECE0A1F5FE31}" name="time"/>
    <tableColumn id="2" xr3:uid="{D48C24DA-8CC3-472B-8F33-88901C3CFFB9}" name="moment" dataDxfId="269">
      <calculatedColumnFormula>(Table211347[[#This Row],[time]]-2)*2</calculatedColumnFormula>
    </tableColumn>
    <tableColumn id="3" xr3:uid="{C190AF02-23EB-4A1B-8769-EF5EBA504500}" name="CAREA"/>
    <tableColumn id="4" xr3:uid="{0CA4D6FC-FDD0-4AD9-95BB-603DE17D47EE}" name="CFNM"/>
    <tableColumn id="5" xr3:uid="{6CA948DB-76F0-469A-A8CC-32C0DCFB6A67}" name="CFNM/Total area contact" dataDxfId="268">
      <calculatedColumnFormula>Table211347[[#This Row],[CFNM]]/Table211347[[#This Row],[CAREA]]</calculatedColumnFormula>
    </tableColumn>
  </tableColumns>
  <tableStyleInfo name="TableStyleLight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9B4CE306-ACDF-42C6-8509-021984C259E0}" name="Table312348" displayName="Table312348" ref="K376:O397" totalsRowShown="0">
  <autoFilter ref="K376:O397" xr:uid="{9B4CE306-ACDF-42C6-8509-021984C259E0}"/>
  <tableColumns count="5">
    <tableColumn id="1" xr3:uid="{1686FF43-43AC-42C2-B95E-4EC87F88B0D3}" name="time"/>
    <tableColumn id="2" xr3:uid="{EA829996-D675-48C7-8875-876484D9BDEB}" name="moment" dataDxfId="267">
      <calculatedColumnFormula>(Table312348[[#This Row],[time]]-2)*2</calculatedColumnFormula>
    </tableColumn>
    <tableColumn id="3" xr3:uid="{CAC026BE-8140-4AFD-8B47-C15E39A47110}" name="CAREA"/>
    <tableColumn id="4" xr3:uid="{C99BA365-E03D-414E-AA81-1F8A0777F3D8}" name="CFNM"/>
    <tableColumn id="5" xr3:uid="{BFEABC4C-ABA5-4EE6-8C52-613E6B15CDFA}" name="CFNM/Total area contact" dataDxfId="266">
      <calculatedColumnFormula>Table312348[[#This Row],[CFNM]]/Table312348[[#This Row],[CAREA]]</calculatedColumnFormula>
    </tableColumn>
  </tableColumns>
  <tableStyleInfo name="TableStyleLight3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3B22DA95-ADE4-4831-9F29-67E7EED6B88C}" name="Table413349" displayName="Table413349" ref="P376:T397" totalsRowShown="0">
  <autoFilter ref="P376:T397" xr:uid="{3B22DA95-ADE4-4831-9F29-67E7EED6B88C}"/>
  <tableColumns count="5">
    <tableColumn id="1" xr3:uid="{AE3FD0AC-5BDE-4853-8847-2A4F0D848E82}" name="time"/>
    <tableColumn id="2" xr3:uid="{4F55A3F0-7261-42A1-B08F-34BB5D3BC3E9}" name="moment" dataDxfId="265">
      <calculatedColumnFormula>(Table413349[[#This Row],[time]]-2)*2</calculatedColumnFormula>
    </tableColumn>
    <tableColumn id="3" xr3:uid="{EF572175-FFE5-4680-8A0D-C45D88849D1E}" name="CAREA"/>
    <tableColumn id="4" xr3:uid="{B70E0D78-A344-419A-BC2A-9A43FD73511C}" name="CFNM"/>
    <tableColumn id="5" xr3:uid="{2EA698B6-D816-49E9-981B-14479A896945}" name="CFNM/Total area contact" dataDxfId="264">
      <calculatedColumnFormula>Table413349[[#This Row],[CFNM]]/Table413349[[#This Row],[CAREA]]</calculatedColumnFormula>
    </tableColumn>
  </tableColumns>
  <tableStyleInfo name="TableStyleLight4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94C4E20D-BDC4-43C6-A633-10FB885FF659}" name="Table514350" displayName="Table514350" ref="U376:Y397" totalsRowShown="0">
  <autoFilter ref="U376:Y397" xr:uid="{94C4E20D-BDC4-43C6-A633-10FB885FF659}"/>
  <tableColumns count="5">
    <tableColumn id="1" xr3:uid="{6E1695F5-3BCB-4C91-93B1-52FE4713661D}" name="time"/>
    <tableColumn id="2" xr3:uid="{62D12E07-E48D-4126-B3F6-1247A3D3E885}" name="moment" dataDxfId="263">
      <calculatedColumnFormula>(Table514350[[#This Row],[time]]-2)*2</calculatedColumnFormula>
    </tableColumn>
    <tableColumn id="3" xr3:uid="{F12BAE75-AF3C-4892-838D-26F79458CD2F}" name="CAREA"/>
    <tableColumn id="4" xr3:uid="{A8B7B5F2-861B-45F3-885B-ADC38CF0D463}" name="CFNM"/>
    <tableColumn id="5" xr3:uid="{B5C338D0-2670-4E89-A0CA-23E6C83990CE}" name="CFNM/Total area contact" dataDxfId="262">
      <calculatedColumnFormula>Table514350[[#This Row],[CFNM]]/Table514350[[#This Row],[CAREA]]</calculatedColumnFormula>
    </tableColumn>
  </tableColumns>
  <tableStyleInfo name="TableStyleLight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FCD027DE-7B15-4570-AB0E-377EB62319E4}" name="Table312252" displayName="Table312252" ref="K34:O55" totalsRowShown="0">
  <autoFilter ref="K34:O55" xr:uid="{FCD027DE-7B15-4570-AB0E-377EB62319E4}"/>
  <tableColumns count="5">
    <tableColumn id="1" xr3:uid="{2276F7CA-D039-464B-807D-73889EBA1F00}" name="time"/>
    <tableColumn id="2" xr3:uid="{3378A9AB-B36D-47CB-9400-89822D36BEE1}" name="moment" dataDxfId="459">
      <calculatedColumnFormula>(Table312252[[#This Row],[time]]-2)*2</calculatedColumnFormula>
    </tableColumn>
    <tableColumn id="3" xr3:uid="{DF5B43AE-F8B4-412A-B27C-6B5A60B3360E}" name="CAREA"/>
    <tableColumn id="4" xr3:uid="{46D68D9D-E3CE-4F60-872B-2B255D797AF4}" name="CFNM"/>
    <tableColumn id="5" xr3:uid="{E6DF7011-D640-4996-BC10-DE26E498397A}" name="CFNM/Total area contact" dataDxfId="458">
      <calculatedColumnFormula>Table312252[[#This Row],[CFNM]]/Table312252[[#This Row],[CAREA]]</calculatedColumnFormula>
    </tableColumn>
  </tableColumns>
  <tableStyleInfo name="TableStyleLight3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7FBED997-8381-438C-B482-C48A47CC836D}" name="Table615351" displayName="Table615351" ref="Z376:AD397" totalsRowShown="0">
  <autoFilter ref="Z376:AD397" xr:uid="{7FBED997-8381-438C-B482-C48A47CC836D}"/>
  <tableColumns count="5">
    <tableColumn id="1" xr3:uid="{CB62BF33-00B6-4F15-A0CF-681B24BF4099}" name="time"/>
    <tableColumn id="2" xr3:uid="{137E3458-7FA2-4F45-BCEE-084B3E754BE3}" name="moment" dataDxfId="261">
      <calculatedColumnFormula>(Table615351[[#This Row],[time]]-2)*2</calculatedColumnFormula>
    </tableColumn>
    <tableColumn id="3" xr3:uid="{BA59F415-94BF-4DF8-B9F3-9E0218B3556B}" name="CAREA"/>
    <tableColumn id="4" xr3:uid="{F7D555BA-D153-417E-BC52-4D138A7B63A5}" name="CFNM"/>
    <tableColumn id="5" xr3:uid="{BF9B677A-AF72-438D-8AEE-90C42B08156C}" name="CFNM/Total area contact" dataDxfId="260">
      <calculatedColumnFormula>Table615351[[#This Row],[CFNM]]/Table615351[[#This Row],[CAREA]]</calculatedColumnFormula>
    </tableColumn>
  </tableColumns>
  <tableStyleInfo name="TableStyleLight6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5B397FE9-F5CF-4A65-9087-E1DAA885DF6C}" name="Table716352" displayName="Table716352" ref="AE376:AI397" totalsRowShown="0">
  <autoFilter ref="AE376:AI397" xr:uid="{5B397FE9-F5CF-4A65-9087-E1DAA885DF6C}"/>
  <tableColumns count="5">
    <tableColumn id="1" xr3:uid="{0B21DBCB-4335-448E-92E1-2CABEBB32595}" name="time"/>
    <tableColumn id="2" xr3:uid="{1654B1DC-4ACB-4B74-88DB-1CFBFECCABB1}" name="moment" dataDxfId="259">
      <calculatedColumnFormula>(Table716352[[#This Row],[time]]-2)*2</calculatedColumnFormula>
    </tableColumn>
    <tableColumn id="3" xr3:uid="{BA8748C4-9ED7-4DF5-889A-7726189EC830}" name="CAREA"/>
    <tableColumn id="4" xr3:uid="{195BAD98-BDB8-4452-9576-6A5450DFDACE}" name="CFNM"/>
    <tableColumn id="5" xr3:uid="{FFCD3C2A-FA03-4F7A-8A45-A57C2F1C9107}" name="CFNM/Total area contact" dataDxfId="258">
      <calculatedColumnFormula>Table716352[[#This Row],[CFNM]]/Table716352[[#This Row],[CAREA]]</calculatedColumnFormula>
    </tableColumn>
  </tableColumns>
  <tableStyleInfo name="TableStyleLight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38C3F47-466B-4C11-B13A-CCA415D5948C}" name="Table817353" displayName="Table817353" ref="AJ376:AN397" totalsRowShown="0">
  <autoFilter ref="AJ376:AN397" xr:uid="{038C3F47-466B-4C11-B13A-CCA415D5948C}"/>
  <tableColumns count="5">
    <tableColumn id="1" xr3:uid="{80A86589-879C-41F4-8944-F05FFDE75C9B}" name="time"/>
    <tableColumn id="2" xr3:uid="{8F5A98CE-0CB5-4840-B96F-8A7C7B505383}" name="moment" dataDxfId="257">
      <calculatedColumnFormula>(Table817353[[#This Row],[time]]-2)*2</calculatedColumnFormula>
    </tableColumn>
    <tableColumn id="3" xr3:uid="{9EF95CB3-7E26-41A7-99F6-934EBE7BCCEC}" name="CAREA"/>
    <tableColumn id="4" xr3:uid="{DE6A50CA-FE09-4B98-9AA5-FFC30076D880}" name="CFNM"/>
    <tableColumn id="5" xr3:uid="{2D804B06-B2F4-467F-BAA6-F65EF8E68DE4}" name="CFNM/Total area contact" dataDxfId="256">
      <calculatedColumnFormula>Table817353[[#This Row],[CFNM]]/Table817353[[#This Row],[CAREA]]</calculatedColumnFormula>
    </tableColumn>
  </tableColumns>
  <tableStyleInfo name="TableStyleLight15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239B17C0-D502-4C1C-9ED5-8505544A5BD9}" name="Table1354" displayName="Table1354" ref="A406:E427" totalsRowShown="0">
  <autoFilter ref="A406:E427" xr:uid="{239B17C0-D502-4C1C-9ED5-8505544A5BD9}"/>
  <tableColumns count="5">
    <tableColumn id="1" xr3:uid="{CDD4AC9E-4CC7-4447-A691-B9CBE40C4F89}" name="time"/>
    <tableColumn id="2" xr3:uid="{05554798-613F-4F6C-8484-1B34C3D2D309}" name="moment" dataDxfId="255">
      <calculatedColumnFormula>-(Table1354[[#This Row],[time]]-2)*2</calculatedColumnFormula>
    </tableColumn>
    <tableColumn id="3" xr3:uid="{3B4CA70D-B688-48E9-8D64-24C7D52F0B65}" name="CAREA"/>
    <tableColumn id="4" xr3:uid="{8588A5B6-A9B1-4B19-A03A-85004B7A7AE9}" name="CFNM"/>
    <tableColumn id="5" xr3:uid="{6828F229-220C-40B8-9405-4C08722E96A9}" name="CFNM/Total area contact" dataDxfId="254">
      <calculatedColumnFormula>Table1354[[#This Row],[CFNM]]/Table1354[[#This Row],[CAREA]]</calculatedColumnFormula>
    </tableColumn>
  </tableColumns>
  <tableStyleInfo name="TableStyleLight1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35D48FD5-30F1-4796-B580-2CCCAA5C64AE}" name="Table2355" displayName="Table2355" ref="F406:J427" totalsRowShown="0">
  <autoFilter ref="F406:J427" xr:uid="{35D48FD5-30F1-4796-B580-2CCCAA5C64AE}"/>
  <tableColumns count="5">
    <tableColumn id="1" xr3:uid="{5C6FA351-4085-4989-B3ED-7CB7EAF60E00}" name="time"/>
    <tableColumn id="2" xr3:uid="{B24B17D2-21A6-4CF3-AE31-0BF62FD525E1}" name="moment" dataDxfId="253">
      <calculatedColumnFormula>-(Table2355[[#This Row],[time]]-2)*2</calculatedColumnFormula>
    </tableColumn>
    <tableColumn id="3" xr3:uid="{EB9D61ED-22C3-4418-B4BB-1281A2AA6BFC}" name="CAREA"/>
    <tableColumn id="4" xr3:uid="{34A1B6E4-AFF3-4BF1-93B8-5463EAAE509E}" name="CFNM"/>
    <tableColumn id="5" xr3:uid="{DB818C40-7ABB-41A0-ABFD-1D482C2224CA}" name="CFNM/Total area contact" dataDxfId="252">
      <calculatedColumnFormula>Table2355[[#This Row],[CFNM]]/Table2355[[#This Row],[CAREA]]</calculatedColumnFormula>
    </tableColumn>
  </tableColumns>
  <tableStyleInfo name="TableStyleLight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E3E5927F-2D4C-4EE6-B5BA-3D768D38996F}" name="Table3356" displayName="Table3356" ref="K406:O427" totalsRowShown="0">
  <autoFilter ref="K406:O427" xr:uid="{E3E5927F-2D4C-4EE6-B5BA-3D768D38996F}"/>
  <tableColumns count="5">
    <tableColumn id="1" xr3:uid="{C34C163A-DA41-4661-8FA9-16699867FC5B}" name="time"/>
    <tableColumn id="2" xr3:uid="{610D35FD-3C62-485D-8E5B-97B47DD59F4A}" name="moment" dataDxfId="251">
      <calculatedColumnFormula>-(Table3356[[#This Row],[time]]-2)*2</calculatedColumnFormula>
    </tableColumn>
    <tableColumn id="3" xr3:uid="{CF6CF54F-2FFC-4D58-992B-EFC4A41E839F}" name="CAREA"/>
    <tableColumn id="4" xr3:uid="{C01CA50D-6AD8-41EC-94CF-15AA18FB7C23}" name="CFNM"/>
    <tableColumn id="5" xr3:uid="{CDF094E1-CA97-48EE-9F68-F0F4ECD110E4}" name="CFNM/Total area contact" dataDxfId="250">
      <calculatedColumnFormula>Table3356[[#This Row],[CFNM]]/Table3356[[#This Row],[CAREA]]</calculatedColumnFormula>
    </tableColumn>
  </tableColumns>
  <tableStyleInfo name="TableStyleLight3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AF2DD582-7990-41F0-AB50-176850D97745}" name="Table4357" displayName="Table4357" ref="P406:T427" totalsRowShown="0">
  <autoFilter ref="P406:T427" xr:uid="{AF2DD582-7990-41F0-AB50-176850D97745}"/>
  <tableColumns count="5">
    <tableColumn id="1" xr3:uid="{C9AA30E1-7C8D-4A54-B4B4-D9A902F765B7}" name="time"/>
    <tableColumn id="2" xr3:uid="{2102B170-C7BA-4711-919A-064A99D82D6B}" name="moment" dataDxfId="249">
      <calculatedColumnFormula>-(Table4357[[#This Row],[time]]-2)*2</calculatedColumnFormula>
    </tableColumn>
    <tableColumn id="3" xr3:uid="{95ADC625-873E-45E2-94C1-C35F293E9CAF}" name="CAREA"/>
    <tableColumn id="4" xr3:uid="{2A85090A-0501-474D-8C44-226BBCD73E05}" name="CFNM"/>
    <tableColumn id="5" xr3:uid="{B7882630-B065-47EA-B4D0-A58618667ECE}" name="CFNM/Total area contact" dataDxfId="248">
      <calculatedColumnFormula>Table4357[[#This Row],[CFNM]]/Table4357[[#This Row],[CAREA]]</calculatedColumnFormula>
    </tableColumn>
  </tableColumns>
  <tableStyleInfo name="TableStyleLight4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59151BF3-2D27-4F2E-8EAB-A72C145A5BC1}" name="Table5358" displayName="Table5358" ref="U406:Y427" totalsRowShown="0">
  <autoFilter ref="U406:Y427" xr:uid="{59151BF3-2D27-4F2E-8EAB-A72C145A5BC1}"/>
  <tableColumns count="5">
    <tableColumn id="1" xr3:uid="{F8DAEFBF-0AFC-44D4-8881-60DE570E2163}" name="time"/>
    <tableColumn id="2" xr3:uid="{ADAD022A-46E1-4914-909A-B5A580BD3E4B}" name="moment" dataDxfId="247">
      <calculatedColumnFormula>-(Table5358[[#This Row],[time]]-2)*2</calculatedColumnFormula>
    </tableColumn>
    <tableColumn id="3" xr3:uid="{5D79E618-B830-4B73-8EE6-35D831AC5759}" name="CAREA"/>
    <tableColumn id="4" xr3:uid="{12B78822-844B-44C3-A298-A9F2AEEA5E15}" name="CFNM"/>
    <tableColumn id="5" xr3:uid="{C6E6F89F-58F6-4EDC-8348-428B77C38C26}" name="CFNM/Total area contact" dataDxfId="246">
      <calculatedColumnFormula>Table5358[[#This Row],[CFNM]]/Table5358[[#This Row],[CAREA]]</calculatedColumnFormula>
    </tableColumn>
  </tableColumns>
  <tableStyleInfo name="TableStyleLight5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C1F85741-D653-44AD-9E8C-A44F40F52747}" name="Table6359" displayName="Table6359" ref="Z406:AD427" totalsRowShown="0">
  <autoFilter ref="Z406:AD427" xr:uid="{C1F85741-D653-44AD-9E8C-A44F40F52747}"/>
  <tableColumns count="5">
    <tableColumn id="1" xr3:uid="{512B73FB-508D-4E89-9825-5F66D3B23C4A}" name="time"/>
    <tableColumn id="2" xr3:uid="{836B276F-ACA8-4282-8B13-3E1F7F9CD51F}" name="moment" dataDxfId="245">
      <calculatedColumnFormula>-(Table6359[[#This Row],[time]]-2)*2</calculatedColumnFormula>
    </tableColumn>
    <tableColumn id="3" xr3:uid="{C64BC516-B2DE-4894-9FB0-4630C57A698F}" name="CAREA"/>
    <tableColumn id="4" xr3:uid="{DA506241-6351-47C7-9F88-A98697A34063}" name="CFNM"/>
    <tableColumn id="5" xr3:uid="{E0BF7FF6-F9BF-48E7-8B8A-D8C556A9541F}" name="CFNM/Total area contact" dataDxfId="244">
      <calculatedColumnFormula>Table6359[[#This Row],[CFNM]]/Table6359[[#This Row],[CAREA]]</calculatedColumnFormula>
    </tableColumn>
  </tableColumns>
  <tableStyleInfo name="TableStyleLight6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673C5C06-345E-40AC-86AA-7CF7827E5F59}" name="Table7360" displayName="Table7360" ref="AE406:AI427" totalsRowShown="0">
  <autoFilter ref="AE406:AI427" xr:uid="{673C5C06-345E-40AC-86AA-7CF7827E5F59}"/>
  <tableColumns count="5">
    <tableColumn id="1" xr3:uid="{6BD7DCF2-A466-46C2-9DBC-E87B7D6F4312}" name="time"/>
    <tableColumn id="2" xr3:uid="{8E2145CA-7C9B-4D12-8BAC-87583D0A0130}" name="moment" dataDxfId="243">
      <calculatedColumnFormula>-(Table7360[[#This Row],[time]]-2)*2</calculatedColumnFormula>
    </tableColumn>
    <tableColumn id="3" xr3:uid="{7090CF33-3A68-46E2-A627-E6D4B4F13BCA}" name="CAREA"/>
    <tableColumn id="4" xr3:uid="{D80EFE96-D866-4964-BC09-CAB9CE66CA37}" name="CFNM"/>
    <tableColumn id="5" xr3:uid="{595BBBD5-866C-475F-A32C-7D7C45F539E1}" name="CFNM/Total area contact" dataDxfId="242">
      <calculatedColumnFormula>Table7360[[#This Row],[CFNM]]/Table7360[[#This Row],[CAREA]]</calculatedColumnFormula>
    </tableColumn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308634C8-B508-4D47-89DB-2BB326831169}" name="Table413253" displayName="Table413253" ref="P34:T55" totalsRowShown="0">
  <autoFilter ref="P34:T55" xr:uid="{308634C8-B508-4D47-89DB-2BB326831169}"/>
  <tableColumns count="5">
    <tableColumn id="1" xr3:uid="{E98554D3-3DAE-411B-83C3-758B20AE5B66}" name="time"/>
    <tableColumn id="2" xr3:uid="{82357A12-C881-4DDC-ACAD-9C72FDD2133A}" name="moment" dataDxfId="457">
      <calculatedColumnFormula>(Table413253[[#This Row],[time]]-2)*2</calculatedColumnFormula>
    </tableColumn>
    <tableColumn id="3" xr3:uid="{7A0B3229-FE71-48A3-9FBE-51DF8F59E90F}" name="CAREA"/>
    <tableColumn id="4" xr3:uid="{068AA586-1763-4A6C-9FB3-8A2FCB4D1205}" name="CFNM"/>
    <tableColumn id="5" xr3:uid="{9ED3DFF9-19E4-4BFF-B464-1302F457A1DE}" name="CFNM/Total area contact" dataDxfId="456">
      <calculatedColumnFormula>Table413253[[#This Row],[CFNM]]/Table413253[[#This Row],[CAREA]]</calculatedColumnFormula>
    </tableColumn>
  </tableColumns>
  <tableStyleInfo name="TableStyleLight4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68E9507A-487E-42FC-AEA9-1B6E5C540A7E}" name="Table8361" displayName="Table8361" ref="AJ406:AN427" totalsRowShown="0">
  <autoFilter ref="AJ406:AN427" xr:uid="{68E9507A-487E-42FC-AEA9-1B6E5C540A7E}"/>
  <tableColumns count="5">
    <tableColumn id="1" xr3:uid="{6683D1D6-4BC6-4351-83D0-4A02C7B17C0D}" name="time"/>
    <tableColumn id="2" xr3:uid="{671B34FD-94BB-4882-824F-22889DDD792B}" name="moment" dataDxfId="241">
      <calculatedColumnFormula>-(Table8361[[#This Row],[time]]-2)*2</calculatedColumnFormula>
    </tableColumn>
    <tableColumn id="3" xr3:uid="{9C7E3484-8CD2-4215-97D3-FE8A4259D5C5}" name="CAREA"/>
    <tableColumn id="4" xr3:uid="{07DC5BDD-22D9-4992-B3EC-F5C79F7E5A4C}" name="CFNM"/>
    <tableColumn id="5" xr3:uid="{682E2777-99D1-4FA9-8BC3-1C050473819C}" name="CFNM/Total area contact" dataDxfId="240">
      <calculatedColumnFormula>Table8361[[#This Row],[CFNM]]/Table8361[[#This Row],[CAREA]]</calculatedColumnFormula>
    </tableColumn>
  </tableColumns>
  <tableStyleInfo name="TableStyleLight15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AC122E4F-A86D-4B0F-B7B8-D9071B12139B}" name="Table110362" displayName="Table110362" ref="A433:E454" totalsRowShown="0">
  <autoFilter ref="A433:E454" xr:uid="{AC122E4F-A86D-4B0F-B7B8-D9071B12139B}"/>
  <tableColumns count="5">
    <tableColumn id="1" xr3:uid="{FA6B91B8-E5C4-48E6-ACD9-2F8808188148}" name="time"/>
    <tableColumn id="2" xr3:uid="{5FA55178-90F4-4123-BB54-66751B60D83B}" name="moment" dataDxfId="239">
      <calculatedColumnFormula>(Table110362[[#This Row],[time]]-2)*2</calculatedColumnFormula>
    </tableColumn>
    <tableColumn id="3" xr3:uid="{152A31D4-CB5F-4990-B42C-C27FF763D341}" name="CAREA"/>
    <tableColumn id="4" xr3:uid="{C2751DC1-53C6-4288-9B48-67D26024DF12}" name="CFNM"/>
    <tableColumn id="5" xr3:uid="{166DAE83-4E86-4207-8905-C134B1F2A4AB}" name="CFNM/Total area contact" dataDxfId="238">
      <calculatedColumnFormula>Table110362[[#This Row],[CFNM]]/Table110362[[#This Row],[CAREA]]</calculatedColumnFormula>
    </tableColumn>
  </tableColumns>
  <tableStyleInfo name="TableStyleLight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B144C0BF-6020-4B07-B32B-8373084E9A92}" name="Table211363" displayName="Table211363" ref="F433:J454" totalsRowShown="0">
  <autoFilter ref="F433:J454" xr:uid="{B144C0BF-6020-4B07-B32B-8373084E9A92}"/>
  <tableColumns count="5">
    <tableColumn id="1" xr3:uid="{F63B4C3A-8A1D-44BD-AF89-354EE7BE2D78}" name="time"/>
    <tableColumn id="2" xr3:uid="{32559E40-0D09-46FA-84B4-30D2BBF7957E}" name="moment" dataDxfId="237">
      <calculatedColumnFormula>(Table211363[[#This Row],[time]]-2)*2</calculatedColumnFormula>
    </tableColumn>
    <tableColumn id="3" xr3:uid="{E95EA318-9B68-437B-A84E-8C621200FB64}" name="CAREA"/>
    <tableColumn id="4" xr3:uid="{1405786A-4A7B-457F-BF5D-E684897C8837}" name="CFNM"/>
    <tableColumn id="5" xr3:uid="{01C0056E-D937-42F8-BC8F-8F11D75F4998}" name="CFNM/Total area contact" dataDxfId="236">
      <calculatedColumnFormula>Table211363[[#This Row],[CFNM]]/Table211363[[#This Row],[CAREA]]</calculatedColumnFormula>
    </tableColumn>
  </tableColumns>
  <tableStyleInfo name="TableStyleLight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E460864C-5D59-429E-AAB5-B38FBF7A9F0C}" name="Table312364" displayName="Table312364" ref="K433:O454" totalsRowShown="0">
  <autoFilter ref="K433:O454" xr:uid="{E460864C-5D59-429E-AAB5-B38FBF7A9F0C}"/>
  <tableColumns count="5">
    <tableColumn id="1" xr3:uid="{D902835A-DCA5-41B7-B080-2E81CE4150E3}" name="time"/>
    <tableColumn id="2" xr3:uid="{DEA705E9-DCF6-4050-876D-960A1368A9DD}" name="moment" dataDxfId="235">
      <calculatedColumnFormula>(Table312364[[#This Row],[time]]-2)*2</calculatedColumnFormula>
    </tableColumn>
    <tableColumn id="3" xr3:uid="{99723CD1-E136-44DE-A94B-1668F746830C}" name="CAREA"/>
    <tableColumn id="4" xr3:uid="{7B003A15-DB5B-4921-9896-7C96AEB7530F}" name="CFNM"/>
    <tableColumn id="5" xr3:uid="{1E084854-FAB0-4C53-A9BA-BDEAB4ACD85A}" name="CFNM/Total area contact" dataDxfId="234">
      <calculatedColumnFormula>Table312364[[#This Row],[CFNM]]/Table312364[[#This Row],[CAREA]]</calculatedColumnFormula>
    </tableColumn>
  </tableColumns>
  <tableStyleInfo name="TableStyleLight3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4318DD95-5745-4774-B607-B1CF83DFAA4A}" name="Table413365" displayName="Table413365" ref="P433:T454" totalsRowShown="0">
  <autoFilter ref="P433:T454" xr:uid="{4318DD95-5745-4774-B607-B1CF83DFAA4A}"/>
  <tableColumns count="5">
    <tableColumn id="1" xr3:uid="{02824A29-DCAF-4B2D-AA7C-E4B53BBEBE2C}" name="time"/>
    <tableColumn id="2" xr3:uid="{176D56DA-5272-4FBA-8551-27BC4E72CF62}" name="moment" dataDxfId="233">
      <calculatedColumnFormula>(Table413365[[#This Row],[time]]-2)*2</calculatedColumnFormula>
    </tableColumn>
    <tableColumn id="3" xr3:uid="{39992D5D-4C0B-4E87-96B6-C593B89C1A37}" name="CAREA"/>
    <tableColumn id="4" xr3:uid="{FE38F307-B976-45A9-8931-6F99E21E86A6}" name="CFNM"/>
    <tableColumn id="5" xr3:uid="{9DF0C352-47FF-4FDE-B7E5-C04869ACB6E3}" name="CFNM/Total area contact" dataDxfId="232">
      <calculatedColumnFormula>Table413365[[#This Row],[CFNM]]/Table413365[[#This Row],[CAREA]]</calculatedColumnFormula>
    </tableColumn>
  </tableColumns>
  <tableStyleInfo name="TableStyleLight4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BAC6725A-FAD8-4C9F-B2C4-688827803B4D}" name="Table514366" displayName="Table514366" ref="U433:Y454" totalsRowShown="0">
  <autoFilter ref="U433:Y454" xr:uid="{BAC6725A-FAD8-4C9F-B2C4-688827803B4D}"/>
  <tableColumns count="5">
    <tableColumn id="1" xr3:uid="{BB5B5121-1E69-4A3A-BD1D-26B616DA889E}" name="time"/>
    <tableColumn id="2" xr3:uid="{35545347-1EC9-4993-9EDC-9E3C927155E6}" name="moment" dataDxfId="231">
      <calculatedColumnFormula>(Table514366[[#This Row],[time]]-2)*2</calculatedColumnFormula>
    </tableColumn>
    <tableColumn id="3" xr3:uid="{B76CAF6C-157F-486E-A809-5FE3AC979A5E}" name="CAREA"/>
    <tableColumn id="4" xr3:uid="{9E007BB7-5DFA-4266-9073-6D91FAF4ACAC}" name="CFNM"/>
    <tableColumn id="5" xr3:uid="{F79EB081-F2BA-4A72-9FD0-3C6B693D0CAF}" name="CFNM/Total area contact" dataDxfId="230">
      <calculatedColumnFormula>Table514366[[#This Row],[CFNM]]/Table514366[[#This Row],[CAREA]]</calculatedColumnFormula>
    </tableColumn>
  </tableColumns>
  <tableStyleInfo name="TableStyleLight5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89E6A33D-655B-4775-8E26-5B4252B7621A}" name="Table615367" displayName="Table615367" ref="Z433:AD454" totalsRowShown="0">
  <autoFilter ref="Z433:AD454" xr:uid="{89E6A33D-655B-4775-8E26-5B4252B7621A}"/>
  <tableColumns count="5">
    <tableColumn id="1" xr3:uid="{7C03FAE5-549A-43B5-8771-E79E8F93F69E}" name="time"/>
    <tableColumn id="2" xr3:uid="{35CC0B61-A8CD-40A7-8305-9F2AE377A8AC}" name="moment" dataDxfId="229">
      <calculatedColumnFormula>(Table615367[[#This Row],[time]]-2)*2</calculatedColumnFormula>
    </tableColumn>
    <tableColumn id="3" xr3:uid="{DABF5774-AC57-4576-B50A-460DE1BF9CA2}" name="CAREA"/>
    <tableColumn id="4" xr3:uid="{2418D3D9-2793-41BB-ABA0-F9BCAA685469}" name="CFNM"/>
    <tableColumn id="5" xr3:uid="{F332D7B3-F58D-40BF-8E6C-97E5E5507478}" name="CFNM/Total area contact" dataDxfId="228">
      <calculatedColumnFormula>Table615367[[#This Row],[CFNM]]/Table615367[[#This Row],[CAREA]]</calculatedColumnFormula>
    </tableColumn>
  </tableColumns>
  <tableStyleInfo name="TableStyleLight6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CFE1ADC6-1697-4400-94EA-33EA00456FCF}" name="Table716368" displayName="Table716368" ref="AE433:AI454" totalsRowShown="0">
  <autoFilter ref="AE433:AI454" xr:uid="{CFE1ADC6-1697-4400-94EA-33EA00456FCF}"/>
  <tableColumns count="5">
    <tableColumn id="1" xr3:uid="{94346AA3-E022-46DF-844E-C12F877800F2}" name="time"/>
    <tableColumn id="2" xr3:uid="{7CB8C322-89C0-43CA-87F9-A621E9BAD3E1}" name="moment" dataDxfId="227">
      <calculatedColumnFormula>(Table716368[[#This Row],[time]]-2)*2</calculatedColumnFormula>
    </tableColumn>
    <tableColumn id="3" xr3:uid="{AF66709A-70F7-4EF3-B7E6-64EC5FDDDA8D}" name="CAREA"/>
    <tableColumn id="4" xr3:uid="{C60D5DB2-E615-43F1-8B11-9C5D99182BBD}" name="CFNM"/>
    <tableColumn id="5" xr3:uid="{6CF224AE-9985-4FD1-9228-5E4541F1FB68}" name="CFNM/Total area contact" dataDxfId="226">
      <calculatedColumnFormula>Table716368[[#This Row],[CFNM]]/Table716368[[#This Row],[CAREA]]</calculatedColumnFormula>
    </tableColumn>
  </tableColumns>
  <tableStyleInfo name="TableStyleLight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6E1F419-71A6-49E1-AEC6-4344A4ABABFB}" name="Table817369" displayName="Table817369" ref="AJ433:AN454" totalsRowShown="0">
  <autoFilter ref="AJ433:AN454" xr:uid="{06E1F419-71A6-49E1-AEC6-4344A4ABABFB}"/>
  <tableColumns count="5">
    <tableColumn id="1" xr3:uid="{CE480C37-2407-4955-AD7F-1D33B8370F7B}" name="time"/>
    <tableColumn id="2" xr3:uid="{E9391F69-272A-4611-BBF7-0B6B37F6E5D2}" name="moment" dataDxfId="225">
      <calculatedColumnFormula>(Table817369[[#This Row],[time]]-2)*2</calculatedColumnFormula>
    </tableColumn>
    <tableColumn id="3" xr3:uid="{714052A8-5B28-4614-BDCA-B101EBC4E9C4}" name="CAREA"/>
    <tableColumn id="4" xr3:uid="{13197137-9121-4EF0-8D98-40044BEDC254}" name="CFNM"/>
    <tableColumn id="5" xr3:uid="{BE76709D-D5CD-4FF0-9A2F-39B8B00F1300}" name="CFNM/Total area contact" dataDxfId="224">
      <calculatedColumnFormula>Table817369[[#This Row],[CFNM]]/Table817369[[#This Row],[CAREA]]</calculatedColumnFormula>
    </tableColumn>
  </tableColumns>
  <tableStyleInfo name="TableStyleLight15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2B8436CA-CC07-4401-A3FD-295CEB3A8D36}" name="Table1370" displayName="Table1370" ref="A463:E484" totalsRowShown="0">
  <autoFilter ref="A463:E484" xr:uid="{2B8436CA-CC07-4401-A3FD-295CEB3A8D36}"/>
  <tableColumns count="5">
    <tableColumn id="1" xr3:uid="{4E336B13-DF00-48A2-9DEC-E187C36EFA38}" name="time"/>
    <tableColumn id="2" xr3:uid="{54A4841A-A3C3-4032-A1C1-7B4508E35B3A}" name="moment" dataDxfId="223">
      <calculatedColumnFormula>-(Table1370[[#This Row],[time]]-2)*2</calculatedColumnFormula>
    </tableColumn>
    <tableColumn id="3" xr3:uid="{6F4A0955-83A2-41E5-9203-0859B3635F48}" name="CAREA"/>
    <tableColumn id="4" xr3:uid="{B21C3822-ACC9-42DB-A037-F7837F752930}" name="CFNM"/>
    <tableColumn id="5" xr3:uid="{84AB1BF7-A61D-4D25-A673-1FF44996A9DA}" name="CFNM/Total area contact" dataDxfId="222">
      <calculatedColumnFormula>Table1370[[#This Row],[CFNM]]/Table1370[[#This Row],[CAREA]]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7A7CCF79-CAF6-4D09-86CC-54DCD30EAE9E}" name="Table514254" displayName="Table514254" ref="U34:Y55" totalsRowShown="0">
  <autoFilter ref="U34:Y55" xr:uid="{7A7CCF79-CAF6-4D09-86CC-54DCD30EAE9E}"/>
  <tableColumns count="5">
    <tableColumn id="1" xr3:uid="{A1D04DA7-EF7B-4A0F-8E77-80F89DDC78E4}" name="time"/>
    <tableColumn id="2" xr3:uid="{40A2FA3C-F94D-4531-B027-9CBA84BF8BF7}" name="moment" dataDxfId="455">
      <calculatedColumnFormula>(Table514254[[#This Row],[time]]-2)*2</calculatedColumnFormula>
    </tableColumn>
    <tableColumn id="3" xr3:uid="{3741FFFC-1D5F-48B7-90F2-A89C1CE79FFB}" name="CAREA"/>
    <tableColumn id="4" xr3:uid="{CADDEF6F-55DD-48AD-AF07-63F07AD1299D}" name="CFNM"/>
    <tableColumn id="5" xr3:uid="{DDB464D4-30B2-4DCD-AD2F-7D4CD8FC40B1}" name="CFNM/Total area contact" dataDxfId="454">
      <calculatedColumnFormula>Table514254[[#This Row],[CFNM]]/Table514254[[#This Row],[CAREA]]</calculatedColumnFormula>
    </tableColumn>
  </tableColumns>
  <tableStyleInfo name="TableStyleLight5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0" xr:uid="{807B16C4-69E2-4B7B-9075-A85DA88A5A1D}" name="Table2371" displayName="Table2371" ref="F463:J484" totalsRowShown="0">
  <autoFilter ref="F463:J484" xr:uid="{807B16C4-69E2-4B7B-9075-A85DA88A5A1D}"/>
  <tableColumns count="5">
    <tableColumn id="1" xr3:uid="{4386218D-712F-4437-8C48-7C9AAC7E7A3C}" name="time"/>
    <tableColumn id="2" xr3:uid="{2C6A9D39-C7DC-40AE-899A-A43AB55E2190}" name="moment" dataDxfId="221">
      <calculatedColumnFormula>-(Table2371[[#This Row],[time]]-2)*2</calculatedColumnFormula>
    </tableColumn>
    <tableColumn id="3" xr3:uid="{983306A6-283E-4BE0-B3BB-373DD8C2EB2A}" name="CAREA"/>
    <tableColumn id="4" xr3:uid="{0D639E26-E751-41C8-9FFB-AB0511DD4E92}" name="CFNM"/>
    <tableColumn id="5" xr3:uid="{29B175FA-8651-4D81-B522-9828BEFD91F3}" name="CFNM/Total area contact" dataDxfId="220">
      <calculatedColumnFormula>Table2371[[#This Row],[CFNM]]/Table2371[[#This Row],[CAREA]]</calculatedColumnFormula>
    </tableColumn>
  </tableColumns>
  <tableStyleInfo name="TableStyleLight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1" xr:uid="{A81295F8-47EB-40AA-A80D-B3032EB84D12}" name="Table3372" displayName="Table3372" ref="K463:O484" totalsRowShown="0">
  <autoFilter ref="K463:O484" xr:uid="{A81295F8-47EB-40AA-A80D-B3032EB84D12}"/>
  <tableColumns count="5">
    <tableColumn id="1" xr3:uid="{97AC220B-5E0D-48E4-8444-FDF1F19A9368}" name="time"/>
    <tableColumn id="2" xr3:uid="{16E980B0-CBE7-48A3-ACAE-C98AC8AE15F3}" name="moment" dataDxfId="219">
      <calculatedColumnFormula>-(Table3372[[#This Row],[time]]-2)*2</calculatedColumnFormula>
    </tableColumn>
    <tableColumn id="3" xr3:uid="{6E56E41C-1521-40EF-A123-8E3FF4D86153}" name="CAREA"/>
    <tableColumn id="4" xr3:uid="{504CF7A7-8AF2-4EA5-8EB6-CEB952BB30B2}" name="CFNM"/>
    <tableColumn id="5" xr3:uid="{100C8E5B-141E-471D-AB40-E1A2AA29D802}" name="CFNM/Total area contact" dataDxfId="218">
      <calculatedColumnFormula>Table3372[[#This Row],[CFNM]]/Table3372[[#This Row],[CAREA]]</calculatedColumnFormula>
    </tableColumn>
  </tableColumns>
  <tableStyleInfo name="TableStyleLight3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2" xr:uid="{0B5ED5AD-1829-497F-8A14-AB55FA082D97}" name="Table4373" displayName="Table4373" ref="P463:T484" totalsRowShown="0">
  <autoFilter ref="P463:T484" xr:uid="{0B5ED5AD-1829-497F-8A14-AB55FA082D97}"/>
  <tableColumns count="5">
    <tableColumn id="1" xr3:uid="{F212D6FF-A61A-4D78-B2F2-DC9ACE2D3D98}" name="time"/>
    <tableColumn id="2" xr3:uid="{D124CAA8-1735-452B-8A02-4B6B33C0FEEB}" name="moment" dataDxfId="217">
      <calculatedColumnFormula>-(Table4373[[#This Row],[time]]-2)*2</calculatedColumnFormula>
    </tableColumn>
    <tableColumn id="3" xr3:uid="{4388BEB1-1BF8-4E16-88B6-A58BEE2CEBC7}" name="CAREA"/>
    <tableColumn id="4" xr3:uid="{B1339A15-A71E-42D2-9B82-8E774FF3C2A1}" name="CFNM"/>
    <tableColumn id="5" xr3:uid="{EE52A890-9921-4DEB-B70D-A6568F92EC5C}" name="CFNM/Total area contact" dataDxfId="216">
      <calculatedColumnFormula>Table4373[[#This Row],[CFNM]]/Table4373[[#This Row],[CAREA]]</calculatedColumnFormula>
    </tableColumn>
  </tableColumns>
  <tableStyleInfo name="TableStyleLight4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3" xr:uid="{8C1D34C7-3179-46F6-9A85-471CFFA86367}" name="Table5374" displayName="Table5374" ref="U463:Y484" totalsRowShown="0">
  <autoFilter ref="U463:Y484" xr:uid="{8C1D34C7-3179-46F6-9A85-471CFFA86367}"/>
  <tableColumns count="5">
    <tableColumn id="1" xr3:uid="{B846CB90-45D4-4818-83FC-3C88DCD88295}" name="time"/>
    <tableColumn id="2" xr3:uid="{AF919F0F-459F-4414-85F8-F927594E65DE}" name="moment" dataDxfId="215">
      <calculatedColumnFormula>-(Table5374[[#This Row],[time]]-2)*2</calculatedColumnFormula>
    </tableColumn>
    <tableColumn id="3" xr3:uid="{714CFA59-9B6E-4138-93EF-495400C85437}" name="CAREA"/>
    <tableColumn id="4" xr3:uid="{E73B0240-0D04-441E-BD7A-E4541ACF8E36}" name="CFNM"/>
    <tableColumn id="5" xr3:uid="{5A853CEC-DD4A-469C-8F42-184CF974B013}" name="CFNM/Total area contact" dataDxfId="214">
      <calculatedColumnFormula>Table5374[[#This Row],[CFNM]]/Table5374[[#This Row],[CAREA]]</calculatedColumnFormula>
    </tableColumn>
  </tableColumns>
  <tableStyleInfo name="TableStyleLight5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4" xr:uid="{48C25566-9570-4A80-AFAD-253B4EE557AD}" name="Table6375" displayName="Table6375" ref="Z463:AD484" totalsRowShown="0">
  <autoFilter ref="Z463:AD484" xr:uid="{48C25566-9570-4A80-AFAD-253B4EE557AD}"/>
  <tableColumns count="5">
    <tableColumn id="1" xr3:uid="{36DB2496-0582-440F-B872-BCEF203EC873}" name="time"/>
    <tableColumn id="2" xr3:uid="{B4BBE218-1A77-44D0-B38F-AABA62B562FD}" name="moment" dataDxfId="213">
      <calculatedColumnFormula>-(Table6375[[#This Row],[time]]-2)*2</calculatedColumnFormula>
    </tableColumn>
    <tableColumn id="3" xr3:uid="{3F9EF95E-781B-4E4B-8FAC-3374C8753811}" name="CAREA"/>
    <tableColumn id="4" xr3:uid="{AB8B8EF0-14C5-4B2C-89B0-27F8C5357E40}" name="CFNM"/>
    <tableColumn id="5" xr3:uid="{C3E2A91A-9DC4-4C94-B7CF-D1A415760585}" name="CFNM/Total area contact" dataDxfId="212">
      <calculatedColumnFormula>Table6375[[#This Row],[CFNM]]/Table6375[[#This Row],[CAREA]]</calculatedColumnFormula>
    </tableColumn>
  </tableColumns>
  <tableStyleInfo name="TableStyleLight6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5" xr:uid="{6F439E61-5631-4AAD-BA28-04CB84CE80CA}" name="Table7376" displayName="Table7376" ref="AE463:AI484" totalsRowShown="0">
  <autoFilter ref="AE463:AI484" xr:uid="{6F439E61-5631-4AAD-BA28-04CB84CE80CA}"/>
  <tableColumns count="5">
    <tableColumn id="1" xr3:uid="{753A2097-B880-4E73-9AE7-70675DD51D84}" name="time"/>
    <tableColumn id="2" xr3:uid="{A8175FA3-E632-4158-96F6-A91BF2C932B6}" name="moment" dataDxfId="211">
      <calculatedColumnFormula>-(Table7376[[#This Row],[time]]-2)*2</calculatedColumnFormula>
    </tableColumn>
    <tableColumn id="3" xr3:uid="{D39FF4E5-F632-4463-B9E7-5B1403EEB467}" name="CAREA"/>
    <tableColumn id="4" xr3:uid="{07E7A535-4C7B-4E84-8330-C7D4BF860CC5}" name="CFNM"/>
    <tableColumn id="5" xr3:uid="{E92B8409-017D-4C4B-A9A6-DD7F7791A03A}" name="CFNM/Total area contact" dataDxfId="210">
      <calculatedColumnFormula>Table7376[[#This Row],[CFNM]]/Table7376[[#This Row],[CAREA]]</calculatedColumnFormula>
    </tableColumn>
  </tableColumns>
  <tableStyleInfo name="TableStyleLight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6" xr:uid="{D4FC5527-B3AA-4E8F-8600-E761439E4BC5}" name="Table8377" displayName="Table8377" ref="AJ463:AN484" totalsRowShown="0">
  <autoFilter ref="AJ463:AN484" xr:uid="{D4FC5527-B3AA-4E8F-8600-E761439E4BC5}"/>
  <tableColumns count="5">
    <tableColumn id="1" xr3:uid="{24F762A3-CA7A-49EF-B0D3-DBED9FF48854}" name="time"/>
    <tableColumn id="2" xr3:uid="{AFE95932-B10F-4842-ADD1-001EB000653F}" name="moment" dataDxfId="209">
      <calculatedColumnFormula>-(Table8377[[#This Row],[time]]-2)*2</calculatedColumnFormula>
    </tableColumn>
    <tableColumn id="3" xr3:uid="{34BC08FC-B17C-4E4B-A1B9-45986A136751}" name="CAREA"/>
    <tableColumn id="4" xr3:uid="{2815CA50-091D-4B9F-83E7-B7A3E3454357}" name="CFNM"/>
    <tableColumn id="5" xr3:uid="{7646B42D-032E-4B1E-8710-29568336EE21}" name="CFNM/Total area contact" dataDxfId="208">
      <calculatedColumnFormula>Table8377[[#This Row],[CFNM]]/Table8377[[#This Row],[CAREA]]</calculatedColumnFormula>
    </tableColumn>
  </tableColumns>
  <tableStyleInfo name="TableStyleLight15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7" xr:uid="{7D85D896-06E2-46FD-9EC1-1A9319A12468}" name="Table110378" displayName="Table110378" ref="A490:E511" totalsRowShown="0">
  <autoFilter ref="A490:E511" xr:uid="{7D85D896-06E2-46FD-9EC1-1A9319A12468}"/>
  <tableColumns count="5">
    <tableColumn id="1" xr3:uid="{E2658104-C30E-4308-9ADC-F931A94487E4}" name="time"/>
    <tableColumn id="2" xr3:uid="{4D5DE6B4-F0E0-4966-9845-B7437FB24BC8}" name="moment" dataDxfId="207">
      <calculatedColumnFormula>(Table110378[[#This Row],[time]]-2)*2</calculatedColumnFormula>
    </tableColumn>
    <tableColumn id="3" xr3:uid="{0888E069-A1D4-4876-95FE-20F5035993D3}" name="CAREA"/>
    <tableColumn id="4" xr3:uid="{38C26EAB-E6B5-4A83-B936-BEFED3267703}" name="CFNM"/>
    <tableColumn id="5" xr3:uid="{1463613E-5ED0-4C7B-897F-46DF36D35FE1}" name="CFNM/Total area contact" dataDxfId="206">
      <calculatedColumnFormula>Table110378[[#This Row],[CFNM]]/Table110378[[#This Row],[CAREA]]</calculatedColumnFormula>
    </tableColumn>
  </tableColumns>
  <tableStyleInfo name="TableStyleLight1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8" xr:uid="{69FDA28A-9121-4758-B174-AA82995B31D7}" name="Table211379" displayName="Table211379" ref="F490:J511" totalsRowShown="0">
  <autoFilter ref="F490:J511" xr:uid="{69FDA28A-9121-4758-B174-AA82995B31D7}"/>
  <tableColumns count="5">
    <tableColumn id="1" xr3:uid="{EEF84117-CA04-4E51-8604-2FECCD55BA4F}" name="time"/>
    <tableColumn id="2" xr3:uid="{18C1DEB8-3769-4DE4-931B-04869F42F698}" name="moment" dataDxfId="205">
      <calculatedColumnFormula>(Table211379[[#This Row],[time]]-2)*2</calculatedColumnFormula>
    </tableColumn>
    <tableColumn id="3" xr3:uid="{D5D6CDCF-8C8F-43E4-BDCD-9546A25F08D6}" name="CAREA"/>
    <tableColumn id="4" xr3:uid="{EF52484D-5EC5-4C84-9FE5-9A6954650FC3}" name="CFNM"/>
    <tableColumn id="5" xr3:uid="{088A8E1A-304F-4620-A22D-3055C2D66C2A}" name="CFNM/Total area contact" dataDxfId="204">
      <calculatedColumnFormula>Table211379[[#This Row],[CFNM]]/Table211379[[#This Row],[CAREA]]</calculatedColumnFormula>
    </tableColumn>
  </tableColumns>
  <tableStyleInfo name="TableStyleLight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9" xr:uid="{4A8A0412-2BA2-452B-8274-82B0E018D3A1}" name="Table312380" displayName="Table312380" ref="K490:O511" totalsRowShown="0">
  <autoFilter ref="K490:O511" xr:uid="{4A8A0412-2BA2-452B-8274-82B0E018D3A1}"/>
  <tableColumns count="5">
    <tableColumn id="1" xr3:uid="{566615C7-FA29-452F-8B12-C25E290999E7}" name="time"/>
    <tableColumn id="2" xr3:uid="{C686ECA4-F75A-4252-88E2-11592AC4D044}" name="moment" dataDxfId="203">
      <calculatedColumnFormula>(Table312380[[#This Row],[time]]-2)*2</calculatedColumnFormula>
    </tableColumn>
    <tableColumn id="3" xr3:uid="{CA7E0008-7D22-4A0C-878D-257BC20D7086}" name="CAREA"/>
    <tableColumn id="4" xr3:uid="{5FF1F5FA-9E5D-426C-A9FB-C770523228A5}" name="CFNM"/>
    <tableColumn id="5" xr3:uid="{D634EE71-AF77-4F92-B42B-A1B0A3DCC87F}" name="CFNM/Total area contact" dataDxfId="202">
      <calculatedColumnFormula>Table312380[[#This Row],[CFNM]]/Table312380[[#This Row],[CAREA]]</calculatedColumnFormula>
    </tableColumn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FC17EB06-F07F-4E54-AF21-0BEC020B5942}" name="Table615255" displayName="Table615255" ref="Z34:AD55" totalsRowShown="0">
  <autoFilter ref="Z34:AD55" xr:uid="{FC17EB06-F07F-4E54-AF21-0BEC020B5942}"/>
  <tableColumns count="5">
    <tableColumn id="1" xr3:uid="{68FFAEF0-A8B4-47C5-A683-EA705D16CC1F}" name="time"/>
    <tableColumn id="2" xr3:uid="{07452B67-C503-4A5A-8D66-7552179C1F84}" name="moment" dataDxfId="453">
      <calculatedColumnFormula>(Table615255[[#This Row],[time]]-2)*2</calculatedColumnFormula>
    </tableColumn>
    <tableColumn id="3" xr3:uid="{F42D0F4E-A7A3-4374-8494-EB9B45E006F0}" name="CAREA"/>
    <tableColumn id="4" xr3:uid="{3373EC1E-53A0-4CD8-B820-216C25CE4986}" name="CFNM"/>
    <tableColumn id="5" xr3:uid="{28CC1043-756B-467D-8C4D-08F7852B7D9B}" name="CFNM/Total area contact" dataDxfId="452">
      <calculatedColumnFormula>Table615255[[#This Row],[CFNM]]/Table615255[[#This Row],[CAREA]]</calculatedColumnFormula>
    </tableColumn>
  </tableColumns>
  <tableStyleInfo name="TableStyleLight6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0" xr:uid="{1B10388A-45C8-402F-A808-5D393F5BE4E6}" name="Table413381" displayName="Table413381" ref="P490:T511" totalsRowShown="0">
  <autoFilter ref="P490:T511" xr:uid="{1B10388A-45C8-402F-A808-5D393F5BE4E6}"/>
  <tableColumns count="5">
    <tableColumn id="1" xr3:uid="{CA2661CD-6454-465E-9A89-1A7DD4DA8CCD}" name="time"/>
    <tableColumn id="2" xr3:uid="{382FB03A-6DEC-44AE-B9D5-44128D3B71EF}" name="moment" dataDxfId="201">
      <calculatedColumnFormula>(Table413381[[#This Row],[time]]-2)*2</calculatedColumnFormula>
    </tableColumn>
    <tableColumn id="3" xr3:uid="{292F64CA-C65B-45DF-AA6E-72D8678D61B7}" name="CAREA"/>
    <tableColumn id="4" xr3:uid="{1C3519D9-C0B6-4A89-A3D4-66CB42E687DB}" name="CFNM"/>
    <tableColumn id="5" xr3:uid="{BE450BEF-F8B6-43C5-BED0-878FBDA78DE9}" name="CFNM/Total area contact" dataDxfId="200">
      <calculatedColumnFormula>Table413381[[#This Row],[CFNM]]/Table413381[[#This Row],[CAREA]]</calculatedColumnFormula>
    </tableColumn>
  </tableColumns>
  <tableStyleInfo name="TableStyleLight4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1" xr:uid="{6EC11E9B-F99E-47FB-9D17-51D50E73D1D3}" name="Table514382" displayName="Table514382" ref="U490:Y511" totalsRowShown="0">
  <autoFilter ref="U490:Y511" xr:uid="{6EC11E9B-F99E-47FB-9D17-51D50E73D1D3}"/>
  <tableColumns count="5">
    <tableColumn id="1" xr3:uid="{14ABAA2D-7AC4-4AE8-9ADE-FCF0E5C7378C}" name="time"/>
    <tableColumn id="2" xr3:uid="{4F62F5AC-F371-4F0D-A007-E572E5E64CE3}" name="moment" dataDxfId="199">
      <calculatedColumnFormula>(Table514382[[#This Row],[time]]-2)*2</calculatedColumnFormula>
    </tableColumn>
    <tableColumn id="3" xr3:uid="{E89FC1A5-C23C-4D8B-871B-E063047E36B2}" name="CAREA"/>
    <tableColumn id="4" xr3:uid="{4F6BDB3A-1F67-4B7F-8A11-C7DC6A8ECB31}" name="CFNM"/>
    <tableColumn id="5" xr3:uid="{0A944199-65A9-4208-BA32-332885ABB039}" name="CFNM/Total area contact" dataDxfId="198">
      <calculatedColumnFormula>Table514382[[#This Row],[CFNM]]/Table514382[[#This Row],[CAREA]]</calculatedColumnFormula>
    </tableColumn>
  </tableColumns>
  <tableStyleInfo name="TableStyleLight5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2" xr:uid="{9B30B126-ED4D-4014-961F-0E61163F0B1D}" name="Table615383" displayName="Table615383" ref="Z490:AD511" totalsRowShown="0">
  <autoFilter ref="Z490:AD511" xr:uid="{9B30B126-ED4D-4014-961F-0E61163F0B1D}"/>
  <tableColumns count="5">
    <tableColumn id="1" xr3:uid="{C70D3377-33DC-4984-874C-00B9583231BF}" name="time"/>
    <tableColumn id="2" xr3:uid="{6239CBD4-9831-47B6-8CEB-F683D54626A1}" name="moment" dataDxfId="197">
      <calculatedColumnFormula>(Table615383[[#This Row],[time]]-2)*2</calculatedColumnFormula>
    </tableColumn>
    <tableColumn id="3" xr3:uid="{40AACFFE-798E-4A48-8CF7-3DC448D89F73}" name="CAREA"/>
    <tableColumn id="4" xr3:uid="{C28BA62C-16D9-4ED5-9D7A-AE6B6C191DB0}" name="CFNM"/>
    <tableColumn id="5" xr3:uid="{51728D83-4BB5-4CE1-8B33-5F2527AE7021}" name="CFNM/Total area contact" dataDxfId="196">
      <calculatedColumnFormula>Table615383[[#This Row],[CFNM]]/Table615383[[#This Row],[CAREA]]</calculatedColumnFormula>
    </tableColumn>
  </tableColumns>
  <tableStyleInfo name="TableStyleLight6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3" xr:uid="{7BCE551F-F1B5-462F-8F3F-68229826C11C}" name="Table716384" displayName="Table716384" ref="AE490:AI511" totalsRowShown="0">
  <autoFilter ref="AE490:AI511" xr:uid="{7BCE551F-F1B5-462F-8F3F-68229826C11C}"/>
  <tableColumns count="5">
    <tableColumn id="1" xr3:uid="{89B4F972-63BD-466E-BA1E-D954DFC48A49}" name="time"/>
    <tableColumn id="2" xr3:uid="{95133DE5-20D1-4281-888E-2037B9D7DE50}" name="moment" dataDxfId="195">
      <calculatedColumnFormula>(Table716384[[#This Row],[time]]-2)*2</calculatedColumnFormula>
    </tableColumn>
    <tableColumn id="3" xr3:uid="{DE7362D8-DA50-4346-8ABC-F373F75F3D12}" name="CAREA"/>
    <tableColumn id="4" xr3:uid="{A863F516-D091-47BC-8B48-060497A38456}" name="CFNM"/>
    <tableColumn id="5" xr3:uid="{68B77967-2C7F-4BE5-8B62-613C5E2BEC00}" name="CFNM/Total area contact" dataDxfId="194">
      <calculatedColumnFormula>Table716384[[#This Row],[CFNM]]/Table716384[[#This Row],[CAREA]]</calculatedColumnFormula>
    </tableColumn>
  </tableColumns>
  <tableStyleInfo name="TableStyleLight7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4" xr:uid="{72FAF2FF-868C-4876-91B0-74F7B1968223}" name="Table817385" displayName="Table817385" ref="AJ490:AN511" totalsRowShown="0">
  <autoFilter ref="AJ490:AN511" xr:uid="{72FAF2FF-868C-4876-91B0-74F7B1968223}"/>
  <tableColumns count="5">
    <tableColumn id="1" xr3:uid="{EDC89D33-1451-4B90-B4EE-6DE530D21A42}" name="time"/>
    <tableColumn id="2" xr3:uid="{D9EC9DD2-AA72-4AB6-88A5-2C5CFE504452}" name="moment" dataDxfId="193">
      <calculatedColumnFormula>(Table817385[[#This Row],[time]]-2)*2</calculatedColumnFormula>
    </tableColumn>
    <tableColumn id="3" xr3:uid="{6CE70BA0-FAE2-478D-8392-C6BFD74F1B67}" name="CAREA"/>
    <tableColumn id="4" xr3:uid="{ED8FC06E-6BC3-473B-9396-894FC79C33C3}" name="CFNM"/>
    <tableColumn id="5" xr3:uid="{06E601C2-9EB9-4046-A832-3A72001AF953}" name="CFNM/Total area contact" dataDxfId="192">
      <calculatedColumnFormula>Table817385[[#This Row],[CFNM]]/Table817385[[#This Row],[CAREA]]</calculatedColumnFormula>
    </tableColumn>
  </tableColumns>
  <tableStyleInfo name="TableStyleLight15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5" xr:uid="{6AAA9381-D002-4712-AAD0-228C84002A05}" name="Table1386" displayName="Table1386" ref="A520:E541" totalsRowShown="0">
  <autoFilter ref="A520:E541" xr:uid="{6AAA9381-D002-4712-AAD0-228C84002A05}"/>
  <tableColumns count="5">
    <tableColumn id="1" xr3:uid="{D3A17E37-E11E-4901-ADEB-DB3F76F4A7BF}" name="time"/>
    <tableColumn id="2" xr3:uid="{9FD8EC30-C1DE-44B4-8ADD-01B432F311C2}" name="moment" dataDxfId="191">
      <calculatedColumnFormula>-(Table1386[[#This Row],[time]]-2)*2</calculatedColumnFormula>
    </tableColumn>
    <tableColumn id="3" xr3:uid="{AC9E8B39-838E-4FCC-A141-63FD3D141A1F}" name="CAREA"/>
    <tableColumn id="4" xr3:uid="{5C98B129-26F8-421F-BE21-F960302A33D4}" name="CFNM"/>
    <tableColumn id="5" xr3:uid="{54B8E0B9-6F50-45E7-AB8F-61CDFEF9B515}" name="CFNM/Total area contact" dataDxfId="190">
      <calculatedColumnFormula>Table1386[[#This Row],[CFNM]]/Table1386[[#This Row],[CAREA]]</calculatedColumnFormula>
    </tableColumn>
  </tableColumns>
  <tableStyleInfo name="TableStyleLight1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6" xr:uid="{2DEB794F-8C2C-45D3-9381-417C835F607F}" name="Table2387" displayName="Table2387" ref="F520:J541" totalsRowShown="0">
  <autoFilter ref="F520:J541" xr:uid="{2DEB794F-8C2C-45D3-9381-417C835F607F}"/>
  <tableColumns count="5">
    <tableColumn id="1" xr3:uid="{10939F99-C1A1-4147-8800-1A569D70F0CD}" name="time"/>
    <tableColumn id="2" xr3:uid="{AFEB34A8-F162-46A0-8778-9B1C39131073}" name="moment" dataDxfId="189">
      <calculatedColumnFormula>-(Table2387[[#This Row],[time]]-2)*2</calculatedColumnFormula>
    </tableColumn>
    <tableColumn id="3" xr3:uid="{0DA2FAE7-76C5-494A-BA4F-F1ACF0811276}" name="CAREA"/>
    <tableColumn id="4" xr3:uid="{EC51A3F7-A4F4-4720-B97D-1BDFD840EBCE}" name="CFNM"/>
    <tableColumn id="5" xr3:uid="{094A4BF5-4F40-4A76-9A2A-D2DCCEB2B14D}" name="CFNM/Total area contact" dataDxfId="188">
      <calculatedColumnFormula>Table2387[[#This Row],[CFNM]]/Table2387[[#This Row],[CAREA]]</calculatedColumnFormula>
    </tableColumn>
  </tableColumns>
  <tableStyleInfo name="TableStyleLight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7" xr:uid="{E446FCAA-4C08-421C-8156-819C50BB3D62}" name="Table3388" displayName="Table3388" ref="K520:O541" totalsRowShown="0">
  <autoFilter ref="K520:O541" xr:uid="{E446FCAA-4C08-421C-8156-819C50BB3D62}"/>
  <tableColumns count="5">
    <tableColumn id="1" xr3:uid="{628ECAD3-7851-40B2-8FE8-9BED5AC335C6}" name="time"/>
    <tableColumn id="2" xr3:uid="{C16976A3-CDEE-42BF-8193-AD30C678ECA1}" name="moment" dataDxfId="187">
      <calculatedColumnFormula>-(Table3388[[#This Row],[time]]-2)*2</calculatedColumnFormula>
    </tableColumn>
    <tableColumn id="3" xr3:uid="{9E99626B-F66F-4601-8F50-ED842C87A63A}" name="CAREA"/>
    <tableColumn id="4" xr3:uid="{1B140FC4-C2C6-4541-8B36-BE135F5BF45F}" name="CFNM"/>
    <tableColumn id="5" xr3:uid="{AF49AA6E-2623-4814-87AB-B66AEBF5E2E6}" name="CFNM/Total area contact" dataDxfId="186">
      <calculatedColumnFormula>Table3388[[#This Row],[CFNM]]/Table3388[[#This Row],[CAREA]]</calculatedColumnFormula>
    </tableColumn>
  </tableColumns>
  <tableStyleInfo name="TableStyleLight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8" xr:uid="{453264CB-10D6-4506-97A6-0143B6C7B607}" name="Table4389" displayName="Table4389" ref="P520:T541" totalsRowShown="0">
  <autoFilter ref="P520:T541" xr:uid="{453264CB-10D6-4506-97A6-0143B6C7B607}"/>
  <tableColumns count="5">
    <tableColumn id="1" xr3:uid="{E3FEE6D8-5891-4648-975A-386ED80AAA1E}" name="time"/>
    <tableColumn id="2" xr3:uid="{D75AE61D-77D4-4FF0-864D-7F22CED7D765}" name="moment" dataDxfId="185">
      <calculatedColumnFormula>-(Table4389[[#This Row],[time]]-2)*2</calculatedColumnFormula>
    </tableColumn>
    <tableColumn id="3" xr3:uid="{DF1B9B7C-DDEC-40E1-AC8F-FF50625E2978}" name="CAREA"/>
    <tableColumn id="4" xr3:uid="{3AB46EC6-D218-46E8-829A-7A7A04C08121}" name="CFNM"/>
    <tableColumn id="5" xr3:uid="{83ED58B5-19B0-4237-921D-4D28D2412496}" name="CFNM/Total area contact" dataDxfId="184">
      <calculatedColumnFormula>Table4389[[#This Row],[CFNM]]/Table4389[[#This Row],[CAREA]]</calculatedColumnFormula>
    </tableColumn>
  </tableColumns>
  <tableStyleInfo name="TableStyleLight4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9" xr:uid="{EE9E7A82-EB8F-4540-87A6-A147E0DAFB8A}" name="Table5390" displayName="Table5390" ref="U520:Y541" totalsRowShown="0">
  <autoFilter ref="U520:Y541" xr:uid="{EE9E7A82-EB8F-4540-87A6-A147E0DAFB8A}"/>
  <tableColumns count="5">
    <tableColumn id="1" xr3:uid="{D62563E4-5413-4973-ABCB-EC9B7FF256B5}" name="time"/>
    <tableColumn id="2" xr3:uid="{0B4E83FA-7568-4968-9BA3-801185B1F86A}" name="moment" dataDxfId="183">
      <calculatedColumnFormula>-(Table5390[[#This Row],[time]]-2)*2</calculatedColumnFormula>
    </tableColumn>
    <tableColumn id="3" xr3:uid="{83FA139A-EC28-4F46-AAD8-86C6ECF82F70}" name="CAREA"/>
    <tableColumn id="4" xr3:uid="{C9089CE6-A982-4489-A1A2-5E589A10307B}" name="CFNM"/>
    <tableColumn id="5" xr3:uid="{39AFC73D-0824-435C-9101-2FB91275F752}" name="CFNM/Total area contact" dataDxfId="182">
      <calculatedColumnFormula>Table5390[[#This Row],[CFNM]]/Table5390[[#This Row],[CAREA]]</calculatedColumnFormula>
    </tableColumn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7581DB20-6AAF-4BC2-93CC-B61CB97C849A}" name="Table716256" displayName="Table716256" ref="AE34:AI55" totalsRowShown="0">
  <autoFilter ref="AE34:AI55" xr:uid="{7581DB20-6AAF-4BC2-93CC-B61CB97C849A}"/>
  <tableColumns count="5">
    <tableColumn id="1" xr3:uid="{B87B10A3-0F35-4BF2-A5EE-A16724910D97}" name="time"/>
    <tableColumn id="2" xr3:uid="{7D330B1B-EAC9-4781-9EB3-985045C0D1A8}" name="moment" dataDxfId="451">
      <calculatedColumnFormula>(Table716256[[#This Row],[time]]-2)*2</calculatedColumnFormula>
    </tableColumn>
    <tableColumn id="3" xr3:uid="{00F8C691-DB2E-40BD-934F-0A0EE76C60F2}" name="CAREA"/>
    <tableColumn id="4" xr3:uid="{55E70D06-4326-4C1D-88A7-5CFE0EBD4C40}" name="CFNM"/>
    <tableColumn id="5" xr3:uid="{857D1787-4A54-467F-B4B9-088E5D2081F1}" name="CFNM/Total area contact" dataDxfId="450">
      <calculatedColumnFormula>Table716256[[#This Row],[CFNM]]/Table716256[[#This Row],[CAREA]]</calculatedColumnFormula>
    </tableColumn>
  </tableColumns>
  <tableStyleInfo name="TableStyleLight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0" xr:uid="{160205CB-40E4-4E59-8F4A-D23C31CD6D02}" name="Table6391" displayName="Table6391" ref="Z520:AD541" totalsRowShown="0">
  <autoFilter ref="Z520:AD541" xr:uid="{160205CB-40E4-4E59-8F4A-D23C31CD6D02}"/>
  <tableColumns count="5">
    <tableColumn id="1" xr3:uid="{2E0B9974-8ED6-4FFB-921B-52F687B03AC3}" name="time"/>
    <tableColumn id="2" xr3:uid="{59E23E57-6751-400A-BBD0-60A8FBF80EED}" name="moment" dataDxfId="181">
      <calculatedColumnFormula>-(Table6391[[#This Row],[time]]-2)*2</calculatedColumnFormula>
    </tableColumn>
    <tableColumn id="3" xr3:uid="{05346E80-5491-43BB-84CA-1EF61C4045AC}" name="CAREA"/>
    <tableColumn id="4" xr3:uid="{440678CE-5FEB-41B0-B8C4-5B63C4B56FFA}" name="CFNM"/>
    <tableColumn id="5" xr3:uid="{17AFB4AB-2CD0-4791-BE1E-E3342F9F7F0B}" name="CFNM/Total area contact" dataDxfId="180">
      <calculatedColumnFormula>Table6391[[#This Row],[CFNM]]/Table6391[[#This Row],[CAREA]]</calculatedColumnFormula>
    </tableColumn>
  </tableColumns>
  <tableStyleInfo name="TableStyleLight6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1" xr:uid="{E6B31E42-2E9C-47F2-B235-EA24F74F0361}" name="Table7392" displayName="Table7392" ref="AE520:AI541" totalsRowShown="0">
  <autoFilter ref="AE520:AI541" xr:uid="{E6B31E42-2E9C-47F2-B235-EA24F74F0361}"/>
  <tableColumns count="5">
    <tableColumn id="1" xr3:uid="{7926E598-C024-4458-9124-199D5381DEF9}" name="time"/>
    <tableColumn id="2" xr3:uid="{2712292C-508D-4338-9215-8C178278B088}" name="moment" dataDxfId="179">
      <calculatedColumnFormula>-(Table7392[[#This Row],[time]]-2)*2</calculatedColumnFormula>
    </tableColumn>
    <tableColumn id="3" xr3:uid="{B08C66EF-924C-4B1C-AF2B-0966AB1BA2B6}" name="CAREA"/>
    <tableColumn id="4" xr3:uid="{A54368B5-1DCA-450E-9F78-AA1AEE0909B0}" name="CFNM"/>
    <tableColumn id="5" xr3:uid="{232A48A3-1C9F-4AA9-8DD3-737014E26E46}" name="CFNM/Total area contact" dataDxfId="178">
      <calculatedColumnFormula>Table7392[[#This Row],[CFNM]]/Table7392[[#This Row],[CAREA]]</calculatedColumnFormula>
    </tableColumn>
  </tableColumns>
  <tableStyleInfo name="TableStyleLight7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2" xr:uid="{614721F4-2AFE-40A8-8F20-E23237DF020C}" name="Table8393" displayName="Table8393" ref="AJ520:AN541" totalsRowShown="0">
  <autoFilter ref="AJ520:AN541" xr:uid="{614721F4-2AFE-40A8-8F20-E23237DF020C}"/>
  <tableColumns count="5">
    <tableColumn id="1" xr3:uid="{8DBFE172-D441-4BFF-A828-1B1F82DE4883}" name="time"/>
    <tableColumn id="2" xr3:uid="{4DE747D3-09D3-4904-88B5-39E1DF733EF5}" name="moment" dataDxfId="177">
      <calculatedColumnFormula>-(Table8393[[#This Row],[time]]-2)*2</calculatedColumnFormula>
    </tableColumn>
    <tableColumn id="3" xr3:uid="{DD1B63B3-CD48-409A-B373-FCAF2A47A35C}" name="CAREA"/>
    <tableColumn id="4" xr3:uid="{2C635F71-47F2-43BA-9D1D-170625B8CAC0}" name="CFNM"/>
    <tableColumn id="5" xr3:uid="{16512521-490C-4042-B923-493156872B61}" name="CFNM/Total area contact" dataDxfId="176">
      <calculatedColumnFormula>Table8393[[#This Row],[CFNM]]/Table8393[[#This Row],[CAREA]]</calculatedColumnFormula>
    </tableColumn>
  </tableColumns>
  <tableStyleInfo name="TableStyleLight15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3" xr:uid="{9A3D12D7-9D0F-4B32-865A-7DDDF69DDA47}" name="Table110394" displayName="Table110394" ref="A547:E568" totalsRowShown="0">
  <autoFilter ref="A547:E568" xr:uid="{9A3D12D7-9D0F-4B32-865A-7DDDF69DDA47}"/>
  <tableColumns count="5">
    <tableColumn id="1" xr3:uid="{2D1ECE60-D210-4432-89BC-CDD4CEC42423}" name="time"/>
    <tableColumn id="2" xr3:uid="{0E4A9F74-8E18-42B4-91D1-2C40D5885126}" name="moment" dataDxfId="175">
      <calculatedColumnFormula>(Table110394[[#This Row],[time]]-2)*2</calculatedColumnFormula>
    </tableColumn>
    <tableColumn id="3" xr3:uid="{B971F862-4446-428B-80A6-549A4CBEEF51}" name="CAREA"/>
    <tableColumn id="4" xr3:uid="{F73D7831-992E-42D2-B7B7-D2085B8593DC}" name="CFNM"/>
    <tableColumn id="5" xr3:uid="{3D6C2A52-877D-4C84-9327-C5CF9D447A23}" name="CFNM/Total area contact" dataDxfId="174">
      <calculatedColumnFormula>Table110394[[#This Row],[CFNM]]/Table110394[[#This Row],[CAREA]]</calculatedColumnFormula>
    </tableColumn>
  </tableColumns>
  <tableStyleInfo name="TableStyleLight1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4" xr:uid="{F61737F3-CA38-4888-AFD6-3F999419E3B8}" name="Table211395" displayName="Table211395" ref="F547:J568" totalsRowShown="0">
  <autoFilter ref="F547:J568" xr:uid="{F61737F3-CA38-4888-AFD6-3F999419E3B8}"/>
  <tableColumns count="5">
    <tableColumn id="1" xr3:uid="{C32DAC84-A56B-4C62-9A5E-8535F0D9024F}" name="time"/>
    <tableColumn id="2" xr3:uid="{6F961686-DA7D-40FF-830B-2B4CDB508CB0}" name="moment" dataDxfId="173">
      <calculatedColumnFormula>(Table211395[[#This Row],[time]]-2)*2</calculatedColumnFormula>
    </tableColumn>
    <tableColumn id="3" xr3:uid="{B1817329-7E2A-425E-8276-4403EC2E8FA9}" name="CAREA"/>
    <tableColumn id="4" xr3:uid="{0C8267F5-0C4A-4121-8562-75D3AA08804C}" name="CFNM"/>
    <tableColumn id="5" xr3:uid="{F957D23B-749E-485E-AD52-157CE2AEAE0B}" name="CFNM/Total area contact" dataDxfId="172">
      <calculatedColumnFormula>Table211395[[#This Row],[CFNM]]/Table211395[[#This Row],[CAREA]]</calculatedColumnFormula>
    </tableColumn>
  </tableColumns>
  <tableStyleInfo name="TableStyleLight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5" xr:uid="{27CBFBA9-AE4A-4E3C-8253-D95E4862736D}" name="Table312396" displayName="Table312396" ref="K547:O568" totalsRowShown="0">
  <autoFilter ref="K547:O568" xr:uid="{27CBFBA9-AE4A-4E3C-8253-D95E4862736D}"/>
  <tableColumns count="5">
    <tableColumn id="1" xr3:uid="{CCF26355-D818-40BC-8A8A-00A076B1DCAA}" name="time"/>
    <tableColumn id="2" xr3:uid="{179C1590-A132-497E-B338-40765C370E81}" name="moment" dataDxfId="171">
      <calculatedColumnFormula>(Table312396[[#This Row],[time]]-2)*2</calculatedColumnFormula>
    </tableColumn>
    <tableColumn id="3" xr3:uid="{707159A8-6FF2-4883-B91B-8AB9EED32263}" name="CAREA"/>
    <tableColumn id="4" xr3:uid="{CC6346E6-EB0F-4A58-A6B1-2E98D5E02827}" name="CFNM"/>
    <tableColumn id="5" xr3:uid="{6E252686-F33C-49CE-AC12-0590B4C6048B}" name="CFNM/Total area contact" dataDxfId="170">
      <calculatedColumnFormula>Table312396[[#This Row],[CFNM]]/Table312396[[#This Row],[CAREA]]</calculatedColumnFormula>
    </tableColumn>
  </tableColumns>
  <tableStyleInfo name="TableStyleLight3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6" xr:uid="{AA5A07E0-4419-4C6F-A8A5-B3DDE0637DBC}" name="Table413397" displayName="Table413397" ref="P547:T568" totalsRowShown="0">
  <autoFilter ref="P547:T568" xr:uid="{AA5A07E0-4419-4C6F-A8A5-B3DDE0637DBC}"/>
  <tableColumns count="5">
    <tableColumn id="1" xr3:uid="{A0F03CDB-9C41-4B64-8A90-1F1CD6D0BA04}" name="time"/>
    <tableColumn id="2" xr3:uid="{9E52AB52-5183-40C5-B309-E7551607B0D9}" name="moment" dataDxfId="169">
      <calculatedColumnFormula>(Table413397[[#This Row],[time]]-2)*2</calculatedColumnFormula>
    </tableColumn>
    <tableColumn id="3" xr3:uid="{29A7205E-7A75-4229-A6A4-407496DD642D}" name="CAREA"/>
    <tableColumn id="4" xr3:uid="{A5971A5A-4AE9-4468-9254-4C864AD987D5}" name="CFNM"/>
    <tableColumn id="5" xr3:uid="{B3BAD893-02F6-4BF5-A470-89D3325B3851}" name="CFNM/Total area contact" dataDxfId="168">
      <calculatedColumnFormula>Table413397[[#This Row],[CFNM]]/Table413397[[#This Row],[CAREA]]</calculatedColumnFormula>
    </tableColumn>
  </tableColumns>
  <tableStyleInfo name="TableStyleLight4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7" xr:uid="{9046B626-6699-4682-A927-C70351AE8FA9}" name="Table514398" displayName="Table514398" ref="U547:Y568" totalsRowShown="0">
  <autoFilter ref="U547:Y568" xr:uid="{9046B626-6699-4682-A927-C70351AE8FA9}"/>
  <tableColumns count="5">
    <tableColumn id="1" xr3:uid="{D7FA48A4-C3F9-41F7-8689-787640DF5067}" name="time"/>
    <tableColumn id="2" xr3:uid="{163D224E-1C9A-4A05-BBAF-9074526C78C0}" name="moment" dataDxfId="167">
      <calculatedColumnFormula>(Table514398[[#This Row],[time]]-2)*2</calculatedColumnFormula>
    </tableColumn>
    <tableColumn id="3" xr3:uid="{64EAC3F1-661D-4816-B27A-27E6C582A49C}" name="CAREA"/>
    <tableColumn id="4" xr3:uid="{AA7D7BF4-BDC2-435D-95FD-D7FC3B1DE170}" name="CFNM"/>
    <tableColumn id="5" xr3:uid="{F634E7DC-59CF-4632-9735-96B5BE9AF923}" name="CFNM/Total area contact" dataDxfId="166">
      <calculatedColumnFormula>Table514398[[#This Row],[CFNM]]/Table514398[[#This Row],[CAREA]]</calculatedColumnFormula>
    </tableColumn>
  </tableColumns>
  <tableStyleInfo name="TableStyleLight5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8" xr:uid="{EC642ECF-1690-4EDB-AFD3-736ED66A3064}" name="Table615399" displayName="Table615399" ref="Z547:AD568" totalsRowShown="0">
  <autoFilter ref="Z547:AD568" xr:uid="{EC642ECF-1690-4EDB-AFD3-736ED66A3064}"/>
  <tableColumns count="5">
    <tableColumn id="1" xr3:uid="{7F6B1B26-682E-435A-A73B-182B7ECF9415}" name="time"/>
    <tableColumn id="2" xr3:uid="{E2366AD8-AD51-4B74-9A66-7C3A5D9B6B2F}" name="moment" dataDxfId="165">
      <calculatedColumnFormula>(Table615399[[#This Row],[time]]-2)*2</calculatedColumnFormula>
    </tableColumn>
    <tableColumn id="3" xr3:uid="{F599B123-3C81-420F-BF03-A0EC7DACB84C}" name="CAREA"/>
    <tableColumn id="4" xr3:uid="{F341CFF3-ABAA-42E1-85EE-D650ABF112FC}" name="CFNM"/>
    <tableColumn id="5" xr3:uid="{85D84702-71FD-4E20-8981-B0DEB8A3888B}" name="CFNM/Total area contact" dataDxfId="164">
      <calculatedColumnFormula>Table615399[[#This Row],[CFNM]]/Table615399[[#This Row],[CAREA]]</calculatedColumnFormula>
    </tableColumn>
  </tableColumns>
  <tableStyleInfo name="TableStyleLight6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9" xr:uid="{068285A0-4B6C-4346-B689-CC016D4E27C3}" name="Table716400" displayName="Table716400" ref="AE547:AI568" totalsRowShown="0">
  <autoFilter ref="AE547:AI568" xr:uid="{068285A0-4B6C-4346-B689-CC016D4E27C3}"/>
  <tableColumns count="5">
    <tableColumn id="1" xr3:uid="{8AD1E5A8-FB11-4C39-9CB9-658B6BBE3EFC}" name="time"/>
    <tableColumn id="2" xr3:uid="{4A3D85D3-6FCA-4D94-8C5A-035CC1ACAECD}" name="moment" dataDxfId="163">
      <calculatedColumnFormula>(Table716400[[#This Row],[time]]-2)*2</calculatedColumnFormula>
    </tableColumn>
    <tableColumn id="3" xr3:uid="{E0841731-1F90-449D-9939-3B6E7BC46119}" name="CAREA"/>
    <tableColumn id="4" xr3:uid="{01740046-EA0F-458D-AF78-C33CB51629D1}" name="CFNM"/>
    <tableColumn id="5" xr3:uid="{D82C0B9F-8A45-45F9-85B3-5919F4BC68AB}" name="CFNM/Total area contact" dataDxfId="162">
      <calculatedColumnFormula>Table716400[[#This Row],[CFNM]]/Table716400[[#This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7AFACB91-2550-491C-BED2-201474CF4C01}" name="Table817257" displayName="Table817257" ref="AJ34:AN55" totalsRowShown="0">
  <autoFilter ref="AJ34:AN55" xr:uid="{7AFACB91-2550-491C-BED2-201474CF4C01}"/>
  <tableColumns count="5">
    <tableColumn id="1" xr3:uid="{BF196503-1504-4F7B-AC85-76BB51E633B6}" name="time"/>
    <tableColumn id="2" xr3:uid="{E04EBAA4-5299-4E4F-B52E-5460ADA80539}" name="moment" dataDxfId="449">
      <calculatedColumnFormula>(Table817257[[#This Row],[time]]-2)*2</calculatedColumnFormula>
    </tableColumn>
    <tableColumn id="3" xr3:uid="{E7DE7262-4DDE-4E04-80EE-142ACB43A798}" name="CAREA"/>
    <tableColumn id="4" xr3:uid="{5C4537DC-678A-45A6-8C30-04744CC8C0DB}" name="CFNM"/>
    <tableColumn id="5" xr3:uid="{671A8694-3816-4326-9B62-F1CBD8C23442}" name="CFNM/Total area contact" dataDxfId="448">
      <calculatedColumnFormula>Table817257[[#This Row],[CFNM]]/Table817257[[#This Row],[CAREA]]</calculatedColumnFormula>
    </tableColumn>
  </tableColumns>
  <tableStyleInfo name="TableStyleLight15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0" xr:uid="{AD173CD3-A8EE-43F5-9313-19C9AF57ADC1}" name="Table817401" displayName="Table817401" ref="AJ547:AN568" totalsRowShown="0">
  <autoFilter ref="AJ547:AN568" xr:uid="{AD173CD3-A8EE-43F5-9313-19C9AF57ADC1}"/>
  <tableColumns count="5">
    <tableColumn id="1" xr3:uid="{001F7313-4845-4908-9F22-96CBA46D8D2A}" name="time"/>
    <tableColumn id="2" xr3:uid="{02297F23-7CED-4B9D-AA6F-93020A3896F6}" name="moment" dataDxfId="161">
      <calculatedColumnFormula>(Table817401[[#This Row],[time]]-2)*2</calculatedColumnFormula>
    </tableColumn>
    <tableColumn id="3" xr3:uid="{205CAB32-DB1F-48F1-A754-99BF7EF6D566}" name="CAREA"/>
    <tableColumn id="4" xr3:uid="{6A4384E7-9EB6-4AC6-922F-811172014703}" name="CFNM"/>
    <tableColumn id="5" xr3:uid="{3832AF31-7EEB-465E-97C6-0071F2A9C403}" name="CFNM/Total area contact" dataDxfId="160">
      <calculatedColumnFormula>Table817401[[#This Row],[CFNM]]/Table817401[[#This Row],[CAREA]]</calculatedColumnFormula>
    </tableColumn>
  </tableColumns>
  <tableStyleInfo name="TableStyleLight15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1" xr:uid="{7C89764C-2FD3-4104-AC7E-E41060591F55}" name="Table1402" displayName="Table1402" ref="A577:E598" totalsRowShown="0">
  <autoFilter ref="A577:E598" xr:uid="{7C89764C-2FD3-4104-AC7E-E41060591F55}"/>
  <tableColumns count="5">
    <tableColumn id="1" xr3:uid="{9D57E021-34D5-4175-A2DB-61EACF05EB60}" name="time"/>
    <tableColumn id="2" xr3:uid="{4E100AE5-CE21-4339-A422-72C9A2D11981}" name="moment" dataDxfId="159">
      <calculatedColumnFormula>-(Table1402[[#This Row],[time]]-2)*2</calculatedColumnFormula>
    </tableColumn>
    <tableColumn id="3" xr3:uid="{3FCC4078-3606-4B85-A10A-C689B2049763}" name="CAREA"/>
    <tableColumn id="4" xr3:uid="{93D8DB55-DD35-41F5-9126-C71CBB77D60C}" name="CFNM"/>
    <tableColumn id="5" xr3:uid="{AE368030-1EEF-48A5-9057-E985EEDE8BAB}" name="CFNM/Total area contact" dataDxfId="158">
      <calculatedColumnFormula>Table1402[[#This Row],[CFNM]]/Table1402[[#This Row],[CAREA]]</calculatedColumnFormula>
    </tableColumn>
  </tableColumns>
  <tableStyleInfo name="TableStyleLight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2" xr:uid="{F535B299-5248-48A6-9240-5D6AC445DBCE}" name="Table2403" displayName="Table2403" ref="F577:J598" totalsRowShown="0">
  <autoFilter ref="F577:J598" xr:uid="{F535B299-5248-48A6-9240-5D6AC445DBCE}"/>
  <tableColumns count="5">
    <tableColumn id="1" xr3:uid="{C8017F37-F706-46DC-8BF7-4586ADC78D2B}" name="time"/>
    <tableColumn id="2" xr3:uid="{7AF320DD-C407-44E7-9A4A-5019309B9A6F}" name="moment" dataDxfId="157">
      <calculatedColumnFormula>-(Table2403[[#This Row],[time]]-2)*2</calculatedColumnFormula>
    </tableColumn>
    <tableColumn id="3" xr3:uid="{B3991028-CA0E-4DD8-A5F4-C547BD752EA1}" name="CAREA"/>
    <tableColumn id="4" xr3:uid="{120CDCD4-AF1D-43CD-BEDF-802580704B65}" name="CFNM"/>
    <tableColumn id="5" xr3:uid="{EB0ABBA5-AE64-4EDC-A722-E302262EAB2B}" name="CFNM/Total area contact" dataDxfId="156">
      <calculatedColumnFormula>Table2403[[#This Row],[CFNM]]/Table2403[[#This Row],[CAREA]]</calculatedColumnFormula>
    </tableColumn>
  </tableColumns>
  <tableStyleInfo name="TableStyleLight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3" xr:uid="{4C12DA95-D67B-41CA-B762-9EB4B25DFA47}" name="Table3404" displayName="Table3404" ref="K577:O598" totalsRowShown="0">
  <autoFilter ref="K577:O598" xr:uid="{4C12DA95-D67B-41CA-B762-9EB4B25DFA47}"/>
  <tableColumns count="5">
    <tableColumn id="1" xr3:uid="{54037122-E29D-458D-B9FB-8C3FC627AF0C}" name="time"/>
    <tableColumn id="2" xr3:uid="{6B5052BE-91D0-416A-AB4F-2FF1CB2CF824}" name="moment" dataDxfId="155">
      <calculatedColumnFormula>-(Table3404[[#This Row],[time]]-2)*2</calculatedColumnFormula>
    </tableColumn>
    <tableColumn id="3" xr3:uid="{65379699-BD28-40D7-8476-ADAFCF38A1C1}" name="CAREA"/>
    <tableColumn id="4" xr3:uid="{647DDD19-0DFD-4528-BAA7-E74E52BFA040}" name="CFNM"/>
    <tableColumn id="5" xr3:uid="{C1B917C5-116E-4790-8AC7-CE9B11698211}" name="CFNM/Total area contact" dataDxfId="154">
      <calculatedColumnFormula>Table3404[[#This Row],[CFNM]]/Table3404[[#This Row],[CAREA]]</calculatedColumnFormula>
    </tableColumn>
  </tableColumns>
  <tableStyleInfo name="TableStyleLight3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4" xr:uid="{5EB81B81-F2F4-4427-9979-3F0D2870C813}" name="Table4405" displayName="Table4405" ref="P577:T598" totalsRowShown="0">
  <autoFilter ref="P577:T598" xr:uid="{5EB81B81-F2F4-4427-9979-3F0D2870C813}"/>
  <tableColumns count="5">
    <tableColumn id="1" xr3:uid="{70B1F64A-ED88-4E44-9304-A673C1A5BA1E}" name="time"/>
    <tableColumn id="2" xr3:uid="{C86334A9-8066-4FD8-AD60-9B1499332643}" name="moment" dataDxfId="153">
      <calculatedColumnFormula>-(Table4405[[#This Row],[time]]-2)*2</calculatedColumnFormula>
    </tableColumn>
    <tableColumn id="3" xr3:uid="{277CF945-2F46-491B-A175-2F70606EACA0}" name="CAREA"/>
    <tableColumn id="4" xr3:uid="{623F21D5-13A8-40CE-A7C1-D618E6D1FFEC}" name="CFNM"/>
    <tableColumn id="5" xr3:uid="{6D0A2E71-F282-48B6-A649-68FF98871100}" name="CFNM/Total area contact" dataDxfId="152">
      <calculatedColumnFormula>Table4405[[#This Row],[CFNM]]/Table4405[[#This Row],[CAREA]]</calculatedColumnFormula>
    </tableColumn>
  </tableColumns>
  <tableStyleInfo name="TableStyleLight4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5" xr:uid="{5A1928B6-DE07-4F04-86C7-BBC242745921}" name="Table5406" displayName="Table5406" ref="U577:Y598" totalsRowShown="0">
  <autoFilter ref="U577:Y598" xr:uid="{5A1928B6-DE07-4F04-86C7-BBC242745921}"/>
  <tableColumns count="5">
    <tableColumn id="1" xr3:uid="{5D10FD30-BCEE-472B-9C89-0D3087D46841}" name="time"/>
    <tableColumn id="2" xr3:uid="{6B7E41DB-1930-4FB1-A9D3-B01018F5F98F}" name="moment" dataDxfId="151">
      <calculatedColumnFormula>-(Table5406[[#This Row],[time]]-2)*2</calculatedColumnFormula>
    </tableColumn>
    <tableColumn id="3" xr3:uid="{3BD3DAB9-C0C8-40C9-9898-785BAB66D2B5}" name="CAREA"/>
    <tableColumn id="4" xr3:uid="{82B59431-3D2A-4BBA-8899-2F4D5461059C}" name="CFNM"/>
    <tableColumn id="5" xr3:uid="{9D1F2176-4FCA-4956-B25B-45600813307D}" name="CFNM/Total area contact" dataDxfId="150">
      <calculatedColumnFormula>Table5406[[#This Row],[CFNM]]/Table5406[[#This Row],[CAREA]]</calculatedColumnFormula>
    </tableColumn>
  </tableColumns>
  <tableStyleInfo name="TableStyleLight5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6" xr:uid="{60F353A5-055F-4BD3-BAB7-BC2DE43610A2}" name="Table6407" displayName="Table6407" ref="Z577:AD598" totalsRowShown="0">
  <autoFilter ref="Z577:AD598" xr:uid="{60F353A5-055F-4BD3-BAB7-BC2DE43610A2}"/>
  <tableColumns count="5">
    <tableColumn id="1" xr3:uid="{4A5DBEAD-8407-449E-859A-AC3FB49002F1}" name="time"/>
    <tableColumn id="2" xr3:uid="{8FD0C13F-221E-4094-9B6D-B931E00AB89A}" name="moment" dataDxfId="149">
      <calculatedColumnFormula>-(Table6407[[#This Row],[time]]-2)*2</calculatedColumnFormula>
    </tableColumn>
    <tableColumn id="3" xr3:uid="{A5191E04-BCAC-434A-AB22-E7115A8E1AF9}" name="CAREA"/>
    <tableColumn id="4" xr3:uid="{DA5D0D2A-86F4-43B0-8576-B6CC66105905}" name="CFNM"/>
    <tableColumn id="5" xr3:uid="{65C11039-FEFC-4884-9426-0903C2D1B2B9}" name="CFNM/Total area contact" dataDxfId="148">
      <calculatedColumnFormula>Table6407[[#This Row],[CFNM]]/Table6407[[#This Row],[CAREA]]</calculatedColumnFormula>
    </tableColumn>
  </tableColumns>
  <tableStyleInfo name="TableStyleLight6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7" xr:uid="{B7B727E2-5CA3-4BDF-AF31-05956B1ECD6A}" name="Table7408" displayName="Table7408" ref="AE577:AI598" totalsRowShown="0">
  <autoFilter ref="AE577:AI598" xr:uid="{B7B727E2-5CA3-4BDF-AF31-05956B1ECD6A}"/>
  <tableColumns count="5">
    <tableColumn id="1" xr3:uid="{1F9EAA6A-6952-4D92-8A6B-122EC6442B6C}" name="time"/>
    <tableColumn id="2" xr3:uid="{D34B588B-A185-45FD-BE7F-B6253DF4711E}" name="moment" dataDxfId="147">
      <calculatedColumnFormula>-(Table7408[[#This Row],[time]]-2)*2</calculatedColumnFormula>
    </tableColumn>
    <tableColumn id="3" xr3:uid="{ADF3E366-88D5-4050-82D4-F621649FE061}" name="CAREA"/>
    <tableColumn id="4" xr3:uid="{33AAAEFA-5D2D-460C-9A4B-B46BF33B4044}" name="CFNM"/>
    <tableColumn id="5" xr3:uid="{16123B6C-8DCE-4F9E-8322-F56DFF5CA08D}" name="CFNM/Total area contact" dataDxfId="146">
      <calculatedColumnFormula>Table7408[[#This Row],[CFNM]]/Table7408[[#This Row],[CAREA]]</calculatedColumnFormula>
    </tableColumn>
  </tableColumns>
  <tableStyleInfo name="TableStyleLight7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8" xr:uid="{CAF036CD-1570-4254-8A17-E2EE3D3E37EF}" name="Table8409" displayName="Table8409" ref="AJ577:AN598" totalsRowShown="0">
  <autoFilter ref="AJ577:AN598" xr:uid="{CAF036CD-1570-4254-8A17-E2EE3D3E37EF}"/>
  <tableColumns count="5">
    <tableColumn id="1" xr3:uid="{99A5A10F-A26B-414F-9B61-3D87F6169F2E}" name="time"/>
    <tableColumn id="2" xr3:uid="{A84B29C0-0F2C-4CA0-81B6-CC9E52C83D79}" name="moment" dataDxfId="145">
      <calculatedColumnFormula>-(Table8409[[#This Row],[time]]-2)*2</calculatedColumnFormula>
    </tableColumn>
    <tableColumn id="3" xr3:uid="{1A11CC28-D134-496B-A5E0-57F6884F2D85}" name="CAREA"/>
    <tableColumn id="4" xr3:uid="{3C58C595-CD9D-49A1-A2A4-8EEAAD8FC526}" name="CFNM"/>
    <tableColumn id="5" xr3:uid="{90D037C0-91C3-4618-83EC-1CA21E2A60DA}" name="CFNM/Total area contact" dataDxfId="144">
      <calculatedColumnFormula>Table8409[[#This Row],[CFNM]]/Table8409[[#This Row],[CAREA]]</calculatedColumnFormula>
    </tableColumn>
  </tableColumns>
  <tableStyleInfo name="TableStyleLight15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9" xr:uid="{BC495D5C-C3B2-426D-86DD-5F78233145F1}" name="Table110410" displayName="Table110410" ref="A604:E625" totalsRowShown="0">
  <autoFilter ref="A604:E625" xr:uid="{BC495D5C-C3B2-426D-86DD-5F78233145F1}"/>
  <tableColumns count="5">
    <tableColumn id="1" xr3:uid="{99E70AC8-6927-4EFD-BA9D-FC386E104579}" name="time"/>
    <tableColumn id="2" xr3:uid="{189B26DF-23EC-4E9B-93AD-F5D303F20A2A}" name="moment" dataDxfId="143">
      <calculatedColumnFormula>(Table110410[[#This Row],[time]]-2)*2</calculatedColumnFormula>
    </tableColumn>
    <tableColumn id="3" xr3:uid="{C26F0E8A-F4B4-41A1-AA30-182CFD9DC5E3}" name="CAREA"/>
    <tableColumn id="4" xr3:uid="{1F39DEF3-3FA7-45C3-89E4-213C4C2C2B95}" name="CFNM"/>
    <tableColumn id="5" xr3:uid="{037FA841-0C41-41BD-BD26-1660DB1E930E}" name="CFNM/Total area contact" dataDxfId="142">
      <calculatedColumnFormula>Table110410[[#This Row],[CFNM]]/Table110410[[#This Row],[CAREA]]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A1AFEE0B-B836-4CA4-AC4E-A9E907779BB4}" name="Table1" displayName="Table1" ref="A91:E112" totalsRowShown="0">
  <autoFilter ref="A91:E112" xr:uid="{A1AFEE0B-B836-4CA4-AC4E-A9E907779BB4}"/>
  <tableColumns count="5">
    <tableColumn id="1" xr3:uid="{9B61AA61-812E-4C5B-8D10-317F2B5013F6}" name="time"/>
    <tableColumn id="2" xr3:uid="{51221302-25DB-40FF-8228-FF8BBDC0CD0C}" name="moment" dataDxfId="447">
      <calculatedColumnFormula>(Table1[[#This Row],[time]]-2)*2</calculatedColumnFormula>
    </tableColumn>
    <tableColumn id="3" xr3:uid="{506DC912-49DB-4CA6-AB24-8EA2F3F110A6}" name="CAREA"/>
    <tableColumn id="4" xr3:uid="{564BF237-9DDC-45F2-B63B-9D0E809AFB97}" name="CFNM"/>
    <tableColumn id="5" xr3:uid="{7011D09D-0548-4884-8346-1D8C27FC6453}" name="CFNM/Total area contact" dataDxfId="446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0" xr:uid="{EAF24628-DECC-44DE-A79E-91ADFC2255C7}" name="Table211411" displayName="Table211411" ref="F604:J625" totalsRowShown="0">
  <autoFilter ref="F604:J625" xr:uid="{EAF24628-DECC-44DE-A79E-91ADFC2255C7}"/>
  <tableColumns count="5">
    <tableColumn id="1" xr3:uid="{5179394D-0395-4A37-B720-99FF9115C494}" name="time"/>
    <tableColumn id="2" xr3:uid="{E00A19CE-76A6-40C2-B677-EA93E1202119}" name="moment" dataDxfId="141">
      <calculatedColumnFormula>(Table211411[[#This Row],[time]]-2)*2</calculatedColumnFormula>
    </tableColumn>
    <tableColumn id="3" xr3:uid="{DA423996-B6C7-4278-AA0F-16518E501EC5}" name="CAREA"/>
    <tableColumn id="4" xr3:uid="{6A0F6D59-06FB-4CCB-BAA3-0FF1C6E2B408}" name="CFNM"/>
    <tableColumn id="5" xr3:uid="{5477594C-190B-43B9-A488-E01DA51330C1}" name="CFNM/Total area contact" dataDxfId="140">
      <calculatedColumnFormula>Table211411[[#This Row],[CFNM]]/Table211411[[#This Row],[CAREA]]</calculatedColumnFormula>
    </tableColumn>
  </tableColumns>
  <tableStyleInfo name="TableStyleLight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1" xr:uid="{7C614595-B8EC-4C44-A243-7F1C6C5F158A}" name="Table312412" displayName="Table312412" ref="K604:O625" totalsRowShown="0">
  <autoFilter ref="K604:O625" xr:uid="{7C614595-B8EC-4C44-A243-7F1C6C5F158A}"/>
  <tableColumns count="5">
    <tableColumn id="1" xr3:uid="{E2D66D2C-65E4-465C-9377-C0A8887AA04B}" name="time"/>
    <tableColumn id="2" xr3:uid="{18521954-A3A1-4415-A6F3-35009E42EE88}" name="moment" dataDxfId="139">
      <calculatedColumnFormula>(Table312412[[#This Row],[time]]-2)*2</calculatedColumnFormula>
    </tableColumn>
    <tableColumn id="3" xr3:uid="{C9556BD9-89A4-40EA-A64C-C6C70CE3EE7E}" name="CAREA"/>
    <tableColumn id="4" xr3:uid="{48AED6D3-F198-41E9-9373-8326953A565F}" name="CFNM"/>
    <tableColumn id="5" xr3:uid="{1921E797-ADCA-43D9-A4D0-E04D449AE618}" name="CFNM/Total area contact" dataDxfId="138">
      <calculatedColumnFormula>Table312412[[#This Row],[CFNM]]/Table312412[[#This Row],[CAREA]]</calculatedColumnFormula>
    </tableColumn>
  </tableColumns>
  <tableStyleInfo name="TableStyleLight3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2" xr:uid="{3EDFE90E-6F4B-4604-8E62-052DC7682520}" name="Table413413" displayName="Table413413" ref="P604:T625" totalsRowShown="0">
  <autoFilter ref="P604:T625" xr:uid="{3EDFE90E-6F4B-4604-8E62-052DC7682520}"/>
  <tableColumns count="5">
    <tableColumn id="1" xr3:uid="{D6ABA5CA-669E-4ED6-8118-2281BD7076CB}" name="time"/>
    <tableColumn id="2" xr3:uid="{48CBC2EB-C0B5-4FE2-B5F5-798CB14ED7B5}" name="moment" dataDxfId="137">
      <calculatedColumnFormula>(Table413413[[#This Row],[time]]-2)*2</calculatedColumnFormula>
    </tableColumn>
    <tableColumn id="3" xr3:uid="{18D1A4B4-27B2-4092-BE7E-0EEAD4ECAFFB}" name="CAREA"/>
    <tableColumn id="4" xr3:uid="{165EB70D-8B80-456D-BA13-B1CFA850B841}" name="CFNM"/>
    <tableColumn id="5" xr3:uid="{CAB6D7D0-07D2-4C54-8631-AE650ED48C5A}" name="CFNM/Total area contact" dataDxfId="136">
      <calculatedColumnFormula>Table413413[[#This Row],[CFNM]]/Table413413[[#This Row],[CAREA]]</calculatedColumnFormula>
    </tableColumn>
  </tableColumns>
  <tableStyleInfo name="TableStyleLight4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3" xr:uid="{409C1B9F-EFF4-46F6-9935-2D6CBA7D7025}" name="Table514414" displayName="Table514414" ref="U604:Y625" totalsRowShown="0">
  <autoFilter ref="U604:Y625" xr:uid="{409C1B9F-EFF4-46F6-9935-2D6CBA7D7025}"/>
  <tableColumns count="5">
    <tableColumn id="1" xr3:uid="{B073965F-7B5A-48C9-8DAA-80FD8AF85A80}" name="time"/>
    <tableColumn id="2" xr3:uid="{F9D9EA85-063A-479A-82F0-A9330E4E7E0D}" name="moment" dataDxfId="135">
      <calculatedColumnFormula>(Table514414[[#This Row],[time]]-2)*2</calculatedColumnFormula>
    </tableColumn>
    <tableColumn id="3" xr3:uid="{DEA7C7CA-2D1A-497D-99F6-6589C69C40C8}" name="CAREA"/>
    <tableColumn id="4" xr3:uid="{C5F65FA1-F2C5-484C-8AC1-7DF3DD6CBA60}" name="CFNM"/>
    <tableColumn id="5" xr3:uid="{180724BA-A039-4862-B7AD-538F02DE91D1}" name="CFNM/Total area contact" dataDxfId="134">
      <calculatedColumnFormula>Table514414[[#This Row],[CFNM]]/Table514414[[#This Row],[CAREA]]</calculatedColumnFormula>
    </tableColumn>
  </tableColumns>
  <tableStyleInfo name="TableStyleLight5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4" xr:uid="{D51467B5-7761-4855-820E-97F4035D3C54}" name="Table615415" displayName="Table615415" ref="Z604:AD625" totalsRowShown="0">
  <autoFilter ref="Z604:AD625" xr:uid="{D51467B5-7761-4855-820E-97F4035D3C54}"/>
  <tableColumns count="5">
    <tableColumn id="1" xr3:uid="{A075C515-DB43-498C-9FDA-F2A5E6517BB5}" name="time"/>
    <tableColumn id="2" xr3:uid="{FFC79B8F-D583-442B-B181-6AFE29617170}" name="moment" dataDxfId="133">
      <calculatedColumnFormula>(Table615415[[#This Row],[time]]-2)*2</calculatedColumnFormula>
    </tableColumn>
    <tableColumn id="3" xr3:uid="{311F3373-E51B-4408-B249-F79185737D96}" name="CAREA"/>
    <tableColumn id="4" xr3:uid="{87712C55-DD80-445D-826E-9A9579B41016}" name="CFNM"/>
    <tableColumn id="5" xr3:uid="{B5DFEDDB-5234-4EFF-BC5B-F7FBA361E427}" name="CFNM/Total area contact" dataDxfId="132">
      <calculatedColumnFormula>Table615415[[#This Row],[CFNM]]/Table615415[[#This Row],[CAREA]]</calculatedColumnFormula>
    </tableColumn>
  </tableColumns>
  <tableStyleInfo name="TableStyleLight6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5" xr:uid="{7441D4BC-4FFF-4584-9C92-626139B9C9C2}" name="Table716416" displayName="Table716416" ref="AE604:AI625" totalsRowShown="0">
  <autoFilter ref="AE604:AI625" xr:uid="{7441D4BC-4FFF-4584-9C92-626139B9C9C2}"/>
  <tableColumns count="5">
    <tableColumn id="1" xr3:uid="{78876A28-7B4A-40C9-98C6-4FDB27013A7C}" name="time"/>
    <tableColumn id="2" xr3:uid="{693FCA5A-186C-4B6E-A218-96FD9723D3B8}" name="moment" dataDxfId="131">
      <calculatedColumnFormula>(Table716416[[#This Row],[time]]-2)*2</calculatedColumnFormula>
    </tableColumn>
    <tableColumn id="3" xr3:uid="{780BB97F-A3DC-4431-BC19-8DAEF15A7C13}" name="CAREA"/>
    <tableColumn id="4" xr3:uid="{F5555D73-0A85-47DD-8CCF-262BF1305EE0}" name="CFNM"/>
    <tableColumn id="5" xr3:uid="{84D50BD8-33ED-486C-BB4A-6919F38AEDE5}" name="CFNM/Total area contact" dataDxfId="130">
      <calculatedColumnFormula>Table716416[[#This Row],[CFNM]]/Table716416[[#This Row],[CAREA]]</calculatedColumnFormula>
    </tableColumn>
  </tableColumns>
  <tableStyleInfo name="TableStyleLight7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6" xr:uid="{24A8E93C-8BBE-4CF5-905F-E2B31A3D1BF1}" name="Table817417" displayName="Table817417" ref="AJ604:AN625" totalsRowShown="0">
  <autoFilter ref="AJ604:AN625" xr:uid="{24A8E93C-8BBE-4CF5-905F-E2B31A3D1BF1}"/>
  <tableColumns count="5">
    <tableColumn id="1" xr3:uid="{8A5FD051-31F4-4802-AAAF-71D3CEFBAE1E}" name="time"/>
    <tableColumn id="2" xr3:uid="{E17D839E-5C0C-4B30-8217-945BD7B093CC}" name="moment" dataDxfId="129">
      <calculatedColumnFormula>(Table817417[[#This Row],[time]]-2)*2</calculatedColumnFormula>
    </tableColumn>
    <tableColumn id="3" xr3:uid="{D99AEA6D-06EC-4252-AB99-C571CA9B1E2A}" name="CAREA"/>
    <tableColumn id="4" xr3:uid="{426499B0-A352-4C3B-B4D9-A230FA0EF114}" name="CFNM"/>
    <tableColumn id="5" xr3:uid="{A613B9B3-1FE5-4B3F-89E6-E40E15D9A137}" name="CFNM/Total area contact" dataDxfId="128">
      <calculatedColumnFormula>Table817417[[#This Row],[CFNM]]/Table817417[[#This Row],[CAREA]]</calculatedColumnFormula>
    </tableColumn>
  </tableColumns>
  <tableStyleInfo name="TableStyleLight15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7" xr:uid="{2D1D1C82-C928-409F-9A5A-888A4DBE6BE9}" name="Table1418" displayName="Table1418" ref="A634:E655" totalsRowShown="0">
  <autoFilter ref="A634:E655" xr:uid="{2D1D1C82-C928-409F-9A5A-888A4DBE6BE9}"/>
  <tableColumns count="5">
    <tableColumn id="1" xr3:uid="{1723560F-8112-41FE-9500-CBF53111CDFE}" name="time"/>
    <tableColumn id="2" xr3:uid="{25B01492-8E42-4B2E-9E61-84B92FDD053A}" name="moment" dataDxfId="127">
      <calculatedColumnFormula>-(Table1418[[#This Row],[time]]-2)*2</calculatedColumnFormula>
    </tableColumn>
    <tableColumn id="3" xr3:uid="{F8C2AED1-0202-44C4-8129-6E8E5ACC3415}" name="CAREA"/>
    <tableColumn id="4" xr3:uid="{610CB178-59B0-4B0C-AE00-4EF9EA04AC23}" name="CFNM"/>
    <tableColumn id="5" xr3:uid="{95C7AC29-D66E-4892-B57E-84A2C889D693}" name="CFNM/Total area contact" dataDxfId="126">
      <calculatedColumnFormula>Table1418[[#This Row],[CFNM]]/Table1418[[#This Row],[CAREA]]</calculatedColumnFormula>
    </tableColumn>
  </tableColumns>
  <tableStyleInfo name="TableStyleLight1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8" xr:uid="{F6B4924B-5796-4D2D-B24B-60EA3DA0F99D}" name="Table2419" displayName="Table2419" ref="F634:J655" totalsRowShown="0">
  <autoFilter ref="F634:J655" xr:uid="{F6B4924B-5796-4D2D-B24B-60EA3DA0F99D}"/>
  <tableColumns count="5">
    <tableColumn id="1" xr3:uid="{30CA8061-E44A-40C4-9EAF-4776FABDE204}" name="time"/>
    <tableColumn id="2" xr3:uid="{F0E7B8EB-5645-4BD0-B4A2-EEB08A9FD70D}" name="moment" dataDxfId="125">
      <calculatedColumnFormula>-(Table2419[[#This Row],[time]]-2)*2</calculatedColumnFormula>
    </tableColumn>
    <tableColumn id="3" xr3:uid="{0CB19B4E-E472-499B-ACDD-2FBF4E0147F0}" name="CAREA"/>
    <tableColumn id="4" xr3:uid="{E6312DF2-0A5B-47A2-9C82-F89A73A5C322}" name="CFNM"/>
    <tableColumn id="5" xr3:uid="{40844C14-8F6C-425A-94FE-5A8B9F668A12}" name="CFNM/Total area contact" dataDxfId="124">
      <calculatedColumnFormula>Table2419[[#This Row],[CFNM]]/Table2419[[#This Row],[CAREA]]</calculatedColumnFormula>
    </tableColumn>
  </tableColumns>
  <tableStyleInfo name="TableStyleLight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9" xr:uid="{4F035F57-2011-4AF7-A294-C7974F291DC8}" name="Table3420" displayName="Table3420" ref="K634:O655" totalsRowShown="0">
  <autoFilter ref="K634:O655" xr:uid="{4F035F57-2011-4AF7-A294-C7974F291DC8}"/>
  <tableColumns count="5">
    <tableColumn id="1" xr3:uid="{B3D896D8-5FA6-474A-965D-E869FCC81A0C}" name="time"/>
    <tableColumn id="2" xr3:uid="{9363A1B9-D68B-44DD-B58B-318259182D13}" name="moment" dataDxfId="123">
      <calculatedColumnFormula>-(Table3420[[#This Row],[time]]-2)*2</calculatedColumnFormula>
    </tableColumn>
    <tableColumn id="3" xr3:uid="{BEA86CBF-7B2E-4673-964F-EE3324E497B5}" name="CAREA"/>
    <tableColumn id="4" xr3:uid="{A7C12F8A-397F-4692-93EB-8ED3DED80365}" name="CFNM"/>
    <tableColumn id="5" xr3:uid="{3594E1E9-B7C4-4FA6-B0B1-995DBAA62147}" name="CFNM/Total area contact" dataDxfId="122">
      <calculatedColumnFormula>Table3420[[#This Row],[CFNM]]/Table3420[[#This Row],[CAREA]]</calculatedColumnFormula>
    </tableColumn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5A0962A1-4B2C-4C23-B0AB-F3FA2F0090A9}" name="Table2" displayName="Table2" ref="F91:J112" totalsRowShown="0">
  <autoFilter ref="F91:J112" xr:uid="{5A0962A1-4B2C-4C23-B0AB-F3FA2F0090A9}"/>
  <tableColumns count="5">
    <tableColumn id="1" xr3:uid="{7DD87F96-5FAB-4683-83A4-23B42AFDF313}" name="time"/>
    <tableColumn id="2" xr3:uid="{9EA24698-4CE8-4BC0-A6B1-6B327A79A20D}" name="moment" dataDxfId="445">
      <calculatedColumnFormula>(Table2[[#This Row],[time]]-2)*2</calculatedColumnFormula>
    </tableColumn>
    <tableColumn id="3" xr3:uid="{7537BB40-B3FF-4C56-B79D-E15DE4A33465}" name="CAREA"/>
    <tableColumn id="4" xr3:uid="{31256981-18AC-442F-AE42-39671E05B7A9}" name="CFNM"/>
    <tableColumn id="5" xr3:uid="{FA214B92-2544-409E-B0D9-192D76BC28AD}" name="CFNM/Total area contact" dataDxfId="444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0" xr:uid="{5AC42425-B79D-4C8D-A1E0-4D2EBF8E1B41}" name="Table4421" displayName="Table4421" ref="P634:T655" totalsRowShown="0">
  <autoFilter ref="P634:T655" xr:uid="{5AC42425-B79D-4C8D-A1E0-4D2EBF8E1B41}"/>
  <tableColumns count="5">
    <tableColumn id="1" xr3:uid="{51F63722-C8AF-4973-870E-1D1C515C817D}" name="time"/>
    <tableColumn id="2" xr3:uid="{9069B182-6552-4BDC-B2FC-E76F78B4D63D}" name="moment" dataDxfId="121">
      <calculatedColumnFormula>-(Table4421[[#This Row],[time]]-2)*2</calculatedColumnFormula>
    </tableColumn>
    <tableColumn id="3" xr3:uid="{2F3755C0-88DC-4A4B-A264-9F279C6DAF00}" name="CAREA"/>
    <tableColumn id="4" xr3:uid="{C819B97F-A4B9-4B82-916A-A9833E218BCD}" name="CFNM"/>
    <tableColumn id="5" xr3:uid="{92F73B8F-2E94-4C46-8B3B-596708A73988}" name="CFNM/Total area contact" dataDxfId="120">
      <calculatedColumnFormula>Table4421[[#This Row],[CFNM]]/Table4421[[#This Row],[CAREA]]</calculatedColumnFormula>
    </tableColumn>
  </tableColumns>
  <tableStyleInfo name="TableStyleLight4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1" xr:uid="{163742EF-E132-41B8-9EF7-DDB2AB4B5DA6}" name="Table5422" displayName="Table5422" ref="U634:Y655" totalsRowShown="0">
  <autoFilter ref="U634:Y655" xr:uid="{163742EF-E132-41B8-9EF7-DDB2AB4B5DA6}"/>
  <tableColumns count="5">
    <tableColumn id="1" xr3:uid="{D1E17B01-499C-4F9F-B025-3745DB467C60}" name="time"/>
    <tableColumn id="2" xr3:uid="{EF1333C3-645C-4223-BFA5-D1273AA16D2D}" name="moment" dataDxfId="119">
      <calculatedColumnFormula>-(Table5422[[#This Row],[time]]-2)*2</calculatedColumnFormula>
    </tableColumn>
    <tableColumn id="3" xr3:uid="{BDAE9C1E-E434-4F2A-925E-CA7965C89EB7}" name="CAREA"/>
    <tableColumn id="4" xr3:uid="{3590417B-CB93-4A6D-B722-DED69F516914}" name="CFNM"/>
    <tableColumn id="5" xr3:uid="{5FCA11D6-367B-4CFA-918D-6F71A171FA60}" name="CFNM/Total area contact" dataDxfId="118">
      <calculatedColumnFormula>Table5422[[#This Row],[CFNM]]/Table5422[[#This Row],[CAREA]]</calculatedColumnFormula>
    </tableColumn>
  </tableColumns>
  <tableStyleInfo name="TableStyleLight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2" xr:uid="{51EF6BA0-4E41-4288-85F8-918D25463975}" name="Table6423" displayName="Table6423" ref="Z634:AD655" totalsRowShown="0">
  <autoFilter ref="Z634:AD655" xr:uid="{51EF6BA0-4E41-4288-85F8-918D25463975}"/>
  <tableColumns count="5">
    <tableColumn id="1" xr3:uid="{EEFA2E4C-2B44-42DF-B5A7-F4E35B46C028}" name="time"/>
    <tableColumn id="2" xr3:uid="{262D92BA-2412-42C1-BF4C-2C7316984837}" name="moment" dataDxfId="117">
      <calculatedColumnFormula>-(Table6423[[#This Row],[time]]-2)*2</calculatedColumnFormula>
    </tableColumn>
    <tableColumn id="3" xr3:uid="{68ACA211-B97E-431C-A88F-01DBD4BC768E}" name="CAREA"/>
    <tableColumn id="4" xr3:uid="{38A1395B-565A-4899-BBF7-499542427D14}" name="CFNM"/>
    <tableColumn id="5" xr3:uid="{F8D8F739-3C47-42A4-AC17-4E460DD6E1E3}" name="CFNM/Total area contact" dataDxfId="116">
      <calculatedColumnFormula>Table6423[[#This Row],[CFNM]]/Table6423[[#This Row],[CAREA]]</calculatedColumnFormula>
    </tableColumn>
  </tableColumns>
  <tableStyleInfo name="TableStyleLight6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3" xr:uid="{98D90DB6-4931-4695-9E78-E81F2F6DFD51}" name="Table7424" displayName="Table7424" ref="AE634:AI655" totalsRowShown="0">
  <autoFilter ref="AE634:AI655" xr:uid="{98D90DB6-4931-4695-9E78-E81F2F6DFD51}"/>
  <tableColumns count="5">
    <tableColumn id="1" xr3:uid="{BD3076CD-3EEA-44B6-B506-9DA04821C99E}" name="time"/>
    <tableColumn id="2" xr3:uid="{66664CAE-C988-4274-93DB-5C4C7F494195}" name="moment" dataDxfId="115">
      <calculatedColumnFormula>-(Table7424[[#This Row],[time]]-2)*2</calculatedColumnFormula>
    </tableColumn>
    <tableColumn id="3" xr3:uid="{0714D487-91B2-49F9-B50A-6C479EBB6A4A}" name="CAREA"/>
    <tableColumn id="4" xr3:uid="{2DD0753D-69E1-4AED-A5D5-F24F706AE243}" name="CFNM"/>
    <tableColumn id="5" xr3:uid="{12D86582-04DD-4B06-8662-516C1E8155D3}" name="CFNM/Total area contact" dataDxfId="114">
      <calculatedColumnFormula>Table7424[[#This Row],[CFNM]]/Table7424[[#This Row],[CAREA]]</calculatedColumnFormula>
    </tableColumn>
  </tableColumns>
  <tableStyleInfo name="TableStyleLight7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4" xr:uid="{33F7F37F-754F-4557-9B72-16849B4877C4}" name="Table8425" displayName="Table8425" ref="AJ634:AN655" totalsRowShown="0">
  <autoFilter ref="AJ634:AN655" xr:uid="{33F7F37F-754F-4557-9B72-16849B4877C4}"/>
  <tableColumns count="5">
    <tableColumn id="1" xr3:uid="{CB02EE91-A6E8-4A46-BC81-5FED7A6EA2BA}" name="time"/>
    <tableColumn id="2" xr3:uid="{D25FA324-690C-4BC7-B0D8-C2FABC1A4022}" name="moment" dataDxfId="113">
      <calculatedColumnFormula>-(Table8425[[#This Row],[time]]-2)*2</calculatedColumnFormula>
    </tableColumn>
    <tableColumn id="3" xr3:uid="{7C102A1B-CAEA-4E9A-9E0F-EA572F600913}" name="CAREA"/>
    <tableColumn id="4" xr3:uid="{6E201D2B-F6F4-42B1-83FC-299E14FB448A}" name="CFNM"/>
    <tableColumn id="5" xr3:uid="{4CE43BDB-1AE6-4E18-80FA-2A80ACB90524}" name="CFNM/Total area contact" dataDxfId="112">
      <calculatedColumnFormula>Table8425[[#This Row],[CFNM]]/Table8425[[#This Row],[CAREA]]</calculatedColumnFormula>
    </tableColumn>
  </tableColumns>
  <tableStyleInfo name="TableStyleLight15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5" xr:uid="{4664103B-FA12-4803-967D-28C06803FAA1}" name="Table110426" displayName="Table110426" ref="A661:E682" totalsRowShown="0">
  <autoFilter ref="A661:E682" xr:uid="{4664103B-FA12-4803-967D-28C06803FAA1}"/>
  <tableColumns count="5">
    <tableColumn id="1" xr3:uid="{5078BC35-6D30-4405-BF15-BD06EE2A2855}" name="time"/>
    <tableColumn id="2" xr3:uid="{61D15D81-BAF8-435A-A68A-1F43518725C0}" name="moment" dataDxfId="111">
      <calculatedColumnFormula>(Table110426[[#This Row],[time]]-2)*2</calculatedColumnFormula>
    </tableColumn>
    <tableColumn id="3" xr3:uid="{75F43D4C-403F-4B40-BEC8-88ADF1FCC233}" name="CAREA"/>
    <tableColumn id="4" xr3:uid="{BCCBE491-D0E8-4144-BA8D-D8DB3EA31DB7}" name="CFNM"/>
    <tableColumn id="5" xr3:uid="{6AA9DD1E-26BC-4D27-91B4-24E39AEDD4A0}" name="CFNM/Total area contact" dataDxfId="110">
      <calculatedColumnFormula>Table110426[[#This Row],[CFNM]]/Table110426[[#This Row],[CAREA]]</calculatedColumnFormula>
    </tableColumn>
  </tableColumns>
  <tableStyleInfo name="TableStyleLight1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6" xr:uid="{75B77E25-F4BF-4239-A077-BE135CFEA990}" name="Table211427" displayName="Table211427" ref="F661:J682" totalsRowShown="0">
  <autoFilter ref="F661:J682" xr:uid="{75B77E25-F4BF-4239-A077-BE135CFEA990}"/>
  <tableColumns count="5">
    <tableColumn id="1" xr3:uid="{1BD1FCB8-EEB0-4B9F-A38B-5A69B38F02DA}" name="time"/>
    <tableColumn id="2" xr3:uid="{92B50FDD-2376-458B-BB0B-2D3B67B0EBA5}" name="moment" dataDxfId="109">
      <calculatedColumnFormula>(Table211427[[#This Row],[time]]-2)*2</calculatedColumnFormula>
    </tableColumn>
    <tableColumn id="3" xr3:uid="{5D509989-B36C-4413-AC6C-11B093F1C9DB}" name="CAREA"/>
    <tableColumn id="4" xr3:uid="{D92D320C-767C-4C15-9C77-EBB3DE1888B9}" name="CFNM"/>
    <tableColumn id="5" xr3:uid="{B0D5E4A9-6D80-4697-B2D1-2E26E679C5AB}" name="CFNM/Total area contact" dataDxfId="108">
      <calculatedColumnFormula>Table211427[[#This Row],[CFNM]]/Table211427[[#This Row],[CAREA]]</calculatedColumnFormula>
    </tableColumn>
  </tableColumns>
  <tableStyleInfo name="TableStyleLight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7" xr:uid="{EBF682E4-BBD9-421A-9D1A-650C33ECE125}" name="Table312428" displayName="Table312428" ref="K661:O682" totalsRowShown="0">
  <autoFilter ref="K661:O682" xr:uid="{EBF682E4-BBD9-421A-9D1A-650C33ECE125}"/>
  <tableColumns count="5">
    <tableColumn id="1" xr3:uid="{623CA3D3-3DD9-4A5E-947D-6AAA3869B516}" name="time"/>
    <tableColumn id="2" xr3:uid="{08BC6D84-0183-44EE-9A64-50ED2B2C6D6D}" name="moment" dataDxfId="107">
      <calculatedColumnFormula>(Table312428[[#This Row],[time]]-2)*2</calculatedColumnFormula>
    </tableColumn>
    <tableColumn id="3" xr3:uid="{077DC10E-831B-477D-9780-78D01AB112E7}" name="CAREA"/>
    <tableColumn id="4" xr3:uid="{8A3BEAF3-24FB-45AD-A24E-69FEA1F99AA8}" name="CFNM"/>
    <tableColumn id="5" xr3:uid="{F602241B-820D-427F-BDA1-30738CAEBBF3}" name="CFNM/Total area contact" dataDxfId="106">
      <calculatedColumnFormula>Table312428[[#This Row],[CFNM]]/Table312428[[#This Row],[CAREA]]</calculatedColumnFormula>
    </tableColumn>
  </tableColumns>
  <tableStyleInfo name="TableStyleLight3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8" xr:uid="{3AFC6A75-312D-44F4-AF2C-E07E67A7A3BA}" name="Table413429" displayName="Table413429" ref="P661:T682" totalsRowShown="0">
  <autoFilter ref="P661:T682" xr:uid="{3AFC6A75-312D-44F4-AF2C-E07E67A7A3BA}"/>
  <tableColumns count="5">
    <tableColumn id="1" xr3:uid="{F1D8DA4C-B2F3-48E8-85DD-173850504412}" name="time"/>
    <tableColumn id="2" xr3:uid="{16CCD3C6-30AC-4665-AEB6-63F9CE1E55C4}" name="moment" dataDxfId="105">
      <calculatedColumnFormula>(Table413429[[#This Row],[time]]-2)*2</calculatedColumnFormula>
    </tableColumn>
    <tableColumn id="3" xr3:uid="{4EE7A31D-D575-4C23-818F-D56AC7A90E71}" name="CAREA"/>
    <tableColumn id="4" xr3:uid="{82D99B07-30C1-4E9C-8DE8-E83E799651E1}" name="CFNM"/>
    <tableColumn id="5" xr3:uid="{EACE2A04-DB91-41A4-B0A8-FB6152DA3CE0}" name="CFNM/Total area contact" dataDxfId="104">
      <calculatedColumnFormula>Table413429[[#This Row],[CFNM]]/Table413429[[#This Row],[CAREA]]</calculatedColumnFormula>
    </tableColumn>
  </tableColumns>
  <tableStyleInfo name="TableStyleLight4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9" xr:uid="{B84591D4-F92E-4F5E-9832-73102E95A64C}" name="Table514430" displayName="Table514430" ref="U661:Y682" totalsRowShown="0">
  <autoFilter ref="U661:Y682" xr:uid="{B84591D4-F92E-4F5E-9832-73102E95A64C}"/>
  <tableColumns count="5">
    <tableColumn id="1" xr3:uid="{2EC7FDA4-D052-4700-8CD6-876D61931C6D}" name="time"/>
    <tableColumn id="2" xr3:uid="{D24858EC-C126-4EDC-A550-D7C456AB27FA}" name="moment" dataDxfId="103">
      <calculatedColumnFormula>(Table514430[[#This Row],[time]]-2)*2</calculatedColumnFormula>
    </tableColumn>
    <tableColumn id="3" xr3:uid="{A4ECA9C5-C224-49C9-84AF-0C93AC830365}" name="CAREA"/>
    <tableColumn id="4" xr3:uid="{356B46B1-6B12-422E-81B2-9C0CA263C45B}" name="CFNM"/>
    <tableColumn id="5" xr3:uid="{B583703B-8F25-4E5E-AA61-77F843E6E01E}" name="CFNM/Total area contact" dataDxfId="102">
      <calculatedColumnFormula>Table514430[[#This Row],[CFNM]]/Table514430[[#This Row],[CAREA]]</calculatedColumnFormula>
    </tableColumn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A6059123-F5BA-420B-9FD0-CDE618FE3306}" name="Table3" displayName="Table3" ref="K91:O112" totalsRowShown="0">
  <autoFilter ref="K91:O112" xr:uid="{A6059123-F5BA-420B-9FD0-CDE618FE3306}"/>
  <tableColumns count="5">
    <tableColumn id="1" xr3:uid="{3CA43D02-44B9-4697-8FD7-995771D9347E}" name="time"/>
    <tableColumn id="2" xr3:uid="{FABFAFF3-955B-4014-89D6-457DD55FE6A0}" name="moment" dataDxfId="443">
      <calculatedColumnFormula>(Table3[[#This Row],[time]]-2)*2</calculatedColumnFormula>
    </tableColumn>
    <tableColumn id="3" xr3:uid="{DDEF2542-0958-428A-90DB-A31CF77D2469}" name="CAREA"/>
    <tableColumn id="4" xr3:uid="{96A02A16-F6D0-4744-939F-56E333CBAF91}" name="CFNM"/>
    <tableColumn id="5" xr3:uid="{E5D4619B-658A-4D74-A52E-F2B4C7349B9A}" name="CFNM/Total area contact" dataDxfId="442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69103145-ECEE-4E59-BDE6-B92F972492B7}" name="Table615431" displayName="Table615431" ref="Z661:AD682" totalsRowShown="0">
  <autoFilter ref="Z661:AD682" xr:uid="{69103145-ECEE-4E59-BDE6-B92F972492B7}"/>
  <tableColumns count="5">
    <tableColumn id="1" xr3:uid="{DF0C5526-C38D-4B4F-99E4-3F42EBCDF1D1}" name="time"/>
    <tableColumn id="2" xr3:uid="{01090406-6ACA-4474-A2C5-392D82C10DBA}" name="moment" dataDxfId="101">
      <calculatedColumnFormula>(Table615431[[#This Row],[time]]-2)*2</calculatedColumnFormula>
    </tableColumn>
    <tableColumn id="3" xr3:uid="{03F9AC5A-DF12-417A-98AF-80D206136C26}" name="CAREA"/>
    <tableColumn id="4" xr3:uid="{D9EB0174-0516-4AA0-BBDC-0C5B827EA16D}" name="CFNM"/>
    <tableColumn id="5" xr3:uid="{4680218A-BD62-483E-8699-273A1D454CB9}" name="CFNM/Total area contact" dataDxfId="100">
      <calculatedColumnFormula>Table615431[[#This Row],[CFNM]]/Table615431[[#This Row],[CAREA]]</calculatedColumnFormula>
    </tableColumn>
  </tableColumns>
  <tableStyleInfo name="TableStyleLight6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2457FBBD-3C14-4946-8D83-5A58D70DDFC1}" name="Table716432" displayName="Table716432" ref="AE661:AI682" totalsRowShown="0">
  <autoFilter ref="AE661:AI682" xr:uid="{2457FBBD-3C14-4946-8D83-5A58D70DDFC1}"/>
  <tableColumns count="5">
    <tableColumn id="1" xr3:uid="{AD007CF6-9B27-48AA-854A-72E0DB07A3F8}" name="time"/>
    <tableColumn id="2" xr3:uid="{452E2566-CD2A-4E97-ABF8-BCB0ED379ABA}" name="moment" dataDxfId="99">
      <calculatedColumnFormula>(Table716432[[#This Row],[time]]-2)*2</calculatedColumnFormula>
    </tableColumn>
    <tableColumn id="3" xr3:uid="{781ECE0A-31EE-418E-A942-A6058BC01C7B}" name="CAREA"/>
    <tableColumn id="4" xr3:uid="{19A51B19-49C8-475C-9716-447A871DC72B}" name="CFNM"/>
    <tableColumn id="5" xr3:uid="{73DB510F-0C5B-4D27-8A9B-520B799018D8}" name="CFNM/Total area contact" dataDxfId="98">
      <calculatedColumnFormula>Table716432[[#This Row],[CFNM]]/Table716432[[#This Row],[CAREA]]</calculatedColumnFormula>
    </tableColumn>
  </tableColumns>
  <tableStyleInfo name="TableStyleLight7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F10C9A1A-9F43-43E4-B83E-A8B7B625A0B3}" name="Table817433" displayName="Table817433" ref="AJ661:AN682" totalsRowShown="0">
  <autoFilter ref="AJ661:AN682" xr:uid="{F10C9A1A-9F43-43E4-B83E-A8B7B625A0B3}"/>
  <tableColumns count="5">
    <tableColumn id="1" xr3:uid="{428BA2AB-E0AC-40F7-83FD-60F6059C7CC2}" name="time"/>
    <tableColumn id="2" xr3:uid="{6DC8F2A2-32F4-443C-9BC0-E9B1B806647D}" name="moment" dataDxfId="97">
      <calculatedColumnFormula>(Table817433[[#This Row],[time]]-2)*2</calculatedColumnFormula>
    </tableColumn>
    <tableColumn id="3" xr3:uid="{EB22ED1B-C315-46F1-B51F-44911ED16CE7}" name="CAREA"/>
    <tableColumn id="4" xr3:uid="{9376700D-13C8-4885-B204-7B9ACF4B3C8F}" name="CFNM"/>
    <tableColumn id="5" xr3:uid="{51D6301D-4A29-4DF3-86BF-D7F1E94E8934}" name="CFNM/Total area contact" dataDxfId="96">
      <calculatedColumnFormula>Table817433[[#This Row],[CFNM]]/Table817433[[#This Row],[CAREA]]</calculatedColumnFormula>
    </tableColumn>
  </tableColumns>
  <tableStyleInfo name="TableStyleLight15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DAB5ABE2-46CF-499E-9997-24F497D1B938}" name="Table1434" displayName="Table1434" ref="A691:E712" totalsRowShown="0">
  <autoFilter ref="A691:E712" xr:uid="{DAB5ABE2-46CF-499E-9997-24F497D1B938}"/>
  <tableColumns count="5">
    <tableColumn id="1" xr3:uid="{AC9F060F-5DED-47CC-9C9A-0FD528823832}" name="time"/>
    <tableColumn id="2" xr3:uid="{C572EDD4-FFE0-480B-9632-5BE935B9C355}" name="moment" dataDxfId="95">
      <calculatedColumnFormula>-(Table1434[[#This Row],[time]]-2)*2</calculatedColumnFormula>
    </tableColumn>
    <tableColumn id="3" xr3:uid="{15C391A5-7424-4C3F-BB8D-81509C4EE0EA}" name="CAREA"/>
    <tableColumn id="4" xr3:uid="{B5A869F9-56DD-4EB6-91CA-BA80A7238FD5}" name="CFNM"/>
    <tableColumn id="5" xr3:uid="{058DE4CA-27A8-4E9F-B2CC-514CEAC57316}" name="CFNM/Total area contact" dataDxfId="94">
      <calculatedColumnFormula>Table1434[[#This Row],[CFNM]]/Table1434[[#This Row],[CAREA]]</calculatedColumnFormula>
    </tableColumn>
  </tableColumns>
  <tableStyleInfo name="TableStyleLight1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FDA80445-54C5-4D57-971C-5F193DB0B465}" name="Table2435" displayName="Table2435" ref="F691:J712" totalsRowShown="0">
  <autoFilter ref="F691:J712" xr:uid="{FDA80445-54C5-4D57-971C-5F193DB0B465}"/>
  <tableColumns count="5">
    <tableColumn id="1" xr3:uid="{11E5AFF2-223F-46F7-ACD5-2EC632E6598F}" name="time"/>
    <tableColumn id="2" xr3:uid="{64EB7C26-9147-432E-B9A0-280518069966}" name="moment" dataDxfId="93">
      <calculatedColumnFormula>-(Table2435[[#This Row],[time]]-2)*2</calculatedColumnFormula>
    </tableColumn>
    <tableColumn id="3" xr3:uid="{DF92B32C-9A63-4A38-BD6D-B39F59F93BF5}" name="CAREA"/>
    <tableColumn id="4" xr3:uid="{6920BBBB-9558-46A5-8DD9-2E3B90A5DE1D}" name="CFNM"/>
    <tableColumn id="5" xr3:uid="{E4C19022-406B-4D2B-885F-F9DB6324157F}" name="CFNM/Total area contact" dataDxfId="92">
      <calculatedColumnFormula>Table2435[[#This Row],[CFNM]]/Table2435[[#This Row],[CAREA]]</calculatedColumnFormula>
    </tableColumn>
  </tableColumns>
  <tableStyleInfo name="TableStyleLight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3074F06D-1E29-4503-B494-D5833D2B241A}" name="Table3436" displayName="Table3436" ref="K691:O712" totalsRowShown="0">
  <autoFilter ref="K691:O712" xr:uid="{3074F06D-1E29-4503-B494-D5833D2B241A}"/>
  <tableColumns count="5">
    <tableColumn id="1" xr3:uid="{B0207FFC-B420-451B-9D92-2CF990A97F93}" name="time"/>
    <tableColumn id="2" xr3:uid="{C4C33293-8AB3-4398-9178-CF5249B8E3BF}" name="moment" dataDxfId="91">
      <calculatedColumnFormula>-(Table3436[[#This Row],[time]]-2)*2</calculatedColumnFormula>
    </tableColumn>
    <tableColumn id="3" xr3:uid="{A149B9C1-ACFC-410B-B2E9-1A4A2EE82A57}" name="CAREA"/>
    <tableColumn id="4" xr3:uid="{1D28231E-2B7F-42E7-9B62-4308571F431E}" name="CFNM"/>
    <tableColumn id="5" xr3:uid="{A18880C5-929A-4AC5-9725-386F2FB0DE92}" name="CFNM/Total area contact" dataDxfId="90">
      <calculatedColumnFormula>Table3436[[#This Row],[CFNM]]/Table3436[[#This Row],[CAREA]]</calculatedColumnFormula>
    </tableColumn>
  </tableColumns>
  <tableStyleInfo name="TableStyleLight3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3B4F5DAE-199A-4E57-A9D9-17B3C4057B3B}" name="Table4437" displayName="Table4437" ref="P691:T712" totalsRowShown="0">
  <autoFilter ref="P691:T712" xr:uid="{3B4F5DAE-199A-4E57-A9D9-17B3C4057B3B}"/>
  <tableColumns count="5">
    <tableColumn id="1" xr3:uid="{27195E90-41CA-4165-BAC6-E2789F24EECB}" name="time"/>
    <tableColumn id="2" xr3:uid="{475A5E97-F6FB-4647-8ACE-FD5AEF47DD2F}" name="moment" dataDxfId="89">
      <calculatedColumnFormula>-(Table4437[[#This Row],[time]]-2)*2</calculatedColumnFormula>
    </tableColumn>
    <tableColumn id="3" xr3:uid="{1B263327-7778-4BE8-8AEC-27233204AB7A}" name="CAREA"/>
    <tableColumn id="4" xr3:uid="{16ADD4C3-B8D5-4085-9C2F-F6D583351775}" name="CFNM"/>
    <tableColumn id="5" xr3:uid="{BC7E747E-260D-4AC6-B802-398BA0D26A99}" name="CFNM/Total area contact" dataDxfId="88">
      <calculatedColumnFormula>Table4437[[#This Row],[CFNM]]/Table4437[[#This Row],[CAREA]]</calculatedColumnFormula>
    </tableColumn>
  </tableColumns>
  <tableStyleInfo name="TableStyleLight4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87A0EEE6-D13D-4699-A7D2-E9EBDF4AF8E9}" name="Table5438" displayName="Table5438" ref="U691:Y712" totalsRowShown="0">
  <autoFilter ref="U691:Y712" xr:uid="{87A0EEE6-D13D-4699-A7D2-E9EBDF4AF8E9}"/>
  <tableColumns count="5">
    <tableColumn id="1" xr3:uid="{161BA9DF-984B-4D90-B610-79A9C20EA0AE}" name="time"/>
    <tableColumn id="2" xr3:uid="{D41A9581-D3B3-4D9B-936E-E6407D8EC71C}" name="moment" dataDxfId="87">
      <calculatedColumnFormula>-(Table5438[[#This Row],[time]]-2)*2</calculatedColumnFormula>
    </tableColumn>
    <tableColumn id="3" xr3:uid="{AEFA6F71-BACE-4A0D-8965-9C535D34E8D8}" name="CAREA"/>
    <tableColumn id="4" xr3:uid="{6853F9C5-4269-46F5-87CE-1D92B04A6677}" name="CFNM"/>
    <tableColumn id="5" xr3:uid="{71459401-50C3-4A96-817F-1CDF7341CA0B}" name="CFNM/Total area contact" dataDxfId="86">
      <calculatedColumnFormula>Table5438[[#This Row],[CFNM]]/Table5438[[#This Row],[CAREA]]</calculatedColumnFormula>
    </tableColumn>
  </tableColumns>
  <tableStyleInfo name="TableStyleLight5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8E70288E-12FA-4E79-B209-C77DF7E0AA39}" name="Table6439" displayName="Table6439" ref="Z691:AD712" totalsRowShown="0">
  <autoFilter ref="Z691:AD712" xr:uid="{8E70288E-12FA-4E79-B209-C77DF7E0AA39}"/>
  <tableColumns count="5">
    <tableColumn id="1" xr3:uid="{7EDDA8DC-DCD7-45A7-BCDF-809D909AEB34}" name="time"/>
    <tableColumn id="2" xr3:uid="{FA557181-48FE-4483-BFEF-33FCBD7A03E2}" name="moment" dataDxfId="85">
      <calculatedColumnFormula>-(Table6439[[#This Row],[time]]-2)*2</calculatedColumnFormula>
    </tableColumn>
    <tableColumn id="3" xr3:uid="{A86EAA57-ECF2-4D52-952A-9A207BA9EDF3}" name="CAREA"/>
    <tableColumn id="4" xr3:uid="{A15F6103-BC7A-4723-AF20-FD37D37FF509}" name="CFNM"/>
    <tableColumn id="5" xr3:uid="{68D579BA-CAD3-4F77-A7D7-DA60BB1C42B0}" name="CFNM/Total area contact" dataDxfId="84">
      <calculatedColumnFormula>Table6439[[#This Row],[CFNM]]/Table6439[[#This Row],[CAREA]]</calculatedColumnFormula>
    </tableColumn>
  </tableColumns>
  <tableStyleInfo name="TableStyleLight6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64D90CA3-A377-426A-91BF-DC65D883C093}" name="Table7440" displayName="Table7440" ref="AE691:AI712" totalsRowShown="0">
  <autoFilter ref="AE691:AI712" xr:uid="{64D90CA3-A377-426A-91BF-DC65D883C093}"/>
  <tableColumns count="5">
    <tableColumn id="1" xr3:uid="{A62C57F7-F052-47BD-AFAA-822997DED4E5}" name="time"/>
    <tableColumn id="2" xr3:uid="{3A6EB93A-8CDE-45A0-A038-B52B524627B2}" name="moment" dataDxfId="83">
      <calculatedColumnFormula>-(Table7440[[#This Row],[time]]-2)*2</calculatedColumnFormula>
    </tableColumn>
    <tableColumn id="3" xr3:uid="{A3C7ED7B-10A0-404B-AC09-73547DD389C6}" name="CAREA"/>
    <tableColumn id="4" xr3:uid="{BB3015B2-F3AB-4966-AAF3-B33F8506A59C}" name="CFNM"/>
    <tableColumn id="5" xr3:uid="{90AF9F03-BDB4-4593-B633-5105A4817113}" name="CFNM/Total area contact" dataDxfId="82">
      <calculatedColumnFormula>Table7440[[#This Row],[CFNM]]/Table7440[[#This Row],[CAREA]]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757208C-E8DC-4770-B871-97C170242183}" name="Table2243" displayName="Table2243" ref="F7:J28" totalsRowShown="0">
  <autoFilter ref="F7:J28" xr:uid="{6757208C-E8DC-4770-B871-97C170242183}"/>
  <tableColumns count="5">
    <tableColumn id="1" xr3:uid="{D1DEAA2A-7C99-4AF7-AC5A-C691DB0B284D}" name="time"/>
    <tableColumn id="2" xr3:uid="{864A2BEA-5329-453E-A323-FEF313CDF5E7}" name="moment" dataDxfId="477">
      <calculatedColumnFormula>-(Table2243[[#This Row],[time]]-2)*2</calculatedColumnFormula>
    </tableColumn>
    <tableColumn id="3" xr3:uid="{C1FCC53C-67E4-40AD-8D61-5133019DAB6D}" name="CAREA"/>
    <tableColumn id="4" xr3:uid="{441A3C1D-B22E-43B8-A609-334EBFB76783}" name="CFNM"/>
    <tableColumn id="5" xr3:uid="{98EB36A1-4D03-4B01-BDFE-4EC10A22AE50}" name="CFNM/Total area contact" dataDxfId="476">
      <calculatedColumnFormula>Table2243[[#This Row],[CFNM]]/Table2243[[#This Row],[CAREA]]</calculatedColumnFormula>
    </tableColumn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5A08CC27-D31D-47F9-A780-6123F91848CE}" name="Table4" displayName="Table4" ref="P91:T112" totalsRowShown="0">
  <autoFilter ref="P91:T112" xr:uid="{5A08CC27-D31D-47F9-A780-6123F91848CE}"/>
  <tableColumns count="5">
    <tableColumn id="1" xr3:uid="{36E908D6-4C16-4AF2-916D-11DEF0135A33}" name="time"/>
    <tableColumn id="2" xr3:uid="{095B0FD9-27C8-4AD4-BE46-FD0A023BDD6C}" name="moment" dataDxfId="441">
      <calculatedColumnFormula>(Table4[[#This Row],[time]]-2)*2</calculatedColumnFormula>
    </tableColumn>
    <tableColumn id="3" xr3:uid="{93BEF24E-35F3-44A2-8104-068A6B38AD27}" name="CAREA"/>
    <tableColumn id="4" xr3:uid="{18ABCAB2-893E-4EDE-81F2-EFD228868805}" name="CFNM"/>
    <tableColumn id="5" xr3:uid="{BA90CF2E-61C2-40B3-81DC-F8183AD89585}" name="CFNM/Total area contact" dataDxfId="440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3AFD6DC6-5DCB-4789-9E57-AD8D7D2A059F}" name="Table8441" displayName="Table8441" ref="AJ691:AN712" totalsRowShown="0">
  <autoFilter ref="AJ691:AN712" xr:uid="{3AFD6DC6-5DCB-4789-9E57-AD8D7D2A059F}"/>
  <tableColumns count="5">
    <tableColumn id="1" xr3:uid="{44E8C86E-AA0A-4204-8920-6DBF7DE8F25B}" name="time"/>
    <tableColumn id="2" xr3:uid="{408904B5-49AB-4C6E-A175-CBD0FB7D801E}" name="moment" dataDxfId="81">
      <calculatedColumnFormula>-(Table8441[[#This Row],[time]]-2)*2</calculatedColumnFormula>
    </tableColumn>
    <tableColumn id="3" xr3:uid="{35B888E7-D6CF-42E8-8165-F7F6CBCD6D4C}" name="CAREA"/>
    <tableColumn id="4" xr3:uid="{149A8E43-876B-4402-9839-905EA031E3BF}" name="CFNM"/>
    <tableColumn id="5" xr3:uid="{1BF11564-83DF-495B-A297-D28856112804}" name="CFNM/Total area contact" dataDxfId="80">
      <calculatedColumnFormula>Table8441[[#This Row],[CFNM]]/Table8441[[#This Row],[CAREA]]</calculatedColumnFormula>
    </tableColumn>
  </tableColumns>
  <tableStyleInfo name="TableStyleLight15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1F3D2662-4273-4B50-A1CE-0C8669AEF3FD}" name="Table110442" displayName="Table110442" ref="A718:E739" totalsRowShown="0">
  <autoFilter ref="A718:E739" xr:uid="{1F3D2662-4273-4B50-A1CE-0C8669AEF3FD}"/>
  <tableColumns count="5">
    <tableColumn id="1" xr3:uid="{812F2742-3168-4C98-9C74-275B5678BC2A}" name="time"/>
    <tableColumn id="2" xr3:uid="{53D19E5E-1F38-4C79-8AD7-04316B5052F6}" name="moment" dataDxfId="79">
      <calculatedColumnFormula>(Table110442[[#This Row],[time]]-2)*2</calculatedColumnFormula>
    </tableColumn>
    <tableColumn id="3" xr3:uid="{27AB4EB9-4E15-4CDE-A507-66D41531F8F1}" name="CAREA"/>
    <tableColumn id="4" xr3:uid="{ADCE68E8-854B-4748-99C6-CDB55B70DF0B}" name="CFNM"/>
    <tableColumn id="5" xr3:uid="{1F0CBE13-A1CA-42CD-B73E-9EB733359E52}" name="CFNM/Total area contact" dataDxfId="78">
      <calculatedColumnFormula>Table110442[[#This Row],[CFNM]]/Table110442[[#This Row],[CAREA]]</calculatedColumnFormula>
    </tableColumn>
  </tableColumns>
  <tableStyleInfo name="TableStyleLight1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7B330939-7D24-46EC-BEF7-C58A70970D63}" name="Table211443" displayName="Table211443" ref="F718:J739" totalsRowShown="0">
  <autoFilter ref="F718:J739" xr:uid="{7B330939-7D24-46EC-BEF7-C58A70970D63}"/>
  <tableColumns count="5">
    <tableColumn id="1" xr3:uid="{FCD6E4BF-45AB-4A6D-9762-300085A0449C}" name="time"/>
    <tableColumn id="2" xr3:uid="{50474532-B5ED-4661-BD26-DE96C67CD09A}" name="moment" dataDxfId="77">
      <calculatedColumnFormula>(Table211443[[#This Row],[time]]-2)*2</calculatedColumnFormula>
    </tableColumn>
    <tableColumn id="3" xr3:uid="{34238D1F-454A-4EC1-8A13-A76E544D6161}" name="CAREA"/>
    <tableColumn id="4" xr3:uid="{16FAFBA5-E849-4946-93B4-62293A26070B}" name="CFNM"/>
    <tableColumn id="5" xr3:uid="{BEC8B3F4-5577-4B9C-B668-DBDDA0035556}" name="CFNM/Total area contact" dataDxfId="76">
      <calculatedColumnFormula>Table211443[[#This Row],[CFNM]]/Table211443[[#This Row],[CAREA]]</calculatedColumnFormula>
    </tableColumn>
  </tableColumns>
  <tableStyleInfo name="TableStyleLight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B768939C-9B7F-4A47-892A-968AFB8C61E4}" name="Table312444" displayName="Table312444" ref="K718:O739" totalsRowShown="0">
  <autoFilter ref="K718:O739" xr:uid="{B768939C-9B7F-4A47-892A-968AFB8C61E4}"/>
  <tableColumns count="5">
    <tableColumn id="1" xr3:uid="{919B03A0-9608-4A70-9352-1EFB2266C7F2}" name="time"/>
    <tableColumn id="2" xr3:uid="{2FAFE20B-2B43-4E1D-99A8-AE3974600CE4}" name="moment" dataDxfId="75">
      <calculatedColumnFormula>(Table312444[[#This Row],[time]]-2)*2</calculatedColumnFormula>
    </tableColumn>
    <tableColumn id="3" xr3:uid="{57452BF3-B817-4AA1-B3AA-82A2E76B1F23}" name="CAREA"/>
    <tableColumn id="4" xr3:uid="{32A2B590-6BBA-4833-979B-D0980E2D0855}" name="CFNM"/>
    <tableColumn id="5" xr3:uid="{9890701A-1C17-4039-B7D9-28A2AC9744BD}" name="CFNM/Total area contact" dataDxfId="74">
      <calculatedColumnFormula>Table312444[[#This Row],[CFNM]]/Table312444[[#This Row],[CAREA]]</calculatedColumnFormula>
    </tableColumn>
  </tableColumns>
  <tableStyleInfo name="TableStyleLight3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132E5E00-100A-444E-89FE-EEBC0C862F2A}" name="Table413445" displayName="Table413445" ref="P718:T739" totalsRowShown="0">
  <autoFilter ref="P718:T739" xr:uid="{132E5E00-100A-444E-89FE-EEBC0C862F2A}"/>
  <tableColumns count="5">
    <tableColumn id="1" xr3:uid="{7282735D-9FD6-46AE-AF48-A8A4F1889FAC}" name="time"/>
    <tableColumn id="2" xr3:uid="{8B411F81-7E79-402D-8308-6A55B46F83BD}" name="moment" dataDxfId="73">
      <calculatedColumnFormula>(Table413445[[#This Row],[time]]-2)*2</calculatedColumnFormula>
    </tableColumn>
    <tableColumn id="3" xr3:uid="{455F5319-CB6F-417A-8BDD-4F62C297CE8D}" name="CAREA"/>
    <tableColumn id="4" xr3:uid="{D8475ED9-824F-4EAD-ACC7-073BE66334B5}" name="CFNM"/>
    <tableColumn id="5" xr3:uid="{E677F13A-6F21-48CC-9CA9-7E096076FCB1}" name="CFNM/Total area contact" dataDxfId="72">
      <calculatedColumnFormula>Table413445[[#This Row],[CFNM]]/Table413445[[#This Row],[CAREA]]</calculatedColumnFormula>
    </tableColumn>
  </tableColumns>
  <tableStyleInfo name="TableStyleLight4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8028DC10-860F-49A4-8445-518FC20DF6EC}" name="Table514446" displayName="Table514446" ref="U718:Y739" totalsRowShown="0">
  <autoFilter ref="U718:Y739" xr:uid="{8028DC10-860F-49A4-8445-518FC20DF6EC}"/>
  <tableColumns count="5">
    <tableColumn id="1" xr3:uid="{B86EEC8E-5285-45A2-86BB-6FECE66A17B8}" name="time"/>
    <tableColumn id="2" xr3:uid="{80162782-71C9-4D68-B2D5-1B400993CF6D}" name="moment" dataDxfId="71">
      <calculatedColumnFormula>(Table514446[[#This Row],[time]]-2)*2</calculatedColumnFormula>
    </tableColumn>
    <tableColumn id="3" xr3:uid="{AC545537-7A68-4242-9613-1C565D4E31BF}" name="CAREA"/>
    <tableColumn id="4" xr3:uid="{630E238A-4B6C-4DC5-9B0E-50F330E11709}" name="CFNM"/>
    <tableColumn id="5" xr3:uid="{CEF37DE7-437F-484B-9564-31643EAC6A21}" name="CFNM/Total area contact" dataDxfId="70">
      <calculatedColumnFormula>Table514446[[#This Row],[CFNM]]/Table514446[[#This Row],[CAREA]]</calculatedColumnFormula>
    </tableColumn>
  </tableColumns>
  <tableStyleInfo name="TableStyleLight5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6056B7B0-F5AD-4958-93DA-2565E9A2F9CA}" name="Table615447" displayName="Table615447" ref="Z718:AD739" totalsRowShown="0">
  <autoFilter ref="Z718:AD739" xr:uid="{6056B7B0-F5AD-4958-93DA-2565E9A2F9CA}"/>
  <tableColumns count="5">
    <tableColumn id="1" xr3:uid="{83A9C116-E9EB-4599-B525-67A049727A2B}" name="time"/>
    <tableColumn id="2" xr3:uid="{029B1D32-BC8F-4113-8252-B04E8F350154}" name="moment" dataDxfId="69">
      <calculatedColumnFormula>(Table615447[[#This Row],[time]]-2)*2</calculatedColumnFormula>
    </tableColumn>
    <tableColumn id="3" xr3:uid="{07C51C06-35AE-4C5B-BFB5-18500DD26E03}" name="CAREA"/>
    <tableColumn id="4" xr3:uid="{F4E7543B-BAA5-4DFF-AEF9-75954101CBAB}" name="CFNM"/>
    <tableColumn id="5" xr3:uid="{87A47CB2-ED3E-41BE-9954-3AF3B7CD0EDD}" name="CFNM/Total area contact" dataDxfId="68">
      <calculatedColumnFormula>Table615447[[#This Row],[CFNM]]/Table615447[[#This Row],[CAREA]]</calculatedColumnFormula>
    </tableColumn>
  </tableColumns>
  <tableStyleInfo name="TableStyleLight6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3553C769-D122-405D-979A-C77B70DAC4DC}" name="Table716448" displayName="Table716448" ref="AE718:AI739" totalsRowShown="0">
  <autoFilter ref="AE718:AI739" xr:uid="{3553C769-D122-405D-979A-C77B70DAC4DC}"/>
  <tableColumns count="5">
    <tableColumn id="1" xr3:uid="{E35D4555-36FC-40B0-BBF3-DB580701861E}" name="time"/>
    <tableColumn id="2" xr3:uid="{4ACE9CB2-5C75-459D-B499-AD1816D42D41}" name="moment" dataDxfId="67">
      <calculatedColumnFormula>(Table716448[[#This Row],[time]]-2)*2</calculatedColumnFormula>
    </tableColumn>
    <tableColumn id="3" xr3:uid="{76C90AC8-8B45-4A4B-82B1-24CF78049283}" name="CAREA"/>
    <tableColumn id="4" xr3:uid="{7A3FEE0B-F0A9-499E-AEF1-E5E19F63E15D}" name="CFNM"/>
    <tableColumn id="5" xr3:uid="{80DAB537-A05B-4E80-9617-769F1729D5D8}" name="CFNM/Total area contact" dataDxfId="66">
      <calculatedColumnFormula>Table716448[[#This Row],[CFNM]]/Table716448[[#This Row],[CAREA]]</calculatedColumnFormula>
    </tableColumn>
  </tableColumns>
  <tableStyleInfo name="TableStyleLight7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24F80004-3FB1-45E6-905F-F6EA3A510969}" name="Table817449" displayName="Table817449" ref="AJ718:AN739" totalsRowShown="0">
  <autoFilter ref="AJ718:AN739" xr:uid="{24F80004-3FB1-45E6-905F-F6EA3A510969}"/>
  <tableColumns count="5">
    <tableColumn id="1" xr3:uid="{8907048A-7D8A-4570-93CF-FAAFBD9F8043}" name="time"/>
    <tableColumn id="2" xr3:uid="{9BC69FA4-DF26-4E19-AD06-47BFBA20089E}" name="moment" dataDxfId="65">
      <calculatedColumnFormula>(Table817449[[#This Row],[time]]-2)*2</calculatedColumnFormula>
    </tableColumn>
    <tableColumn id="3" xr3:uid="{BB0C5FCC-EAF3-45CE-8530-A384736EA35E}" name="CAREA"/>
    <tableColumn id="4" xr3:uid="{49E7A10C-DAB7-4987-A814-95B4F60AFCF4}" name="CFNM"/>
    <tableColumn id="5" xr3:uid="{46564472-B226-4A96-AA99-1B6AA4F89001}" name="CFNM/Total area contact" dataDxfId="64">
      <calculatedColumnFormula>Table817449[[#This Row],[CFNM]]/Table817449[[#This Row],[CAREA]]</calculatedColumnFormula>
    </tableColumn>
  </tableColumns>
  <tableStyleInfo name="TableStyleLight15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44D5EA47-3883-4316-B21E-6FAAA0460DD4}" name="Table1450" displayName="Table1450" ref="A748:E769" totalsRowShown="0">
  <autoFilter ref="A748:E769" xr:uid="{44D5EA47-3883-4316-B21E-6FAAA0460DD4}"/>
  <tableColumns count="5">
    <tableColumn id="1" xr3:uid="{C2A547CE-BB14-4F16-8A7C-DD1132DF07F5}" name="time"/>
    <tableColumn id="2" xr3:uid="{091AEF00-1F60-47B2-9AEC-15EFA5C2DEF7}" name="moment" dataDxfId="63">
      <calculatedColumnFormula>-(Table1450[[#This Row],[time]]-2)*2</calculatedColumnFormula>
    </tableColumn>
    <tableColumn id="3" xr3:uid="{38A6A971-AC0C-4E99-904F-DA4127FAC6EC}" name="CAREA"/>
    <tableColumn id="4" xr3:uid="{38087368-BF0D-4203-B4DD-0633CBA2C38F}" name="CFNM"/>
    <tableColumn id="5" xr3:uid="{44EC07B3-E4B0-48AD-9283-606D95443EC3}" name="CFNM/Total area contact" dataDxfId="62">
      <calculatedColumnFormula>Table1450[[#This Row],[CFNM]]/Table1450[[#This Row],[CAREA]]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8D65C0E6-E80F-4691-82E4-9DD24B0A8495}" name="Table5" displayName="Table5" ref="U91:Y112" totalsRowShown="0">
  <autoFilter ref="U91:Y112" xr:uid="{8D65C0E6-E80F-4691-82E4-9DD24B0A8495}"/>
  <tableColumns count="5">
    <tableColumn id="1" xr3:uid="{061E927E-5AB1-49A3-B257-7C570810A750}" name="time"/>
    <tableColumn id="2" xr3:uid="{EB4CFA61-196A-4AA0-8718-EC4425619F0E}" name="moment" dataDxfId="439">
      <calculatedColumnFormula>(Table5[[#This Row],[time]]-2)*2</calculatedColumnFormula>
    </tableColumn>
    <tableColumn id="3" xr3:uid="{BFDDA46C-D64A-4F68-985A-D4908CC08C3D}" name="CAREA"/>
    <tableColumn id="4" xr3:uid="{CF0E9BF4-1E1E-4798-9C77-57B37C8557B5}" name="CFNM"/>
    <tableColumn id="5" xr3:uid="{0630B57D-3687-4DF5-B4AF-4B51B399B7F1}" name="CFNM/Total area contact" dataDxfId="438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3A9B8F04-B104-42EE-B100-9F2A3DE0E2A5}" name="Table2451" displayName="Table2451" ref="F748:J769" totalsRowShown="0">
  <autoFilter ref="F748:J769" xr:uid="{3A9B8F04-B104-42EE-B100-9F2A3DE0E2A5}"/>
  <tableColumns count="5">
    <tableColumn id="1" xr3:uid="{4519C6ED-BE59-418F-BDDC-DC1AF085241A}" name="time"/>
    <tableColumn id="2" xr3:uid="{145FA2C8-8B10-4C53-9A92-5994A074DB13}" name="moment" dataDxfId="61">
      <calculatedColumnFormula>-(Table2451[[#This Row],[time]]-2)*2</calculatedColumnFormula>
    </tableColumn>
    <tableColumn id="3" xr3:uid="{C8E2EE87-C121-4E8A-99FE-C53280AC4A56}" name="CAREA"/>
    <tableColumn id="4" xr3:uid="{918FEF6B-6CCE-4707-A9BB-4FEF024A2F88}" name="CFNM"/>
    <tableColumn id="5" xr3:uid="{8858A32E-F779-4DA0-99F5-FDB7129983E2}" name="CFNM/Total area contact" dataDxfId="60">
      <calculatedColumnFormula>Table2451[[#This Row],[CFNM]]/Table2451[[#This Row],[CAREA]]</calculatedColumnFormula>
    </tableColumn>
  </tableColumns>
  <tableStyleInfo name="TableStyleLight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147652EA-CF0E-4BC9-87B0-838477D4F084}" name="Table3452" displayName="Table3452" ref="K748:O769" totalsRowShown="0">
  <autoFilter ref="K748:O769" xr:uid="{147652EA-CF0E-4BC9-87B0-838477D4F084}"/>
  <tableColumns count="5">
    <tableColumn id="1" xr3:uid="{089EFD13-2E7D-4D08-A6DE-5E889E871F36}" name="time"/>
    <tableColumn id="2" xr3:uid="{AACD23D7-096D-4C75-A71D-52BC477054F0}" name="moment" dataDxfId="59">
      <calculatedColumnFormula>-(Table3452[[#This Row],[time]]-2)*2</calculatedColumnFormula>
    </tableColumn>
    <tableColumn id="3" xr3:uid="{EC6C4AFF-13AF-4C81-A4A1-4DEE110DF3C6}" name="CAREA"/>
    <tableColumn id="4" xr3:uid="{DF168EEE-8536-4858-BB5F-097FC626E349}" name="CFNM"/>
    <tableColumn id="5" xr3:uid="{86F9013F-C835-4B19-9499-E625F28172E8}" name="CFNM/Total area contact" dataDxfId="58">
      <calculatedColumnFormula>Table3452[[#This Row],[CFNM]]/Table3452[[#This Row],[CAREA]]</calculatedColumnFormula>
    </tableColumn>
  </tableColumns>
  <tableStyleInfo name="TableStyleLight3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A18FCBB5-23A5-4DDE-A3E9-47D0CD602107}" name="Table4453" displayName="Table4453" ref="P748:T769" totalsRowShown="0">
  <autoFilter ref="P748:T769" xr:uid="{A18FCBB5-23A5-4DDE-A3E9-47D0CD602107}"/>
  <tableColumns count="5">
    <tableColumn id="1" xr3:uid="{0C3395E1-50F3-4AAF-871F-285B715C24F4}" name="time"/>
    <tableColumn id="2" xr3:uid="{3B865EF3-9AC6-4D36-A910-28EC533431DC}" name="moment" dataDxfId="57">
      <calculatedColumnFormula>-(Table4453[[#This Row],[time]]-2)*2</calculatedColumnFormula>
    </tableColumn>
    <tableColumn id="3" xr3:uid="{65DF8A9E-4F01-4317-9202-206B84E061C8}" name="CAREA"/>
    <tableColumn id="4" xr3:uid="{AA3BCC6D-8468-466A-92B5-71BD83C89F3F}" name="CFNM"/>
    <tableColumn id="5" xr3:uid="{7DCAF1B4-8874-4CD2-98FD-BB3699BDFFB4}" name="CFNM/Total area contact" dataDxfId="56">
      <calculatedColumnFormula>Table4453[[#This Row],[CFNM]]/Table4453[[#This Row],[CAREA]]</calculatedColumnFormula>
    </tableColumn>
  </tableColumns>
  <tableStyleInfo name="TableStyleLight4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5A967B5B-7D2A-497F-BB5E-AFD07F0B9BCE}" name="Table5454" displayName="Table5454" ref="U748:Y769" totalsRowShown="0">
  <autoFilter ref="U748:Y769" xr:uid="{5A967B5B-7D2A-497F-BB5E-AFD07F0B9BCE}"/>
  <tableColumns count="5">
    <tableColumn id="1" xr3:uid="{D42C3121-E418-4CA7-BE76-FF88F1EF64FC}" name="time"/>
    <tableColumn id="2" xr3:uid="{940C3E6F-5E30-4185-80E9-9A28C9213A2A}" name="moment" dataDxfId="55">
      <calculatedColumnFormula>-(Table5454[[#This Row],[time]]-2)*2</calculatedColumnFormula>
    </tableColumn>
    <tableColumn id="3" xr3:uid="{AB2490D4-6812-4F61-8C21-13291CBB81D4}" name="CAREA"/>
    <tableColumn id="4" xr3:uid="{93EE39AA-B8FF-4961-A329-C75C26947A93}" name="CFNM"/>
    <tableColumn id="5" xr3:uid="{FD481DF9-9A0B-4638-8E03-9F4457FB4D8C}" name="CFNM/Total area contact" dataDxfId="54">
      <calculatedColumnFormula>Table5454[[#This Row],[CFNM]]/Table5454[[#This Row],[CAREA]]</calculatedColumnFormula>
    </tableColumn>
  </tableColumns>
  <tableStyleInfo name="TableStyleLight5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B3111453-565B-46DC-BEB9-8C2AF27FADA3}" name="Table6455" displayName="Table6455" ref="Z748:AD769" totalsRowShown="0">
  <autoFilter ref="Z748:AD769" xr:uid="{B3111453-565B-46DC-BEB9-8C2AF27FADA3}"/>
  <tableColumns count="5">
    <tableColumn id="1" xr3:uid="{BBB90482-2E4D-4CC7-A862-F2B3E0BFCA46}" name="time"/>
    <tableColumn id="2" xr3:uid="{7D083122-C405-439F-B706-CF43E565673A}" name="moment" dataDxfId="53">
      <calculatedColumnFormula>-(Table6455[[#This Row],[time]]-2)*2</calculatedColumnFormula>
    </tableColumn>
    <tableColumn id="3" xr3:uid="{23C2F63E-90B3-4508-8713-20A8A33F6218}" name="CAREA"/>
    <tableColumn id="4" xr3:uid="{FFD57BE1-D9C6-4F9C-9EF0-F2840578B3BA}" name="CFNM"/>
    <tableColumn id="5" xr3:uid="{62D89072-38CE-4ACA-BA8A-CB46E01381AC}" name="CFNM/Total area contact" dataDxfId="52">
      <calculatedColumnFormula>Table6455[[#This Row],[CFNM]]/Table6455[[#This Row],[CAREA]]</calculatedColumnFormula>
    </tableColumn>
  </tableColumns>
  <tableStyleInfo name="TableStyleLight6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DD0FBB06-A3D6-41BE-B9B2-E9D27CACAA67}" name="Table7456" displayName="Table7456" ref="AE748:AI769" totalsRowShown="0">
  <autoFilter ref="AE748:AI769" xr:uid="{DD0FBB06-A3D6-41BE-B9B2-E9D27CACAA67}"/>
  <tableColumns count="5">
    <tableColumn id="1" xr3:uid="{61F91897-55B2-4E44-976D-868183EF59EF}" name="time"/>
    <tableColumn id="2" xr3:uid="{BA6670C7-03FA-437B-BDC0-67CABB1FBE68}" name="moment" dataDxfId="51">
      <calculatedColumnFormula>-(Table7456[[#This Row],[time]]-2)*2</calculatedColumnFormula>
    </tableColumn>
    <tableColumn id="3" xr3:uid="{54BD3392-6F21-4621-AD35-727D636B5345}" name="CAREA"/>
    <tableColumn id="4" xr3:uid="{0A4DF129-35DD-4D77-AA9D-ED8F94E065D1}" name="CFNM"/>
    <tableColumn id="5" xr3:uid="{30F02987-E934-4DF0-AA14-3CADA42E7BB0}" name="CFNM/Total area contact" dataDxfId="50">
      <calculatedColumnFormula>Table7456[[#This Row],[CFNM]]/Table7456[[#This Row],[CAREA]]</calculatedColumnFormula>
    </tableColumn>
  </tableColumns>
  <tableStyleInfo name="TableStyleLight7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17E17F6E-2A3D-4541-A338-77B1D83706A5}" name="Table8457" displayName="Table8457" ref="AJ748:AN769" totalsRowShown="0">
  <autoFilter ref="AJ748:AN769" xr:uid="{17E17F6E-2A3D-4541-A338-77B1D83706A5}"/>
  <tableColumns count="5">
    <tableColumn id="1" xr3:uid="{01AC171A-2407-4A45-B598-DD4D73BBD274}" name="time"/>
    <tableColumn id="2" xr3:uid="{8DC12592-413A-4597-B2C0-E231023E1643}" name="moment" dataDxfId="49">
      <calculatedColumnFormula>-(Table8457[[#This Row],[time]]-2)*2</calculatedColumnFormula>
    </tableColumn>
    <tableColumn id="3" xr3:uid="{0BA8ED64-6C34-40EA-AE8D-62FBFC0B33D2}" name="CAREA"/>
    <tableColumn id="4" xr3:uid="{8BD5478D-7771-42E7-8AF0-594872FFFCFB}" name="CFNM"/>
    <tableColumn id="5" xr3:uid="{85AE2236-1384-4ABC-8AE6-63BCD154D345}" name="CFNM/Total area contact" dataDxfId="48">
      <calculatedColumnFormula>Table8457[[#This Row],[CFNM]]/Table8457[[#This Row],[CAREA]]</calculatedColumnFormula>
    </tableColumn>
  </tableColumns>
  <tableStyleInfo name="TableStyleLight15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47C1651B-B73A-4F04-8564-63C03EAE4A0D}" name="Table110458" displayName="Table110458" ref="A775:E796" totalsRowShown="0">
  <autoFilter ref="A775:E796" xr:uid="{47C1651B-B73A-4F04-8564-63C03EAE4A0D}"/>
  <tableColumns count="5">
    <tableColumn id="1" xr3:uid="{246EF0D4-5247-444E-A7D6-79B1225B56BF}" name="time"/>
    <tableColumn id="2" xr3:uid="{C781EA83-56A9-4073-A29E-CD61970AE91C}" name="moment" dataDxfId="47">
      <calculatedColumnFormula>(Table110458[[#This Row],[time]]-2)*2</calculatedColumnFormula>
    </tableColumn>
    <tableColumn id="3" xr3:uid="{95EF4F74-7F41-4959-9A4B-A373734C1F17}" name="CAREA"/>
    <tableColumn id="4" xr3:uid="{29D29D48-35F0-425D-B727-360724D19B42}" name="CFNM"/>
    <tableColumn id="5" xr3:uid="{EA1C4103-7BED-44F0-AEDD-45B7B12102C5}" name="CFNM/Total area contact" dataDxfId="46">
      <calculatedColumnFormula>Table110458[[#This Row],[CFNM]]/Table110458[[#This Row],[CAREA]]</calculatedColumnFormula>
    </tableColumn>
  </tableColumns>
  <tableStyleInfo name="TableStyleLight1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C82A8B3D-2488-494C-94A6-860125FE4CFB}" name="Table211459" displayName="Table211459" ref="F775:J796" totalsRowShown="0">
  <autoFilter ref="F775:J796" xr:uid="{C82A8B3D-2488-494C-94A6-860125FE4CFB}"/>
  <tableColumns count="5">
    <tableColumn id="1" xr3:uid="{3309781F-62A0-48FC-A175-7B83616C0B78}" name="time"/>
    <tableColumn id="2" xr3:uid="{50023D1B-28C2-4DEF-BA1B-6FE1C555148E}" name="moment" dataDxfId="45">
      <calculatedColumnFormula>(Table211459[[#This Row],[time]]-2)*2</calculatedColumnFormula>
    </tableColumn>
    <tableColumn id="3" xr3:uid="{9BCA1769-9F94-4309-8ACC-98C9F2506810}" name="CAREA"/>
    <tableColumn id="4" xr3:uid="{71D4AEA3-472F-4E55-8C9F-34BE3D67125E}" name="CFNM"/>
    <tableColumn id="5" xr3:uid="{6CAE1236-EEE6-43CB-8C41-2E2EF43C3984}" name="CFNM/Total area contact" dataDxfId="44">
      <calculatedColumnFormula>Table211459[[#This Row],[CFNM]]/Table211459[[#This Row],[CAREA]]</calculatedColumnFormula>
    </tableColumn>
  </tableColumns>
  <tableStyleInfo name="TableStyleLight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F4157F82-61D7-4AE0-B632-25CBDA9805C1}" name="Table312460" displayName="Table312460" ref="K775:O796" totalsRowShown="0">
  <autoFilter ref="K775:O796" xr:uid="{F4157F82-61D7-4AE0-B632-25CBDA9805C1}"/>
  <tableColumns count="5">
    <tableColumn id="1" xr3:uid="{B0BE2C7B-A9D3-4A30-AC02-03B2CE7268B5}" name="time"/>
    <tableColumn id="2" xr3:uid="{EA9CBA71-330B-45E0-87D8-39243897E557}" name="moment" dataDxfId="43">
      <calculatedColumnFormula>(Table312460[[#This Row],[time]]-2)*2</calculatedColumnFormula>
    </tableColumn>
    <tableColumn id="3" xr3:uid="{751E57FF-2874-4185-8350-FDED17799A44}" name="CAREA"/>
    <tableColumn id="4" xr3:uid="{2EDC73F0-9122-4507-932D-8866B3D588A5}" name="CFNM"/>
    <tableColumn id="5" xr3:uid="{C2261C6C-4112-47BD-A34F-42FB29EA535F}" name="CFNM/Total area contact" dataDxfId="42">
      <calculatedColumnFormula>Table312460[[#This Row],[CFNM]]/Table312460[[#This Row],[CAREA]]</calculatedColumnFormula>
    </tableColumn>
  </tableColumns>
  <tableStyleInfo name="TableStyleLight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82F1A76F-CE3B-452F-B5A4-E1D8B3B2446B}" name="Table6" displayName="Table6" ref="Z91:AD112" totalsRowShown="0">
  <autoFilter ref="Z91:AD112" xr:uid="{82F1A76F-CE3B-452F-B5A4-E1D8B3B2446B}"/>
  <tableColumns count="5">
    <tableColumn id="1" xr3:uid="{D050F5B3-F829-467A-BDBD-BD9A7F86A2A3}" name="time"/>
    <tableColumn id="2" xr3:uid="{E2BEEF3E-B163-4D1C-8456-CF6D7F778C01}" name="moment" dataDxfId="437">
      <calculatedColumnFormula>(Table6[[#This Row],[time]]-2)*2</calculatedColumnFormula>
    </tableColumn>
    <tableColumn id="3" xr3:uid="{C23BBDED-61D0-4F4A-A27D-CF2486644A71}" name="CAREA"/>
    <tableColumn id="4" xr3:uid="{75068BC0-D311-4472-ACE7-C3671B3FD4FA}" name="CFNM"/>
    <tableColumn id="5" xr3:uid="{B13F1A72-B9DB-47BC-AC18-BD6A68873F50}" name="CFNM/Total area contact" dataDxfId="436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ED9DEBA0-DA5F-41EE-BF8E-32015F68B36C}" name="Table413461" displayName="Table413461" ref="P775:T796" totalsRowShown="0">
  <autoFilter ref="P775:T796" xr:uid="{ED9DEBA0-DA5F-41EE-BF8E-32015F68B36C}"/>
  <tableColumns count="5">
    <tableColumn id="1" xr3:uid="{226DEC03-CC55-433F-BCD8-9DE9DFEF957C}" name="time"/>
    <tableColumn id="2" xr3:uid="{FD2E4CC9-6E06-4680-B4E9-1B8248230251}" name="moment" dataDxfId="41">
      <calculatedColumnFormula>(Table413461[[#This Row],[time]]-2)*2</calculatedColumnFormula>
    </tableColumn>
    <tableColumn id="3" xr3:uid="{1CD95198-F3E5-408F-B604-3126B8193E42}" name="CAREA"/>
    <tableColumn id="4" xr3:uid="{7EDD5477-A121-4356-BAC3-12E320F113D7}" name="CFNM"/>
    <tableColumn id="5" xr3:uid="{5852731D-13E4-45F0-B5A1-DDB9851AD70C}" name="CFNM/Total area contact" dataDxfId="40">
      <calculatedColumnFormula>Table413461[[#This Row],[CFNM]]/Table413461[[#This Row],[CAREA]]</calculatedColumnFormula>
    </tableColumn>
  </tableColumns>
  <tableStyleInfo name="TableStyleLight4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D94ECCA3-E637-4A9C-B1C0-2799A13FF78A}" name="Table514462" displayName="Table514462" ref="U775:Y796" totalsRowShown="0">
  <autoFilter ref="U775:Y796" xr:uid="{D94ECCA3-E637-4A9C-B1C0-2799A13FF78A}"/>
  <tableColumns count="5">
    <tableColumn id="1" xr3:uid="{B709D73B-DA72-4D87-A638-657F14939EFD}" name="time"/>
    <tableColumn id="2" xr3:uid="{016C40C5-829B-4008-A90B-9F63D3F94517}" name="moment" dataDxfId="39">
      <calculatedColumnFormula>(Table514462[[#This Row],[time]]-2)*2</calculatedColumnFormula>
    </tableColumn>
    <tableColumn id="3" xr3:uid="{1079D433-AB06-4FAC-B5F8-2B4508A304AB}" name="CAREA"/>
    <tableColumn id="4" xr3:uid="{532B3BF3-108C-4D79-B212-A7C3F8BCA36D}" name="CFNM"/>
    <tableColumn id="5" xr3:uid="{0EF86191-6A73-4077-A74A-710D8C01D3A9}" name="CFNM/Total area contact" dataDxfId="38">
      <calculatedColumnFormula>Table514462[[#This Row],[CFNM]]/Table514462[[#This Row],[CAREA]]</calculatedColumnFormula>
    </tableColumn>
  </tableColumns>
  <tableStyleInfo name="TableStyleLight5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AD3461F1-D256-4213-8FB2-116611459F75}" name="Table615463" displayName="Table615463" ref="Z775:AD796" totalsRowShown="0">
  <autoFilter ref="Z775:AD796" xr:uid="{AD3461F1-D256-4213-8FB2-116611459F75}"/>
  <tableColumns count="5">
    <tableColumn id="1" xr3:uid="{45F69B62-DBE6-444D-A43C-53B67BD96D80}" name="time"/>
    <tableColumn id="2" xr3:uid="{DDA003D5-0169-4EC5-93E7-36B710D20B24}" name="moment" dataDxfId="37">
      <calculatedColumnFormula>(Table615463[[#This Row],[time]]-2)*2</calculatedColumnFormula>
    </tableColumn>
    <tableColumn id="3" xr3:uid="{4523D4EE-1255-4309-8E38-8D5378B359EA}" name="CAREA"/>
    <tableColumn id="4" xr3:uid="{9E2A1729-4D2E-4918-ABA1-68B050288AAE}" name="CFNM"/>
    <tableColumn id="5" xr3:uid="{2945A68D-C644-4052-894C-5042F4B611E4}" name="CFNM/Total area contact" dataDxfId="36">
      <calculatedColumnFormula>Table615463[[#This Row],[CFNM]]/Table615463[[#This Row],[CAREA]]</calculatedColumnFormula>
    </tableColumn>
  </tableColumns>
  <tableStyleInfo name="TableStyleLight6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F943A8B8-3A65-4F2C-9867-A4817F2F0244}" name="Table716464" displayName="Table716464" ref="AE775:AI796" totalsRowShown="0">
  <autoFilter ref="AE775:AI796" xr:uid="{F943A8B8-3A65-4F2C-9867-A4817F2F0244}"/>
  <tableColumns count="5">
    <tableColumn id="1" xr3:uid="{1E477414-CA6B-4349-9618-6DC53FF7CE4A}" name="time"/>
    <tableColumn id="2" xr3:uid="{02AEA463-646A-4501-AB01-5DCC37B10233}" name="moment" dataDxfId="35">
      <calculatedColumnFormula>(Table716464[[#This Row],[time]]-2)*2</calculatedColumnFormula>
    </tableColumn>
    <tableColumn id="3" xr3:uid="{ED4C17B3-A87B-4AC5-B224-AB261B31A7D2}" name="CAREA"/>
    <tableColumn id="4" xr3:uid="{3A54D3C6-145C-4CDD-8CB3-7380EB0770DF}" name="CFNM"/>
    <tableColumn id="5" xr3:uid="{519E31DA-6304-45AF-9C6B-A8C746EA9C04}" name="CFNM/Total area contact" dataDxfId="34">
      <calculatedColumnFormula>Table716464[[#This Row],[CFNM]]/Table716464[[#This Row],[CAREA]]</calculatedColumnFormula>
    </tableColumn>
  </tableColumns>
  <tableStyleInfo name="TableStyleLight7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5CD6342A-16BE-40BD-927B-5A1C15124BAC}" name="Table817465" displayName="Table817465" ref="AJ775:AN796" totalsRowShown="0">
  <autoFilter ref="AJ775:AN796" xr:uid="{5CD6342A-16BE-40BD-927B-5A1C15124BAC}"/>
  <tableColumns count="5">
    <tableColumn id="1" xr3:uid="{88D139A8-F17C-4FDC-9F94-7AE76A865C1C}" name="time"/>
    <tableColumn id="2" xr3:uid="{1A91221B-8215-484F-8201-60C7EF3FADDA}" name="moment" dataDxfId="33">
      <calculatedColumnFormula>(Table817465[[#This Row],[time]]-2)*2</calculatedColumnFormula>
    </tableColumn>
    <tableColumn id="3" xr3:uid="{C1E9B90A-3F9D-4A2B-9708-0EC13BE54F00}" name="CAREA"/>
    <tableColumn id="4" xr3:uid="{CA3C133B-9226-4CA2-BF9B-95857EC23F62}" name="CFNM"/>
    <tableColumn id="5" xr3:uid="{0C6726B9-D6E7-4FE3-894E-E299D79421F0}" name="CFNM/Total area contact" dataDxfId="32">
      <calculatedColumnFormula>Table817465[[#This Row],[CFNM]]/Table817465[[#This Row],[CAREA]]</calculatedColumnFormula>
    </tableColumn>
  </tableColumns>
  <tableStyleInfo name="TableStyleLight15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D6175850-DD4B-4F12-9C25-81532DBC8317}" name="Table1466" displayName="Table1466" ref="A804:E825" totalsRowShown="0">
  <autoFilter ref="A804:E825" xr:uid="{D6175850-DD4B-4F12-9C25-81532DBC8317}"/>
  <tableColumns count="5">
    <tableColumn id="1" xr3:uid="{67D32490-3853-464F-A316-8FDD42C54D91}" name="time"/>
    <tableColumn id="2" xr3:uid="{843CE8D9-C198-4CB5-A94A-065C70E5D9DE}" name="moment" dataDxfId="31">
      <calculatedColumnFormula>-(Table1466[[#This Row],[time]]-2)*2</calculatedColumnFormula>
    </tableColumn>
    <tableColumn id="3" xr3:uid="{EB8FFB5A-BF76-4BE1-9CE3-B342A0E43DB3}" name="CAREA"/>
    <tableColumn id="4" xr3:uid="{27F6163F-4C44-40C7-A61B-4434CC914B26}" name="CFNM"/>
    <tableColumn id="5" xr3:uid="{59F8E8B1-30EA-4535-B985-98CFCC233416}" name="CFNM/Total area contact" dataDxfId="30">
      <calculatedColumnFormula>Table1466[[#This Row],[CFNM]]/Table1466[[#This Row],[CAREA]]</calculatedColumnFormula>
    </tableColumn>
  </tableColumns>
  <tableStyleInfo name="TableStyleLight1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B3CF532F-C2D7-4EFD-BD5A-76990266D028}" name="Table2467" displayName="Table2467" ref="F804:J825" totalsRowShown="0">
  <autoFilter ref="F804:J825" xr:uid="{B3CF532F-C2D7-4EFD-BD5A-76990266D028}"/>
  <tableColumns count="5">
    <tableColumn id="1" xr3:uid="{B11044D9-25B1-468B-8ACF-28B3D580175C}" name="time"/>
    <tableColumn id="2" xr3:uid="{0BCF7C19-C380-4F7F-AF6E-3072AD769380}" name="moment" dataDxfId="29">
      <calculatedColumnFormula>-(Table2467[[#This Row],[time]]-2)*2</calculatedColumnFormula>
    </tableColumn>
    <tableColumn id="3" xr3:uid="{0A1DC178-7D28-49FF-885B-2D108AB49FC1}" name="CAREA"/>
    <tableColumn id="4" xr3:uid="{EDDEC096-A75E-45E6-84AB-98F075E29C98}" name="CFNM"/>
    <tableColumn id="5" xr3:uid="{5CDEAAE5-D83B-47CF-892B-B144062F76F1}" name="CFNM/Total area contact" dataDxfId="28">
      <calculatedColumnFormula>Table2467[[#This Row],[CFNM]]/Table2467[[#This Row],[CAREA]]</calculatedColumnFormula>
    </tableColumn>
  </tableColumns>
  <tableStyleInfo name="TableStyleLight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562CDF13-F4B0-4D90-B03C-44707561574D}" name="Table3468" displayName="Table3468" ref="K804:O825" totalsRowShown="0">
  <autoFilter ref="K804:O825" xr:uid="{562CDF13-F4B0-4D90-B03C-44707561574D}"/>
  <tableColumns count="5">
    <tableColumn id="1" xr3:uid="{CE0AAECB-F255-4913-A583-2E5FB8EABA5E}" name="time"/>
    <tableColumn id="2" xr3:uid="{8DE4210B-6DC4-43EB-BC5F-EA22D1A90517}" name="moment" dataDxfId="27">
      <calculatedColumnFormula>-(Table3468[[#This Row],[time]]-2)*2</calculatedColumnFormula>
    </tableColumn>
    <tableColumn id="3" xr3:uid="{5C68F49E-90F9-4250-BC8E-EC1E461A0C2B}" name="CAREA"/>
    <tableColumn id="4" xr3:uid="{82F64084-82EB-4080-A791-80B65D420C54}" name="CFNM"/>
    <tableColumn id="5" xr3:uid="{55E9D046-8F21-4AF6-976D-CA4B48817891}" name="CFNM/Total area contact" dataDxfId="26">
      <calculatedColumnFormula>Table3468[[#This Row],[CFNM]]/Table3468[[#This Row],[CAREA]]</calculatedColumnFormula>
    </tableColumn>
  </tableColumns>
  <tableStyleInfo name="TableStyleLight3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124A91D1-9F85-4C9F-8621-BB78A0176C3B}" name="Table4469" displayName="Table4469" ref="P804:T825" totalsRowShown="0">
  <autoFilter ref="P804:T825" xr:uid="{124A91D1-9F85-4C9F-8621-BB78A0176C3B}"/>
  <tableColumns count="5">
    <tableColumn id="1" xr3:uid="{DC8BF16B-9750-4CC8-8452-921A725B2343}" name="time"/>
    <tableColumn id="2" xr3:uid="{AFE9DAC7-3AA1-46A1-8946-1FCCA6533092}" name="moment" dataDxfId="25">
      <calculatedColumnFormula>-(Table4469[[#This Row],[time]]-2)*2</calculatedColumnFormula>
    </tableColumn>
    <tableColumn id="3" xr3:uid="{B57C3DAF-EB22-43CC-8EC7-A57AAC13DE9E}" name="CAREA"/>
    <tableColumn id="4" xr3:uid="{D5A42966-6447-4D10-BB75-0EE9ABDA3E2F}" name="CFNM"/>
    <tableColumn id="5" xr3:uid="{D700183F-2109-4E8A-8735-93F576B51DF2}" name="CFNM/Total area contact" dataDxfId="24">
      <calculatedColumnFormula>Table4469[[#This Row],[CFNM]]/Table4469[[#This Row],[CAREA]]</calculatedColumnFormula>
    </tableColumn>
  </tableColumns>
  <tableStyleInfo name="TableStyleLight4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58336F00-9110-4816-B85C-36A2F535E57A}" name="Table5470" displayName="Table5470" ref="U804:Y825" totalsRowShown="0">
  <autoFilter ref="U804:Y825" xr:uid="{58336F00-9110-4816-B85C-36A2F535E57A}"/>
  <tableColumns count="5">
    <tableColumn id="1" xr3:uid="{3937E988-E949-44E7-BAD3-B1069221802D}" name="time"/>
    <tableColumn id="2" xr3:uid="{F66AF4FF-28D7-4A82-B480-E36474466702}" name="moment" dataDxfId="23">
      <calculatedColumnFormula>-(Table5470[[#This Row],[time]]-2)*2</calculatedColumnFormula>
    </tableColumn>
    <tableColumn id="3" xr3:uid="{88EFAD90-F583-4F4B-9FCD-596A78FF90E8}" name="CAREA"/>
    <tableColumn id="4" xr3:uid="{5D65AF9D-C447-4924-8D1B-8789BC26EC0A}" name="CFNM"/>
    <tableColumn id="5" xr3:uid="{75314E02-7B57-4D5D-8DD0-DD14F7A5C933}" name="CFNM/Total area contact" dataDxfId="22">
      <calculatedColumnFormula>Table5470[[#This Row],[CFNM]]/Table5470[[#This Row],[CAREA]]</calculatedColumnFormula>
    </tableColumn>
  </tableColumns>
  <tableStyleInfo name="TableStyleLight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B20B9A5C-4816-46DC-8C18-1A630807FE5A}" name="Table7" displayName="Table7" ref="AE91:AI112" totalsRowShown="0">
  <autoFilter ref="AE91:AI112" xr:uid="{B20B9A5C-4816-46DC-8C18-1A630807FE5A}"/>
  <tableColumns count="5">
    <tableColumn id="1" xr3:uid="{74190DF3-656D-4628-90DE-58CE95E59A51}" name="time"/>
    <tableColumn id="2" xr3:uid="{18E7F72B-DB42-4007-9AB8-A9195E46098F}" name="moment" dataDxfId="435">
      <calculatedColumnFormula>(Table7[[#This Row],[time]]-2)*2</calculatedColumnFormula>
    </tableColumn>
    <tableColumn id="3" xr3:uid="{05AB6BEA-21B6-4D63-81CB-87AA02C30D99}" name="CAREA"/>
    <tableColumn id="4" xr3:uid="{EA3AFEF0-D1AA-452C-9B86-C314AD6C109D}" name="CFNM"/>
    <tableColumn id="5" xr3:uid="{242F179F-2B8E-4298-941E-CD71CE05A32A}" name="CFNM/Total area contact" dataDxfId="434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09031C70-D9D8-48ED-8D20-19020D339E96}" name="Table6471" displayName="Table6471" ref="Z804:AD825" totalsRowShown="0">
  <autoFilter ref="Z804:AD825" xr:uid="{09031C70-D9D8-48ED-8D20-19020D339E96}"/>
  <tableColumns count="5">
    <tableColumn id="1" xr3:uid="{B6769FBF-073B-4C05-B561-098DDDDF1C43}" name="time"/>
    <tableColumn id="2" xr3:uid="{D49772FF-6B82-45CE-9987-5C3205D34F57}" name="moment" dataDxfId="21">
      <calculatedColumnFormula>-(Table6471[[#This Row],[time]]-2)*2</calculatedColumnFormula>
    </tableColumn>
    <tableColumn id="3" xr3:uid="{5A91A719-8048-446A-A536-767F8CDF0699}" name="CAREA"/>
    <tableColumn id="4" xr3:uid="{105791F8-4634-4E18-8E23-21C8381F2648}" name="CFNM"/>
    <tableColumn id="5" xr3:uid="{E82B1A83-D27A-45AE-B42F-93AB133C3783}" name="CFNM/Total area contact" dataDxfId="20">
      <calculatedColumnFormula>Table6471[[#This Row],[CFNM]]/Table6471[[#This Row],[CAREA]]</calculatedColumnFormula>
    </tableColumn>
  </tableColumns>
  <tableStyleInfo name="TableStyleLight6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3B6DA381-F077-4D59-AC80-B3AF88692929}" name="Table7472" displayName="Table7472" ref="AE804:AI825" totalsRowShown="0">
  <autoFilter ref="AE804:AI825" xr:uid="{3B6DA381-F077-4D59-AC80-B3AF88692929}"/>
  <tableColumns count="5">
    <tableColumn id="1" xr3:uid="{69239E39-89C9-44C7-9B94-265B976DDDD8}" name="time"/>
    <tableColumn id="2" xr3:uid="{7B78BBA9-EE32-47E1-974E-53F6A55BA2FF}" name="moment" dataDxfId="19">
      <calculatedColumnFormula>-(Table7472[[#This Row],[time]]-2)*2</calculatedColumnFormula>
    </tableColumn>
    <tableColumn id="3" xr3:uid="{B2D70051-BE6D-4A90-B1C5-7B16736A86BB}" name="CAREA"/>
    <tableColumn id="4" xr3:uid="{D74CE672-69E7-4381-A6F8-4B7F14DA8B0B}" name="CFNM"/>
    <tableColumn id="5" xr3:uid="{7EF6D364-9264-49D2-A1ED-4290EECB5C77}" name="CFNM/Total area contact" dataDxfId="18">
      <calculatedColumnFormula>Table7472[[#This Row],[CFNM]]/Table7472[[#This Row],[CAREA]]</calculatedColumnFormula>
    </tableColumn>
  </tableColumns>
  <tableStyleInfo name="TableStyleLight7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607AFB0D-B681-45F0-84B3-B4127F2093DD}" name="Table8473" displayName="Table8473" ref="AJ804:AN825" totalsRowShown="0">
  <autoFilter ref="AJ804:AN825" xr:uid="{607AFB0D-B681-45F0-84B3-B4127F2093DD}"/>
  <tableColumns count="5">
    <tableColumn id="1" xr3:uid="{E2DE078A-7EFF-45A4-80B5-5B430A2F93DC}" name="time"/>
    <tableColumn id="2" xr3:uid="{F94ADA0F-A969-472B-8079-C9AC5D3D2E20}" name="moment" dataDxfId="17">
      <calculatedColumnFormula>-(Table8473[[#This Row],[time]]-2)*2</calculatedColumnFormula>
    </tableColumn>
    <tableColumn id="3" xr3:uid="{0AC379B3-3EAA-412A-BA1C-EB37AD54E379}" name="CAREA"/>
    <tableColumn id="4" xr3:uid="{47AE9E51-A808-42C7-B17A-11D9446111C7}" name="CFNM"/>
    <tableColumn id="5" xr3:uid="{1DE674A1-2930-496B-A88D-39C4DB0483B0}" name="CFNM/Total area contact" dataDxfId="16">
      <calculatedColumnFormula>Table8473[[#This Row],[CFNM]]/Table8473[[#This Row],[CAREA]]</calculatedColumnFormula>
    </tableColumn>
  </tableColumns>
  <tableStyleInfo name="TableStyleLight15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81C75DD0-C916-4433-BCD1-78C5917B1C4C}" name="Table110474" displayName="Table110474" ref="A831:E852" totalsRowShown="0">
  <autoFilter ref="A831:E852" xr:uid="{81C75DD0-C916-4433-BCD1-78C5917B1C4C}"/>
  <tableColumns count="5">
    <tableColumn id="1" xr3:uid="{EF56A2C9-8A26-4391-AF17-0BCD8CFD8AB8}" name="time"/>
    <tableColumn id="2" xr3:uid="{0C51B6AC-6D3D-417E-BD35-5771D2C59C20}" name="moment" dataDxfId="15">
      <calculatedColumnFormula>(Table110474[[#This Row],[time]]-2)*2</calculatedColumnFormula>
    </tableColumn>
    <tableColumn id="3" xr3:uid="{841D7056-56B4-4C2F-BA9D-B5D49E0B8A18}" name="CAREA"/>
    <tableColumn id="4" xr3:uid="{606107B1-E793-4698-98B7-5478706CE224}" name="CFNM"/>
    <tableColumn id="5" xr3:uid="{B61EFB4D-C832-4F36-A21A-4EDC750CACC9}" name="CFNM/Total area contact" dataDxfId="14">
      <calculatedColumnFormula>Table110474[[#This Row],[CFNM]]/Table110474[[#This Row],[CAREA]]</calculatedColumnFormula>
    </tableColumn>
  </tableColumns>
  <tableStyleInfo name="TableStyleLight1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3A462023-75B6-4190-ACCA-CBA888FFFBFD}" name="Table211475" displayName="Table211475" ref="F831:J852" totalsRowShown="0">
  <autoFilter ref="F831:J852" xr:uid="{3A462023-75B6-4190-ACCA-CBA888FFFBFD}"/>
  <tableColumns count="5">
    <tableColumn id="1" xr3:uid="{F040FD5A-15C0-4C49-96F1-A7651EC5AC63}" name="time"/>
    <tableColumn id="2" xr3:uid="{DE3E8CBB-D6E8-44AE-ABB2-D125A780CDEA}" name="moment" dataDxfId="13">
      <calculatedColumnFormula>(Table211475[[#This Row],[time]]-2)*2</calculatedColumnFormula>
    </tableColumn>
    <tableColumn id="3" xr3:uid="{4DA29271-EAF3-45DE-BF64-4E580FFF7B92}" name="CAREA"/>
    <tableColumn id="4" xr3:uid="{CDFD024E-A06F-47E0-9A0B-81F34B1CEDC9}" name="CFNM"/>
    <tableColumn id="5" xr3:uid="{A7848379-991A-4FD7-B3F0-159B6FB8813D}" name="CFNM/Total area contact" dataDxfId="12">
      <calculatedColumnFormula>Table211475[[#This Row],[CFNM]]/Table211475[[#This Row],[CAREA]]</calculatedColumnFormula>
    </tableColumn>
  </tableColumns>
  <tableStyleInfo name="TableStyleLight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3619446D-716C-44F8-ABF7-DE44F571FC66}" name="Table312476" displayName="Table312476" ref="K831:O852" totalsRowShown="0">
  <autoFilter ref="K831:O852" xr:uid="{3619446D-716C-44F8-ABF7-DE44F571FC66}"/>
  <tableColumns count="5">
    <tableColumn id="1" xr3:uid="{3847D21A-10F1-4D83-BF41-9991AB6A8015}" name="time"/>
    <tableColumn id="2" xr3:uid="{BC42338E-A9BB-400B-A37E-ABC9E6D9CF29}" name="moment" dataDxfId="11">
      <calculatedColumnFormula>(Table312476[[#This Row],[time]]-2)*2</calculatedColumnFormula>
    </tableColumn>
    <tableColumn id="3" xr3:uid="{FE1CF182-C1F3-4DF1-A9DE-E0CBB31AB9F7}" name="CAREA"/>
    <tableColumn id="4" xr3:uid="{065DE315-0D6C-4664-B3DF-6B686D07B893}" name="CFNM"/>
    <tableColumn id="5" xr3:uid="{FD747AFC-79CD-4F16-84F6-5DC715E9A421}" name="CFNM/Total area contact" dataDxfId="10">
      <calculatedColumnFormula>Table312476[[#This Row],[CFNM]]/Table312476[[#This Row],[CAREA]]</calculatedColumnFormula>
    </tableColumn>
  </tableColumns>
  <tableStyleInfo name="TableStyleLight3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38390259-766B-43D2-8188-56D92FA20883}" name="Table413477" displayName="Table413477" ref="P831:T852" totalsRowShown="0">
  <autoFilter ref="P831:T852" xr:uid="{38390259-766B-43D2-8188-56D92FA20883}"/>
  <tableColumns count="5">
    <tableColumn id="1" xr3:uid="{D065FDDB-3781-4B74-A562-AA5BB3C9F577}" name="time"/>
    <tableColumn id="2" xr3:uid="{0E6DE0BE-7D36-41B0-A4B7-7A9C8DF03DF9}" name="moment" dataDxfId="9">
      <calculatedColumnFormula>(Table413477[[#This Row],[time]]-2)*2</calculatedColumnFormula>
    </tableColumn>
    <tableColumn id="3" xr3:uid="{84AFB2EA-8993-48B6-90EC-620D1B497782}" name="CAREA"/>
    <tableColumn id="4" xr3:uid="{BCA280F3-4D53-4613-A029-613DC504A63F}" name="CFNM"/>
    <tableColumn id="5" xr3:uid="{2591126F-7BDC-41D5-9E79-C8EDABCF3FDC}" name="CFNM/Total area contact" dataDxfId="8">
      <calculatedColumnFormula>Table413477[[#This Row],[CFNM]]/Table413477[[#This Row],[CAREA]]</calculatedColumnFormula>
    </tableColumn>
  </tableColumns>
  <tableStyleInfo name="TableStyleLight4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B2A93DA9-232E-4441-AA8B-155B036D928D}" name="Table514478" displayName="Table514478" ref="U831:Y852" totalsRowShown="0">
  <autoFilter ref="U831:Y852" xr:uid="{B2A93DA9-232E-4441-AA8B-155B036D928D}"/>
  <tableColumns count="5">
    <tableColumn id="1" xr3:uid="{04DA537D-A5CA-40A0-A288-DD5BA2398EBA}" name="time"/>
    <tableColumn id="2" xr3:uid="{6E6031FF-20EA-4520-B075-C0FF69BBA3A1}" name="moment" dataDxfId="7">
      <calculatedColumnFormula>(Table514478[[#This Row],[time]]-2)*2</calculatedColumnFormula>
    </tableColumn>
    <tableColumn id="3" xr3:uid="{08CD7E1B-9DBB-4390-9191-8C65C25E1F04}" name="CAREA"/>
    <tableColumn id="4" xr3:uid="{4F0C737A-6D1C-4B20-BC3A-ED4B36304E38}" name="CFNM"/>
    <tableColumn id="5" xr3:uid="{0F4FA407-F7FE-4C64-AB96-54024E81BC4C}" name="CFNM/Total area contact" dataDxfId="6">
      <calculatedColumnFormula>Table514478[[#This Row],[CFNM]]/Table514478[[#This Row],[CAREA]]</calculatedColumnFormula>
    </tableColumn>
  </tableColumns>
  <tableStyleInfo name="TableStyleLight5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5056B8E4-8AFD-44D1-9A79-86E156566ACB}" name="Table615479" displayName="Table615479" ref="Z831:AD852" totalsRowShown="0">
  <autoFilter ref="Z831:AD852" xr:uid="{5056B8E4-8AFD-44D1-9A79-86E156566ACB}"/>
  <tableColumns count="5">
    <tableColumn id="1" xr3:uid="{024E1BA0-611D-4695-9E78-A529C29AFED3}" name="time"/>
    <tableColumn id="2" xr3:uid="{BDE1CBC2-8FDB-48C6-9CF9-79B8EF849355}" name="moment" dataDxfId="5">
      <calculatedColumnFormula>(Table615479[[#This Row],[time]]-2)*2</calculatedColumnFormula>
    </tableColumn>
    <tableColumn id="3" xr3:uid="{485821BE-3A3C-483A-9D89-63BA1F870B59}" name="CAREA"/>
    <tableColumn id="4" xr3:uid="{B46338C3-C41F-4412-9471-70EEFE3A16E6}" name="CFNM"/>
    <tableColumn id="5" xr3:uid="{5AD8681B-2CD9-496E-99E1-0F4E1F3483B4}" name="CFNM/Total area contact" dataDxfId="4">
      <calculatedColumnFormula>Table615479[[#This Row],[CFNM]]/Table615479[[#This Row],[CAREA]]</calculatedColumnFormula>
    </tableColumn>
  </tableColumns>
  <tableStyleInfo name="TableStyleLight6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EDE00810-CAB7-458C-8915-A2EC675C44ED}" name="Table716480" displayName="Table716480" ref="AE831:AI852" totalsRowShown="0">
  <autoFilter ref="AE831:AI852" xr:uid="{EDE00810-CAB7-458C-8915-A2EC675C44ED}"/>
  <tableColumns count="5">
    <tableColumn id="1" xr3:uid="{F9A22B3D-88A2-442E-9D9B-5DF0E5A2E8B4}" name="time"/>
    <tableColumn id="2" xr3:uid="{8702D92A-3AAC-4DD2-8506-B85F8BAA374C}" name="moment" dataDxfId="3">
      <calculatedColumnFormula>(Table716480[[#This Row],[time]]-2)*2</calculatedColumnFormula>
    </tableColumn>
    <tableColumn id="3" xr3:uid="{D0994EBB-5DA8-43EB-9F62-EEAAC55A61DB}" name="CAREA"/>
    <tableColumn id="4" xr3:uid="{11A14F09-2EB2-47D7-AC79-E4FBAE5BBA11}" name="CFNM"/>
    <tableColumn id="5" xr3:uid="{34811601-5CB3-4D96-B667-3295768475FE}" name="CFNM/Total area contact" dataDxfId="2">
      <calculatedColumnFormula>Table716480[[#This Row],[CFNM]]/Table716480[[#This Row],[CAREA]]</calculatedColumnFormula>
    </tableColumn>
  </tableColumns>
  <tableStyleInfo name="TableStyleLight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A0051E3-2B3A-4B65-B90C-EDAF770B03C8}" name="Table8" displayName="Table8" ref="AJ91:AN112" totalsRowShown="0">
  <autoFilter ref="AJ91:AN112" xr:uid="{0A0051E3-2B3A-4B65-B90C-EDAF770B03C8}"/>
  <tableColumns count="5">
    <tableColumn id="1" xr3:uid="{D3DFB492-48FA-46A1-8D8A-7319726BD8FE}" name="time"/>
    <tableColumn id="2" xr3:uid="{0BFC3303-58EF-41EF-84F1-FDFAEB9CB81B}" name="moment" dataDxfId="433">
      <calculatedColumnFormula>(Table8[[#This Row],[time]]-2)*2</calculatedColumnFormula>
    </tableColumn>
    <tableColumn id="3" xr3:uid="{1144B9A9-A740-47C3-94F7-A77E7B253450}" name="CAREA"/>
    <tableColumn id="4" xr3:uid="{A2F63A9C-D3F1-436A-A751-0410E0FD336A}" name="CFNM"/>
    <tableColumn id="5" xr3:uid="{A10A36CF-E100-4C4B-BD46-1F7C3191A885}" name="CFNM/Total area contact" dataDxfId="432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8B4B0668-5587-4AA7-96F1-4BB147B449DA}" name="Table817481" displayName="Table817481" ref="AJ831:AN852" totalsRowShown="0">
  <autoFilter ref="AJ831:AN852" xr:uid="{8B4B0668-5587-4AA7-96F1-4BB147B449DA}"/>
  <tableColumns count="5">
    <tableColumn id="1" xr3:uid="{88020A2B-0500-4789-A15E-06BF41779166}" name="time"/>
    <tableColumn id="2" xr3:uid="{CD7F140E-3DDD-4DAC-95A9-A97A13D632AF}" name="moment" dataDxfId="1">
      <calculatedColumnFormula>(Table817481[[#This Row],[time]]-2)*2</calculatedColumnFormula>
    </tableColumn>
    <tableColumn id="3" xr3:uid="{6DEFFB7A-2FD2-4F1C-8F00-847B37DD6845}" name="CAREA"/>
    <tableColumn id="4" xr3:uid="{5A258CEC-C1B3-47A3-BB03-7EB93FB307F3}" name="CFNM"/>
    <tableColumn id="5" xr3:uid="{F4C8DEE1-0735-4971-8E01-309C2E128B53}" name="CFNM/Total area contact" dataDxfId="0">
      <calculatedColumnFormula>Table817481[[#This Row],[CFNM]]/Table817481[[#This Row],[CAREA]]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B8BB7809-21B8-46E1-B1D8-4F2A49FF7DE3}" name="Table219266" displayName="Table219266" ref="A64:E85" totalsRowShown="0">
  <autoFilter ref="A64:E85" xr:uid="{B8BB7809-21B8-46E1-B1D8-4F2A49FF7DE3}"/>
  <tableColumns count="5">
    <tableColumn id="1" xr3:uid="{CD43783B-BEAD-4C93-8F3E-94F78BF1B254}" name="time"/>
    <tableColumn id="5" xr3:uid="{04E01FAB-025D-48F5-A5D2-58E2587ADFB3}" name="moment" dataDxfId="431">
      <calculatedColumnFormula>-(Table219266[[#This Row],[time]]-2)*2</calculatedColumnFormula>
    </tableColumn>
    <tableColumn id="2" xr3:uid="{74B8DDB8-98A6-4C4D-8F21-0365CA2655B3}" name="CAREA "/>
    <tableColumn id="3" xr3:uid="{14CA140B-753A-45ED-BCFC-0140C764C432}" name="CFNM"/>
    <tableColumn id="4" xr3:uid="{8CE0429A-7851-4D0A-B7B8-DCEB27724E7E}" name="CFNM/Total area contact" dataDxfId="430">
      <calculatedColumnFormula>Table219266[[#This Row],[CFNM]]/Table219266[[#This Row],[CAREA ]]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F8B2B066-B355-4A97-BF6B-8A95774E227A}" name="Table320267" displayName="Table320267" ref="F64:J85" totalsRowShown="0">
  <autoFilter ref="F64:J85" xr:uid="{F8B2B066-B355-4A97-BF6B-8A95774E227A}"/>
  <tableColumns count="5">
    <tableColumn id="1" xr3:uid="{58D2BEA6-0308-4BDE-ABDB-B6AB89DB4482}" name="time"/>
    <tableColumn id="5" xr3:uid="{7D5BDA21-151F-4767-A9FE-EB88A24236D9}" name="moment" dataDxfId="429">
      <calculatedColumnFormula>-(Table320267[[#This Row],[time]]-2)*2</calculatedColumnFormula>
    </tableColumn>
    <tableColumn id="2" xr3:uid="{51EF5D3F-A434-44C0-95A1-D58975387971}" name="CAREA "/>
    <tableColumn id="3" xr3:uid="{1C52C2BC-1BEF-4428-9F09-B08385F398B9}" name="CFNM"/>
    <tableColumn id="4" xr3:uid="{01D5D387-3D1B-479C-A0EF-55AEEB8B1AB1}" name="CFNM/Total area contact" dataDxfId="428">
      <calculatedColumnFormula>Table320267[[#This Row],[CFNM]]/Table320267[[#This Row],[CAREA ]]</calculatedColumnFormula>
    </tableColumn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DF719335-599A-481D-B8F6-875D8B580AE1}" name="Table421268" displayName="Table421268" ref="K64:O85" totalsRowShown="0">
  <autoFilter ref="K64:O85" xr:uid="{DF719335-599A-481D-B8F6-875D8B580AE1}"/>
  <tableColumns count="5">
    <tableColumn id="1" xr3:uid="{085082BA-6D42-4B80-A7FF-4CB7CA7C7BFD}" name="time"/>
    <tableColumn id="5" xr3:uid="{8437647D-B03B-42F9-872C-23893D6135B3}" name="moment" dataDxfId="427">
      <calculatedColumnFormula>-(Table421268[[#This Row],[time]]-2)*2</calculatedColumnFormula>
    </tableColumn>
    <tableColumn id="2" xr3:uid="{181D4927-F51B-4EA4-B8F9-131BB0F21C65}" name="CAREA"/>
    <tableColumn id="3" xr3:uid="{39ED3A02-E564-41E8-94FC-114135B0A9B2}" name="CFNM"/>
    <tableColumn id="4" xr3:uid="{7FF9BD87-10BA-4DC6-B8BC-63760394127F}" name="CFNM/Total area contact" dataDxfId="426">
      <calculatedColumnFormula>Table421268[[#This Row],[CFNM]]/Table421268[[#This Row],[CAREA]]</calculatedColumnFormula>
    </tableColumn>
  </tableColumns>
  <tableStyleInfo name="TableStyleLight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8321570B-A0C4-455E-A6E1-07AE462F4BDC}" name="Table622269" displayName="Table622269" ref="U64:Y85" totalsRowShown="0">
  <autoFilter ref="U64:Y85" xr:uid="{8321570B-A0C4-455E-A6E1-07AE462F4BDC}"/>
  <tableColumns count="5">
    <tableColumn id="1" xr3:uid="{003C1BC8-C399-48A6-B03F-11151640CB7D}" name="time"/>
    <tableColumn id="5" xr3:uid="{B35F0F85-228D-45CB-B6A0-E1996D9AFD20}" name="moment" dataDxfId="425">
      <calculatedColumnFormula>-(Table622269[[#This Row],[time]]-2)*2</calculatedColumnFormula>
    </tableColumn>
    <tableColumn id="2" xr3:uid="{229FD1B9-5A99-41E6-84E7-190108707F56}" name="CAREA"/>
    <tableColumn id="3" xr3:uid="{4F50BC07-CC0D-4DC6-9709-B5093CBC5499}" name="CFNM"/>
    <tableColumn id="4" xr3:uid="{E8D8C422-332D-4CDD-8E4D-E07480A2BCA3}" name="CFNM/Total area contact" dataDxfId="424">
      <calculatedColumnFormula>Table622269[[#This Row],[CFNM]]/Table622269[[#This Row],[CAREA]]</calculatedColumnFormula>
    </tableColumn>
  </tableColumns>
  <tableStyleInfo name="TableStyleLight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9C000460-F4CE-49B6-84E6-15193ED7C577}" name="Table723270" displayName="Table723270" ref="Z64:AD85" totalsRowShown="0">
  <autoFilter ref="Z64:AD85" xr:uid="{9C000460-F4CE-49B6-84E6-15193ED7C577}"/>
  <tableColumns count="5">
    <tableColumn id="1" xr3:uid="{97CB5CE8-476E-4FE8-A33A-10836F76BC7F}" name="time"/>
    <tableColumn id="5" xr3:uid="{06D785E2-F6B4-428A-970E-48DB13750B1B}" name="moment" dataDxfId="423">
      <calculatedColumnFormula>-(Table723270[[#This Row],[time]]-2)*2</calculatedColumnFormula>
    </tableColumn>
    <tableColumn id="2" xr3:uid="{BDBB2D01-38D8-4ADA-AA54-BD0745F0DC2A}" name="CAREA"/>
    <tableColumn id="3" xr3:uid="{0EED311F-53B9-494D-968D-900CC17A8D03}" name="CFNM"/>
    <tableColumn id="4" xr3:uid="{85B59D25-F10B-4E99-A150-80F7A89EE968}" name="CFNM/Total area contact" dataDxfId="422">
      <calculatedColumnFormula>Table723270[[#This Row],[CFNM]]/Table723270[[#This Row],[CAREA]]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DAC292ED-2D7D-4819-86FC-C9962D67FFAD}" name="Table3244" displayName="Table3244" ref="K7:O28" totalsRowShown="0">
  <autoFilter ref="K7:O28" xr:uid="{DAC292ED-2D7D-4819-86FC-C9962D67FFAD}"/>
  <tableColumns count="5">
    <tableColumn id="1" xr3:uid="{2A3630AF-B170-4CEF-8D00-50A9A403E812}" name="time"/>
    <tableColumn id="2" xr3:uid="{749422C9-7C14-42EF-9312-57020C510D03}" name="moment" dataDxfId="475">
      <calculatedColumnFormula>-(Table3244[[#This Row],[time]]-2)*2</calculatedColumnFormula>
    </tableColumn>
    <tableColumn id="3" xr3:uid="{233955CF-8612-48B4-A2E1-8E1EED20DE53}" name="CAREA"/>
    <tableColumn id="4" xr3:uid="{4FD30551-6E73-41C3-839B-F95D3834A215}" name="CFNM"/>
    <tableColumn id="5" xr3:uid="{F08E3D24-556A-4C7D-AFB7-DFD51D0B32B9}" name="CFNM/Total area contact" dataDxfId="474">
      <calculatedColumnFormula>Table3244[[#This Row],[CFNM]]/Table3244[[#This Row],[CAREA]]</calculatedColumnFormula>
    </tableColumn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E50EB81C-6653-42E6-9FD2-D62B60FCFED4}" name="Table824271" displayName="Table824271" ref="AE64:AI85" totalsRowShown="0">
  <autoFilter ref="AE64:AI85" xr:uid="{E50EB81C-6653-42E6-9FD2-D62B60FCFED4}"/>
  <tableColumns count="5">
    <tableColumn id="1" xr3:uid="{3D9B34F3-A966-4901-ACD7-16D225BC634B}" name="time"/>
    <tableColumn id="5" xr3:uid="{52E80650-C07B-463D-91C3-60421A2A1516}" name="moment" dataDxfId="421">
      <calculatedColumnFormula>-(Table824271[[#This Row],[time]]-2)*2</calculatedColumnFormula>
    </tableColumn>
    <tableColumn id="2" xr3:uid="{649CBD77-DAC2-43D1-9189-F74ADD7AB556}" name="CAREA"/>
    <tableColumn id="3" xr3:uid="{62754C18-BE19-4E83-9987-2FAC9109FFD1}" name="CFNM"/>
    <tableColumn id="4" xr3:uid="{AABC4282-A407-4AA5-A90C-36275E833A0A}" name="CFNM/Total area contact" dataDxfId="420">
      <calculatedColumnFormula>Table824271[[#This Row],[CFNM]]/Table824271[[#This Row],[CAREA]]</calculatedColumnFormula>
    </tableColumn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E7F47692-35A8-4559-B5A8-E575DF43D378}" name="Table925272" displayName="Table925272" ref="AJ64:AN85" totalsRowShown="0">
  <autoFilter ref="AJ64:AN85" xr:uid="{E7F47692-35A8-4559-B5A8-E575DF43D378}"/>
  <tableColumns count="5">
    <tableColumn id="1" xr3:uid="{0FF2E4FF-8072-4234-B718-2E9715F23826}" name="time"/>
    <tableColumn id="5" xr3:uid="{9F1E6A06-B0AD-4B9B-AF41-E046A4F8E5ED}" name="moment" dataDxfId="419">
      <calculatedColumnFormula>-(Table925272[[#This Row],[time]]-2)*2</calculatedColumnFormula>
    </tableColumn>
    <tableColumn id="2" xr3:uid="{E76C0DEB-7D5C-4000-B5C5-9DDBB86AEF8C}" name="CAREA"/>
    <tableColumn id="3" xr3:uid="{9E4CEA9B-3F27-433B-911A-2C11E4AF98EF}" name="CFNM"/>
    <tableColumn id="4" xr3:uid="{153B598C-CFEB-4051-8033-F70E7490F844}" name="CFNM/Total area contact" dataDxfId="418">
      <calculatedColumnFormula>Table925272[[#This Row],[CFNM]]/Table925272[[#This Row],[CAREA]]</calculatedColumnFormula>
    </tableColumn>
  </tableColumns>
  <tableStyleInfo name="TableStyleLight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27FF093A-4130-4C3B-9971-EF6633E9D583}" name="Table16273" displayName="Table16273" ref="P64:T85" totalsRowShown="0">
  <autoFilter ref="P64:T85" xr:uid="{27FF093A-4130-4C3B-9971-EF6633E9D583}"/>
  <tableColumns count="5">
    <tableColumn id="1" xr3:uid="{457A378E-C1CD-445F-9419-D66477256847}" name="time"/>
    <tableColumn id="2" xr3:uid="{B0797CC7-EEFC-4C96-ADFC-17E9C5633CDC}" name="moment" dataDxfId="417">
      <calculatedColumnFormula>-(Table16273[[#This Row],[time]]-2)*2</calculatedColumnFormula>
    </tableColumn>
    <tableColumn id="3" xr3:uid="{51E2D149-D8B2-4426-BCFA-623EF18CF352}" name="CAREA"/>
    <tableColumn id="4" xr3:uid="{B0BCB06A-BED8-4AC6-9FE1-F382A2B9DDC8}" name="CFNM"/>
    <tableColumn id="5" xr3:uid="{281B7D02-1991-4B84-9B67-D36FD72BD937}" name="CFNM/Total area contact" dataDxfId="416">
      <calculatedColumnFormula>Table16273[[#This Row],[CFNM]]/Table16273[[#This Row],[CAREA]]</calculatedColumnFormula>
    </tableColumn>
  </tableColumns>
  <tableStyleInfo name="TableStyleLight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31A40C6E-89B5-439C-94D6-320ED39F3050}" name="Table1274" displayName="Table1274" ref="A121:E142" totalsRowShown="0">
  <autoFilter ref="A121:E142" xr:uid="{31A40C6E-89B5-439C-94D6-320ED39F3050}"/>
  <tableColumns count="5">
    <tableColumn id="1" xr3:uid="{C095930F-9911-42DF-BD89-C8615BEBDA3D}" name="time"/>
    <tableColumn id="2" xr3:uid="{3BB82F80-3943-4851-927D-33226436433C}" name="moment" dataDxfId="415">
      <calculatedColumnFormula>-(Table1274[[#This Row],[time]]-2)*2</calculatedColumnFormula>
    </tableColumn>
    <tableColumn id="3" xr3:uid="{C8B3EAC2-CF8C-4221-B05F-551D0A6E032C}" name="CAREA"/>
    <tableColumn id="4" xr3:uid="{55882DCA-6A78-4C0D-9DBF-7F5B8B7F214A}" name="CFNM"/>
    <tableColumn id="5" xr3:uid="{84EBC7FB-D3ED-46E9-8DB4-B868652A281F}" name="CFNM/Total area contact" dataDxfId="414">
      <calculatedColumnFormula>Table1274[[#This Row],[CFNM]]/Table1274[[#This Row],[CAREA]]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56C81F8-CF44-4D6F-A3FF-99ED70DCAFC2}" name="Table2275" displayName="Table2275" ref="F121:J142" totalsRowShown="0">
  <autoFilter ref="F121:J142" xr:uid="{056C81F8-CF44-4D6F-A3FF-99ED70DCAFC2}"/>
  <tableColumns count="5">
    <tableColumn id="1" xr3:uid="{D5315F5B-B59B-47C2-97F5-F1C250268F30}" name="time"/>
    <tableColumn id="2" xr3:uid="{DA8E880F-48D1-4A9A-81CD-34DC9BC4CAF1}" name="moment" dataDxfId="413">
      <calculatedColumnFormula>-(Table2275[[#This Row],[time]]-2)*2</calculatedColumnFormula>
    </tableColumn>
    <tableColumn id="3" xr3:uid="{B82C59DC-F6E5-4870-83D2-B5C6CC510355}" name="CAREA"/>
    <tableColumn id="4" xr3:uid="{2717D7A7-D1A2-4AB2-ACB6-D9E231007BF7}" name="CFNM"/>
    <tableColumn id="5" xr3:uid="{A31C9E4A-DA1B-4615-81EC-EFAF555A1D0D}" name="CFNM/Total area contact" dataDxfId="412">
      <calculatedColumnFormula>Table2275[[#This Row],[CFNM]]/Table2275[[#This Row],[CAREA]]</calculatedColumnFormula>
    </tableColumn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8D148ECE-56F3-408F-9C24-DE7E49FC1656}" name="Table3276" displayName="Table3276" ref="K121:O142" totalsRowShown="0">
  <autoFilter ref="K121:O142" xr:uid="{8D148ECE-56F3-408F-9C24-DE7E49FC1656}"/>
  <tableColumns count="5">
    <tableColumn id="1" xr3:uid="{E3683CCE-E78C-4BCD-99D3-18B24F63EFC8}" name="time"/>
    <tableColumn id="2" xr3:uid="{1E5FDF06-67F5-4215-94D3-FB77E7DF0F39}" name="moment" dataDxfId="411">
      <calculatedColumnFormula>-(Table3276[[#This Row],[time]]-2)*2</calculatedColumnFormula>
    </tableColumn>
    <tableColumn id="3" xr3:uid="{ACA851E1-290F-4A91-970A-5D698B5FFCAC}" name="CAREA"/>
    <tableColumn id="4" xr3:uid="{45A74786-D604-46A4-811E-CFDA1A036352}" name="CFNM"/>
    <tableColumn id="5" xr3:uid="{6E3FD37A-3D23-41D3-BEB4-EA25162348DD}" name="CFNM/Total area contact" dataDxfId="410">
      <calculatedColumnFormula>Table3276[[#This Row],[CFNM]]/Table3276[[#This Row],[CAREA]]</calculatedColumnFormula>
    </tableColumn>
  </tableColumns>
  <tableStyleInfo name="TableStyleLight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66C39DA8-AB8D-409E-8769-6929BBC00048}" name="Table4277" displayName="Table4277" ref="P121:T142" totalsRowShown="0">
  <autoFilter ref="P121:T142" xr:uid="{66C39DA8-AB8D-409E-8769-6929BBC00048}"/>
  <tableColumns count="5">
    <tableColumn id="1" xr3:uid="{A727A5B9-C0D9-49DC-B9FD-A18B1A6E228A}" name="time"/>
    <tableColumn id="2" xr3:uid="{3F2C585E-63B6-492D-9326-FEE73DB42C6C}" name="moment" dataDxfId="409">
      <calculatedColumnFormula>-(Table4277[[#This Row],[time]]-2)*2</calculatedColumnFormula>
    </tableColumn>
    <tableColumn id="3" xr3:uid="{6C19BF4C-8C82-4AE7-9FF0-66655CD0C75B}" name="CAREA"/>
    <tableColumn id="4" xr3:uid="{F1AFCF64-1AF5-43F7-9A36-3EC16877C81A}" name="CFNM"/>
    <tableColumn id="5" xr3:uid="{64642440-3B1C-4101-8E5F-AD9B09286526}" name="CFNM/Total area contact" dataDxfId="408">
      <calculatedColumnFormula>Table4277[[#This Row],[CFNM]]/Table4277[[#This Row],[CAREA]]</calculatedColumnFormula>
    </tableColumn>
  </tableColumns>
  <tableStyleInfo name="TableStyleLight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78B2B2C8-FB37-4C62-AF2D-1DC4AB4C9B2D}" name="Table5278" displayName="Table5278" ref="U121:Y142" totalsRowShown="0">
  <autoFilter ref="U121:Y142" xr:uid="{78B2B2C8-FB37-4C62-AF2D-1DC4AB4C9B2D}"/>
  <tableColumns count="5">
    <tableColumn id="1" xr3:uid="{A968C457-AF63-4586-9A5D-BFD186BDD336}" name="time"/>
    <tableColumn id="2" xr3:uid="{BEE2C82A-1245-4358-8462-14815787CB49}" name="moment" dataDxfId="407">
      <calculatedColumnFormula>-(Table5278[[#This Row],[time]]-2)*2</calculatedColumnFormula>
    </tableColumn>
    <tableColumn id="3" xr3:uid="{5BEE2324-9015-4580-A70F-67A042FD910E}" name="CAREA"/>
    <tableColumn id="4" xr3:uid="{67F785D5-F29B-4546-8EB6-CAA743AFDC89}" name="CFNM"/>
    <tableColumn id="5" xr3:uid="{B3D7476F-4B6F-485D-8F37-606D02F3A3AF}" name="CFNM/Total area contact" dataDxfId="406">
      <calculatedColumnFormula>Table5278[[#This Row],[CFNM]]/Table5278[[#This Row],[CAREA]]</calculatedColumnFormula>
    </tableColumn>
  </tableColumns>
  <tableStyleInfo name="TableStyleLight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50B80332-D709-47DB-B330-32D42DBE4404}" name="Table6279" displayName="Table6279" ref="Z121:AD142" totalsRowShown="0">
  <autoFilter ref="Z121:AD142" xr:uid="{50B80332-D709-47DB-B330-32D42DBE4404}"/>
  <tableColumns count="5">
    <tableColumn id="1" xr3:uid="{49EB87C0-5130-4E0C-BCED-4710AF29238A}" name="time"/>
    <tableColumn id="2" xr3:uid="{ECA9D0C2-6638-4FCF-B2C9-33A826DA87B5}" name="moment" dataDxfId="405">
      <calculatedColumnFormula>-(Table6279[[#This Row],[time]]-2)*2</calculatedColumnFormula>
    </tableColumn>
    <tableColumn id="3" xr3:uid="{E9522B94-00A1-40A6-B745-41B3E85702DE}" name="CAREA"/>
    <tableColumn id="4" xr3:uid="{0E5BDADD-DED9-48E1-8AE6-8BD70A336E24}" name="CFNM"/>
    <tableColumn id="5" xr3:uid="{80329D16-B8E9-4DB1-98A2-4C012BA7D36B}" name="CFNM/Total area contact" dataDxfId="404">
      <calculatedColumnFormula>Table6279[[#This Row],[CFNM]]/Table6279[[#This Row],[CAREA]]</calculatedColumnFormula>
    </tableColumn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FE043438-DF6B-482E-9E75-20DC0CD5DA51}" name="Table110280" displayName="Table110280" ref="A148:E169" totalsRowShown="0">
  <autoFilter ref="A148:E169" xr:uid="{FE043438-DF6B-482E-9E75-20DC0CD5DA51}"/>
  <tableColumns count="5">
    <tableColumn id="1" xr3:uid="{5D42EC85-D5AD-481D-B928-639F62420C42}" name="time"/>
    <tableColumn id="2" xr3:uid="{F6C17196-8670-4176-9BC5-4073D679F141}" name="moment" dataDxfId="403">
      <calculatedColumnFormula>(Table110280[[#This Row],[time]]-2)*2</calculatedColumnFormula>
    </tableColumn>
    <tableColumn id="3" xr3:uid="{2098DE19-04E5-4C74-BDAE-5CE9082D4324}" name="CAREA"/>
    <tableColumn id="4" xr3:uid="{36EB301E-8161-4595-8444-0EE0AE1EF38E}" name="CFNM"/>
    <tableColumn id="5" xr3:uid="{2F04B55D-7339-463D-A46F-267375C426F2}" name="CFNM/Total area contact" dataDxfId="402">
      <calculatedColumnFormula>Table110280[[#This Row],[CFNM]]/Table110280[[#This Row],[CAREA]]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C1713853-5B8F-4A32-BF78-8D924E85A831}" name="Table4245" displayName="Table4245" ref="P7:T28" totalsRowShown="0">
  <autoFilter ref="P7:T28" xr:uid="{C1713853-5B8F-4A32-BF78-8D924E85A831}"/>
  <tableColumns count="5">
    <tableColumn id="1" xr3:uid="{EDECE60D-9D84-452D-8AAF-BC4A5725058B}" name="time"/>
    <tableColumn id="2" xr3:uid="{060DD590-2CC4-4E67-AD51-7D2CEE06315A}" name="moment" dataDxfId="473">
      <calculatedColumnFormula>-(Table4245[[#This Row],[time]]-2)*2</calculatedColumnFormula>
    </tableColumn>
    <tableColumn id="3" xr3:uid="{73F1F6BD-2FA3-400F-97CE-5B8B57FD0A6F}" name="CAREA"/>
    <tableColumn id="4" xr3:uid="{774FA20E-7E29-4E16-96CA-787D12681A04}" name="CFNM"/>
    <tableColumn id="5" xr3:uid="{27835E87-5D6E-4C6C-B775-A269ACC648ED}" name="CFNM/Total area contact" dataDxfId="472">
      <calculatedColumnFormula>Table4245[[#This Row],[CFNM]]/Table4245[[#This Row],[CAREA]]</calculatedColumnFormula>
    </tableColumn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B75CD304-E823-48BF-BEAC-E4518CCFE670}" name="Table211281" displayName="Table211281" ref="F148:J169" totalsRowShown="0">
  <autoFilter ref="F148:J169" xr:uid="{B75CD304-E823-48BF-BEAC-E4518CCFE670}"/>
  <tableColumns count="5">
    <tableColumn id="1" xr3:uid="{783EAB62-5543-4929-AAA7-631A57406261}" name="time"/>
    <tableColumn id="2" xr3:uid="{92F494EA-70CA-4B5F-9FC7-2A487359EB65}" name="moment" dataDxfId="401">
      <calculatedColumnFormula>(Table211281[[#This Row],[time]]-2)*2</calculatedColumnFormula>
    </tableColumn>
    <tableColumn id="3" xr3:uid="{6F3D9E89-6C0E-4552-A11A-B65BC7596611}" name="CAREA"/>
    <tableColumn id="4" xr3:uid="{8FC7AF27-0998-4C63-A65E-1DC71CDEE14F}" name="CFNM"/>
    <tableColumn id="5" xr3:uid="{808B0946-8923-47D1-843B-EC8D6302EE8D}" name="CFNM/Total area contact" dataDxfId="400">
      <calculatedColumnFormula>Table211281[[#This Row],[CFNM]]/Table211281[[#This Row],[CAREA]]</calculatedColumnFormula>
    </tableColumn>
  </tableColumns>
  <tableStyleInfo name="TableStyleLight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3B06C869-7999-48B4-BA59-173966A68EC0}" name="Table312282" displayName="Table312282" ref="K148:O169" totalsRowShown="0">
  <autoFilter ref="K148:O169" xr:uid="{3B06C869-7999-48B4-BA59-173966A68EC0}"/>
  <tableColumns count="5">
    <tableColumn id="1" xr3:uid="{07F6B73D-A357-4E84-A9BE-27985FC97A38}" name="time"/>
    <tableColumn id="2" xr3:uid="{3F4E82D7-1210-4117-945A-37B1F0E8DA73}" name="moment" dataDxfId="399">
      <calculatedColumnFormula>(Table312282[[#This Row],[time]]-2)*2</calculatedColumnFormula>
    </tableColumn>
    <tableColumn id="3" xr3:uid="{E6F4F1E6-54F5-4D77-9CF6-03F33D8A47E6}" name="CAREA"/>
    <tableColumn id="4" xr3:uid="{E5034993-D65C-45DC-98A0-F186C2C5434A}" name="CFNM"/>
    <tableColumn id="5" xr3:uid="{1FC069E0-7CB9-4648-BCA4-D62480270742}" name="CFNM/Total area contact" dataDxfId="398">
      <calculatedColumnFormula>Table312282[[#This Row],[CFNM]]/Table312282[[#This Row],[CAREA]]</calculatedColumnFormula>
    </tableColumn>
  </tableColumns>
  <tableStyleInfo name="TableStyleLight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F096C60C-74A9-466B-B50F-386C9436EB1A}" name="Table413283" displayName="Table413283" ref="P148:T169" totalsRowShown="0">
  <autoFilter ref="P148:T169" xr:uid="{F096C60C-74A9-466B-B50F-386C9436EB1A}"/>
  <tableColumns count="5">
    <tableColumn id="1" xr3:uid="{5298AA22-01D3-4CBF-8187-043E51B48721}" name="time"/>
    <tableColumn id="2" xr3:uid="{1D4037BE-B9A2-4467-8237-E4C973AC2B0A}" name="moment" dataDxfId="397">
      <calculatedColumnFormula>(Table413283[[#This Row],[time]]-2)*2</calculatedColumnFormula>
    </tableColumn>
    <tableColumn id="3" xr3:uid="{C281926D-2231-4D8C-B202-9F533225E9AF}" name="CAREA"/>
    <tableColumn id="4" xr3:uid="{240EA745-8E75-46BC-9A31-6B2BC1557037}" name="CFNM"/>
    <tableColumn id="5" xr3:uid="{AA8B8782-2042-4469-B96C-2D357FA0BD4B}" name="CFNM/Total area contact" dataDxfId="396">
      <calculatedColumnFormula>Table413283[[#This Row],[CFNM]]/Table413283[[#This Row],[CAREA]]</calculatedColumnFormula>
    </tableColumn>
  </tableColumns>
  <tableStyleInfo name="TableStyleLight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1C000786-4DB6-494F-A5BA-8A48B65C5E52}" name="Table514284" displayName="Table514284" ref="U148:Y169" totalsRowShown="0">
  <autoFilter ref="U148:Y169" xr:uid="{1C000786-4DB6-494F-A5BA-8A48B65C5E52}"/>
  <tableColumns count="5">
    <tableColumn id="1" xr3:uid="{082B6BDF-1EA0-4ABF-971E-F472AC2F5C4D}" name="time"/>
    <tableColumn id="2" xr3:uid="{629B6F80-8B9F-4C86-9743-A6CBE8A143CD}" name="moment" dataDxfId="395">
      <calculatedColumnFormula>(Table514284[[#This Row],[time]]-2)*2</calculatedColumnFormula>
    </tableColumn>
    <tableColumn id="3" xr3:uid="{6B4CEFF8-2E1F-4BF2-81EB-B44200F9AE00}" name="CAREA"/>
    <tableColumn id="4" xr3:uid="{33421961-0C71-4418-BE05-B82A1AAD3E41}" name="CFNM"/>
    <tableColumn id="5" xr3:uid="{9FCCDC2E-A73F-40FB-A3CB-EAB159191649}" name="CFNM/Total area contact" dataDxfId="394">
      <calculatedColumnFormula>Table514284[[#This Row],[CFNM]]/Table514284[[#This Row],[CAREA]]</calculatedColumnFormula>
    </tableColumn>
  </tableColumns>
  <tableStyleInfo name="TableStyleLight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FA1C4F57-D407-4281-9ACE-FD354917D565}" name="Table615285" displayName="Table615285" ref="Z148:AD169" totalsRowShown="0">
  <autoFilter ref="Z148:AD169" xr:uid="{FA1C4F57-D407-4281-9ACE-FD354917D565}"/>
  <tableColumns count="5">
    <tableColumn id="1" xr3:uid="{06C64F23-A0D8-4FA6-BA9C-9115C71D5A48}" name="time"/>
    <tableColumn id="2" xr3:uid="{1AD4561D-A13F-48B3-A484-87460D6212DE}" name="moment" dataDxfId="393">
      <calculatedColumnFormula>(Table615285[[#This Row],[time]]-2)*2</calculatedColumnFormula>
    </tableColumn>
    <tableColumn id="3" xr3:uid="{6FFB410D-0B6C-4B74-93B3-744313DE491F}" name="CAREA"/>
    <tableColumn id="4" xr3:uid="{4680CE0D-1250-48D8-8EE3-796CD587F210}" name="CFNM"/>
    <tableColumn id="5" xr3:uid="{9A0FFA2A-B111-4FCA-8622-E65427A91B6D}" name="CFNM/Total area contact" dataDxfId="392">
      <calculatedColumnFormula>Table615285[[#This Row],[CFNM]]/Table615285[[#This Row],[CAREA]]</calculatedColumnFormula>
    </tableColumn>
  </tableColumns>
  <tableStyleInfo name="TableStyleLight6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F1D981D4-C0CC-49E5-9912-54F1FFF12B76}" name="Table7286" displayName="Table7286" ref="AE121:AI142" totalsRowShown="0">
  <autoFilter ref="AE121:AI142" xr:uid="{F1D981D4-C0CC-49E5-9912-54F1FFF12B76}"/>
  <tableColumns count="5">
    <tableColumn id="1" xr3:uid="{F7948B89-D849-4E37-9C48-3AD344B1D8A3}" name="time"/>
    <tableColumn id="2" xr3:uid="{A12300A3-48CB-4CD9-9530-3D2FD723A8B7}" name="moment" dataDxfId="391">
      <calculatedColumnFormula>-(Table7286[[#This Row],[time]]-2)*2</calculatedColumnFormula>
    </tableColumn>
    <tableColumn id="3" xr3:uid="{673426D2-80D4-4AA9-8479-CD27ABF5BA23}" name="CAREA"/>
    <tableColumn id="4" xr3:uid="{6F36CF2D-7FFA-4E2D-A3DF-3AD3891EA72F}" name="CFNM"/>
    <tableColumn id="5" xr3:uid="{714BF580-70E2-46C6-9D08-45872342865F}" name="CFNM/Total area contact" dataDxfId="390">
      <calculatedColumnFormula>Table7286[[#This Row],[CFNM]]/Table7286[[#This Row],[CAREA]]</calculatedColumnFormula>
    </tableColumn>
  </tableColumns>
  <tableStyleInfo name="TableStyleLight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8D20367-D7C2-468C-BABC-D977CD5910C7}" name="Table818" displayName="Table818" ref="AJ121:AN142" totalsRowShown="0">
  <autoFilter ref="AJ121:AN142" xr:uid="{08D20367-D7C2-468C-BABC-D977CD5910C7}"/>
  <tableColumns count="5">
    <tableColumn id="1" xr3:uid="{06C40A48-3A13-4344-A2B9-F4CCCEB6F8BD}" name="time"/>
    <tableColumn id="2" xr3:uid="{146BBD5B-B5AA-4F43-971F-198356F89146}" name="moment" dataDxfId="389">
      <calculatedColumnFormula>-(Table818[[#This Row],[time]]-2)*2</calculatedColumnFormula>
    </tableColumn>
    <tableColumn id="3" xr3:uid="{B7FD84FB-B464-49E8-9C0E-54BD0C207D65}" name="CAREA"/>
    <tableColumn id="4" xr3:uid="{92C9779C-2CD1-4A5F-B359-018D69AF6388}" name="CFNM"/>
    <tableColumn id="5" xr3:uid="{2AC61224-D7E6-4ADD-838B-56C3A6B7BAFD}" name="CFNM/Total area contact" dataDxfId="388">
      <calculatedColumnFormula>Table818[[#This Row],[CFNM]]/Table818[[#This Row],[CAREA]]</calculatedColumnFormula>
    </tableColumn>
  </tableColumns>
  <tableStyleInfo name="TableStyleLight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1A48595A-5F18-4D15-AA22-F2B5701A867B}" name="Table716288" displayName="Table716288" ref="AE148:AI169" totalsRowShown="0">
  <autoFilter ref="AE148:AI169" xr:uid="{1A48595A-5F18-4D15-AA22-F2B5701A867B}"/>
  <tableColumns count="5">
    <tableColumn id="1" xr3:uid="{C9C14DA4-0320-473A-BE0E-2995A29A1E49}" name="time"/>
    <tableColumn id="2" xr3:uid="{727810D1-AC35-48C9-AD47-411B0F7F3414}" name="moment" dataDxfId="387">
      <calculatedColumnFormula>(Table716288[[#This Row],[time]]-2)*2</calculatedColumnFormula>
    </tableColumn>
    <tableColumn id="3" xr3:uid="{C4F340D8-674F-42F8-94D1-D4FD6BB15715}" name="CAREA"/>
    <tableColumn id="4" xr3:uid="{ECDFA237-CFBB-4631-838C-295DF0B5354A}" name="CFNM"/>
    <tableColumn id="5" xr3:uid="{8AAFFE83-58BB-4CCB-955A-8DEF9B15BF77}" name="CFNM/Total area contact" dataDxfId="386">
      <calculatedColumnFormula>Table716288[[#This Row],[CFNM]]/Table716288[[#This Row],[CAREA]]</calculatedColumnFormula>
    </tableColumn>
  </tableColumns>
  <tableStyleInfo name="TableStyleLight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C2E728A8-7B43-4ACB-ADF3-A0FF4CDC807F}" name="Table81719" displayName="Table81719" ref="AJ148:AN169" totalsRowShown="0">
  <autoFilter ref="AJ148:AN169" xr:uid="{C2E728A8-7B43-4ACB-ADF3-A0FF4CDC807F}"/>
  <tableColumns count="5">
    <tableColumn id="1" xr3:uid="{0E54E167-3846-4982-905A-A34D476A54B1}" name="time"/>
    <tableColumn id="2" xr3:uid="{03B18A9A-52C6-45E6-9240-D9CD4476B66A}" name="moment" dataDxfId="385">
      <calculatedColumnFormula>(Table81719[[#This Row],[time]]-2)*2</calculatedColumnFormula>
    </tableColumn>
    <tableColumn id="3" xr3:uid="{C65F55EF-5D94-4C49-8648-EC0D1D616DA7}" name="CAREA"/>
    <tableColumn id="4" xr3:uid="{F30858FD-9C1B-4280-8468-64902E125724}" name="CFNM"/>
    <tableColumn id="5" xr3:uid="{9097D8A8-FBA5-47D2-9CE7-58A6F265691F}" name="CFNM/Total area contact" dataDxfId="384">
      <calculatedColumnFormula>Table81719[[#This Row],[CFNM]]/Table81719[[#This Row],[CAREA]]</calculatedColumnFormula>
    </tableColumn>
  </tableColumns>
  <tableStyleInfo name="TableStyleLight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CE137F1A-8B72-45CC-975E-1A896736B652}" name="Table1290" displayName="Table1290" ref="A178:E199" totalsRowShown="0">
  <autoFilter ref="A178:E199" xr:uid="{CE137F1A-8B72-45CC-975E-1A896736B652}"/>
  <tableColumns count="5">
    <tableColumn id="1" xr3:uid="{F19D8415-8C20-424E-9E0F-5C0A09BF5A28}" name="time"/>
    <tableColumn id="2" xr3:uid="{C07A902A-CAAF-4487-AF87-4394F74476D4}" name="moment" dataDxfId="383">
      <calculatedColumnFormula>-(Table1290[[#This Row],[time]]-2)*2</calculatedColumnFormula>
    </tableColumn>
    <tableColumn id="3" xr3:uid="{D6701609-10AA-4ECA-B64C-B3A672947627}" name="CAREA"/>
    <tableColumn id="4" xr3:uid="{03CA2CA9-67F3-4898-AA7C-21EAC87EF61E}" name="CFNM"/>
    <tableColumn id="5" xr3:uid="{F251FCC7-C612-4C5F-980A-8A765244A2E4}" name="CFNM/Total area contact" dataDxfId="382">
      <calculatedColumnFormula>Table1290[[#This Row],[CFNM]]/Table1290[[#This Row],[CAREA]]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6CE14E8-6385-4448-887D-9F2274097BB4}" name="Table5246" displayName="Table5246" ref="U7:Y28" totalsRowShown="0">
  <autoFilter ref="U7:Y28" xr:uid="{06CE14E8-6385-4448-887D-9F2274097BB4}"/>
  <tableColumns count="5">
    <tableColumn id="1" xr3:uid="{101FF5B1-4866-4DFD-8253-2E0F9B64AEF7}" name="time"/>
    <tableColumn id="2" xr3:uid="{6704AEC3-B33E-4793-88D2-4FE4BCCC609C}" name="moment" dataDxfId="471">
      <calculatedColumnFormula>-(Table5246[[#This Row],[time]]-2)*2</calculatedColumnFormula>
    </tableColumn>
    <tableColumn id="3" xr3:uid="{E4892069-4E40-4A3B-BC37-C9A435D191EA}" name="CAREA"/>
    <tableColumn id="4" xr3:uid="{8D157B75-C40B-4937-A8EA-6184D1E62E78}" name="CFNM"/>
    <tableColumn id="5" xr3:uid="{0C7308C7-C114-4EAF-B337-75A5D76470FE}" name="CFNM/Total area contact" dataDxfId="470">
      <calculatedColumnFormula>Table5246[[#This Row],[CFNM]]/Table5246[[#This Row],[CAREA]]</calculatedColumnFormula>
    </tableColumn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998E0B81-85B6-4F32-975A-C46CBC8F75D6}" name="Table2291" displayName="Table2291" ref="F178:J199" totalsRowShown="0">
  <autoFilter ref="F178:J199" xr:uid="{998E0B81-85B6-4F32-975A-C46CBC8F75D6}"/>
  <tableColumns count="5">
    <tableColumn id="1" xr3:uid="{FCE266B9-667A-4D60-AFBC-B2539764958E}" name="time"/>
    <tableColumn id="2" xr3:uid="{F01E94C1-3053-4BA1-BEC1-C633260F2B98}" name="moment" dataDxfId="381">
      <calculatedColumnFormula>-(Table2291[[#This Row],[time]]-2)*2</calculatedColumnFormula>
    </tableColumn>
    <tableColumn id="3" xr3:uid="{35F8ED40-09D8-46ED-9D6E-241791F79A1E}" name="CAREA"/>
    <tableColumn id="4" xr3:uid="{79954E8D-81D9-481E-9029-11A9A1C48839}" name="CFNM"/>
    <tableColumn id="5" xr3:uid="{ECA0128F-126D-43B6-AAAA-4F5BFCBD0A7B}" name="CFNM/Total area contact" dataDxfId="380">
      <calculatedColumnFormula>Table2291[[#This Row],[CFNM]]/Table2291[[#This Row],[CAREA]]</calculatedColumnFormula>
    </tableColumn>
  </tableColumns>
  <tableStyleInfo name="TableStyleLight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2BDCF73F-F3F7-4600-A464-EA93DF50BCEE}" name="Table3292" displayName="Table3292" ref="K178:O199" totalsRowShown="0">
  <autoFilter ref="K178:O199" xr:uid="{2BDCF73F-F3F7-4600-A464-EA93DF50BCEE}"/>
  <tableColumns count="5">
    <tableColumn id="1" xr3:uid="{2E783911-E318-4E0F-8FFD-E6EB1CA11EF1}" name="time"/>
    <tableColumn id="2" xr3:uid="{1670EC37-F9F6-4422-8568-E55ED3204B2A}" name="moment" dataDxfId="379">
      <calculatedColumnFormula>-(Table3292[[#This Row],[time]]-2)*2</calculatedColumnFormula>
    </tableColumn>
    <tableColumn id="3" xr3:uid="{9308387A-81F1-47F5-8AE1-0889BCAC407E}" name="CAREA"/>
    <tableColumn id="4" xr3:uid="{672C72C2-D09D-47BC-BF04-576A6B8145AF}" name="CFNM"/>
    <tableColumn id="5" xr3:uid="{0338B691-054D-49EE-B3D2-C7563A5654AF}" name="CFNM/Total area contact" dataDxfId="378">
      <calculatedColumnFormula>Table3292[[#This Row],[CFNM]]/Table3292[[#This Row],[CAREA]]</calculatedColumnFormula>
    </tableColumn>
  </tableColumns>
  <tableStyleInfo name="TableStyleLight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A420D0B8-7AE8-4D60-AE9B-AC08685A08A0}" name="Table4293" displayName="Table4293" ref="P178:T199" totalsRowShown="0">
  <autoFilter ref="P178:T199" xr:uid="{A420D0B8-7AE8-4D60-AE9B-AC08685A08A0}"/>
  <tableColumns count="5">
    <tableColumn id="1" xr3:uid="{B4BA9AB7-9677-43AD-B860-1979F6B45994}" name="time"/>
    <tableColumn id="2" xr3:uid="{9541DED7-2438-42FE-8CC5-90339FC4EC29}" name="moment" dataDxfId="377">
      <calculatedColumnFormula>-(Table4293[[#This Row],[time]]-2)*2</calculatedColumnFormula>
    </tableColumn>
    <tableColumn id="3" xr3:uid="{FD4DB53D-05BD-4836-A45E-69E41AB89994}" name="CAREA"/>
    <tableColumn id="4" xr3:uid="{5C302191-5CC5-4C26-82BC-FF5FD46EDE95}" name="CFNM"/>
    <tableColumn id="5" xr3:uid="{8F9C4D87-46AE-464E-8060-F73B1D276874}" name="CFNM/Total area contact" dataDxfId="376">
      <calculatedColumnFormula>Table4293[[#This Row],[CFNM]]/Table4293[[#This Row],[CAREA]]</calculatedColumnFormula>
    </tableColumn>
  </tableColumns>
  <tableStyleInfo name="TableStyleLight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47AF16C6-7D8D-478F-9547-E45E8809FF53}" name="Table5294" displayName="Table5294" ref="U178:Y199" totalsRowShown="0">
  <autoFilter ref="U178:Y199" xr:uid="{47AF16C6-7D8D-478F-9547-E45E8809FF53}"/>
  <tableColumns count="5">
    <tableColumn id="1" xr3:uid="{4ECD520E-E57E-4581-BC7B-34E5105AEB2B}" name="time"/>
    <tableColumn id="2" xr3:uid="{958BB046-AD08-4D9C-A7CB-EE837F760B69}" name="moment" dataDxfId="375">
      <calculatedColumnFormula>-(Table5294[[#This Row],[time]]-2)*2</calculatedColumnFormula>
    </tableColumn>
    <tableColumn id="3" xr3:uid="{6DF45102-883C-4E1E-A9A6-C0CE1E92BE1E}" name="CAREA"/>
    <tableColumn id="4" xr3:uid="{772CF746-E1CA-4EAA-9B33-16A5ED9125AD}" name="CFNM"/>
    <tableColumn id="5" xr3:uid="{04A84BBC-0B7D-4ACC-88AB-8C999FBC4ECE}" name="CFNM/Total area contact" dataDxfId="374">
      <calculatedColumnFormula>Table5294[[#This Row],[CFNM]]/Table5294[[#This Row],[CAREA]]</calculatedColumnFormula>
    </tableColumn>
  </tableColumns>
  <tableStyleInfo name="TableStyleLight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D45ECFE0-CD75-49FD-AB65-878F7B59172B}" name="Table6295" displayName="Table6295" ref="Z178:AD199" totalsRowShown="0">
  <autoFilter ref="Z178:AD199" xr:uid="{D45ECFE0-CD75-49FD-AB65-878F7B59172B}"/>
  <tableColumns count="5">
    <tableColumn id="1" xr3:uid="{5C2F64AE-3616-422A-9C84-C67774E788DA}" name="time"/>
    <tableColumn id="2" xr3:uid="{408978CF-9401-4123-B908-C48D4197FA8C}" name="moment" dataDxfId="373">
      <calculatedColumnFormula>-(Table6295[[#This Row],[time]]-2)*2</calculatedColumnFormula>
    </tableColumn>
    <tableColumn id="3" xr3:uid="{A42B05BD-C926-486F-B023-FFE2E9F07A70}" name="CAREA"/>
    <tableColumn id="4" xr3:uid="{0CF7B209-6244-4D3A-B5B9-F07341F4F4CB}" name="CFNM"/>
    <tableColumn id="5" xr3:uid="{78471E48-B551-4FB1-83F0-527652FBC949}" name="CFNM/Total area contact" dataDxfId="372">
      <calculatedColumnFormula>Table6295[[#This Row],[CFNM]]/Table6295[[#This Row],[CAREA]]</calculatedColumnFormula>
    </tableColumn>
  </tableColumns>
  <tableStyleInfo name="TableStyleLight6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A0E90C09-06E4-4344-A667-F15F032AB3B2}" name="Table7296" displayName="Table7296" ref="AE178:AI199" totalsRowShown="0">
  <autoFilter ref="AE178:AI199" xr:uid="{A0E90C09-06E4-4344-A667-F15F032AB3B2}"/>
  <tableColumns count="5">
    <tableColumn id="1" xr3:uid="{792540AC-1523-4BB8-BEDA-B5059D234868}" name="time"/>
    <tableColumn id="2" xr3:uid="{7BCE3052-7962-4D98-9870-B6AE0126023C}" name="moment" dataDxfId="371">
      <calculatedColumnFormula>-(Table7296[[#This Row],[time]]-2)*2</calculatedColumnFormula>
    </tableColumn>
    <tableColumn id="3" xr3:uid="{8CE331A3-C20A-4C91-A288-1084F9CA5488}" name="CAREA"/>
    <tableColumn id="4" xr3:uid="{C751E32C-7B36-4827-8F01-954E71D5A616}" name="CFNM"/>
    <tableColumn id="5" xr3:uid="{472AB0FE-66FF-4270-9FFE-35C5C95052BF}" name="CFNM/Total area contact" dataDxfId="370">
      <calculatedColumnFormula>Table7296[[#This Row],[CFNM]]/Table7296[[#This Row],[CAREA]]</calculatedColumnFormula>
    </tableColumn>
  </tableColumns>
  <tableStyleInfo name="TableStyleLight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3410CD79-D946-43FE-A9AB-0A4EA80FC50D}" name="Table8297" displayName="Table8297" ref="AJ178:AN199" totalsRowShown="0">
  <autoFilter ref="AJ178:AN199" xr:uid="{3410CD79-D946-43FE-A9AB-0A4EA80FC50D}"/>
  <tableColumns count="5">
    <tableColumn id="1" xr3:uid="{35E53CF1-9802-47F0-B183-FFDC7E722648}" name="time"/>
    <tableColumn id="2" xr3:uid="{4AFEE52C-0EB3-4129-A12D-4B4AD3A05719}" name="moment" dataDxfId="369">
      <calculatedColumnFormula>-(Table8297[[#This Row],[time]]-2)*2</calculatedColumnFormula>
    </tableColumn>
    <tableColumn id="3" xr3:uid="{1BDAA00E-380D-4C67-AECB-DA70A935C0AB}" name="CAREA"/>
    <tableColumn id="4" xr3:uid="{4BD29BD7-6762-4200-A56A-C7B62611B500}" name="CFNM"/>
    <tableColumn id="5" xr3:uid="{FCC13A13-8B5E-4266-A45E-54A267DBD3F3}" name="CFNM/Total area contact" dataDxfId="368">
      <calculatedColumnFormula>Table8297[[#This Row],[CFNM]]/Table8297[[#This Row],[CAREA]]</calculatedColumnFormula>
    </tableColumn>
  </tableColumns>
  <tableStyleInfo name="TableStyleLight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92252BAD-C98F-40C1-83AF-23A55A0AF5DE}" name="Table110" displayName="Table110" ref="A205:E226" totalsRowShown="0">
  <autoFilter ref="A205:E226" xr:uid="{92252BAD-C98F-40C1-83AF-23A55A0AF5DE}"/>
  <tableColumns count="5">
    <tableColumn id="1" xr3:uid="{901A2678-0EA9-45A7-BEC8-7097B48BB49F}" name="time"/>
    <tableColumn id="2" xr3:uid="{928D0C87-1710-4DE4-87AB-3372A26CB856}" name="moment" dataDxfId="367">
      <calculatedColumnFormula>(Table110[[#This Row],[time]]-2)*2</calculatedColumnFormula>
    </tableColumn>
    <tableColumn id="3" xr3:uid="{8A2997ED-E8B5-4B10-AD59-3F2A94F4CE6D}" name="CAREA"/>
    <tableColumn id="4" xr3:uid="{6BBF5354-9157-46A2-A971-E9096EE45847}" name="CFNM"/>
    <tableColumn id="5" xr3:uid="{58B0D1AD-85DE-4C92-AB70-32EAD698D018}" name="CFNM/Total area contact" dataDxfId="366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AE12B950-8F71-4885-9DC5-BA479D1358C7}" name="Table211" displayName="Table211" ref="F205:J226" totalsRowShown="0">
  <autoFilter ref="F205:J226" xr:uid="{AE12B950-8F71-4885-9DC5-BA479D1358C7}"/>
  <tableColumns count="5">
    <tableColumn id="1" xr3:uid="{B56EE645-8AE3-45C7-827A-DBD13AB6D447}" name="time"/>
    <tableColumn id="2" xr3:uid="{D86EA227-0859-4A9D-A499-8622FF5B73A3}" name="moment" dataDxfId="365">
      <calculatedColumnFormula>(Table211[[#This Row],[time]]-2)*2</calculatedColumnFormula>
    </tableColumn>
    <tableColumn id="3" xr3:uid="{AB7C664A-96AC-4F63-A87E-B0989AFF5FC2}" name="CAREA"/>
    <tableColumn id="4" xr3:uid="{255DCEBA-EFC0-435B-B8D9-1A5B4F67D4D8}" name="CFNM"/>
    <tableColumn id="5" xr3:uid="{3580E0F5-B89F-4608-8D10-41D0760F1560}" name="CFNM/Total area contact" dataDxfId="364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6BF151E2-90C7-4CA0-97EE-E02A95B4A8D4}" name="Table312" displayName="Table312" ref="K205:O226" totalsRowShown="0">
  <autoFilter ref="K205:O226" xr:uid="{6BF151E2-90C7-4CA0-97EE-E02A95B4A8D4}"/>
  <tableColumns count="5">
    <tableColumn id="1" xr3:uid="{A648FCB3-E5E0-436C-8F61-578D40E37311}" name="time"/>
    <tableColumn id="2" xr3:uid="{CEAFC57F-478E-4AF2-9A46-CE05BEFE6464}" name="moment" dataDxfId="363">
      <calculatedColumnFormula>(Table312[[#This Row],[time]]-2)*2</calculatedColumnFormula>
    </tableColumn>
    <tableColumn id="3" xr3:uid="{B966DF20-EBFF-4939-8530-8165C6EE196D}" name="CAREA"/>
    <tableColumn id="4" xr3:uid="{2DD06338-2E42-4D82-92C7-AD1B0633D208}" name="CFNM"/>
    <tableColumn id="5" xr3:uid="{821ADA87-7AC3-4D6F-99F9-151015E99C94}" name="CFNM/Total area contact" dataDxfId="362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C44DEB82-DD2A-4B0F-A070-433EFE1489BD}" name="Table6247" displayName="Table6247" ref="Z7:AD28" totalsRowShown="0">
  <autoFilter ref="Z7:AD28" xr:uid="{C44DEB82-DD2A-4B0F-A070-433EFE1489BD}"/>
  <tableColumns count="5">
    <tableColumn id="1" xr3:uid="{3A1C307F-6E5D-4BB6-A319-2E30E5770C82}" name="time"/>
    <tableColumn id="2" xr3:uid="{5178CC05-0BA0-4CD8-800A-980131FECA88}" name="moment" dataDxfId="469">
      <calculatedColumnFormula>-(Table6247[[#This Row],[time]]-2)*2</calculatedColumnFormula>
    </tableColumn>
    <tableColumn id="3" xr3:uid="{424DC545-6286-4B9E-B894-6D266CD1871D}" name="CAREA"/>
    <tableColumn id="4" xr3:uid="{3F9671C3-DF71-412C-99B6-0E13EEB50E0B}" name="CFNM"/>
    <tableColumn id="5" xr3:uid="{6D466464-96CE-436B-B2EA-6618539E35EF}" name="CFNM/Total area contact" dataDxfId="468">
      <calculatedColumnFormula>Table6247[[#This Row],[CFNM]]/Table6247[[#This Row],[CAREA]]</calculatedColumnFormula>
    </tableColumn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34050BA6-52A7-4DC2-B0C2-AFE5F28F2500}" name="Table413" displayName="Table413" ref="P205:T226" totalsRowShown="0">
  <autoFilter ref="P205:T226" xr:uid="{34050BA6-52A7-4DC2-B0C2-AFE5F28F2500}"/>
  <tableColumns count="5">
    <tableColumn id="1" xr3:uid="{6171B5F0-7457-470B-AE72-2B04F463E627}" name="time"/>
    <tableColumn id="2" xr3:uid="{6C1DEA9D-2D11-4E75-AF06-A2960A283EB4}" name="moment" dataDxfId="361">
      <calculatedColumnFormula>(Table413[[#This Row],[time]]-2)*2</calculatedColumnFormula>
    </tableColumn>
    <tableColumn id="3" xr3:uid="{D6619A61-B54D-4FA3-AE93-D9658E0A4970}" name="CAREA"/>
    <tableColumn id="4" xr3:uid="{A6F68859-3DA6-4035-B3D5-D1A514F67F4D}" name="CFNM"/>
    <tableColumn id="5" xr3:uid="{1A947F8A-EEDE-4CFE-B8B7-18204F63E3F8}" name="CFNM/Total area contact" dataDxfId="360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4FC7CE5F-2B8B-43F8-8C71-7706A531EB39}" name="Table514" displayName="Table514" ref="U205:Y226" totalsRowShown="0">
  <autoFilter ref="U205:Y226" xr:uid="{4FC7CE5F-2B8B-43F8-8C71-7706A531EB39}"/>
  <tableColumns count="5">
    <tableColumn id="1" xr3:uid="{332CB8A7-B86B-4E5D-AD59-284A67F61904}" name="time"/>
    <tableColumn id="2" xr3:uid="{84ED4135-7B4F-4192-9B8C-0E8558F91626}" name="moment" dataDxfId="359">
      <calculatedColumnFormula>(Table514[[#This Row],[time]]-2)*2</calculatedColumnFormula>
    </tableColumn>
    <tableColumn id="3" xr3:uid="{DAFB4473-0743-408D-95D2-146352D8A4FD}" name="CAREA"/>
    <tableColumn id="4" xr3:uid="{C0C97DF5-AB8B-483E-963B-8EA97235D7DA}" name="CFNM"/>
    <tableColumn id="5" xr3:uid="{F5C549E1-74AA-4A28-8627-92457767913B}" name="CFNM/Total area contact" dataDxfId="358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97A75DC5-C623-48BC-8091-83B55590D4FD}" name="Table615" displayName="Table615" ref="Z205:AD226" totalsRowShown="0">
  <autoFilter ref="Z205:AD226" xr:uid="{97A75DC5-C623-48BC-8091-83B55590D4FD}"/>
  <tableColumns count="5">
    <tableColumn id="1" xr3:uid="{AECD52BF-540A-41BF-85DC-8C1CEA12C4C4}" name="time"/>
    <tableColumn id="2" xr3:uid="{E9ECAB17-556D-4612-A298-C3D537E68E70}" name="moment" dataDxfId="357">
      <calculatedColumnFormula>(Table615[[#This Row],[time]]-2)*2</calculatedColumnFormula>
    </tableColumn>
    <tableColumn id="3" xr3:uid="{ED1D202F-F0F6-4A67-A5F4-FE97D5945AC6}" name="CAREA"/>
    <tableColumn id="4" xr3:uid="{4CC4260B-7B55-451D-AAE1-A862CEAB54A8}" name="CFNM"/>
    <tableColumn id="5" xr3:uid="{8CA32677-287D-490F-A9C1-73F3BFE6B4ED}" name="CFNM/Total area contact" dataDxfId="356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FAB334BB-7190-432F-AA42-2BE2BAE82E30}" name="Table716" displayName="Table716" ref="AE205:AI226" totalsRowShown="0">
  <autoFilter ref="AE205:AI226" xr:uid="{FAB334BB-7190-432F-AA42-2BE2BAE82E30}"/>
  <tableColumns count="5">
    <tableColumn id="1" xr3:uid="{0608F645-BDAD-4E20-BBE8-B234748D03B8}" name="time"/>
    <tableColumn id="2" xr3:uid="{0A054ECD-3032-40AE-9177-FC7556E66689}" name="moment" dataDxfId="355">
      <calculatedColumnFormula>(Table716[[#This Row],[time]]-2)*2</calculatedColumnFormula>
    </tableColumn>
    <tableColumn id="3" xr3:uid="{596AD059-EEC0-4E94-92E3-27BF420A8688}" name="CAREA"/>
    <tableColumn id="4" xr3:uid="{A5279420-E505-4663-89B7-1DCBA7EBEC2C}" name="CFNM"/>
    <tableColumn id="5" xr3:uid="{0119432D-24BB-4FB2-8723-630026C9199F}" name="CFNM/Total area contact" dataDxfId="354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78EB09CC-82CE-4719-87BD-26964C9147C0}" name="Table817" displayName="Table817" ref="AJ205:AN226" totalsRowShown="0">
  <autoFilter ref="AJ205:AN226" xr:uid="{78EB09CC-82CE-4719-87BD-26964C9147C0}"/>
  <tableColumns count="5">
    <tableColumn id="1" xr3:uid="{12A77D60-B8CA-4A31-B6A8-42ACA4361DD1}" name="time"/>
    <tableColumn id="2" xr3:uid="{1041D380-A4FD-4B3C-856C-C47158A0A906}" name="moment" dataDxfId="353">
      <calculatedColumnFormula>(Table817[[#This Row],[time]]-2)*2</calculatedColumnFormula>
    </tableColumn>
    <tableColumn id="3" xr3:uid="{23529C07-F6D0-44F4-926D-88ACA6929337}" name="CAREA"/>
    <tableColumn id="4" xr3:uid="{19F008CA-0CC6-410C-A60D-DD740196B1D6}" name="CFNM"/>
    <tableColumn id="5" xr3:uid="{1D1D2D36-8F04-4811-A126-59AAB18B1AE1}" name="CFNM/Total area contact" dataDxfId="352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2D1693D1-3D0D-4CD4-BEEE-C2F7F6DA0EB5}" name="Table1306" displayName="Table1306" ref="A235:E256" totalsRowShown="0">
  <autoFilter ref="A235:E256" xr:uid="{2D1693D1-3D0D-4CD4-BEEE-C2F7F6DA0EB5}"/>
  <tableColumns count="5">
    <tableColumn id="1" xr3:uid="{3226B935-C8E1-42FB-AC4F-DDE25476663B}" name="time"/>
    <tableColumn id="2" xr3:uid="{988EEB98-EB19-40F5-9DCB-2B202D70D1D6}" name="moment" dataDxfId="351">
      <calculatedColumnFormula>-(Table1306[[#This Row],[time]]-2)*2</calculatedColumnFormula>
    </tableColumn>
    <tableColumn id="3" xr3:uid="{71232754-D6E3-49AB-9073-522328CD2087}" name="CAREA"/>
    <tableColumn id="4" xr3:uid="{982527CF-4C12-4B7D-8ACF-6E0ED1A8F0DD}" name="CFNM"/>
    <tableColumn id="5" xr3:uid="{CD736C9C-0EB5-4DCD-9B6A-4ABD97EB715C}" name="CFNM/Total area contact" dataDxfId="350">
      <calculatedColumnFormula>Table1306[[#This Row],[CFNM]]/Table1306[[#This Row],[CAREA]]</calculatedColumnFormula>
    </tableColumn>
  </tableColumns>
  <tableStyleInfo name="TableStyleLight1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D6ED32F8-B358-4173-A9A4-A2DC92AB9AE4}" name="Table2307" displayName="Table2307" ref="F235:J256" totalsRowShown="0">
  <autoFilter ref="F235:J256" xr:uid="{D6ED32F8-B358-4173-A9A4-A2DC92AB9AE4}"/>
  <tableColumns count="5">
    <tableColumn id="1" xr3:uid="{F82ADDFB-A1F3-4F72-8842-A088CBFC9FB1}" name="time"/>
    <tableColumn id="2" xr3:uid="{4EC4CABE-A23F-42A4-B89F-E2F03E708B75}" name="moment" dataDxfId="349">
      <calculatedColumnFormula>-(Table2307[[#This Row],[time]]-2)*2</calculatedColumnFormula>
    </tableColumn>
    <tableColumn id="3" xr3:uid="{1077B419-9456-4C6C-9E5E-D66B32434EA0}" name="CAREA"/>
    <tableColumn id="4" xr3:uid="{DC198DF3-5D9E-42D2-81E2-C66AF32CB0B9}" name="CFNM"/>
    <tableColumn id="5" xr3:uid="{48412DE3-62CA-45E7-AC9A-29773C664A5E}" name="CFNM/Total area contact" dataDxfId="348">
      <calculatedColumnFormula>Table2307[[#This Row],[CFNM]]/Table2307[[#This Row],[CAREA]]</calculatedColumnFormula>
    </tableColumn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5CC5E49A-F2BF-4605-9B32-F6561A6CAB79}" name="Table3308" displayName="Table3308" ref="K235:O256" totalsRowShown="0">
  <autoFilter ref="K235:O256" xr:uid="{5CC5E49A-F2BF-4605-9B32-F6561A6CAB79}"/>
  <tableColumns count="5">
    <tableColumn id="1" xr3:uid="{4C7FE1A6-B8F9-4DE3-A218-ED3B2C02752D}" name="time"/>
    <tableColumn id="2" xr3:uid="{D6B8B94C-9C0F-4533-94A1-ED6BB0E60219}" name="moment" dataDxfId="347">
      <calculatedColumnFormula>-(Table3308[[#This Row],[time]]-2)*2</calculatedColumnFormula>
    </tableColumn>
    <tableColumn id="3" xr3:uid="{DACC73E1-01B8-4167-B8EB-54483949D8A8}" name="CAREA"/>
    <tableColumn id="4" xr3:uid="{112BF1EA-BEFB-4A1B-886A-B7E7AC807FD6}" name="CFNM"/>
    <tableColumn id="5" xr3:uid="{8FEBE236-BC78-416C-BE24-467FDEBE81A5}" name="CFNM/Total area contact" dataDxfId="346">
      <calculatedColumnFormula>Table3308[[#This Row],[CFNM]]/Table3308[[#This Row],[CAREA]]</calculatedColumnFormula>
    </tableColumn>
  </tableColumns>
  <tableStyleInfo name="TableStyleLight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2D81C1B6-FE42-47B4-92B7-1573D1246FD2}" name="Table4309" displayName="Table4309" ref="P235:T256" totalsRowShown="0">
  <autoFilter ref="P235:T256" xr:uid="{2D81C1B6-FE42-47B4-92B7-1573D1246FD2}"/>
  <tableColumns count="5">
    <tableColumn id="1" xr3:uid="{E643432C-02E6-4532-B5A5-5BDE88E72F0E}" name="time"/>
    <tableColumn id="2" xr3:uid="{C797E110-76A0-4C84-B988-87D542BBA98E}" name="moment" dataDxfId="345">
      <calculatedColumnFormula>-(Table4309[[#This Row],[time]]-2)*2</calculatedColumnFormula>
    </tableColumn>
    <tableColumn id="3" xr3:uid="{FB7DCACB-B46C-4B03-870F-54C68672D001}" name="CAREA"/>
    <tableColumn id="4" xr3:uid="{6F6638D9-5DAF-4443-A311-1745E71EC19F}" name="CFNM"/>
    <tableColumn id="5" xr3:uid="{827D5883-4986-4525-8346-6857AF448436}" name="CFNM/Total area contact" dataDxfId="344">
      <calculatedColumnFormula>Table4309[[#This Row],[CFNM]]/Table4309[[#This Row],[CAREA]]</calculatedColumnFormula>
    </tableColumn>
  </tableColumns>
  <tableStyleInfo name="TableStyleLight4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5E23725E-CCFB-4411-B5D0-71A324130082}" name="Table5310" displayName="Table5310" ref="U235:Y256" totalsRowShown="0">
  <autoFilter ref="U235:Y256" xr:uid="{5E23725E-CCFB-4411-B5D0-71A324130082}"/>
  <tableColumns count="5">
    <tableColumn id="1" xr3:uid="{A4D57D20-752A-4607-B55C-E2951B360427}" name="time"/>
    <tableColumn id="2" xr3:uid="{F5EFB263-4681-44EB-96E2-1417A046370C}" name="moment" dataDxfId="343">
      <calculatedColumnFormula>-(Table5310[[#This Row],[time]]-2)*2</calculatedColumnFormula>
    </tableColumn>
    <tableColumn id="3" xr3:uid="{AD574A51-BC9B-4230-82D9-D32EA25481BA}" name="CAREA"/>
    <tableColumn id="4" xr3:uid="{51278792-C881-465E-86EA-DF8615EA99F8}" name="CFNM"/>
    <tableColumn id="5" xr3:uid="{33279A86-18B4-4CF4-8972-AB48B5F4F4DE}" name="CFNM/Total area contact" dataDxfId="342">
      <calculatedColumnFormula>Table5310[[#This Row],[CFNM]]/Table5310[[#This Row],[CAREA]]</calculatedColumnFormula>
    </tableColumn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E8DA9261-FE00-4700-A992-07E5B7948A66}" name="Table7248" displayName="Table7248" ref="AE7:AI28" totalsRowShown="0">
  <autoFilter ref="AE7:AI28" xr:uid="{E8DA9261-FE00-4700-A992-07E5B7948A66}"/>
  <tableColumns count="5">
    <tableColumn id="1" xr3:uid="{3C7D747F-2297-4FC0-8B88-45A03FE75C10}" name="time"/>
    <tableColumn id="2" xr3:uid="{2061B721-2ABD-4675-9ECE-33B2721AA78C}" name="moment" dataDxfId="467">
      <calculatedColumnFormula>-(Table7248[[#This Row],[time]]-2)*2</calculatedColumnFormula>
    </tableColumn>
    <tableColumn id="3" xr3:uid="{891B6008-2FC6-4B28-9871-573DC148F213}" name="CAREA"/>
    <tableColumn id="4" xr3:uid="{B54876E9-617B-49DE-9AB1-D2FD2538E22D}" name="CFNM"/>
    <tableColumn id="5" xr3:uid="{72D1D6C3-D5B3-4FE1-AAA4-B6705C8DA24C}" name="CFNM/Total area contact" dataDxfId="466">
      <calculatedColumnFormula>Table7248[[#This Row],[CFNM]]/Table7248[[#This Row],[CAREA]]</calculatedColumnFormula>
    </tableColumn>
  </tableColumns>
  <tableStyleInfo name="TableStyleLight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D20EC8FC-3E2C-47D1-9851-C49E9542E19A}" name="Table6311" displayName="Table6311" ref="Z235:AD256" totalsRowShown="0">
  <autoFilter ref="Z235:AD256" xr:uid="{D20EC8FC-3E2C-47D1-9851-C49E9542E19A}"/>
  <tableColumns count="5">
    <tableColumn id="1" xr3:uid="{987531C3-E749-4986-B7A6-0DA6CE419C8C}" name="time"/>
    <tableColumn id="2" xr3:uid="{A9659C6A-5460-4272-9F9B-D54379B3A1AD}" name="moment" dataDxfId="341">
      <calculatedColumnFormula>-(Table6311[[#This Row],[time]]-2)*2</calculatedColumnFormula>
    </tableColumn>
    <tableColumn id="3" xr3:uid="{EAA1B3AF-CABA-44BB-86FC-89493FF71CBB}" name="CAREA"/>
    <tableColumn id="4" xr3:uid="{7BFBBE32-1953-4B71-9A17-7B62EEB15153}" name="CFNM"/>
    <tableColumn id="5" xr3:uid="{A0F26501-721B-4E92-9E87-EDA54960C894}" name="CFNM/Total area contact" dataDxfId="340">
      <calculatedColumnFormula>Table6311[[#This Row],[CFNM]]/Table6311[[#This Row],[CAREA]]</calculatedColumnFormula>
    </tableColumn>
  </tableColumns>
  <tableStyleInfo name="TableStyleLight6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52562849-1C74-4EAC-8822-A66DC845DD1E}" name="Table7312" displayName="Table7312" ref="AE235:AI256" totalsRowShown="0">
  <autoFilter ref="AE235:AI256" xr:uid="{52562849-1C74-4EAC-8822-A66DC845DD1E}"/>
  <tableColumns count="5">
    <tableColumn id="1" xr3:uid="{39467771-36BC-4D93-BD03-AD4B557AB359}" name="time"/>
    <tableColumn id="2" xr3:uid="{D93F4C10-7E95-4C11-B79B-FFAF641A95D5}" name="moment" dataDxfId="339">
      <calculatedColumnFormula>-(Table7312[[#This Row],[time]]-2)*2</calculatedColumnFormula>
    </tableColumn>
    <tableColumn id="3" xr3:uid="{0644E2D7-D357-4733-B6C3-B068878714DA}" name="CAREA"/>
    <tableColumn id="4" xr3:uid="{1C3858D6-DC25-4B1E-ABE2-BE4F814BE863}" name="CFNM"/>
    <tableColumn id="5" xr3:uid="{C7A3358F-F5C8-4547-85C9-F7F1EA527E5C}" name="CFNM/Total area contact" dataDxfId="338">
      <calculatedColumnFormula>Table7312[[#This Row],[CFNM]]/Table7312[[#This Row],[CAREA]]</calculatedColumnFormula>
    </tableColumn>
  </tableColumns>
  <tableStyleInfo name="TableStyleLight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61E17AC9-C2A5-4B6B-B6C0-C5724271544D}" name="Table8313" displayName="Table8313" ref="AJ235:AN256" totalsRowShown="0">
  <autoFilter ref="AJ235:AN256" xr:uid="{61E17AC9-C2A5-4B6B-B6C0-C5724271544D}"/>
  <tableColumns count="5">
    <tableColumn id="1" xr3:uid="{538D4CE2-F0B6-491B-B061-CDFD5AC2C489}" name="time"/>
    <tableColumn id="2" xr3:uid="{585F8CFF-DC4D-4623-B14A-121060C1FE80}" name="moment" dataDxfId="337">
      <calculatedColumnFormula>-(Table8313[[#This Row],[time]]-2)*2</calculatedColumnFormula>
    </tableColumn>
    <tableColumn id="3" xr3:uid="{E34B64F9-5F91-4C14-AA11-C8B3379B87BE}" name="CAREA"/>
    <tableColumn id="4" xr3:uid="{1B5111A2-7FC8-4A30-ACCB-1D24475DEDCC}" name="CFNM"/>
    <tableColumn id="5" xr3:uid="{B1D6BF61-0860-4297-AFA7-119C1132CB9F}" name="CFNM/Total area contact" dataDxfId="336">
      <calculatedColumnFormula>Table8313[[#This Row],[CFNM]]/Table8313[[#This Row],[CAREA]]</calculatedColumnFormula>
    </tableColumn>
  </tableColumns>
  <tableStyleInfo name="TableStyleLight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979A9D1-8347-4D36-938D-3A292A4545DF}" name="Table110314" displayName="Table110314" ref="A262:E283" totalsRowShown="0">
  <autoFilter ref="A262:E283" xr:uid="{0979A9D1-8347-4D36-938D-3A292A4545DF}"/>
  <tableColumns count="5">
    <tableColumn id="1" xr3:uid="{8FD0D701-B90F-4DA3-8EE6-CC584E82422D}" name="time"/>
    <tableColumn id="2" xr3:uid="{E7BCCFB3-1EC5-4DF3-9F91-FE58E65FD630}" name="moment" dataDxfId="335">
      <calculatedColumnFormula>(Table110314[[#This Row],[time]]-2)*2</calculatedColumnFormula>
    </tableColumn>
    <tableColumn id="3" xr3:uid="{14115A12-F141-467F-BCCB-C354BE17EC78}" name="CAREA"/>
    <tableColumn id="4" xr3:uid="{09BF0611-FDEC-4D9B-AB9B-FC087FCCD642}" name="CFNM"/>
    <tableColumn id="5" xr3:uid="{4F4E06E4-C982-42E1-960F-2ED95D29B1F1}" name="CFNM/Total area contact" dataDxfId="334">
      <calculatedColumnFormula>Table110314[[#This Row],[CFNM]]/Table110314[[#This Row],[CAREA]]</calculatedColumnFormula>
    </tableColumn>
  </tableColumns>
  <tableStyleInfo name="TableStyleLight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61BFC86D-83EF-40E7-8A96-A07336FFBD11}" name="Table211315" displayName="Table211315" ref="F262:J283" totalsRowShown="0">
  <autoFilter ref="F262:J283" xr:uid="{61BFC86D-83EF-40E7-8A96-A07336FFBD11}"/>
  <tableColumns count="5">
    <tableColumn id="1" xr3:uid="{D92C66A7-3924-44F8-906E-968672A04FE2}" name="time"/>
    <tableColumn id="2" xr3:uid="{4E678395-607D-48DB-BC58-331769261223}" name="moment" dataDxfId="333">
      <calculatedColumnFormula>(Table211315[[#This Row],[time]]-2)*2</calculatedColumnFormula>
    </tableColumn>
    <tableColumn id="3" xr3:uid="{EAAB588C-4201-4E5D-8749-3ED9CE0ABDAA}" name="CAREA"/>
    <tableColumn id="4" xr3:uid="{ADCB8A27-5D23-4F08-8166-8A27319AAB08}" name="CFNM"/>
    <tableColumn id="5" xr3:uid="{68F4C8F4-6156-4EE8-8E5F-C86F8A2C0416}" name="CFNM/Total area contact" dataDxfId="332">
      <calculatedColumnFormula>Table211315[[#This Row],[CFNM]]/Table211315[[#This Row],[CAREA]]</calculatedColumnFormula>
    </tableColumn>
  </tableColumns>
  <tableStyleInfo name="TableStyleLight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899484ED-BBD2-48D4-8C92-6F3468D1C668}" name="Table312316" displayName="Table312316" ref="K262:O283" totalsRowShown="0">
  <autoFilter ref="K262:O283" xr:uid="{899484ED-BBD2-48D4-8C92-6F3468D1C668}"/>
  <tableColumns count="5">
    <tableColumn id="1" xr3:uid="{5812792E-A698-4503-837C-CDEE1430C4A5}" name="time"/>
    <tableColumn id="2" xr3:uid="{88F99180-6F1C-43B8-BC53-D17B4E1BD9E0}" name="moment" dataDxfId="331">
      <calculatedColumnFormula>(Table312316[[#This Row],[time]]-2)*2</calculatedColumnFormula>
    </tableColumn>
    <tableColumn id="3" xr3:uid="{69A66C56-9E2D-487A-9BB9-8C6081D3602E}" name="CAREA"/>
    <tableColumn id="4" xr3:uid="{B27D641C-CB30-4740-BB4D-0AE0BD0E75C5}" name="CFNM"/>
    <tableColumn id="5" xr3:uid="{94A1DA27-9A68-406E-8586-731A8178F11A}" name="CFNM/Total area contact" dataDxfId="330">
      <calculatedColumnFormula>Table312316[[#This Row],[CFNM]]/Table312316[[#This Row],[CAREA]]</calculatedColumnFormula>
    </tableColumn>
  </tableColumns>
  <tableStyleInfo name="TableStyleLight3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D02A4ADD-B1C0-4C49-9B56-BB5046666C7F}" name="Table413317" displayName="Table413317" ref="P262:T283" totalsRowShown="0">
  <autoFilter ref="P262:T283" xr:uid="{D02A4ADD-B1C0-4C49-9B56-BB5046666C7F}"/>
  <tableColumns count="5">
    <tableColumn id="1" xr3:uid="{48E7AF60-83CE-4913-AC3D-254DEAF6E02B}" name="time"/>
    <tableColumn id="2" xr3:uid="{80C716B2-32FC-44E4-ADA9-850748A589E2}" name="moment" dataDxfId="329">
      <calculatedColumnFormula>(Table413317[[#This Row],[time]]-2)*2</calculatedColumnFormula>
    </tableColumn>
    <tableColumn id="3" xr3:uid="{4EABF238-1393-4552-8120-8A26F4E53A75}" name="CAREA"/>
    <tableColumn id="4" xr3:uid="{CF8CC723-7CAA-4814-9B0C-AE4B1EEC1F64}" name="CFNM"/>
    <tableColumn id="5" xr3:uid="{3537B3B5-6775-4FC4-8DD0-EAE3380892A8}" name="CFNM/Total area contact" dataDxfId="328">
      <calculatedColumnFormula>Table413317[[#This Row],[CFNM]]/Table413317[[#This Row],[CAREA]]</calculatedColumnFormula>
    </tableColumn>
  </tableColumns>
  <tableStyleInfo name="TableStyleLight4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F7BD505D-3B85-4EC0-8A79-283DF8D7BCD5}" name="Table514318" displayName="Table514318" ref="U262:Y283" totalsRowShown="0">
  <autoFilter ref="U262:Y283" xr:uid="{F7BD505D-3B85-4EC0-8A79-283DF8D7BCD5}"/>
  <tableColumns count="5">
    <tableColumn id="1" xr3:uid="{B92D02D1-92FF-49D8-8BBF-3DEE0168327A}" name="time"/>
    <tableColumn id="2" xr3:uid="{5326E9B7-84C3-4B84-A1B0-7FD036BAA633}" name="moment" dataDxfId="327">
      <calculatedColumnFormula>(Table514318[[#This Row],[time]]-2)*2</calculatedColumnFormula>
    </tableColumn>
    <tableColumn id="3" xr3:uid="{16B79196-644B-4A8F-923F-2A70EC7DB608}" name="CAREA"/>
    <tableColumn id="4" xr3:uid="{2D9B87CF-9F80-4727-B061-E426F5BBBA01}" name="CFNM"/>
    <tableColumn id="5" xr3:uid="{F0CA2918-C531-45AB-884F-ECE43967F386}" name="CFNM/Total area contact" dataDxfId="326">
      <calculatedColumnFormula>Table514318[[#This Row],[CFNM]]/Table514318[[#This Row],[CAREA]]</calculatedColumnFormula>
    </tableColumn>
  </tableColumns>
  <tableStyleInfo name="TableStyleLight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F96784F-F381-493C-85F8-C80033A10A8A}" name="Table615319" displayName="Table615319" ref="Z262:AD283" totalsRowShown="0">
  <autoFilter ref="Z262:AD283" xr:uid="{0F96784F-F381-493C-85F8-C80033A10A8A}"/>
  <tableColumns count="5">
    <tableColumn id="1" xr3:uid="{B58540FB-88E7-43EE-A8E1-5A82EABF58C7}" name="time"/>
    <tableColumn id="2" xr3:uid="{089F1854-3CC7-43CF-B486-DF6A7545932A}" name="moment" dataDxfId="325">
      <calculatedColumnFormula>(Table615319[[#This Row],[time]]-2)*2</calculatedColumnFormula>
    </tableColumn>
    <tableColumn id="3" xr3:uid="{A1FA2277-52A6-43A5-BB52-9735D67668F7}" name="CAREA"/>
    <tableColumn id="4" xr3:uid="{F83DA6CF-29DF-4226-9CE2-65529D7B269A}" name="CFNM"/>
    <tableColumn id="5" xr3:uid="{A0860FAB-4CB1-49D4-8974-1BE898F0A4A5}" name="CFNM/Total area contact" dataDxfId="324">
      <calculatedColumnFormula>Table615319[[#This Row],[CFNM]]/Table615319[[#This Row],[CAREA]]</calculatedColumnFormula>
    </tableColumn>
  </tableColumns>
  <tableStyleInfo name="TableStyleLight6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91F92056-5990-4CBE-B0EC-5E1F848D28E0}" name="Table716320" displayName="Table716320" ref="AE262:AI283" totalsRowShown="0">
  <autoFilter ref="AE262:AI283" xr:uid="{91F92056-5990-4CBE-B0EC-5E1F848D28E0}"/>
  <tableColumns count="5">
    <tableColumn id="1" xr3:uid="{0AD3947F-54E3-41D5-8DC2-47441DEA2E5B}" name="time"/>
    <tableColumn id="2" xr3:uid="{13E3A519-BB0B-42AE-8BC8-3C4E6CAA9155}" name="moment" dataDxfId="323">
      <calculatedColumnFormula>(Table716320[[#This Row],[time]]-2)*2</calculatedColumnFormula>
    </tableColumn>
    <tableColumn id="3" xr3:uid="{700EF432-DA48-4732-95BA-D11EEB49A265}" name="CAREA"/>
    <tableColumn id="4" xr3:uid="{A824B038-4398-45F9-B42F-5AAD8ADE46E0}" name="CFNM"/>
    <tableColumn id="5" xr3:uid="{F2A6D5CB-FC34-42A8-B8FE-E2A6E8FE3853}" name="CFNM/Total area contact" dataDxfId="322">
      <calculatedColumnFormula>Table716320[[#This Row],[CFNM]]/Table716320[[#This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7AC391C9-2057-4D7A-9060-BF7FCD022678}" name="Table8249" displayName="Table8249" ref="AJ7:AN28" totalsRowShown="0">
  <autoFilter ref="AJ7:AN28" xr:uid="{7AC391C9-2057-4D7A-9060-BF7FCD022678}"/>
  <tableColumns count="5">
    <tableColumn id="1" xr3:uid="{50644896-2F2A-45EF-936F-BD297CACE487}" name="time"/>
    <tableColumn id="2" xr3:uid="{0DAC5102-46E0-49E2-91B8-A2BCA95E7193}" name="moment" dataDxfId="465">
      <calculatedColumnFormula>-(Table8249[[#This Row],[time]]-2)*2</calculatedColumnFormula>
    </tableColumn>
    <tableColumn id="3" xr3:uid="{8A108D6B-F021-471B-8A85-C1754CE72CD7}" name="CAREA"/>
    <tableColumn id="4" xr3:uid="{8FD0990F-6D4F-4DF3-9E44-A0B0C34FCF58}" name="CFNM"/>
    <tableColumn id="5" xr3:uid="{1EFE4B68-995E-4142-8CEF-5653191D8FAE}" name="CFNM/Total area contact" dataDxfId="464">
      <calculatedColumnFormula>Table8249[[#This Row],[CFNM]]/Table8249[[#This Row],[CAREA]]</calculatedColumnFormula>
    </tableColumn>
  </tableColumns>
  <tableStyleInfo name="TableStyleLight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6BDFC41B-7639-4E78-917D-97FA6D304B06}" name="Table817321" displayName="Table817321" ref="AJ262:AN283" totalsRowShown="0">
  <autoFilter ref="AJ262:AN283" xr:uid="{6BDFC41B-7639-4E78-917D-97FA6D304B06}"/>
  <tableColumns count="5">
    <tableColumn id="1" xr3:uid="{90B97FCA-6E63-4005-BA93-5C89AD0C066F}" name="time"/>
    <tableColumn id="2" xr3:uid="{B3DA6D79-7C4C-4A4F-9BC7-1612193E593A}" name="moment" dataDxfId="321">
      <calculatedColumnFormula>(Table817321[[#This Row],[time]]-2)*2</calculatedColumnFormula>
    </tableColumn>
    <tableColumn id="3" xr3:uid="{BC340F8E-028C-478B-AA20-D4FE23458D7D}" name="CAREA"/>
    <tableColumn id="4" xr3:uid="{51FDC50D-6EC6-45F5-91B2-8AE230321C37}" name="CFNM"/>
    <tableColumn id="5" xr3:uid="{607B4F8C-A8EE-4B98-97AD-5EDDDF2701A5}" name="CFNM/Total area contact" dataDxfId="320">
      <calculatedColumnFormula>Table817321[[#This Row],[CFNM]]/Table817321[[#This Row],[CAREA]]</calculatedColumnFormula>
    </tableColumn>
  </tableColumns>
  <tableStyleInfo name="TableStyleLight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CF4C0D88-F0EA-4453-9EE6-7A310DF002A7}" name="Table1322" displayName="Table1322" ref="A292:E313" totalsRowShown="0">
  <autoFilter ref="A292:E313" xr:uid="{CF4C0D88-F0EA-4453-9EE6-7A310DF002A7}"/>
  <tableColumns count="5">
    <tableColumn id="1" xr3:uid="{CDB91CC9-6176-4EFA-A8A0-41C8E8FF87B9}" name="time"/>
    <tableColumn id="2" xr3:uid="{EF628A73-7FDD-4695-A268-634F2A06EF42}" name="moment" dataDxfId="319">
      <calculatedColumnFormula>-(Table1322[[#This Row],[time]]-2)*2</calculatedColumnFormula>
    </tableColumn>
    <tableColumn id="3" xr3:uid="{6B364404-19F1-4428-B51F-CBA17A3AD270}" name="CAREA"/>
    <tableColumn id="4" xr3:uid="{10B5271F-72B5-4E7A-B1E8-6B454919E813}" name="CFNM"/>
    <tableColumn id="5" xr3:uid="{9399E7D8-6F35-4101-9477-54530490E292}" name="CFNM/Total area contact" dataDxfId="318">
      <calculatedColumnFormula>Table1322[[#This Row],[CFNM]]/Table1322[[#This Row],[CAREA]]</calculatedColumnFormula>
    </tableColumn>
  </tableColumns>
  <tableStyleInfo name="TableStyleLight1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6891096-582E-4FBB-94B7-8FA0F9732F2F}" name="Table2323" displayName="Table2323" ref="F292:J313" totalsRowShown="0">
  <autoFilter ref="F292:J313" xr:uid="{06891096-582E-4FBB-94B7-8FA0F9732F2F}"/>
  <tableColumns count="5">
    <tableColumn id="1" xr3:uid="{245D8B0D-CE8D-44FC-95DD-D53FD6A70A81}" name="time"/>
    <tableColumn id="2" xr3:uid="{FE4C603D-9701-446E-BB0A-84BEEF4612CB}" name="moment" dataDxfId="317">
      <calculatedColumnFormula>-(Table2323[[#This Row],[time]]-2)*2</calculatedColumnFormula>
    </tableColumn>
    <tableColumn id="3" xr3:uid="{F39482A2-910C-406F-8F86-37CA89DBEE54}" name="CAREA"/>
    <tableColumn id="4" xr3:uid="{EB1DE721-0C8B-4800-B2E6-55C7F8FA2E73}" name="CFNM"/>
    <tableColumn id="5" xr3:uid="{787A4FD8-1CC4-4BFB-8006-626447123B36}" name="CFNM/Total area contact" dataDxfId="316">
      <calculatedColumnFormula>Table2323[[#This Row],[CFNM]]/Table2323[[#This Row],[CAREA]]</calculatedColumnFormula>
    </tableColumn>
  </tableColumns>
  <tableStyleInfo name="TableStyleLight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C617F108-1C83-4602-A81A-6E20D5D23CBB}" name="Table3324" displayName="Table3324" ref="K292:O313" totalsRowShown="0">
  <autoFilter ref="K292:O313" xr:uid="{C617F108-1C83-4602-A81A-6E20D5D23CBB}"/>
  <tableColumns count="5">
    <tableColumn id="1" xr3:uid="{128B1401-5443-422E-AF7F-BC55683BD5E1}" name="time"/>
    <tableColumn id="2" xr3:uid="{022E59B6-81DE-42F0-976F-4D98B7FD6D46}" name="moment" dataDxfId="315">
      <calculatedColumnFormula>-(Table3324[[#This Row],[time]]-2)*2</calculatedColumnFormula>
    </tableColumn>
    <tableColumn id="3" xr3:uid="{4B502FCD-7075-4367-B6F7-79D3B7ABF70C}" name="CAREA"/>
    <tableColumn id="4" xr3:uid="{EA8E9F0E-6479-4138-B2E5-0D5C5CACF2DE}" name="CFNM"/>
    <tableColumn id="5" xr3:uid="{B834C205-E8EA-45A1-9D58-F4E9B2321F64}" name="CFNM/Total area contact" dataDxfId="314">
      <calculatedColumnFormula>Table3324[[#This Row],[CFNM]]/Table3324[[#This Row],[CAREA]]</calculatedColumnFormula>
    </tableColumn>
  </tableColumns>
  <tableStyleInfo name="TableStyleLight3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CBA79B5-4B85-45C4-89D1-0BE2347AB60A}" name="Table4325" displayName="Table4325" ref="P292:T313" totalsRowShown="0">
  <autoFilter ref="P292:T313" xr:uid="{0CBA79B5-4B85-45C4-89D1-0BE2347AB60A}"/>
  <tableColumns count="5">
    <tableColumn id="1" xr3:uid="{40A04612-5EF0-489B-80A7-801967C750AC}" name="time"/>
    <tableColumn id="2" xr3:uid="{A7A6CFEF-D0CF-46DC-89F7-F45AEDD830D4}" name="moment" dataDxfId="313">
      <calculatedColumnFormula>-(Table4325[[#This Row],[time]]-2)*2</calculatedColumnFormula>
    </tableColumn>
    <tableColumn id="3" xr3:uid="{11388FFB-1EF4-4980-8236-B4B61A66B0E8}" name="CAREA"/>
    <tableColumn id="4" xr3:uid="{FD7A1F9F-44C3-4D17-A970-1239BB041D72}" name="CFNM"/>
    <tableColumn id="5" xr3:uid="{E7294E7C-0804-4C68-86B5-839C7E08C251}" name="CFNM/Total area contact" dataDxfId="312">
      <calculatedColumnFormula>Table4325[[#This Row],[CFNM]]/Table4325[[#This Row],[CAREA]]</calculatedColumnFormula>
    </tableColumn>
  </tableColumns>
  <tableStyleInfo name="TableStyleLight4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8B87B870-0F09-45BC-AAD8-EB69819D22F7}" name="Table5326" displayName="Table5326" ref="U292:Y313" totalsRowShown="0">
  <autoFilter ref="U292:Y313" xr:uid="{8B87B870-0F09-45BC-AAD8-EB69819D22F7}"/>
  <tableColumns count="5">
    <tableColumn id="1" xr3:uid="{5595FBFF-ADA0-4BF7-8222-61567FEC7A7A}" name="time"/>
    <tableColumn id="2" xr3:uid="{D99A0AE3-9CEF-4D19-8F45-C4209B10170D}" name="moment" dataDxfId="311">
      <calculatedColumnFormula>-(Table5326[[#This Row],[time]]-2)*2</calculatedColumnFormula>
    </tableColumn>
    <tableColumn id="3" xr3:uid="{BD3E25FF-885A-4863-BDCC-4DC6DF785C6B}" name="CAREA"/>
    <tableColumn id="4" xr3:uid="{7DB5DDEA-A3F6-49F2-AE2D-FF1A996DB82E}" name="CFNM"/>
    <tableColumn id="5" xr3:uid="{270C1571-E4AB-4484-AD49-DAF4104CAE7E}" name="CFNM/Total area contact" dataDxfId="310">
      <calculatedColumnFormula>Table5326[[#This Row],[CFNM]]/Table5326[[#This Row],[CAREA]]</calculatedColumnFormula>
    </tableColumn>
  </tableColumns>
  <tableStyleInfo name="TableStyleLight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80CCB5B0-07A1-4380-90A1-042F9F26C5A6}" name="Table6327" displayName="Table6327" ref="Z292:AD313" totalsRowShown="0">
  <autoFilter ref="Z292:AD313" xr:uid="{80CCB5B0-07A1-4380-90A1-042F9F26C5A6}"/>
  <tableColumns count="5">
    <tableColumn id="1" xr3:uid="{95C28C17-179D-418C-BAE8-D4FCBCB98E01}" name="time"/>
    <tableColumn id="2" xr3:uid="{1D9A26F3-FC4A-40F9-A252-BD68F2F15B35}" name="moment" dataDxfId="309">
      <calculatedColumnFormula>-(Table6327[[#This Row],[time]]-2)*2</calculatedColumnFormula>
    </tableColumn>
    <tableColumn id="3" xr3:uid="{E172C038-0B4E-4A02-9FD1-11D253CF812E}" name="CAREA"/>
    <tableColumn id="4" xr3:uid="{21E21FF3-6DAA-4945-8DD9-7C4BD97E8DA4}" name="CFNM"/>
    <tableColumn id="5" xr3:uid="{D8E60106-3ED5-47FE-B6F3-9E6AF806ABC9}" name="CFNM/Total area contact" dataDxfId="308">
      <calculatedColumnFormula>Table6327[[#This Row],[CFNM]]/Table6327[[#This Row],[CAREA]]</calculatedColumnFormula>
    </tableColumn>
  </tableColumns>
  <tableStyleInfo name="TableStyleLight6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ECFF1057-9B81-4F65-8314-BCE89C6C5D1C}" name="Table7328" displayName="Table7328" ref="AE292:AI313" totalsRowShown="0">
  <autoFilter ref="AE292:AI313" xr:uid="{ECFF1057-9B81-4F65-8314-BCE89C6C5D1C}"/>
  <tableColumns count="5">
    <tableColumn id="1" xr3:uid="{847630B8-F6A5-45F3-BA20-040F741001D4}" name="time"/>
    <tableColumn id="2" xr3:uid="{E980F04E-8D4E-412C-84D5-E81E7E40768B}" name="moment" dataDxfId="307">
      <calculatedColumnFormula>-(Table7328[[#This Row],[time]]-2)*2</calculatedColumnFormula>
    </tableColumn>
    <tableColumn id="3" xr3:uid="{7CACB8B0-89B4-4C69-81E3-9AF9A4F2378C}" name="CAREA"/>
    <tableColumn id="4" xr3:uid="{8A4E490F-FDBB-4EB6-AA60-B320396550B2}" name="CFNM"/>
    <tableColumn id="5" xr3:uid="{DF825F75-2B46-44AD-8BE8-A7368BC827AD}" name="CFNM/Total area contact" dataDxfId="306">
      <calculatedColumnFormula>Table7328[[#This Row],[CFNM]]/Table7328[[#This Row],[CAREA]]</calculatedColumnFormula>
    </tableColumn>
  </tableColumns>
  <tableStyleInfo name="TableStyleLight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BCBCA356-D207-4E77-97B3-AB1E481148E4}" name="Table8329" displayName="Table8329" ref="AJ292:AN313" totalsRowShown="0">
  <autoFilter ref="AJ292:AN313" xr:uid="{BCBCA356-D207-4E77-97B3-AB1E481148E4}"/>
  <tableColumns count="5">
    <tableColumn id="1" xr3:uid="{810F2F25-1053-4B70-B3CB-6D618A63D99B}" name="time"/>
    <tableColumn id="2" xr3:uid="{5553F5B2-A7A7-44E6-82A5-EF005795C80E}" name="moment" dataDxfId="305">
      <calculatedColumnFormula>-(Table8329[[#This Row],[time]]-2)*2</calculatedColumnFormula>
    </tableColumn>
    <tableColumn id="3" xr3:uid="{8AFFB77D-F79F-4187-A1B8-C5AAC01474FC}" name="CAREA"/>
    <tableColumn id="4" xr3:uid="{C28FF865-F2E4-4636-9482-CA8D3A591F99}" name="CFNM"/>
    <tableColumn id="5" xr3:uid="{04C21329-AB80-4916-BEF4-822CC34D9C64}" name="CFNM/Total area contact" dataDxfId="304">
      <calculatedColumnFormula>Table8329[[#This Row],[CFNM]]/Table8329[[#This Row],[CAREA]]</calculatedColumnFormula>
    </tableColumn>
  </tableColumns>
  <tableStyleInfo name="TableStyleLight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6D4B3F43-C7C4-415C-A5BD-998CCAE4DA2C}" name="Table110330" displayName="Table110330" ref="A319:E340" totalsRowShown="0">
  <autoFilter ref="A319:E340" xr:uid="{6D4B3F43-C7C4-415C-A5BD-998CCAE4DA2C}"/>
  <tableColumns count="5">
    <tableColumn id="1" xr3:uid="{F4CD1C69-CB1B-4878-921B-210075404E38}" name="time"/>
    <tableColumn id="2" xr3:uid="{2BC158A6-8697-4CBD-97A6-7B0BCFC5F1A7}" name="moment" dataDxfId="303">
      <calculatedColumnFormula>(Table110330[[#This Row],[time]]-2)*2</calculatedColumnFormula>
    </tableColumn>
    <tableColumn id="3" xr3:uid="{8DD901D0-007A-4DA6-A8FD-90E01BFDB3E2}" name="CAREA"/>
    <tableColumn id="4" xr3:uid="{49B7E8D4-1B7E-4A11-B13A-15397D901DBD}" name="CFNM"/>
    <tableColumn id="5" xr3:uid="{71B06941-093E-4FA2-995E-0377D3F5735C}" name="CFNM/Total area contact" dataDxfId="302">
      <calculatedColumnFormula>Table110330[[#This Row],[CFNM]]/Table110330[[#This Row],[CAREA]]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5E48C907-9EFE-4E06-9DD3-5C6EE5EDE436}" name="Table110250" displayName="Table110250" ref="A34:E55" totalsRowShown="0">
  <autoFilter ref="A34:E55" xr:uid="{5E48C907-9EFE-4E06-9DD3-5C6EE5EDE436}"/>
  <tableColumns count="5">
    <tableColumn id="1" xr3:uid="{A853FB2B-CFFA-48B5-B928-577425A36886}" name="time"/>
    <tableColumn id="2" xr3:uid="{3F955395-18D8-4E56-BE5B-6BAB9C8E1812}" name="moment" dataDxfId="463">
      <calculatedColumnFormula>(Table110250[[#This Row],[time]]-2)*2</calculatedColumnFormula>
    </tableColumn>
    <tableColumn id="3" xr3:uid="{A457B4EC-8256-4B04-839A-3C83877DA545}" name="CAREA"/>
    <tableColumn id="4" xr3:uid="{2DD16480-9C5D-4381-A2D8-62780A8E3987}" name="CFNM"/>
    <tableColumn id="5" xr3:uid="{CF8C0DA4-CE16-4DF7-B929-4015C9BA3612}" name="CFNM/Total area contact" dataDxfId="462">
      <calculatedColumnFormula>Table110250[[#This Row],[CFNM]]/Table110250[[#This Row],[CAREA]]</calculatedColumnFormula>
    </tableColumn>
  </tableColumns>
  <tableStyleInfo name="TableStyleLight1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52E9C03C-1056-47E1-9A56-9FA8E7BFBF73}" name="Table211331" displayName="Table211331" ref="F319:J340" totalsRowShown="0">
  <autoFilter ref="F319:J340" xr:uid="{52E9C03C-1056-47E1-9A56-9FA8E7BFBF73}"/>
  <tableColumns count="5">
    <tableColumn id="1" xr3:uid="{2490305A-BCAA-4C3A-9CF2-6270665DBC79}" name="time"/>
    <tableColumn id="2" xr3:uid="{E2BF436E-B0C3-4FBE-9093-F26D397FFEBC}" name="moment" dataDxfId="301">
      <calculatedColumnFormula>(Table211331[[#This Row],[time]]-2)*2</calculatedColumnFormula>
    </tableColumn>
    <tableColumn id="3" xr3:uid="{41F422C7-CC2F-4AA7-8B1C-E2999B5A8159}" name="CAREA"/>
    <tableColumn id="4" xr3:uid="{99FD4559-96AC-4192-87FF-BE41C3FE8517}" name="CFNM"/>
    <tableColumn id="5" xr3:uid="{05995A48-14BE-4B04-AC82-658DC3DB9F10}" name="CFNM/Total area contact" dataDxfId="300">
      <calculatedColumnFormula>Table211331[[#This Row],[CFNM]]/Table211331[[#This Row],[CAREA]]</calculatedColumnFormula>
    </tableColumn>
  </tableColumns>
  <tableStyleInfo name="TableStyleLight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236D36A2-CEC4-4C8A-AFED-A3F67A1F1909}" name="Table312332" displayName="Table312332" ref="K319:O340" totalsRowShown="0">
  <autoFilter ref="K319:O340" xr:uid="{236D36A2-CEC4-4C8A-AFED-A3F67A1F1909}"/>
  <tableColumns count="5">
    <tableColumn id="1" xr3:uid="{FBC04530-60D6-44E0-B54D-F5406FC83CFF}" name="time"/>
    <tableColumn id="2" xr3:uid="{1ECA7945-BE66-42E9-9957-8C05EE2657E1}" name="moment" dataDxfId="299">
      <calculatedColumnFormula>(Table312332[[#This Row],[time]]-2)*2</calculatedColumnFormula>
    </tableColumn>
    <tableColumn id="3" xr3:uid="{319EBBE8-1EC9-43EA-A8A1-DA8BA207CAFA}" name="CAREA"/>
    <tableColumn id="4" xr3:uid="{795E20FA-F18F-4004-8BB5-7B6F62D9D43F}" name="CFNM"/>
    <tableColumn id="5" xr3:uid="{CC15BECC-51C3-4DE6-8531-AB8CB53E0B1B}" name="CFNM/Total area contact" dataDxfId="298">
      <calculatedColumnFormula>Table312332[[#This Row],[CFNM]]/Table312332[[#This Row],[CAREA]]</calculatedColumnFormula>
    </tableColumn>
  </tableColumns>
  <tableStyleInfo name="TableStyleLight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1D709F0A-722A-48C1-9CF5-983E03417AB4}" name="Table413333" displayName="Table413333" ref="P319:T340" totalsRowShown="0">
  <autoFilter ref="P319:T340" xr:uid="{1D709F0A-722A-48C1-9CF5-983E03417AB4}"/>
  <tableColumns count="5">
    <tableColumn id="1" xr3:uid="{5505A6AB-B5A4-451C-A848-F13E6340F328}" name="time"/>
    <tableColumn id="2" xr3:uid="{E9F93288-7DB5-4DE0-BDD7-5008978DDBB5}" name="moment" dataDxfId="297">
      <calculatedColumnFormula>(Table413333[[#This Row],[time]]-2)*2</calculatedColumnFormula>
    </tableColumn>
    <tableColumn id="3" xr3:uid="{F6ECBCCE-610C-42B8-AFD3-9C8B6CB4AE00}" name="CAREA"/>
    <tableColumn id="4" xr3:uid="{85E326FC-13EF-4EDD-B685-5C1006FA06CA}" name="CFNM"/>
    <tableColumn id="5" xr3:uid="{9402320C-ADE9-4C05-9862-08BFE43F0618}" name="CFNM/Total area contact" dataDxfId="296">
      <calculatedColumnFormula>Table413333[[#This Row],[CFNM]]/Table413333[[#This Row],[CAREA]]</calculatedColumnFormula>
    </tableColumn>
  </tableColumns>
  <tableStyleInfo name="TableStyleLight4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6F2593B0-2888-49AF-A509-24CD4909BC9E}" name="Table514334" displayName="Table514334" ref="U319:Y340" totalsRowShown="0">
  <autoFilter ref="U319:Y340" xr:uid="{6F2593B0-2888-49AF-A509-24CD4909BC9E}"/>
  <tableColumns count="5">
    <tableColumn id="1" xr3:uid="{79BBFE2F-9B8C-43AE-9FE7-AA73305BD16B}" name="time"/>
    <tableColumn id="2" xr3:uid="{A4C89C12-ECE6-40E1-B79D-E3FDD0F19F4F}" name="moment" dataDxfId="295">
      <calculatedColumnFormula>(Table514334[[#This Row],[time]]-2)*2</calculatedColumnFormula>
    </tableColumn>
    <tableColumn id="3" xr3:uid="{6E8416CF-280F-4C2B-8855-85153437E5FB}" name="CAREA"/>
    <tableColumn id="4" xr3:uid="{015F0F42-BAD4-47DA-BC6D-C7660D1B2D27}" name="CFNM"/>
    <tableColumn id="5" xr3:uid="{07CDC7DF-CD5B-4A5A-8A8E-251A2578A222}" name="CFNM/Total area contact" dataDxfId="294">
      <calculatedColumnFormula>Table514334[[#This Row],[CFNM]]/Table514334[[#This Row],[CAREA]]</calculatedColumnFormula>
    </tableColumn>
  </tableColumns>
  <tableStyleInfo name="TableStyleLight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50174B85-78D5-448A-92C7-7B8940A649A6}" name="Table615335" displayName="Table615335" ref="Z319:AD340" totalsRowShown="0">
  <autoFilter ref="Z319:AD340" xr:uid="{50174B85-78D5-448A-92C7-7B8940A649A6}"/>
  <tableColumns count="5">
    <tableColumn id="1" xr3:uid="{0AAA592D-0673-478C-A111-422A7ED05D44}" name="time"/>
    <tableColumn id="2" xr3:uid="{2B7D07F7-A277-4B10-AF36-9F4419B951F8}" name="moment" dataDxfId="293">
      <calculatedColumnFormula>(Table615335[[#This Row],[time]]-2)*2</calculatedColumnFormula>
    </tableColumn>
    <tableColumn id="3" xr3:uid="{8E09A9AE-0CA5-4249-9DDA-DFB497B1D783}" name="CAREA"/>
    <tableColumn id="4" xr3:uid="{C2629DEC-1E07-457B-9320-F3864B883AE0}" name="CFNM"/>
    <tableColumn id="5" xr3:uid="{8C586BA0-230A-4FD0-B9A1-73BB94CEC274}" name="CFNM/Total area contact" dataDxfId="292">
      <calculatedColumnFormula>Table615335[[#This Row],[CFNM]]/Table615335[[#This Row],[CAREA]]</calculatedColumnFormula>
    </tableColumn>
  </tableColumns>
  <tableStyleInfo name="TableStyleLight6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D9857D1E-C7AC-46D2-B05A-C65CB2167134}" name="Table716336" displayName="Table716336" ref="AE319:AI340" totalsRowShown="0">
  <autoFilter ref="AE319:AI340" xr:uid="{D9857D1E-C7AC-46D2-B05A-C65CB2167134}"/>
  <tableColumns count="5">
    <tableColumn id="1" xr3:uid="{7C139253-1163-46C1-A87F-42F8A8E238D6}" name="time"/>
    <tableColumn id="2" xr3:uid="{FD64E352-432B-4134-A126-F58F4DC96D97}" name="moment" dataDxfId="291">
      <calculatedColumnFormula>(Table716336[[#This Row],[time]]-2)*2</calculatedColumnFormula>
    </tableColumn>
    <tableColumn id="3" xr3:uid="{3E26DB9B-3051-4805-8B27-A9ACD878D5FA}" name="CAREA"/>
    <tableColumn id="4" xr3:uid="{56A8343D-3B11-49C9-9650-B855BE1169C4}" name="CFNM"/>
    <tableColumn id="5" xr3:uid="{5D94CA77-1C09-4DD7-9F0B-7B32B1B7B426}" name="CFNM/Total area contact" dataDxfId="290">
      <calculatedColumnFormula>Table716336[[#This Row],[CFNM]]/Table716336[[#This Row],[CAREA]]</calculatedColumnFormula>
    </tableColumn>
  </tableColumns>
  <tableStyleInfo name="TableStyleLight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203C018D-7C14-4E2A-BC6A-14C06D0FD0BA}" name="Table817337" displayName="Table817337" ref="AJ319:AN340" totalsRowShown="0">
  <autoFilter ref="AJ319:AN340" xr:uid="{203C018D-7C14-4E2A-BC6A-14C06D0FD0BA}"/>
  <tableColumns count="5">
    <tableColumn id="1" xr3:uid="{71BFD50B-5A24-48F7-BAA0-8BAA5E1F6B30}" name="time"/>
    <tableColumn id="2" xr3:uid="{6873991A-5939-4B7F-A77F-F618C65DC43E}" name="moment" dataDxfId="289">
      <calculatedColumnFormula>(Table817337[[#This Row],[time]]-2)*2</calculatedColumnFormula>
    </tableColumn>
    <tableColumn id="3" xr3:uid="{76DD3DAB-1418-4E3B-B79C-60341E57C71F}" name="CAREA"/>
    <tableColumn id="4" xr3:uid="{988B7E4C-DF0F-47C4-A8E5-738F93DD1DF1}" name="CFNM"/>
    <tableColumn id="5" xr3:uid="{701DFA27-63C2-484E-843A-6DA05999E6A5}" name="CFNM/Total area contact" dataDxfId="288">
      <calculatedColumnFormula>Table817337[[#This Row],[CFNM]]/Table817337[[#This Row],[CAREA]]</calculatedColumnFormula>
    </tableColumn>
  </tableColumns>
  <tableStyleInfo name="TableStyleLight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72EC30E-2031-4066-A3F7-C0CE7AB47AF5}" name="Table1338" displayName="Table1338" ref="A349:E370" totalsRowShown="0">
  <autoFilter ref="A349:E370" xr:uid="{072EC30E-2031-4066-A3F7-C0CE7AB47AF5}"/>
  <tableColumns count="5">
    <tableColumn id="1" xr3:uid="{4DE9D0D8-0DA0-46CC-B97A-D36ABB92CD7C}" name="time"/>
    <tableColumn id="2" xr3:uid="{8FA473D7-684D-4713-95CF-5AC12E3CB80C}" name="moment" dataDxfId="287">
      <calculatedColumnFormula>-(Table1338[[#This Row],[time]]-2)*2</calculatedColumnFormula>
    </tableColumn>
    <tableColumn id="3" xr3:uid="{DE218970-A0B3-43DA-A8E4-8C2B4A589010}" name="CAREA"/>
    <tableColumn id="4" xr3:uid="{AD2A1C64-90FA-4629-86BB-9A0D22EB61C8}" name="CFNM"/>
    <tableColumn id="5" xr3:uid="{4860C558-0B8A-46A7-8B87-EA8E6E643549}" name="CFNM/Total area contact" dataDxfId="286">
      <calculatedColumnFormula>Table1338[[#This Row],[CFNM]]/Table1338[[#This Row],[CAREA]]</calculatedColumnFormula>
    </tableColumn>
  </tableColumns>
  <tableStyleInfo name="TableStyleLight1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67F7C4BB-55DB-42B4-8EB5-8255C6976AC9}" name="Table2339" displayName="Table2339" ref="F349:J370" totalsRowShown="0">
  <autoFilter ref="F349:J370" xr:uid="{67F7C4BB-55DB-42B4-8EB5-8255C6976AC9}"/>
  <tableColumns count="5">
    <tableColumn id="1" xr3:uid="{0C39C344-3BB0-4626-AEAA-B4A026D0D641}" name="time"/>
    <tableColumn id="2" xr3:uid="{D68E075A-65A5-4D7C-86D5-D8D490672C5E}" name="moment" dataDxfId="285">
      <calculatedColumnFormula>-(Table2339[[#This Row],[time]]-2)*2</calculatedColumnFormula>
    </tableColumn>
    <tableColumn id="3" xr3:uid="{44B8816F-0884-4D64-9EE2-ECD46D81875A}" name="CAREA"/>
    <tableColumn id="4" xr3:uid="{762DB86C-159B-461D-BEA6-AFD85842E58D}" name="CFNM"/>
    <tableColumn id="5" xr3:uid="{42095183-96A7-41C9-BDD9-4EB568E810F2}" name="CFNM/Total area contact" dataDxfId="284">
      <calculatedColumnFormula>Table2339[[#This Row],[CFNM]]/Table2339[[#This Row],[CAREA]]</calculatedColumnFormula>
    </tableColumn>
  </tableColumns>
  <tableStyleInfo name="TableStyleLight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FCE074B-34BA-42B7-9496-718421348E24}" name="Table3340" displayName="Table3340" ref="K349:O370" totalsRowShown="0">
  <autoFilter ref="K349:O370" xr:uid="{0FCE074B-34BA-42B7-9496-718421348E24}"/>
  <tableColumns count="5">
    <tableColumn id="1" xr3:uid="{00504B75-BDED-43EF-92E6-11A269F6B9B8}" name="time"/>
    <tableColumn id="2" xr3:uid="{16A79269-39BB-4AAE-90BC-955CE29EC7DF}" name="moment" dataDxfId="283">
      <calculatedColumnFormula>-(Table3340[[#This Row],[time]]-2)*2</calculatedColumnFormula>
    </tableColumn>
    <tableColumn id="3" xr3:uid="{8194A79C-B448-4836-BE2E-8D3429588139}" name="CAREA"/>
    <tableColumn id="4" xr3:uid="{1D509A92-8521-4FD8-95C2-128FB7B76C46}" name="CFNM"/>
    <tableColumn id="5" xr3:uid="{368EC271-9E33-4A18-A49D-AB8E6B7BC582}" name="CFNM/Total area contact" dataDxfId="282">
      <calculatedColumnFormula>Table3340[[#This Row],[CFNM]]/Table3340[[#This Row],[CAREA]]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63" Type="http://schemas.openxmlformats.org/officeDocument/2006/relationships/table" Target="../tables/table63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159" Type="http://schemas.openxmlformats.org/officeDocument/2006/relationships/table" Target="../tables/table159.xml"/><Relationship Id="rId170" Type="http://schemas.openxmlformats.org/officeDocument/2006/relationships/table" Target="../tables/table170.xml"/><Relationship Id="rId191" Type="http://schemas.openxmlformats.org/officeDocument/2006/relationships/table" Target="../tables/table191.xml"/><Relationship Id="rId205" Type="http://schemas.openxmlformats.org/officeDocument/2006/relationships/table" Target="../tables/table205.xml"/><Relationship Id="rId226" Type="http://schemas.openxmlformats.org/officeDocument/2006/relationships/table" Target="../tables/table22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53" Type="http://schemas.openxmlformats.org/officeDocument/2006/relationships/table" Target="../tables/table53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81" Type="http://schemas.openxmlformats.org/officeDocument/2006/relationships/table" Target="../tables/table181.xml"/><Relationship Id="rId216" Type="http://schemas.openxmlformats.org/officeDocument/2006/relationships/table" Target="../tables/table216.xml"/><Relationship Id="rId237" Type="http://schemas.openxmlformats.org/officeDocument/2006/relationships/table" Target="../tables/table237.xml"/><Relationship Id="rId22" Type="http://schemas.openxmlformats.org/officeDocument/2006/relationships/table" Target="../tables/table22.xml"/><Relationship Id="rId43" Type="http://schemas.openxmlformats.org/officeDocument/2006/relationships/table" Target="../tables/table43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139" Type="http://schemas.openxmlformats.org/officeDocument/2006/relationships/table" Target="../tables/table13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55" Type="http://schemas.openxmlformats.org/officeDocument/2006/relationships/table" Target="../tables/table155.xml"/><Relationship Id="rId171" Type="http://schemas.openxmlformats.org/officeDocument/2006/relationships/table" Target="../tables/table171.xml"/><Relationship Id="rId176" Type="http://schemas.openxmlformats.org/officeDocument/2006/relationships/table" Target="../tables/table176.xml"/><Relationship Id="rId192" Type="http://schemas.openxmlformats.org/officeDocument/2006/relationships/table" Target="../tables/table192.xml"/><Relationship Id="rId197" Type="http://schemas.openxmlformats.org/officeDocument/2006/relationships/table" Target="../tables/table197.xml"/><Relationship Id="rId206" Type="http://schemas.openxmlformats.org/officeDocument/2006/relationships/table" Target="../tables/table206.xml"/><Relationship Id="rId227" Type="http://schemas.openxmlformats.org/officeDocument/2006/relationships/table" Target="../tables/table227.xml"/><Relationship Id="rId201" Type="http://schemas.openxmlformats.org/officeDocument/2006/relationships/table" Target="../tables/table201.xml"/><Relationship Id="rId222" Type="http://schemas.openxmlformats.org/officeDocument/2006/relationships/table" Target="../tables/table222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124" Type="http://schemas.openxmlformats.org/officeDocument/2006/relationships/table" Target="../tables/table124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45" Type="http://schemas.openxmlformats.org/officeDocument/2006/relationships/table" Target="../tables/table145.xml"/><Relationship Id="rId161" Type="http://schemas.openxmlformats.org/officeDocument/2006/relationships/table" Target="../tables/table161.xml"/><Relationship Id="rId166" Type="http://schemas.openxmlformats.org/officeDocument/2006/relationships/table" Target="../tables/table166.xml"/><Relationship Id="rId182" Type="http://schemas.openxmlformats.org/officeDocument/2006/relationships/table" Target="../tables/table182.xml"/><Relationship Id="rId187" Type="http://schemas.openxmlformats.org/officeDocument/2006/relationships/table" Target="../tables/table187.xml"/><Relationship Id="rId217" Type="http://schemas.openxmlformats.org/officeDocument/2006/relationships/table" Target="../tables/table217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212" Type="http://schemas.openxmlformats.org/officeDocument/2006/relationships/table" Target="../tables/table212.xml"/><Relationship Id="rId233" Type="http://schemas.openxmlformats.org/officeDocument/2006/relationships/table" Target="../tables/table233.xml"/><Relationship Id="rId238" Type="http://schemas.openxmlformats.org/officeDocument/2006/relationships/table" Target="../tables/table238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151" Type="http://schemas.openxmlformats.org/officeDocument/2006/relationships/table" Target="../tables/table151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198" Type="http://schemas.openxmlformats.org/officeDocument/2006/relationships/table" Target="../tables/table198.xml"/><Relationship Id="rId172" Type="http://schemas.openxmlformats.org/officeDocument/2006/relationships/table" Target="../tables/table172.xml"/><Relationship Id="rId193" Type="http://schemas.openxmlformats.org/officeDocument/2006/relationships/table" Target="../tables/table193.xml"/><Relationship Id="rId202" Type="http://schemas.openxmlformats.org/officeDocument/2006/relationships/table" Target="../tables/table202.xml"/><Relationship Id="rId207" Type="http://schemas.openxmlformats.org/officeDocument/2006/relationships/table" Target="../tables/table207.xml"/><Relationship Id="rId223" Type="http://schemas.openxmlformats.org/officeDocument/2006/relationships/table" Target="../tables/table223.xml"/><Relationship Id="rId228" Type="http://schemas.openxmlformats.org/officeDocument/2006/relationships/table" Target="../tables/table22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141" Type="http://schemas.openxmlformats.org/officeDocument/2006/relationships/table" Target="../tables/table141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188" Type="http://schemas.openxmlformats.org/officeDocument/2006/relationships/table" Target="../tables/table188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13" Type="http://schemas.openxmlformats.org/officeDocument/2006/relationships/table" Target="../tables/table213.xml"/><Relationship Id="rId218" Type="http://schemas.openxmlformats.org/officeDocument/2006/relationships/table" Target="../tables/table218.xml"/><Relationship Id="rId234" Type="http://schemas.openxmlformats.org/officeDocument/2006/relationships/table" Target="../tables/table234.xml"/><Relationship Id="rId239" Type="http://schemas.openxmlformats.org/officeDocument/2006/relationships/table" Target="../tables/table239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4" Type="http://schemas.openxmlformats.org/officeDocument/2006/relationships/table" Target="../tables/table194.xml"/><Relationship Id="rId199" Type="http://schemas.openxmlformats.org/officeDocument/2006/relationships/table" Target="../tables/table199.xml"/><Relationship Id="rId203" Type="http://schemas.openxmlformats.org/officeDocument/2006/relationships/table" Target="../tables/table203.xml"/><Relationship Id="rId208" Type="http://schemas.openxmlformats.org/officeDocument/2006/relationships/table" Target="../tables/table208.xml"/><Relationship Id="rId229" Type="http://schemas.openxmlformats.org/officeDocument/2006/relationships/table" Target="../tables/table229.xml"/><Relationship Id="rId19" Type="http://schemas.openxmlformats.org/officeDocument/2006/relationships/table" Target="../tables/table19.xml"/><Relationship Id="rId224" Type="http://schemas.openxmlformats.org/officeDocument/2006/relationships/table" Target="../tables/table224.xml"/><Relationship Id="rId240" Type="http://schemas.openxmlformats.org/officeDocument/2006/relationships/table" Target="../tables/table240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189" Type="http://schemas.openxmlformats.org/officeDocument/2006/relationships/table" Target="../tables/table189.xml"/><Relationship Id="rId219" Type="http://schemas.openxmlformats.org/officeDocument/2006/relationships/table" Target="../tables/table219.xml"/><Relationship Id="rId3" Type="http://schemas.openxmlformats.org/officeDocument/2006/relationships/table" Target="../tables/table3.xml"/><Relationship Id="rId214" Type="http://schemas.openxmlformats.org/officeDocument/2006/relationships/table" Target="../tables/table214.xml"/><Relationship Id="rId230" Type="http://schemas.openxmlformats.org/officeDocument/2006/relationships/table" Target="../tables/table230.xml"/><Relationship Id="rId235" Type="http://schemas.openxmlformats.org/officeDocument/2006/relationships/table" Target="../tables/table235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79" Type="http://schemas.openxmlformats.org/officeDocument/2006/relationships/table" Target="../tables/table179.xml"/><Relationship Id="rId195" Type="http://schemas.openxmlformats.org/officeDocument/2006/relationships/table" Target="../tables/table195.xml"/><Relationship Id="rId209" Type="http://schemas.openxmlformats.org/officeDocument/2006/relationships/table" Target="../tables/table209.xml"/><Relationship Id="rId190" Type="http://schemas.openxmlformats.org/officeDocument/2006/relationships/table" Target="../tables/table190.xml"/><Relationship Id="rId204" Type="http://schemas.openxmlformats.org/officeDocument/2006/relationships/table" Target="../tables/table204.xml"/><Relationship Id="rId220" Type="http://schemas.openxmlformats.org/officeDocument/2006/relationships/table" Target="../tables/table220.xml"/><Relationship Id="rId225" Type="http://schemas.openxmlformats.org/officeDocument/2006/relationships/table" Target="../tables/table225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Relationship Id="rId185" Type="http://schemas.openxmlformats.org/officeDocument/2006/relationships/table" Target="../tables/table18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80" Type="http://schemas.openxmlformats.org/officeDocument/2006/relationships/table" Target="../tables/table180.xml"/><Relationship Id="rId210" Type="http://schemas.openxmlformats.org/officeDocument/2006/relationships/table" Target="../tables/table210.xml"/><Relationship Id="rId215" Type="http://schemas.openxmlformats.org/officeDocument/2006/relationships/table" Target="../tables/table215.xml"/><Relationship Id="rId236" Type="http://schemas.openxmlformats.org/officeDocument/2006/relationships/table" Target="../tables/table236.xml"/><Relationship Id="rId26" Type="http://schemas.openxmlformats.org/officeDocument/2006/relationships/table" Target="../tables/table26.xml"/><Relationship Id="rId231" Type="http://schemas.openxmlformats.org/officeDocument/2006/relationships/table" Target="../tables/table231.xml"/><Relationship Id="rId47" Type="http://schemas.openxmlformats.org/officeDocument/2006/relationships/table" Target="../tables/table47.xml"/><Relationship Id="rId68" Type="http://schemas.openxmlformats.org/officeDocument/2006/relationships/table" Target="../tables/table68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54" Type="http://schemas.openxmlformats.org/officeDocument/2006/relationships/table" Target="../tables/table154.xml"/><Relationship Id="rId175" Type="http://schemas.openxmlformats.org/officeDocument/2006/relationships/table" Target="../tables/table175.xml"/><Relationship Id="rId196" Type="http://schemas.openxmlformats.org/officeDocument/2006/relationships/table" Target="../tables/table196.xml"/><Relationship Id="rId200" Type="http://schemas.openxmlformats.org/officeDocument/2006/relationships/table" Target="../tables/table200.xml"/><Relationship Id="rId16" Type="http://schemas.openxmlformats.org/officeDocument/2006/relationships/table" Target="../tables/table16.xml"/><Relationship Id="rId221" Type="http://schemas.openxmlformats.org/officeDocument/2006/relationships/table" Target="../tables/table221.xml"/><Relationship Id="rId37" Type="http://schemas.openxmlformats.org/officeDocument/2006/relationships/table" Target="../tables/table37.xml"/><Relationship Id="rId58" Type="http://schemas.openxmlformats.org/officeDocument/2006/relationships/table" Target="../tables/table58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65" Type="http://schemas.openxmlformats.org/officeDocument/2006/relationships/table" Target="../tables/table165.xml"/><Relationship Id="rId186" Type="http://schemas.openxmlformats.org/officeDocument/2006/relationships/table" Target="../tables/table186.xml"/><Relationship Id="rId211" Type="http://schemas.openxmlformats.org/officeDocument/2006/relationships/table" Target="../tables/table211.xml"/><Relationship Id="rId232" Type="http://schemas.openxmlformats.org/officeDocument/2006/relationships/table" Target="../tables/table232.xml"/><Relationship Id="rId27" Type="http://schemas.openxmlformats.org/officeDocument/2006/relationships/table" Target="../tables/table27.xml"/><Relationship Id="rId48" Type="http://schemas.openxmlformats.org/officeDocument/2006/relationships/table" Target="../tables/table48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34" Type="http://schemas.openxmlformats.org/officeDocument/2006/relationships/table" Target="../tables/table1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D972-AD5B-4B8C-9FA9-5FE2A4794B19}">
  <dimension ref="A1:AN852"/>
  <sheetViews>
    <sheetView tabSelected="1" topLeftCell="T827" workbookViewId="0">
      <selection activeCell="AJ832" sqref="AJ832:AJ852"/>
    </sheetView>
  </sheetViews>
  <sheetFormatPr defaultRowHeight="15" x14ac:dyDescent="0.25"/>
  <sheetData>
    <row r="1" spans="1:40" x14ac:dyDescent="0.25">
      <c r="A1" s="1" t="s">
        <v>0</v>
      </c>
    </row>
    <row r="2" spans="1:40" x14ac:dyDescent="0.25">
      <c r="A2" t="s">
        <v>33</v>
      </c>
      <c r="F2" t="s">
        <v>1</v>
      </c>
    </row>
    <row r="3" spans="1:40" x14ac:dyDescent="0.25">
      <c r="F3" t="s">
        <v>2</v>
      </c>
      <c r="G3" t="s">
        <v>3</v>
      </c>
    </row>
    <row r="6" spans="1:40" x14ac:dyDescent="0.25">
      <c r="A6" t="s">
        <v>5</v>
      </c>
      <c r="F6" t="s">
        <v>6</v>
      </c>
      <c r="K6" t="s">
        <v>7</v>
      </c>
      <c r="P6" t="s">
        <v>19</v>
      </c>
      <c r="U6" t="s">
        <v>8</v>
      </c>
      <c r="Z6" t="s">
        <v>9</v>
      </c>
      <c r="AE6" t="s">
        <v>10</v>
      </c>
      <c r="AJ6" t="s">
        <v>11</v>
      </c>
    </row>
    <row r="7" spans="1:40" x14ac:dyDescent="0.25">
      <c r="A7" t="s">
        <v>12</v>
      </c>
      <c r="B7" t="s">
        <v>13</v>
      </c>
      <c r="C7" t="s">
        <v>17</v>
      </c>
      <c r="D7" t="s">
        <v>15</v>
      </c>
      <c r="E7" t="s">
        <v>16</v>
      </c>
      <c r="F7" t="s">
        <v>12</v>
      </c>
      <c r="G7" t="s">
        <v>13</v>
      </c>
      <c r="H7" t="s">
        <v>17</v>
      </c>
      <c r="I7" t="s">
        <v>15</v>
      </c>
      <c r="J7" t="s">
        <v>16</v>
      </c>
      <c r="K7" t="s">
        <v>12</v>
      </c>
      <c r="L7" t="s">
        <v>13</v>
      </c>
      <c r="M7" t="s">
        <v>17</v>
      </c>
      <c r="N7" t="s">
        <v>15</v>
      </c>
      <c r="O7" t="s">
        <v>16</v>
      </c>
      <c r="P7" t="s">
        <v>12</v>
      </c>
      <c r="Q7" t="s">
        <v>13</v>
      </c>
      <c r="R7" t="s">
        <v>17</v>
      </c>
      <c r="S7" t="s">
        <v>15</v>
      </c>
      <c r="T7" t="s">
        <v>16</v>
      </c>
      <c r="U7" t="s">
        <v>12</v>
      </c>
      <c r="V7" t="s">
        <v>13</v>
      </c>
      <c r="W7" t="s">
        <v>17</v>
      </c>
      <c r="X7" t="s">
        <v>15</v>
      </c>
      <c r="Y7" t="s">
        <v>16</v>
      </c>
      <c r="Z7" t="s">
        <v>12</v>
      </c>
      <c r="AA7" t="s">
        <v>13</v>
      </c>
      <c r="AB7" t="s">
        <v>17</v>
      </c>
      <c r="AC7" t="s">
        <v>15</v>
      </c>
      <c r="AD7" t="s">
        <v>16</v>
      </c>
      <c r="AE7" t="s">
        <v>12</v>
      </c>
      <c r="AF7" t="s">
        <v>13</v>
      </c>
      <c r="AG7" t="s">
        <v>17</v>
      </c>
      <c r="AH7" t="s">
        <v>15</v>
      </c>
      <c r="AI7" t="s">
        <v>16</v>
      </c>
      <c r="AJ7" t="s">
        <v>12</v>
      </c>
      <c r="AK7" t="s">
        <v>13</v>
      </c>
      <c r="AL7" t="s">
        <v>17</v>
      </c>
      <c r="AM7" t="s">
        <v>15</v>
      </c>
      <c r="AN7" t="s">
        <v>16</v>
      </c>
    </row>
    <row r="8" spans="1:40" x14ac:dyDescent="0.25">
      <c r="A8">
        <v>2</v>
      </c>
      <c r="B8">
        <f>-(Table1242[[#This Row],[time]]-2)*2</f>
        <v>0</v>
      </c>
      <c r="C8">
        <v>91.723799999999997</v>
      </c>
      <c r="D8">
        <v>8.3138100000000001</v>
      </c>
      <c r="E8" s="2">
        <f>Table1242[[#This Row],[CFNM]]/Table1242[[#This Row],[CAREA]]</f>
        <v>9.063961589031419E-2</v>
      </c>
      <c r="F8">
        <v>2</v>
      </c>
      <c r="G8">
        <f>-(Table2243[[#This Row],[time]]-2)*2</f>
        <v>0</v>
      </c>
      <c r="H8">
        <v>94.410399999999996</v>
      </c>
      <c r="I8">
        <v>1.4588099999999999</v>
      </c>
      <c r="J8" s="2">
        <f>Table2243[[#This Row],[CFNM]]/Table2243[[#This Row],[CAREA]]</f>
        <v>1.5451793446484709E-2</v>
      </c>
      <c r="K8">
        <v>2</v>
      </c>
      <c r="L8">
        <f>-(Table3244[[#This Row],[time]]-2)*2</f>
        <v>0</v>
      </c>
      <c r="M8">
        <v>89.358400000000003</v>
      </c>
      <c r="N8">
        <v>1.7889999999999999</v>
      </c>
      <c r="O8">
        <f>Table3244[[#This Row],[CFNM]]/Table3244[[#This Row],[CAREA]]</f>
        <v>2.0020501709967949E-2</v>
      </c>
      <c r="P8">
        <v>2</v>
      </c>
      <c r="Q8">
        <f>-(Table4245[[#This Row],[time]]-2)*2</f>
        <v>0</v>
      </c>
      <c r="R8">
        <v>83.810500000000005</v>
      </c>
      <c r="S8">
        <v>2.8507699999999998</v>
      </c>
      <c r="T8">
        <f>Table4245[[#This Row],[CFNM]]/Table4245[[#This Row],[CAREA]]</f>
        <v>3.4014473126875507E-2</v>
      </c>
      <c r="U8">
        <v>2</v>
      </c>
      <c r="V8">
        <f>-(Table5246[[#This Row],[time]]-2)*2</f>
        <v>0</v>
      </c>
      <c r="W8">
        <v>83.264200000000002</v>
      </c>
      <c r="X8">
        <v>6.3959700000000002</v>
      </c>
      <c r="Y8">
        <f>Table5246[[#This Row],[CFNM]]/Table5246[[#This Row],[CAREA]]</f>
        <v>7.681536602765654E-2</v>
      </c>
      <c r="Z8">
        <v>2</v>
      </c>
      <c r="AA8">
        <f>-(Table6247[[#This Row],[time]]-2)*2</f>
        <v>0</v>
      </c>
      <c r="AB8">
        <v>87.737899999999996</v>
      </c>
      <c r="AC8">
        <v>10.3024</v>
      </c>
      <c r="AD8">
        <f>Table6247[[#This Row],[CFNM]]/Table6247[[#This Row],[CAREA]]</f>
        <v>0.11742245939326107</v>
      </c>
      <c r="AE8">
        <v>2</v>
      </c>
      <c r="AF8">
        <f>-(Table7248[[#This Row],[time]]-2)*2</f>
        <v>0</v>
      </c>
      <c r="AG8">
        <v>78.824299999999994</v>
      </c>
      <c r="AH8">
        <v>18.997399999999999</v>
      </c>
      <c r="AI8">
        <f>Table7248[[#This Row],[CFNM]]/Table7248[[#This Row],[CAREA]]</f>
        <v>0.24100943490776322</v>
      </c>
      <c r="AJ8">
        <v>2</v>
      </c>
      <c r="AK8">
        <f>-(Table8249[[#This Row],[time]]-2)*2</f>
        <v>0</v>
      </c>
      <c r="AL8">
        <v>83.280900000000003</v>
      </c>
      <c r="AM8">
        <v>18.324100000000001</v>
      </c>
      <c r="AN8">
        <f>Table8249[[#This Row],[CFNM]]/Table8249[[#This Row],[CAREA]]</f>
        <v>0.22002764139196385</v>
      </c>
    </row>
    <row r="9" spans="1:40" x14ac:dyDescent="0.25">
      <c r="A9">
        <v>2.0512600000000001</v>
      </c>
      <c r="B9">
        <f>-(Table1242[[#This Row],[time]]-2)*2</f>
        <v>-0.10252000000000017</v>
      </c>
      <c r="C9">
        <v>91.859099999999998</v>
      </c>
      <c r="D9">
        <v>11.2247</v>
      </c>
      <c r="E9">
        <f>Table1242[[#This Row],[CFNM]]/Table1242[[#This Row],[CAREA]]</f>
        <v>0.12219475261569078</v>
      </c>
      <c r="F9">
        <v>2.0512600000000001</v>
      </c>
      <c r="G9">
        <f>-(Table2243[[#This Row],[time]]-2)*2</f>
        <v>-0.10252000000000017</v>
      </c>
      <c r="H9">
        <v>94.772599999999997</v>
      </c>
      <c r="I9">
        <v>2.7078700000000002</v>
      </c>
      <c r="J9">
        <f>Table2243[[#This Row],[CFNM]]/Table2243[[#This Row],[CAREA]]</f>
        <v>2.8572287770938017E-2</v>
      </c>
      <c r="K9">
        <v>2.0512600000000001</v>
      </c>
      <c r="L9">
        <f>-(Table3244[[#This Row],[time]]-2)*2</f>
        <v>-0.10252000000000017</v>
      </c>
      <c r="M9">
        <v>90.113699999999994</v>
      </c>
      <c r="N9">
        <v>4.6346499999999997</v>
      </c>
      <c r="O9">
        <f>Table3244[[#This Row],[CFNM]]/Table3244[[#This Row],[CAREA]]</f>
        <v>5.1431136442072624E-2</v>
      </c>
      <c r="P9">
        <v>2.0512600000000001</v>
      </c>
      <c r="Q9">
        <f>-(Table4245[[#This Row],[time]]-2)*2</f>
        <v>-0.10252000000000017</v>
      </c>
      <c r="R9">
        <v>84.834400000000002</v>
      </c>
      <c r="S9">
        <v>4.7673800000000002</v>
      </c>
      <c r="T9">
        <f>Table4245[[#This Row],[CFNM]]/Table4245[[#This Row],[CAREA]]</f>
        <v>5.6196307158416871E-2</v>
      </c>
      <c r="U9">
        <v>2.0512600000000001</v>
      </c>
      <c r="V9">
        <f>-(Table5246[[#This Row],[time]]-2)*2</f>
        <v>-0.10252000000000017</v>
      </c>
      <c r="W9">
        <v>82.725899999999996</v>
      </c>
      <c r="X9">
        <v>10.7827</v>
      </c>
      <c r="Y9">
        <f>Table5246[[#This Row],[CFNM]]/Table5246[[#This Row],[CAREA]]</f>
        <v>0.13034249249630406</v>
      </c>
      <c r="Z9">
        <v>2.0512600000000001</v>
      </c>
      <c r="AA9">
        <f>-(Table6247[[#This Row],[time]]-2)*2</f>
        <v>-0.10252000000000017</v>
      </c>
      <c r="AB9">
        <v>88.017799999999994</v>
      </c>
      <c r="AC9">
        <v>13.3949</v>
      </c>
      <c r="AD9">
        <f>Table6247[[#This Row],[CFNM]]/Table6247[[#This Row],[CAREA]]</f>
        <v>0.15218399005655675</v>
      </c>
      <c r="AE9">
        <v>2.0512600000000001</v>
      </c>
      <c r="AF9">
        <f>-(Table7248[[#This Row],[time]]-2)*2</f>
        <v>-0.10252000000000017</v>
      </c>
      <c r="AG9">
        <v>79.548400000000001</v>
      </c>
      <c r="AH9">
        <v>20.448799999999999</v>
      </c>
      <c r="AI9">
        <f>Table7248[[#This Row],[CFNM]]/Table7248[[#This Row],[CAREA]]</f>
        <v>0.25706110996575665</v>
      </c>
      <c r="AJ9">
        <v>2.0512600000000001</v>
      </c>
      <c r="AK9">
        <f>-(Table8249[[#This Row],[time]]-2)*2</f>
        <v>-0.10252000000000017</v>
      </c>
      <c r="AL9">
        <v>83.053399999999996</v>
      </c>
      <c r="AM9">
        <v>18.143699999999999</v>
      </c>
      <c r="AN9">
        <f>Table8249[[#This Row],[CFNM]]/Table8249[[#This Row],[CAREA]]</f>
        <v>0.21845824493639032</v>
      </c>
    </row>
    <row r="10" spans="1:40" x14ac:dyDescent="0.25">
      <c r="A10">
        <v>2.1153300000000002</v>
      </c>
      <c r="B10">
        <f>-(Table1242[[#This Row],[time]]-2)*2</f>
        <v>-0.23066000000000031</v>
      </c>
      <c r="C10">
        <v>91.636200000000002</v>
      </c>
      <c r="D10">
        <v>12.0901</v>
      </c>
      <c r="E10">
        <f>Table1242[[#This Row],[CFNM]]/Table1242[[#This Row],[CAREA]]</f>
        <v>0.13193585067909844</v>
      </c>
      <c r="F10">
        <v>2.1153300000000002</v>
      </c>
      <c r="G10">
        <f>-(Table2243[[#This Row],[time]]-2)*2</f>
        <v>-0.23066000000000031</v>
      </c>
      <c r="H10">
        <v>94.593800000000002</v>
      </c>
      <c r="I10">
        <v>2.0877699999999999</v>
      </c>
      <c r="J10">
        <f>Table2243[[#This Row],[CFNM]]/Table2243[[#This Row],[CAREA]]</f>
        <v>2.2070896824104749E-2</v>
      </c>
      <c r="K10">
        <v>2.1153300000000002</v>
      </c>
      <c r="L10">
        <f>-(Table3244[[#This Row],[time]]-2)*2</f>
        <v>-0.23066000000000031</v>
      </c>
      <c r="M10">
        <v>90.382599999999996</v>
      </c>
      <c r="N10">
        <v>6.0335299999999998</v>
      </c>
      <c r="O10">
        <f>Table3244[[#This Row],[CFNM]]/Table3244[[#This Row],[CAREA]]</f>
        <v>6.6755437440392293E-2</v>
      </c>
      <c r="P10">
        <v>2.1153300000000002</v>
      </c>
      <c r="Q10">
        <f>-(Table4245[[#This Row],[time]]-2)*2</f>
        <v>-0.23066000000000031</v>
      </c>
      <c r="R10">
        <v>83.533799999999999</v>
      </c>
      <c r="S10">
        <v>4.6263899999999998</v>
      </c>
      <c r="T10">
        <f>Table4245[[#This Row],[CFNM]]/Table4245[[#This Row],[CAREA]]</f>
        <v>5.5383449573705494E-2</v>
      </c>
      <c r="U10">
        <v>2.1153300000000002</v>
      </c>
      <c r="V10">
        <f>-(Table5246[[#This Row],[time]]-2)*2</f>
        <v>-0.23066000000000031</v>
      </c>
      <c r="W10">
        <v>83.735900000000001</v>
      </c>
      <c r="X10">
        <v>12.4343</v>
      </c>
      <c r="Y10">
        <f>Table5246[[#This Row],[CFNM]]/Table5246[[#This Row],[CAREA]]</f>
        <v>0.1484942539579798</v>
      </c>
      <c r="Z10">
        <v>2.1153300000000002</v>
      </c>
      <c r="AA10">
        <f>-(Table6247[[#This Row],[time]]-2)*2</f>
        <v>-0.23066000000000031</v>
      </c>
      <c r="AB10">
        <v>85.482500000000002</v>
      </c>
      <c r="AC10">
        <v>10.8917</v>
      </c>
      <c r="AD10">
        <f>Table6247[[#This Row],[CFNM]]/Table6247[[#This Row],[CAREA]]</f>
        <v>0.12741438306086042</v>
      </c>
      <c r="AE10">
        <v>2.1153300000000002</v>
      </c>
      <c r="AF10">
        <f>-(Table7248[[#This Row],[time]]-2)*2</f>
        <v>-0.23066000000000031</v>
      </c>
      <c r="AG10">
        <v>80.220299999999995</v>
      </c>
      <c r="AH10">
        <v>21.781700000000001</v>
      </c>
      <c r="AI10">
        <f>Table7248[[#This Row],[CFNM]]/Table7248[[#This Row],[CAREA]]</f>
        <v>0.27152354204609058</v>
      </c>
      <c r="AJ10">
        <v>2.1153300000000002</v>
      </c>
      <c r="AK10">
        <f>-(Table8249[[#This Row],[time]]-2)*2</f>
        <v>-0.23066000000000031</v>
      </c>
      <c r="AL10">
        <v>82.747299999999996</v>
      </c>
      <c r="AM10">
        <v>17.0608</v>
      </c>
      <c r="AN10">
        <f>Table8249[[#This Row],[CFNM]]/Table8249[[#This Row],[CAREA]]</f>
        <v>0.20617953697582883</v>
      </c>
    </row>
    <row r="11" spans="1:40" x14ac:dyDescent="0.25">
      <c r="A11">
        <v>2.16533</v>
      </c>
      <c r="B11">
        <f>-(Table1242[[#This Row],[time]]-2)*2</f>
        <v>-0.33065999999999995</v>
      </c>
      <c r="C11">
        <v>91.728999999999999</v>
      </c>
      <c r="D11">
        <v>12.7422</v>
      </c>
      <c r="E11">
        <f>Table1242[[#This Row],[CFNM]]/Table1242[[#This Row],[CAREA]]</f>
        <v>0.13891135845806671</v>
      </c>
      <c r="F11">
        <v>2.16533</v>
      </c>
      <c r="G11">
        <f>-(Table2243[[#This Row],[time]]-2)*2</f>
        <v>-0.33065999999999995</v>
      </c>
      <c r="H11">
        <v>94.244699999999995</v>
      </c>
      <c r="I11">
        <v>1.6430199999999999</v>
      </c>
      <c r="J11">
        <f>Table2243[[#This Row],[CFNM]]/Table2243[[#This Row],[CAREA]]</f>
        <v>1.7433553292652001E-2</v>
      </c>
      <c r="K11">
        <v>2.16533</v>
      </c>
      <c r="L11">
        <f>-(Table3244[[#This Row],[time]]-2)*2</f>
        <v>-0.33065999999999995</v>
      </c>
      <c r="M11">
        <v>90.498800000000003</v>
      </c>
      <c r="N11">
        <v>7.25725</v>
      </c>
      <c r="O11">
        <f>Table3244[[#This Row],[CFNM]]/Table3244[[#This Row],[CAREA]]</f>
        <v>8.0191671049781879E-2</v>
      </c>
      <c r="P11">
        <v>2.16533</v>
      </c>
      <c r="Q11">
        <f>-(Table4245[[#This Row],[time]]-2)*2</f>
        <v>-0.33065999999999995</v>
      </c>
      <c r="R11">
        <v>82.115300000000005</v>
      </c>
      <c r="S11">
        <v>4.3826799999999997</v>
      </c>
      <c r="T11">
        <f>Table4245[[#This Row],[CFNM]]/Table4245[[#This Row],[CAREA]]</f>
        <v>5.3372270453861816E-2</v>
      </c>
      <c r="U11">
        <v>2.16533</v>
      </c>
      <c r="V11">
        <f>-(Table5246[[#This Row],[time]]-2)*2</f>
        <v>-0.33065999999999995</v>
      </c>
      <c r="W11">
        <v>83.4589</v>
      </c>
      <c r="X11">
        <v>13.599299999999999</v>
      </c>
      <c r="Y11">
        <f>Table5246[[#This Row],[CFNM]]/Table5246[[#This Row],[CAREA]]</f>
        <v>0.16294607285741844</v>
      </c>
      <c r="Z11">
        <v>2.16533</v>
      </c>
      <c r="AA11">
        <f>-(Table6247[[#This Row],[time]]-2)*2</f>
        <v>-0.33065999999999995</v>
      </c>
      <c r="AB11">
        <v>83.958100000000002</v>
      </c>
      <c r="AC11">
        <v>8.6876099999999994</v>
      </c>
      <c r="AD11">
        <f>Table6247[[#This Row],[CFNM]]/Table6247[[#This Row],[CAREA]]</f>
        <v>0.10347554315783705</v>
      </c>
      <c r="AE11">
        <v>2.16533</v>
      </c>
      <c r="AF11">
        <f>-(Table7248[[#This Row],[time]]-2)*2</f>
        <v>-0.33065999999999995</v>
      </c>
      <c r="AG11">
        <v>80.532399999999996</v>
      </c>
      <c r="AH11">
        <v>23.234100000000002</v>
      </c>
      <c r="AI11">
        <f>Table7248[[#This Row],[CFNM]]/Table7248[[#This Row],[CAREA]]</f>
        <v>0.28850624096636884</v>
      </c>
      <c r="AJ11">
        <v>2.16533</v>
      </c>
      <c r="AK11">
        <f>-(Table8249[[#This Row],[time]]-2)*2</f>
        <v>-0.33065999999999995</v>
      </c>
      <c r="AL11">
        <v>82.619900000000001</v>
      </c>
      <c r="AM11">
        <v>16.2761</v>
      </c>
      <c r="AN11">
        <f>Table8249[[#This Row],[CFNM]]/Table8249[[#This Row],[CAREA]]</f>
        <v>0.19699975429648303</v>
      </c>
    </row>
    <row r="12" spans="1:40" x14ac:dyDescent="0.25">
      <c r="A12">
        <v>2.2246999999999999</v>
      </c>
      <c r="B12">
        <f>-(Table1242[[#This Row],[time]]-2)*2</f>
        <v>-0.4493999999999998</v>
      </c>
      <c r="C12">
        <v>92.167299999999997</v>
      </c>
      <c r="D12">
        <v>13.614800000000001</v>
      </c>
      <c r="E12">
        <f>Table1242[[#This Row],[CFNM]]/Table1242[[#This Row],[CAREA]]</f>
        <v>0.1477183339427324</v>
      </c>
      <c r="F12">
        <v>2.2246999999999999</v>
      </c>
      <c r="G12">
        <f>-(Table2243[[#This Row],[time]]-2)*2</f>
        <v>-0.4493999999999998</v>
      </c>
      <c r="H12">
        <v>92.624700000000004</v>
      </c>
      <c r="I12">
        <v>1.19407</v>
      </c>
      <c r="J12">
        <f>Table2243[[#This Row],[CFNM]]/Table2243[[#This Row],[CAREA]]</f>
        <v>1.2891485748401883E-2</v>
      </c>
      <c r="K12">
        <v>2.2246999999999999</v>
      </c>
      <c r="L12">
        <f>-(Table3244[[#This Row],[time]]-2)*2</f>
        <v>-0.4493999999999998</v>
      </c>
      <c r="M12">
        <v>90.391000000000005</v>
      </c>
      <c r="N12">
        <v>8.8395399999999995</v>
      </c>
      <c r="O12">
        <f>Table3244[[#This Row],[CFNM]]/Table3244[[#This Row],[CAREA]]</f>
        <v>9.7792258078791022E-2</v>
      </c>
      <c r="P12">
        <v>2.2246999999999999</v>
      </c>
      <c r="Q12">
        <f>-(Table4245[[#This Row],[time]]-2)*2</f>
        <v>-0.4493999999999998</v>
      </c>
      <c r="R12">
        <v>80.937399999999997</v>
      </c>
      <c r="S12">
        <v>4.61191</v>
      </c>
      <c r="T12">
        <f>Table4245[[#This Row],[CFNM]]/Table4245[[#This Row],[CAREA]]</f>
        <v>5.6981197814607337E-2</v>
      </c>
      <c r="U12">
        <v>2.2246999999999999</v>
      </c>
      <c r="V12">
        <f>-(Table5246[[#This Row],[time]]-2)*2</f>
        <v>-0.4493999999999998</v>
      </c>
      <c r="W12">
        <v>84.237899999999996</v>
      </c>
      <c r="X12">
        <v>15.0916</v>
      </c>
      <c r="Y12">
        <f>Table5246[[#This Row],[CFNM]]/Table5246[[#This Row],[CAREA]]</f>
        <v>0.17915451358592749</v>
      </c>
      <c r="Z12">
        <v>2.2246999999999999</v>
      </c>
      <c r="AA12">
        <f>-(Table6247[[#This Row],[time]]-2)*2</f>
        <v>-0.4493999999999998</v>
      </c>
      <c r="AB12">
        <v>83.604900000000001</v>
      </c>
      <c r="AC12">
        <v>6.4</v>
      </c>
      <c r="AD12">
        <f>Table6247[[#This Row],[CFNM]]/Table6247[[#This Row],[CAREA]]</f>
        <v>7.6550537109667027E-2</v>
      </c>
      <c r="AE12">
        <v>2.2246999999999999</v>
      </c>
      <c r="AF12">
        <f>-(Table7248[[#This Row],[time]]-2)*2</f>
        <v>-0.4493999999999998</v>
      </c>
      <c r="AG12">
        <v>80.112300000000005</v>
      </c>
      <c r="AH12">
        <v>25.276599999999998</v>
      </c>
      <c r="AI12">
        <f>Table7248[[#This Row],[CFNM]]/Table7248[[#This Row],[CAREA]]</f>
        <v>0.31551459638532409</v>
      </c>
      <c r="AJ12">
        <v>2.2246999999999999</v>
      </c>
      <c r="AK12">
        <f>-(Table8249[[#This Row],[time]]-2)*2</f>
        <v>-0.4493999999999998</v>
      </c>
      <c r="AL12">
        <v>82.490899999999996</v>
      </c>
      <c r="AM12">
        <v>15.3355</v>
      </c>
      <c r="AN12">
        <f>Table8249[[#This Row],[CFNM]]/Table8249[[#This Row],[CAREA]]</f>
        <v>0.18590535440878933</v>
      </c>
    </row>
    <row r="13" spans="1:40" x14ac:dyDescent="0.25">
      <c r="A13">
        <v>2.2668900000000001</v>
      </c>
      <c r="B13">
        <f>-(Table1242[[#This Row],[time]]-2)*2</f>
        <v>-0.53378000000000014</v>
      </c>
      <c r="C13">
        <v>92.4435</v>
      </c>
      <c r="D13">
        <v>14.197699999999999</v>
      </c>
      <c r="E13">
        <f>Table1242[[#This Row],[CFNM]]/Table1242[[#This Row],[CAREA]]</f>
        <v>0.15358245847463586</v>
      </c>
      <c r="F13">
        <v>2.2668900000000001</v>
      </c>
      <c r="G13">
        <f>-(Table2243[[#This Row],[time]]-2)*2</f>
        <v>-0.53378000000000014</v>
      </c>
      <c r="H13">
        <v>91.889399999999995</v>
      </c>
      <c r="I13">
        <v>1.2331799999999999</v>
      </c>
      <c r="J13">
        <f>Table2243[[#This Row],[CFNM]]/Table2243[[#This Row],[CAREA]]</f>
        <v>1.342026392598058E-2</v>
      </c>
      <c r="K13">
        <v>2.2668900000000001</v>
      </c>
      <c r="L13">
        <f>-(Table3244[[#This Row],[time]]-2)*2</f>
        <v>-0.53378000000000014</v>
      </c>
      <c r="M13">
        <v>90.317800000000005</v>
      </c>
      <c r="N13">
        <v>9.6669199999999993</v>
      </c>
      <c r="O13">
        <f>Table3244[[#This Row],[CFNM]]/Table3244[[#This Row],[CAREA]]</f>
        <v>0.10703227935135708</v>
      </c>
      <c r="P13">
        <v>2.2668900000000001</v>
      </c>
      <c r="Q13">
        <f>-(Table4245[[#This Row],[time]]-2)*2</f>
        <v>-0.53378000000000014</v>
      </c>
      <c r="R13">
        <v>80.724599999999995</v>
      </c>
      <c r="S13">
        <v>4.75779</v>
      </c>
      <c r="T13">
        <f>Table4245[[#This Row],[CFNM]]/Table4245[[#This Row],[CAREA]]</f>
        <v>5.8938539181364789E-2</v>
      </c>
      <c r="U13">
        <v>2.2668900000000001</v>
      </c>
      <c r="V13">
        <f>-(Table5246[[#This Row],[time]]-2)*2</f>
        <v>-0.53378000000000014</v>
      </c>
      <c r="W13">
        <v>84.197699999999998</v>
      </c>
      <c r="X13">
        <v>15.8485</v>
      </c>
      <c r="Y13">
        <f>Table5246[[#This Row],[CFNM]]/Table5246[[#This Row],[CAREA]]</f>
        <v>0.18822960722205001</v>
      </c>
      <c r="Z13">
        <v>2.2668900000000001</v>
      </c>
      <c r="AA13">
        <f>-(Table6247[[#This Row],[time]]-2)*2</f>
        <v>-0.53378000000000014</v>
      </c>
      <c r="AB13">
        <v>82.515699999999995</v>
      </c>
      <c r="AC13">
        <v>5.6045699999999998</v>
      </c>
      <c r="AD13">
        <f>Table6247[[#This Row],[CFNM]]/Table6247[[#This Row],[CAREA]]</f>
        <v>6.7921256197305491E-2</v>
      </c>
      <c r="AE13">
        <v>2.2668900000000001</v>
      </c>
      <c r="AF13">
        <f>-(Table7248[[#This Row],[time]]-2)*2</f>
        <v>-0.53378000000000014</v>
      </c>
      <c r="AG13">
        <v>79.752200000000002</v>
      </c>
      <c r="AH13">
        <v>26.375499999999999</v>
      </c>
      <c r="AI13">
        <f>Table7248[[#This Row],[CFNM]]/Table7248[[#This Row],[CAREA]]</f>
        <v>0.33071814946797706</v>
      </c>
      <c r="AJ13">
        <v>2.2668900000000001</v>
      </c>
      <c r="AK13">
        <f>-(Table8249[[#This Row],[time]]-2)*2</f>
        <v>-0.53378000000000014</v>
      </c>
      <c r="AL13">
        <v>82.452799999999996</v>
      </c>
      <c r="AM13">
        <v>14.9374</v>
      </c>
      <c r="AN13">
        <f>Table8249[[#This Row],[CFNM]]/Table8249[[#This Row],[CAREA]]</f>
        <v>0.1811630411580929</v>
      </c>
    </row>
    <row r="14" spans="1:40" x14ac:dyDescent="0.25">
      <c r="A14">
        <v>2.3262700000000001</v>
      </c>
      <c r="B14">
        <f>-(Table1242[[#This Row],[time]]-2)*2</f>
        <v>-0.65254000000000012</v>
      </c>
      <c r="C14">
        <v>94.213999999999999</v>
      </c>
      <c r="D14">
        <v>15.633100000000001</v>
      </c>
      <c r="E14">
        <f>Table1242[[#This Row],[CFNM]]/Table1242[[#This Row],[CAREA]]</f>
        <v>0.16593181480459382</v>
      </c>
      <c r="F14">
        <v>2.3262700000000001</v>
      </c>
      <c r="G14">
        <f>-(Table2243[[#This Row],[time]]-2)*2</f>
        <v>-0.65254000000000012</v>
      </c>
      <c r="H14">
        <v>90.499099999999999</v>
      </c>
      <c r="I14">
        <v>1.1712100000000001</v>
      </c>
      <c r="J14">
        <f>Table2243[[#This Row],[CFNM]]/Table2243[[#This Row],[CAREA]]</f>
        <v>1.2941675663072893E-2</v>
      </c>
      <c r="K14">
        <v>2.3262700000000001</v>
      </c>
      <c r="L14">
        <f>-(Table3244[[#This Row],[time]]-2)*2</f>
        <v>-0.65254000000000012</v>
      </c>
      <c r="M14">
        <v>89.938400000000001</v>
      </c>
      <c r="N14">
        <v>11.510300000000001</v>
      </c>
      <c r="O14">
        <f>Table3244[[#This Row],[CFNM]]/Table3244[[#This Row],[CAREA]]</f>
        <v>0.12797981729717228</v>
      </c>
      <c r="P14">
        <v>2.3262700000000001</v>
      </c>
      <c r="Q14">
        <f>-(Table4245[[#This Row],[time]]-2)*2</f>
        <v>-0.65254000000000012</v>
      </c>
      <c r="R14">
        <v>78.999899999999997</v>
      </c>
      <c r="S14">
        <v>4.9218000000000002</v>
      </c>
      <c r="T14">
        <f>Table4245[[#This Row],[CFNM]]/Table4245[[#This Row],[CAREA]]</f>
        <v>6.2301344685246444E-2</v>
      </c>
      <c r="U14">
        <v>2.3262700000000001</v>
      </c>
      <c r="V14">
        <f>-(Table5246[[#This Row],[time]]-2)*2</f>
        <v>-0.65254000000000012</v>
      </c>
      <c r="W14">
        <v>84.651399999999995</v>
      </c>
      <c r="X14">
        <v>17.541699999999999</v>
      </c>
      <c r="Y14">
        <f>Table5246[[#This Row],[CFNM]]/Table5246[[#This Row],[CAREA]]</f>
        <v>0.20722279844160876</v>
      </c>
      <c r="Z14">
        <v>2.3262700000000001</v>
      </c>
      <c r="AA14">
        <f>-(Table6247[[#This Row],[time]]-2)*2</f>
        <v>-0.65254000000000012</v>
      </c>
      <c r="AB14">
        <v>81.582099999999997</v>
      </c>
      <c r="AC14">
        <v>4.3206100000000003</v>
      </c>
      <c r="AD14">
        <f>Table6247[[#This Row],[CFNM]]/Table6247[[#This Row],[CAREA]]</f>
        <v>5.2960269470876585E-2</v>
      </c>
      <c r="AE14">
        <v>2.3262700000000001</v>
      </c>
      <c r="AF14">
        <f>-(Table7248[[#This Row],[time]]-2)*2</f>
        <v>-0.65254000000000012</v>
      </c>
      <c r="AG14">
        <v>78.3994</v>
      </c>
      <c r="AH14">
        <v>29.148599999999998</v>
      </c>
      <c r="AI14">
        <f>Table7248[[#This Row],[CFNM]]/Table7248[[#This Row],[CAREA]]</f>
        <v>0.37179621272611779</v>
      </c>
      <c r="AJ14">
        <v>2.3262700000000001</v>
      </c>
      <c r="AK14">
        <f>-(Table8249[[#This Row],[time]]-2)*2</f>
        <v>-0.65254000000000012</v>
      </c>
      <c r="AL14">
        <v>82.246099999999998</v>
      </c>
      <c r="AM14">
        <v>14.237500000000001</v>
      </c>
      <c r="AN14">
        <f>Table8249[[#This Row],[CFNM]]/Table8249[[#This Row],[CAREA]]</f>
        <v>0.17310851213613779</v>
      </c>
    </row>
    <row r="15" spans="1:40" x14ac:dyDescent="0.25">
      <c r="A15">
        <v>2.3684599999999998</v>
      </c>
      <c r="B15">
        <f>-(Table1242[[#This Row],[time]]-2)*2</f>
        <v>-0.73691999999999958</v>
      </c>
      <c r="C15">
        <v>95.625100000000003</v>
      </c>
      <c r="D15">
        <v>17.158100000000001</v>
      </c>
      <c r="E15">
        <f>Table1242[[#This Row],[CFNM]]/Table1242[[#This Row],[CAREA]]</f>
        <v>0.1794309234709297</v>
      </c>
      <c r="F15">
        <v>2.3684599999999998</v>
      </c>
      <c r="G15">
        <f>-(Table2243[[#This Row],[time]]-2)*2</f>
        <v>-0.73691999999999958</v>
      </c>
      <c r="H15">
        <v>89.474800000000002</v>
      </c>
      <c r="I15">
        <v>1.00854</v>
      </c>
      <c r="J15">
        <f>Table2243[[#This Row],[CFNM]]/Table2243[[#This Row],[CAREA]]</f>
        <v>1.1271777081368161E-2</v>
      </c>
      <c r="K15">
        <v>2.3684599999999998</v>
      </c>
      <c r="L15">
        <f>-(Table3244[[#This Row],[time]]-2)*2</f>
        <v>-0.73691999999999958</v>
      </c>
      <c r="M15">
        <v>89.479600000000005</v>
      </c>
      <c r="N15">
        <v>13.264200000000001</v>
      </c>
      <c r="O15">
        <f>Table3244[[#This Row],[CFNM]]/Table3244[[#This Row],[CAREA]]</f>
        <v>0.14823714008556141</v>
      </c>
      <c r="P15">
        <v>2.3684599999999998</v>
      </c>
      <c r="Q15">
        <f>-(Table4245[[#This Row],[time]]-2)*2</f>
        <v>-0.73691999999999958</v>
      </c>
      <c r="R15">
        <v>78.460599999999999</v>
      </c>
      <c r="S15">
        <v>4.9829999999999997</v>
      </c>
      <c r="T15">
        <f>Table4245[[#This Row],[CFNM]]/Table4245[[#This Row],[CAREA]]</f>
        <v>6.3509583153837715E-2</v>
      </c>
      <c r="U15">
        <v>2.3684599999999998</v>
      </c>
      <c r="V15">
        <f>-(Table5246[[#This Row],[time]]-2)*2</f>
        <v>-0.73691999999999958</v>
      </c>
      <c r="W15">
        <v>84.574100000000001</v>
      </c>
      <c r="X15">
        <v>19.3735</v>
      </c>
      <c r="Y15">
        <f>Table5246[[#This Row],[CFNM]]/Table5246[[#This Row],[CAREA]]</f>
        <v>0.22907131142985854</v>
      </c>
      <c r="Z15">
        <v>2.3684599999999998</v>
      </c>
      <c r="AA15">
        <f>-(Table6247[[#This Row],[time]]-2)*2</f>
        <v>-0.73691999999999958</v>
      </c>
      <c r="AB15">
        <v>79.974900000000005</v>
      </c>
      <c r="AC15">
        <v>3.5017100000000001</v>
      </c>
      <c r="AD15">
        <f>Table6247[[#This Row],[CFNM]]/Table6247[[#This Row],[CAREA]]</f>
        <v>4.3785112579071681E-2</v>
      </c>
      <c r="AE15">
        <v>2.3684599999999998</v>
      </c>
      <c r="AF15">
        <f>-(Table7248[[#This Row],[time]]-2)*2</f>
        <v>-0.73691999999999958</v>
      </c>
      <c r="AG15">
        <v>77.144499999999994</v>
      </c>
      <c r="AH15">
        <v>31.832599999999999</v>
      </c>
      <c r="AI15">
        <f>Table7248[[#This Row],[CFNM]]/Table7248[[#This Row],[CAREA]]</f>
        <v>0.41263602719571718</v>
      </c>
      <c r="AJ15">
        <v>2.3684599999999998</v>
      </c>
      <c r="AK15">
        <f>-(Table8249[[#This Row],[time]]-2)*2</f>
        <v>-0.73691999999999958</v>
      </c>
      <c r="AL15">
        <v>82.416200000000003</v>
      </c>
      <c r="AM15">
        <v>13.6172</v>
      </c>
      <c r="AN15">
        <f>Table8249[[#This Row],[CFNM]]/Table8249[[#This Row],[CAREA]]</f>
        <v>0.16522479803727907</v>
      </c>
    </row>
    <row r="16" spans="1:40" x14ac:dyDescent="0.25">
      <c r="A16">
        <v>2.4278300000000002</v>
      </c>
      <c r="B16">
        <f>-(Table1242[[#This Row],[time]]-2)*2</f>
        <v>-0.85566000000000031</v>
      </c>
      <c r="C16">
        <v>97.233900000000006</v>
      </c>
      <c r="D16">
        <v>19.1297</v>
      </c>
      <c r="E16">
        <f>Table1242[[#This Row],[CFNM]]/Table1242[[#This Row],[CAREA]]</f>
        <v>0.19673899740728285</v>
      </c>
      <c r="F16">
        <v>2.4278300000000002</v>
      </c>
      <c r="G16">
        <f>-(Table2243[[#This Row],[time]]-2)*2</f>
        <v>-0.85566000000000031</v>
      </c>
      <c r="H16">
        <v>87.930700000000002</v>
      </c>
      <c r="I16">
        <v>0.72007399999999999</v>
      </c>
      <c r="J16">
        <f>Table2243[[#This Row],[CFNM]]/Table2243[[#This Row],[CAREA]]</f>
        <v>8.1891080134696981E-3</v>
      </c>
      <c r="K16">
        <v>2.4278300000000002</v>
      </c>
      <c r="L16">
        <f>-(Table3244[[#This Row],[time]]-2)*2</f>
        <v>-0.85566000000000031</v>
      </c>
      <c r="M16">
        <v>89.078299999999999</v>
      </c>
      <c r="N16">
        <v>15.301600000000001</v>
      </c>
      <c r="O16">
        <f>Table3244[[#This Row],[CFNM]]/Table3244[[#This Row],[CAREA]]</f>
        <v>0.17177696476021659</v>
      </c>
      <c r="P16">
        <v>2.4278300000000002</v>
      </c>
      <c r="Q16">
        <f>-(Table4245[[#This Row],[time]]-2)*2</f>
        <v>-0.85566000000000031</v>
      </c>
      <c r="R16">
        <v>77.522599999999997</v>
      </c>
      <c r="S16">
        <v>4.9941300000000002</v>
      </c>
      <c r="T16">
        <f>Table4245[[#This Row],[CFNM]]/Table4245[[#This Row],[CAREA]]</f>
        <v>6.4421600926697506E-2</v>
      </c>
      <c r="U16">
        <v>2.4278300000000002</v>
      </c>
      <c r="V16">
        <f>-(Table5246[[#This Row],[time]]-2)*2</f>
        <v>-0.85566000000000031</v>
      </c>
      <c r="W16">
        <v>84.686899999999994</v>
      </c>
      <c r="X16">
        <v>21.615500000000001</v>
      </c>
      <c r="Y16">
        <f>Table5246[[#This Row],[CFNM]]/Table5246[[#This Row],[CAREA]]</f>
        <v>0.25524018472750803</v>
      </c>
      <c r="Z16">
        <v>2.4278300000000002</v>
      </c>
      <c r="AA16">
        <f>-(Table6247[[#This Row],[time]]-2)*2</f>
        <v>-0.85566000000000031</v>
      </c>
      <c r="AB16">
        <v>78.372</v>
      </c>
      <c r="AC16">
        <v>2.8183500000000001</v>
      </c>
      <c r="AD16">
        <f>Table6247[[#This Row],[CFNM]]/Table6247[[#This Row],[CAREA]]</f>
        <v>3.596118511713367E-2</v>
      </c>
      <c r="AE16">
        <v>2.4278300000000002</v>
      </c>
      <c r="AF16">
        <f>-(Table7248[[#This Row],[time]]-2)*2</f>
        <v>-0.85566000000000031</v>
      </c>
      <c r="AG16">
        <v>75.8934</v>
      </c>
      <c r="AH16">
        <v>34.786499999999997</v>
      </c>
      <c r="AI16">
        <f>Table7248[[#This Row],[CFNM]]/Table7248[[#This Row],[CAREA]]</f>
        <v>0.45836001549541855</v>
      </c>
      <c r="AJ16">
        <v>2.4278300000000002</v>
      </c>
      <c r="AK16">
        <f>-(Table8249[[#This Row],[time]]-2)*2</f>
        <v>-0.85566000000000031</v>
      </c>
      <c r="AL16">
        <v>82.506900000000002</v>
      </c>
      <c r="AM16">
        <v>12.861700000000001</v>
      </c>
      <c r="AN16">
        <f>Table8249[[#This Row],[CFNM]]/Table8249[[#This Row],[CAREA]]</f>
        <v>0.15588635617142324</v>
      </c>
    </row>
    <row r="17" spans="1:40" x14ac:dyDescent="0.25">
      <c r="A17">
        <v>2.4542000000000002</v>
      </c>
      <c r="B17">
        <f>-(Table1242[[#This Row],[time]]-2)*2</f>
        <v>-0.90840000000000032</v>
      </c>
      <c r="C17">
        <v>98.193399999999997</v>
      </c>
      <c r="D17">
        <v>21.2821</v>
      </c>
      <c r="E17">
        <f>Table1242[[#This Row],[CFNM]]/Table1242[[#This Row],[CAREA]]</f>
        <v>0.21673656274250613</v>
      </c>
      <c r="F17">
        <v>2.4542000000000002</v>
      </c>
      <c r="G17">
        <f>-(Table2243[[#This Row],[time]]-2)*2</f>
        <v>-0.90840000000000032</v>
      </c>
      <c r="H17">
        <v>86.509900000000002</v>
      </c>
      <c r="I17">
        <v>0.43397999999999998</v>
      </c>
      <c r="J17">
        <f>Table2243[[#This Row],[CFNM]]/Table2243[[#This Row],[CAREA]]</f>
        <v>5.0165356797314525E-3</v>
      </c>
      <c r="K17">
        <v>2.4542000000000002</v>
      </c>
      <c r="L17">
        <f>-(Table3244[[#This Row],[time]]-2)*2</f>
        <v>-0.90840000000000032</v>
      </c>
      <c r="M17">
        <v>88.639399999999995</v>
      </c>
      <c r="N17">
        <v>17.354700000000001</v>
      </c>
      <c r="O17">
        <f>Table3244[[#This Row],[CFNM]]/Table3244[[#This Row],[CAREA]]</f>
        <v>0.19578990832519175</v>
      </c>
      <c r="P17">
        <v>2.4542000000000002</v>
      </c>
      <c r="Q17">
        <f>-(Table4245[[#This Row],[time]]-2)*2</f>
        <v>-0.90840000000000032</v>
      </c>
      <c r="R17">
        <v>76.628799999999998</v>
      </c>
      <c r="S17">
        <v>4.9241299999999999</v>
      </c>
      <c r="T17">
        <f>Table4245[[#This Row],[CFNM]]/Table4245[[#This Row],[CAREA]]</f>
        <v>6.4259521224396043E-2</v>
      </c>
      <c r="U17">
        <v>2.4542000000000002</v>
      </c>
      <c r="V17">
        <f>-(Table5246[[#This Row],[time]]-2)*2</f>
        <v>-0.90840000000000032</v>
      </c>
      <c r="W17">
        <v>84.680400000000006</v>
      </c>
      <c r="X17">
        <v>23.787299999999998</v>
      </c>
      <c r="Y17">
        <f>Table5246[[#This Row],[CFNM]]/Table5246[[#This Row],[CAREA]]</f>
        <v>0.28090679779500327</v>
      </c>
      <c r="Z17">
        <v>2.4542000000000002</v>
      </c>
      <c r="AA17">
        <f>-(Table6247[[#This Row],[time]]-2)*2</f>
        <v>-0.90840000000000032</v>
      </c>
      <c r="AB17">
        <v>77.903400000000005</v>
      </c>
      <c r="AC17">
        <v>2.53078</v>
      </c>
      <c r="AD17">
        <f>Table6247[[#This Row],[CFNM]]/Table6247[[#This Row],[CAREA]]</f>
        <v>3.2486130258756359E-2</v>
      </c>
      <c r="AE17">
        <v>2.4542000000000002</v>
      </c>
      <c r="AF17">
        <f>-(Table7248[[#This Row],[time]]-2)*2</f>
        <v>-0.90840000000000032</v>
      </c>
      <c r="AG17">
        <v>74.640199999999993</v>
      </c>
      <c r="AH17">
        <v>37.571100000000001</v>
      </c>
      <c r="AI17">
        <f>Table7248[[#This Row],[CFNM]]/Table7248[[#This Row],[CAREA]]</f>
        <v>0.50336279913505066</v>
      </c>
      <c r="AJ17">
        <v>2.4542000000000002</v>
      </c>
      <c r="AK17">
        <f>-(Table8249[[#This Row],[time]]-2)*2</f>
        <v>-0.90840000000000032</v>
      </c>
      <c r="AL17">
        <v>81.992000000000004</v>
      </c>
      <c r="AM17">
        <v>12.0755</v>
      </c>
      <c r="AN17">
        <f>Table8249[[#This Row],[CFNM]]/Table8249[[#This Row],[CAREA]]</f>
        <v>0.14727656356717728</v>
      </c>
    </row>
    <row r="18" spans="1:40" x14ac:dyDescent="0.25">
      <c r="A18">
        <v>2.5061499999999999</v>
      </c>
      <c r="B18">
        <f>-(Table1242[[#This Row],[time]]-2)*2</f>
        <v>-1.0122999999999998</v>
      </c>
      <c r="C18">
        <v>99.116200000000006</v>
      </c>
      <c r="D18">
        <v>23.3902</v>
      </c>
      <c r="E18">
        <f>Table1242[[#This Row],[CFNM]]/Table1242[[#This Row],[CAREA]]</f>
        <v>0.23598765892961998</v>
      </c>
      <c r="F18">
        <v>2.5061499999999999</v>
      </c>
      <c r="G18">
        <f>-(Table2243[[#This Row],[time]]-2)*2</f>
        <v>-1.0122999999999998</v>
      </c>
      <c r="H18">
        <v>85.345399999999998</v>
      </c>
      <c r="I18">
        <v>0.30577199999999999</v>
      </c>
      <c r="J18">
        <f>Table2243[[#This Row],[CFNM]]/Table2243[[#This Row],[CAREA]]</f>
        <v>3.5827590004850877E-3</v>
      </c>
      <c r="K18">
        <v>2.5061499999999999</v>
      </c>
      <c r="L18">
        <f>-(Table3244[[#This Row],[time]]-2)*2</f>
        <v>-1.0122999999999998</v>
      </c>
      <c r="M18">
        <v>87.893900000000002</v>
      </c>
      <c r="N18">
        <v>19.529299999999999</v>
      </c>
      <c r="O18">
        <f>Table3244[[#This Row],[CFNM]]/Table3244[[#This Row],[CAREA]]</f>
        <v>0.22219175619696019</v>
      </c>
      <c r="P18">
        <v>2.5061499999999999</v>
      </c>
      <c r="Q18">
        <f>-(Table4245[[#This Row],[time]]-2)*2</f>
        <v>-1.0122999999999998</v>
      </c>
      <c r="R18">
        <v>74.705500000000001</v>
      </c>
      <c r="S18">
        <v>4.8206300000000004</v>
      </c>
      <c r="T18">
        <f>Table4245[[#This Row],[CFNM]]/Table4245[[#This Row],[CAREA]]</f>
        <v>6.4528448373948374E-2</v>
      </c>
      <c r="U18">
        <v>2.5061499999999999</v>
      </c>
      <c r="V18">
        <f>-(Table5246[[#This Row],[time]]-2)*2</f>
        <v>-1.0122999999999998</v>
      </c>
      <c r="W18">
        <v>85.028499999999994</v>
      </c>
      <c r="X18">
        <v>25.9023</v>
      </c>
      <c r="Y18">
        <f>Table5246[[#This Row],[CFNM]]/Table5246[[#This Row],[CAREA]]</f>
        <v>0.30463080026108896</v>
      </c>
      <c r="Z18">
        <v>2.5061499999999999</v>
      </c>
      <c r="AA18">
        <f>-(Table6247[[#This Row],[time]]-2)*2</f>
        <v>-1.0122999999999998</v>
      </c>
      <c r="AB18">
        <v>76.096800000000002</v>
      </c>
      <c r="AC18">
        <v>2.2674400000000001</v>
      </c>
      <c r="AD18">
        <f>Table6247[[#This Row],[CFNM]]/Table6247[[#This Row],[CAREA]]</f>
        <v>2.9796785147338654E-2</v>
      </c>
      <c r="AE18">
        <v>2.5061499999999999</v>
      </c>
      <c r="AF18">
        <f>-(Table7248[[#This Row],[time]]-2)*2</f>
        <v>-1.0122999999999998</v>
      </c>
      <c r="AG18">
        <v>73.675399999999996</v>
      </c>
      <c r="AH18">
        <v>40.1205</v>
      </c>
      <c r="AI18">
        <f>Table7248[[#This Row],[CFNM]]/Table7248[[#This Row],[CAREA]]</f>
        <v>0.54455761353178944</v>
      </c>
      <c r="AJ18">
        <v>2.5061499999999999</v>
      </c>
      <c r="AK18">
        <f>-(Table8249[[#This Row],[time]]-2)*2</f>
        <v>-1.0122999999999998</v>
      </c>
      <c r="AL18">
        <v>81.435599999999994</v>
      </c>
      <c r="AM18">
        <v>11.341100000000001</v>
      </c>
      <c r="AN18">
        <f>Table8249[[#This Row],[CFNM]]/Table8249[[#This Row],[CAREA]]</f>
        <v>0.13926464592880758</v>
      </c>
    </row>
    <row r="19" spans="1:40" x14ac:dyDescent="0.25">
      <c r="A19">
        <v>2.5507599999999999</v>
      </c>
      <c r="B19">
        <f>-(Table1242[[#This Row],[time]]-2)*2</f>
        <v>-1.1015199999999998</v>
      </c>
      <c r="C19">
        <v>99.581100000000006</v>
      </c>
      <c r="D19">
        <v>25.588999999999999</v>
      </c>
      <c r="E19">
        <f>Table1242[[#This Row],[CFNM]]/Table1242[[#This Row],[CAREA]]</f>
        <v>0.25696643238526184</v>
      </c>
      <c r="F19">
        <v>2.5507599999999999</v>
      </c>
      <c r="G19">
        <f>-(Table2243[[#This Row],[time]]-2)*2</f>
        <v>-1.1015199999999998</v>
      </c>
      <c r="H19">
        <v>84.230699999999999</v>
      </c>
      <c r="I19">
        <v>0.229632</v>
      </c>
      <c r="J19">
        <f>Table2243[[#This Row],[CFNM]]/Table2243[[#This Row],[CAREA]]</f>
        <v>2.7262268982686834E-3</v>
      </c>
      <c r="K19">
        <v>2.5507599999999999</v>
      </c>
      <c r="L19">
        <f>-(Table3244[[#This Row],[time]]-2)*2</f>
        <v>-1.1015199999999998</v>
      </c>
      <c r="M19">
        <v>87.175299999999993</v>
      </c>
      <c r="N19">
        <v>21.952200000000001</v>
      </c>
      <c r="O19">
        <f>Table3244[[#This Row],[CFNM]]/Table3244[[#This Row],[CAREA]]</f>
        <v>0.25181674166879842</v>
      </c>
      <c r="P19">
        <v>2.5507599999999999</v>
      </c>
      <c r="Q19">
        <f>-(Table4245[[#This Row],[time]]-2)*2</f>
        <v>-1.1015199999999998</v>
      </c>
      <c r="R19">
        <v>74.016400000000004</v>
      </c>
      <c r="S19">
        <v>4.6638599999999997</v>
      </c>
      <c r="T19">
        <f>Table4245[[#This Row],[CFNM]]/Table4245[[#This Row],[CAREA]]</f>
        <v>6.3011170497349223E-2</v>
      </c>
      <c r="U19">
        <v>2.5507599999999999</v>
      </c>
      <c r="V19">
        <f>-(Table5246[[#This Row],[time]]-2)*2</f>
        <v>-1.1015199999999998</v>
      </c>
      <c r="W19">
        <v>84.624300000000005</v>
      </c>
      <c r="X19">
        <v>28.0596</v>
      </c>
      <c r="Y19">
        <f>Table5246[[#This Row],[CFNM]]/Table5246[[#This Row],[CAREA]]</f>
        <v>0.33157851822703405</v>
      </c>
      <c r="Z19">
        <v>2.5507599999999999</v>
      </c>
      <c r="AA19">
        <f>-(Table6247[[#This Row],[time]]-2)*2</f>
        <v>-1.1015199999999998</v>
      </c>
      <c r="AB19">
        <v>74.608900000000006</v>
      </c>
      <c r="AC19">
        <v>1.9619899999999999</v>
      </c>
      <c r="AD19">
        <f>Table6247[[#This Row],[CFNM]]/Table6247[[#This Row],[CAREA]]</f>
        <v>2.6296996738994941E-2</v>
      </c>
      <c r="AE19">
        <v>2.5507599999999999</v>
      </c>
      <c r="AF19">
        <f>-(Table7248[[#This Row],[time]]-2)*2</f>
        <v>-1.1015199999999998</v>
      </c>
      <c r="AG19">
        <v>72.865099999999998</v>
      </c>
      <c r="AH19">
        <v>42.566000000000003</v>
      </c>
      <c r="AI19">
        <f>Table7248[[#This Row],[CFNM]]/Table7248[[#This Row],[CAREA]]</f>
        <v>0.58417541456746791</v>
      </c>
      <c r="AJ19">
        <v>2.5507599999999999</v>
      </c>
      <c r="AK19">
        <f>-(Table8249[[#This Row],[time]]-2)*2</f>
        <v>-1.1015199999999998</v>
      </c>
      <c r="AL19">
        <v>81.430700000000002</v>
      </c>
      <c r="AM19">
        <v>10.6501</v>
      </c>
      <c r="AN19">
        <f>Table8249[[#This Row],[CFNM]]/Table8249[[#This Row],[CAREA]]</f>
        <v>0.13078728292891992</v>
      </c>
    </row>
    <row r="20" spans="1:40" x14ac:dyDescent="0.25">
      <c r="A20">
        <v>2.60453</v>
      </c>
      <c r="B20">
        <f>-(Table1242[[#This Row],[time]]-2)*2</f>
        <v>-1.20906</v>
      </c>
      <c r="C20">
        <v>100.45099999999999</v>
      </c>
      <c r="D20">
        <v>28.276399999999999</v>
      </c>
      <c r="E20">
        <f>Table1242[[#This Row],[CFNM]]/Table1242[[#This Row],[CAREA]]</f>
        <v>0.28149445998546557</v>
      </c>
      <c r="F20">
        <v>2.60453</v>
      </c>
      <c r="G20">
        <f>-(Table2243[[#This Row],[time]]-2)*2</f>
        <v>-1.20906</v>
      </c>
      <c r="H20">
        <v>83.102000000000004</v>
      </c>
      <c r="I20">
        <v>0.15814800000000001</v>
      </c>
      <c r="J20">
        <f>Table2243[[#This Row],[CFNM]]/Table2243[[#This Row],[CAREA]]</f>
        <v>1.9030588914827561E-3</v>
      </c>
      <c r="K20">
        <v>2.60453</v>
      </c>
      <c r="L20">
        <f>-(Table3244[[#This Row],[time]]-2)*2</f>
        <v>-1.20906</v>
      </c>
      <c r="M20">
        <v>86.3292</v>
      </c>
      <c r="N20">
        <v>24.849799999999998</v>
      </c>
      <c r="O20">
        <f>Table3244[[#This Row],[CFNM]]/Table3244[[#This Row],[CAREA]]</f>
        <v>0.28784930243764567</v>
      </c>
      <c r="P20">
        <v>2.60453</v>
      </c>
      <c r="Q20">
        <f>-(Table4245[[#This Row],[time]]-2)*2</f>
        <v>-1.20906</v>
      </c>
      <c r="R20">
        <v>73.03</v>
      </c>
      <c r="S20">
        <v>4.4553599999999998</v>
      </c>
      <c r="T20">
        <f>Table4245[[#This Row],[CFNM]]/Table4245[[#This Row],[CAREA]]</f>
        <v>6.1007257291524029E-2</v>
      </c>
      <c r="U20">
        <v>2.60453</v>
      </c>
      <c r="V20">
        <f>-(Table5246[[#This Row],[time]]-2)*2</f>
        <v>-1.20906</v>
      </c>
      <c r="W20">
        <v>84.226299999999995</v>
      </c>
      <c r="X20">
        <v>30.617100000000001</v>
      </c>
      <c r="Y20">
        <f>Table5246[[#This Row],[CFNM]]/Table5246[[#This Row],[CAREA]]</f>
        <v>0.36350997253826894</v>
      </c>
      <c r="Z20">
        <v>2.60453</v>
      </c>
      <c r="AA20">
        <f>-(Table6247[[#This Row],[time]]-2)*2</f>
        <v>-1.20906</v>
      </c>
      <c r="AB20">
        <v>72.53</v>
      </c>
      <c r="AC20">
        <v>1.59189</v>
      </c>
      <c r="AD20">
        <f>Table6247[[#This Row],[CFNM]]/Table6247[[#This Row],[CAREA]]</f>
        <v>2.1948021508341378E-2</v>
      </c>
      <c r="AE20">
        <v>2.60453</v>
      </c>
      <c r="AF20">
        <f>-(Table7248[[#This Row],[time]]-2)*2</f>
        <v>-1.20906</v>
      </c>
      <c r="AG20">
        <v>71.848799999999997</v>
      </c>
      <c r="AH20">
        <v>45.482300000000002</v>
      </c>
      <c r="AI20">
        <f>Table7248[[#This Row],[CFNM]]/Table7248[[#This Row],[CAREA]]</f>
        <v>0.63302796984779153</v>
      </c>
      <c r="AJ20">
        <v>2.60453</v>
      </c>
      <c r="AK20">
        <f>-(Table8249[[#This Row],[time]]-2)*2</f>
        <v>-1.20906</v>
      </c>
      <c r="AL20">
        <v>80.751900000000006</v>
      </c>
      <c r="AM20">
        <v>9.8404799999999994</v>
      </c>
      <c r="AN20">
        <f>Table8249[[#This Row],[CFNM]]/Table8249[[#This Row],[CAREA]]</f>
        <v>0.12186066210206817</v>
      </c>
    </row>
    <row r="21" spans="1:40" x14ac:dyDescent="0.25">
      <c r="A21">
        <v>2.65273</v>
      </c>
      <c r="B21">
        <f>-(Table1242[[#This Row],[time]]-2)*2</f>
        <v>-1.3054600000000001</v>
      </c>
      <c r="C21">
        <v>101.13</v>
      </c>
      <c r="D21">
        <v>30.994499999999999</v>
      </c>
      <c r="E21">
        <f>Table1242[[#This Row],[CFNM]]/Table1242[[#This Row],[CAREA]]</f>
        <v>0.30648175615544349</v>
      </c>
      <c r="F21">
        <v>2.65273</v>
      </c>
      <c r="G21">
        <f>-(Table2243[[#This Row],[time]]-2)*2</f>
        <v>-1.3054600000000001</v>
      </c>
      <c r="H21">
        <v>81.607399999999998</v>
      </c>
      <c r="I21">
        <v>0.11028200000000001</v>
      </c>
      <c r="J21">
        <f>Table2243[[#This Row],[CFNM]]/Table2243[[#This Row],[CAREA]]</f>
        <v>1.3513725470974446E-3</v>
      </c>
      <c r="K21">
        <v>2.65273</v>
      </c>
      <c r="L21">
        <f>-(Table3244[[#This Row],[time]]-2)*2</f>
        <v>-1.3054600000000001</v>
      </c>
      <c r="M21">
        <v>85.513300000000001</v>
      </c>
      <c r="N21">
        <v>27.781300000000002</v>
      </c>
      <c r="O21">
        <f>Table3244[[#This Row],[CFNM]]/Table3244[[#This Row],[CAREA]]</f>
        <v>0.32487694896583341</v>
      </c>
      <c r="P21">
        <v>2.65273</v>
      </c>
      <c r="Q21">
        <f>-(Table4245[[#This Row],[time]]-2)*2</f>
        <v>-1.3054600000000001</v>
      </c>
      <c r="R21">
        <v>72.742099999999994</v>
      </c>
      <c r="S21">
        <v>4.2759400000000003</v>
      </c>
      <c r="T21">
        <f>Table4245[[#This Row],[CFNM]]/Table4245[[#This Row],[CAREA]]</f>
        <v>5.878219078085456E-2</v>
      </c>
      <c r="U21">
        <v>2.65273</v>
      </c>
      <c r="V21">
        <f>-(Table5246[[#This Row],[time]]-2)*2</f>
        <v>-1.3054600000000001</v>
      </c>
      <c r="W21">
        <v>83.939800000000005</v>
      </c>
      <c r="X21">
        <v>33.204500000000003</v>
      </c>
      <c r="Y21">
        <f>Table5246[[#This Row],[CFNM]]/Table5246[[#This Row],[CAREA]]</f>
        <v>0.39557516219957639</v>
      </c>
      <c r="Z21">
        <v>2.65273</v>
      </c>
      <c r="AA21">
        <f>-(Table6247[[#This Row],[time]]-2)*2</f>
        <v>-1.3054600000000001</v>
      </c>
      <c r="AB21">
        <v>70.827100000000002</v>
      </c>
      <c r="AC21">
        <v>1.25166</v>
      </c>
      <c r="AD21">
        <f>Table6247[[#This Row],[CFNM]]/Table6247[[#This Row],[CAREA]]</f>
        <v>1.767204925798176E-2</v>
      </c>
      <c r="AE21">
        <v>2.65273</v>
      </c>
      <c r="AF21">
        <f>-(Table7248[[#This Row],[time]]-2)*2</f>
        <v>-1.3054600000000001</v>
      </c>
      <c r="AG21">
        <v>70.969700000000003</v>
      </c>
      <c r="AH21">
        <v>48.319800000000001</v>
      </c>
      <c r="AI21">
        <f>Table7248[[#This Row],[CFNM]]/Table7248[[#This Row],[CAREA]]</f>
        <v>0.68085112378944812</v>
      </c>
      <c r="AJ21">
        <v>2.65273</v>
      </c>
      <c r="AK21">
        <f>-(Table8249[[#This Row],[time]]-2)*2</f>
        <v>-1.3054600000000001</v>
      </c>
      <c r="AL21">
        <v>80.783900000000003</v>
      </c>
      <c r="AM21">
        <v>9.0013400000000008</v>
      </c>
      <c r="AN21">
        <f>Table8249[[#This Row],[CFNM]]/Table8249[[#This Row],[CAREA]]</f>
        <v>0.11142492501599949</v>
      </c>
    </row>
    <row r="22" spans="1:40" x14ac:dyDescent="0.25">
      <c r="A22">
        <v>2.7006199999999998</v>
      </c>
      <c r="B22">
        <f>-(Table1242[[#This Row],[time]]-2)*2</f>
        <v>-1.4012399999999996</v>
      </c>
      <c r="C22">
        <v>101.66800000000001</v>
      </c>
      <c r="D22">
        <v>36.354799999999997</v>
      </c>
      <c r="E22">
        <f>Table1242[[#This Row],[CFNM]]/Table1242[[#This Row],[CAREA]]</f>
        <v>0.35758350710154618</v>
      </c>
      <c r="F22">
        <v>2.7006199999999998</v>
      </c>
      <c r="G22">
        <f>-(Table2243[[#This Row],[time]]-2)*2</f>
        <v>-1.4012399999999996</v>
      </c>
      <c r="H22">
        <v>79.972499999999997</v>
      </c>
      <c r="I22">
        <v>4.3643700000000002E-3</v>
      </c>
      <c r="J22">
        <f>Table2243[[#This Row],[CFNM]]/Table2243[[#This Row],[CAREA]]</f>
        <v>5.4573384600956586E-5</v>
      </c>
      <c r="K22">
        <v>2.7006199999999998</v>
      </c>
      <c r="L22">
        <f>-(Table3244[[#This Row],[time]]-2)*2</f>
        <v>-1.4012399999999996</v>
      </c>
      <c r="M22">
        <v>84.007300000000001</v>
      </c>
      <c r="N22">
        <v>32.951099999999997</v>
      </c>
      <c r="O22">
        <f>Table3244[[#This Row],[CFNM]]/Table3244[[#This Row],[CAREA]]</f>
        <v>0.39224091239689879</v>
      </c>
      <c r="P22">
        <v>2.7006199999999998</v>
      </c>
      <c r="Q22">
        <f>-(Table4245[[#This Row],[time]]-2)*2</f>
        <v>-1.4012399999999996</v>
      </c>
      <c r="R22">
        <v>70.211100000000002</v>
      </c>
      <c r="S22">
        <v>3.9278200000000001</v>
      </c>
      <c r="T22">
        <f>Table4245[[#This Row],[CFNM]]/Table4245[[#This Row],[CAREA]]</f>
        <v>5.5943006162843194E-2</v>
      </c>
      <c r="U22">
        <v>2.7006199999999998</v>
      </c>
      <c r="V22">
        <f>-(Table5246[[#This Row],[time]]-2)*2</f>
        <v>-1.4012399999999996</v>
      </c>
      <c r="W22">
        <v>83.260199999999998</v>
      </c>
      <c r="X22">
        <v>37.297899999999998</v>
      </c>
      <c r="Y22">
        <f>Table5246[[#This Row],[CFNM]]/Table5246[[#This Row],[CAREA]]</f>
        <v>0.44796793666121387</v>
      </c>
      <c r="Z22">
        <v>2.7006199999999998</v>
      </c>
      <c r="AA22">
        <f>-(Table6247[[#This Row],[time]]-2)*2</f>
        <v>-1.4012399999999996</v>
      </c>
      <c r="AB22">
        <v>69.444299999999998</v>
      </c>
      <c r="AC22">
        <v>0.87865199999999999</v>
      </c>
      <c r="AD22">
        <f>Table6247[[#This Row],[CFNM]]/Table6247[[#This Row],[CAREA]]</f>
        <v>1.2652615117439444E-2</v>
      </c>
      <c r="AE22">
        <v>2.7006199999999998</v>
      </c>
      <c r="AF22">
        <f>-(Table7248[[#This Row],[time]]-2)*2</f>
        <v>-1.4012399999999996</v>
      </c>
      <c r="AG22">
        <v>69.725899999999996</v>
      </c>
      <c r="AH22">
        <v>52.302900000000001</v>
      </c>
      <c r="AI22">
        <f>Table7248[[#This Row],[CFNM]]/Table7248[[#This Row],[CAREA]]</f>
        <v>0.75012154737335779</v>
      </c>
      <c r="AJ22">
        <v>2.7006199999999998</v>
      </c>
      <c r="AK22">
        <f>-(Table8249[[#This Row],[time]]-2)*2</f>
        <v>-1.4012399999999996</v>
      </c>
      <c r="AL22">
        <v>79.747600000000006</v>
      </c>
      <c r="AM22">
        <v>7.7453099999999999</v>
      </c>
      <c r="AN22">
        <f>Table8249[[#This Row],[CFNM]]/Table8249[[#This Row],[CAREA]]</f>
        <v>9.7122797425878635E-2</v>
      </c>
    </row>
    <row r="23" spans="1:40" x14ac:dyDescent="0.25">
      <c r="A23">
        <v>2.75176</v>
      </c>
      <c r="B23">
        <f>-(Table1242[[#This Row],[time]]-2)*2</f>
        <v>-1.50352</v>
      </c>
      <c r="C23">
        <v>101.81100000000001</v>
      </c>
      <c r="D23">
        <v>40.1173</v>
      </c>
      <c r="E23">
        <f>Table1242[[#This Row],[CFNM]]/Table1242[[#This Row],[CAREA]]</f>
        <v>0.39403699010912374</v>
      </c>
      <c r="F23">
        <v>2.75176</v>
      </c>
      <c r="G23">
        <f>-(Table2243[[#This Row],[time]]-2)*2</f>
        <v>-1.50352</v>
      </c>
      <c r="H23">
        <v>78.156199999999998</v>
      </c>
      <c r="I23">
        <v>3.9053899999999999E-3</v>
      </c>
      <c r="J23">
        <f>Table2243[[#This Row],[CFNM]]/Table2243[[#This Row],[CAREA]]</f>
        <v>4.9969036365637019E-5</v>
      </c>
      <c r="K23">
        <v>2.75176</v>
      </c>
      <c r="L23">
        <f>-(Table3244[[#This Row],[time]]-2)*2</f>
        <v>-1.50352</v>
      </c>
      <c r="M23">
        <v>83.003799999999998</v>
      </c>
      <c r="N23">
        <v>36.961799999999997</v>
      </c>
      <c r="O23">
        <f>Table3244[[#This Row],[CFNM]]/Table3244[[#This Row],[CAREA]]</f>
        <v>0.44530250422269818</v>
      </c>
      <c r="P23">
        <v>2.75176</v>
      </c>
      <c r="Q23">
        <f>-(Table4245[[#This Row],[time]]-2)*2</f>
        <v>-1.50352</v>
      </c>
      <c r="R23">
        <v>68.588200000000001</v>
      </c>
      <c r="S23">
        <v>3.53762</v>
      </c>
      <c r="T23">
        <f>Table4245[[#This Row],[CFNM]]/Table4245[[#This Row],[CAREA]]</f>
        <v>5.1577676626591747E-2</v>
      </c>
      <c r="U23">
        <v>2.75176</v>
      </c>
      <c r="V23">
        <f>-(Table5246[[#This Row],[time]]-2)*2</f>
        <v>-1.50352</v>
      </c>
      <c r="W23">
        <v>82.753200000000007</v>
      </c>
      <c r="X23">
        <v>40.231400000000001</v>
      </c>
      <c r="Y23">
        <f>Table5246[[#This Row],[CFNM]]/Table5246[[#This Row],[CAREA]]</f>
        <v>0.48616126022921163</v>
      </c>
      <c r="Z23">
        <v>2.75176</v>
      </c>
      <c r="AA23">
        <f>-(Table6247[[#This Row],[time]]-2)*2</f>
        <v>-1.50352</v>
      </c>
      <c r="AB23">
        <v>68.375200000000007</v>
      </c>
      <c r="AC23">
        <v>0.68701000000000001</v>
      </c>
      <c r="AD23">
        <f>Table6247[[#This Row],[CFNM]]/Table6247[[#This Row],[CAREA]]</f>
        <v>1.0047648855140459E-2</v>
      </c>
      <c r="AE23">
        <v>2.75176</v>
      </c>
      <c r="AF23">
        <f>-(Table7248[[#This Row],[time]]-2)*2</f>
        <v>-1.50352</v>
      </c>
      <c r="AG23">
        <v>68.886600000000001</v>
      </c>
      <c r="AH23">
        <v>55.044400000000003</v>
      </c>
      <c r="AI23">
        <f>Table7248[[#This Row],[CFNM]]/Table7248[[#This Row],[CAREA]]</f>
        <v>0.79905816225506854</v>
      </c>
      <c r="AJ23">
        <v>2.75176</v>
      </c>
      <c r="AK23">
        <f>-(Table8249[[#This Row],[time]]-2)*2</f>
        <v>-1.50352</v>
      </c>
      <c r="AL23">
        <v>78.780799999999999</v>
      </c>
      <c r="AM23">
        <v>6.8456400000000004</v>
      </c>
      <c r="AN23">
        <f>Table8249[[#This Row],[CFNM]]/Table8249[[#This Row],[CAREA]]</f>
        <v>8.6894776392217404E-2</v>
      </c>
    </row>
    <row r="24" spans="1:40" x14ac:dyDescent="0.25">
      <c r="A24">
        <v>2.80444</v>
      </c>
      <c r="B24">
        <f>-(Table1242[[#This Row],[time]]-2)*2</f>
        <v>-1.6088800000000001</v>
      </c>
      <c r="C24">
        <v>101.68600000000001</v>
      </c>
      <c r="D24">
        <v>42.6965</v>
      </c>
      <c r="E24">
        <f>Table1242[[#This Row],[CFNM]]/Table1242[[#This Row],[CAREA]]</f>
        <v>0.41988572664870283</v>
      </c>
      <c r="F24">
        <v>2.80444</v>
      </c>
      <c r="G24">
        <f>-(Table2243[[#This Row],[time]]-2)*2</f>
        <v>-1.6088800000000001</v>
      </c>
      <c r="H24">
        <v>77.434399999999997</v>
      </c>
      <c r="I24">
        <v>3.6676E-3</v>
      </c>
      <c r="J24">
        <f>Table2243[[#This Row],[CFNM]]/Table2243[[#This Row],[CAREA]]</f>
        <v>4.7363962269998866E-5</v>
      </c>
      <c r="K24">
        <v>2.80444</v>
      </c>
      <c r="L24">
        <f>-(Table3244[[#This Row],[time]]-2)*2</f>
        <v>-1.6088800000000001</v>
      </c>
      <c r="M24">
        <v>82.293499999999995</v>
      </c>
      <c r="N24">
        <v>39.755000000000003</v>
      </c>
      <c r="O24">
        <f>Table3244[[#This Row],[CFNM]]/Table3244[[#This Row],[CAREA]]</f>
        <v>0.48308797171101003</v>
      </c>
      <c r="P24">
        <v>2.80444</v>
      </c>
      <c r="Q24">
        <f>-(Table4245[[#This Row],[time]]-2)*2</f>
        <v>-1.6088800000000001</v>
      </c>
      <c r="R24">
        <v>67.312299999999993</v>
      </c>
      <c r="S24">
        <v>3.2545000000000002</v>
      </c>
      <c r="T24">
        <f>Table4245[[#This Row],[CFNM]]/Table4245[[#This Row],[CAREA]]</f>
        <v>4.8349261576264672E-2</v>
      </c>
      <c r="U24">
        <v>2.80444</v>
      </c>
      <c r="V24">
        <f>-(Table5246[[#This Row],[time]]-2)*2</f>
        <v>-1.6088800000000001</v>
      </c>
      <c r="W24">
        <v>82.394499999999994</v>
      </c>
      <c r="X24">
        <v>42.3005</v>
      </c>
      <c r="Y24">
        <f>Table5246[[#This Row],[CFNM]]/Table5246[[#This Row],[CAREA]]</f>
        <v>0.51338985005067084</v>
      </c>
      <c r="Z24">
        <v>2.80444</v>
      </c>
      <c r="AA24">
        <f>-(Table6247[[#This Row],[time]]-2)*2</f>
        <v>-1.6088800000000001</v>
      </c>
      <c r="AB24">
        <v>65.362799999999993</v>
      </c>
      <c r="AC24">
        <v>0.56816</v>
      </c>
      <c r="AD24">
        <f>Table6247[[#This Row],[CFNM]]/Table6247[[#This Row],[CAREA]]</f>
        <v>8.6924060780749924E-3</v>
      </c>
      <c r="AE24">
        <v>2.80444</v>
      </c>
      <c r="AF24">
        <f>-(Table7248[[#This Row],[time]]-2)*2</f>
        <v>-1.6088800000000001</v>
      </c>
      <c r="AG24">
        <v>68.286199999999994</v>
      </c>
      <c r="AH24">
        <v>56.963999999999999</v>
      </c>
      <c r="AI24">
        <f>Table7248[[#This Row],[CFNM]]/Table7248[[#This Row],[CAREA]]</f>
        <v>0.83419490321616963</v>
      </c>
      <c r="AJ24">
        <v>2.80444</v>
      </c>
      <c r="AK24">
        <f>-(Table8249[[#This Row],[time]]-2)*2</f>
        <v>-1.6088800000000001</v>
      </c>
      <c r="AL24">
        <v>77.571100000000001</v>
      </c>
      <c r="AM24">
        <v>6.22614</v>
      </c>
      <c r="AN24">
        <f>Table8249[[#This Row],[CFNM]]/Table8249[[#This Row],[CAREA]]</f>
        <v>8.0263654892092542E-2</v>
      </c>
    </row>
    <row r="25" spans="1:40" x14ac:dyDescent="0.25">
      <c r="A25">
        <v>2.8583699999999999</v>
      </c>
      <c r="B25">
        <f>-(Table1242[[#This Row],[time]]-2)*2</f>
        <v>-1.7167399999999997</v>
      </c>
      <c r="C25">
        <v>101.157</v>
      </c>
      <c r="D25">
        <v>47.118200000000002</v>
      </c>
      <c r="E25">
        <f>Table1242[[#This Row],[CFNM]]/Table1242[[#This Row],[CAREA]]</f>
        <v>0.46579277756358928</v>
      </c>
      <c r="F25">
        <v>2.8583699999999999</v>
      </c>
      <c r="G25">
        <f>-(Table2243[[#This Row],[time]]-2)*2</f>
        <v>-1.7167399999999997</v>
      </c>
      <c r="H25">
        <v>74.851299999999995</v>
      </c>
      <c r="I25">
        <v>3.40712E-3</v>
      </c>
      <c r="J25">
        <f>Table2243[[#This Row],[CFNM]]/Table2243[[#This Row],[CAREA]]</f>
        <v>4.5518514708495382E-5</v>
      </c>
      <c r="K25">
        <v>2.8583699999999999</v>
      </c>
      <c r="L25">
        <f>-(Table3244[[#This Row],[time]]-2)*2</f>
        <v>-1.7167399999999997</v>
      </c>
      <c r="M25">
        <v>81.114400000000003</v>
      </c>
      <c r="N25">
        <v>44.565100000000001</v>
      </c>
      <c r="O25">
        <f>Table3244[[#This Row],[CFNM]]/Table3244[[#This Row],[CAREA]]</f>
        <v>0.54941046226070833</v>
      </c>
      <c r="P25">
        <v>2.8583699999999999</v>
      </c>
      <c r="Q25">
        <f>-(Table4245[[#This Row],[time]]-2)*2</f>
        <v>-1.7167399999999997</v>
      </c>
      <c r="R25">
        <v>65.853800000000007</v>
      </c>
      <c r="S25">
        <v>2.7930799999999998</v>
      </c>
      <c r="T25">
        <f>Table4245[[#This Row],[CFNM]]/Table4245[[#This Row],[CAREA]]</f>
        <v>4.2413345926886517E-2</v>
      </c>
      <c r="U25">
        <v>2.8583699999999999</v>
      </c>
      <c r="V25">
        <f>-(Table5246[[#This Row],[time]]-2)*2</f>
        <v>-1.7167399999999997</v>
      </c>
      <c r="W25">
        <v>81.709100000000007</v>
      </c>
      <c r="X25">
        <v>45.894599999999997</v>
      </c>
      <c r="Y25">
        <f>Table5246[[#This Row],[CFNM]]/Table5246[[#This Row],[CAREA]]</f>
        <v>0.56168284805486779</v>
      </c>
      <c r="Z25">
        <v>2.8583699999999999</v>
      </c>
      <c r="AA25">
        <f>-(Table6247[[#This Row],[time]]-2)*2</f>
        <v>-1.7167399999999997</v>
      </c>
      <c r="AB25">
        <v>63.518900000000002</v>
      </c>
      <c r="AC25">
        <v>0.387291</v>
      </c>
      <c r="AD25">
        <f>Table6247[[#This Row],[CFNM]]/Table6247[[#This Row],[CAREA]]</f>
        <v>6.0972560922811945E-3</v>
      </c>
      <c r="AE25">
        <v>2.8583699999999999</v>
      </c>
      <c r="AF25">
        <f>-(Table7248[[#This Row],[time]]-2)*2</f>
        <v>-1.7167399999999997</v>
      </c>
      <c r="AG25">
        <v>67.285700000000006</v>
      </c>
      <c r="AH25">
        <v>60.299399999999999</v>
      </c>
      <c r="AI25">
        <f>Table7248[[#This Row],[CFNM]]/Table7248[[#This Row],[CAREA]]</f>
        <v>0.89616961702115006</v>
      </c>
      <c r="AJ25">
        <v>2.8583699999999999</v>
      </c>
      <c r="AK25">
        <f>-(Table8249[[#This Row],[time]]-2)*2</f>
        <v>-1.7167399999999997</v>
      </c>
      <c r="AL25">
        <v>77.617500000000007</v>
      </c>
      <c r="AM25">
        <v>5.2086399999999999</v>
      </c>
      <c r="AN25">
        <f>Table8249[[#This Row],[CFNM]]/Table8249[[#This Row],[CAREA]]</f>
        <v>6.7106515927464805E-2</v>
      </c>
    </row>
    <row r="26" spans="1:40" x14ac:dyDescent="0.25">
      <c r="A26">
        <v>2.9134199999999999</v>
      </c>
      <c r="B26">
        <f>-(Table1242[[#This Row],[time]]-2)*2</f>
        <v>-1.8268399999999998</v>
      </c>
      <c r="C26">
        <v>100.613</v>
      </c>
      <c r="D26">
        <v>50.171199999999999</v>
      </c>
      <c r="E26">
        <f>Table1242[[#This Row],[CFNM]]/Table1242[[#This Row],[CAREA]]</f>
        <v>0.49865524335821415</v>
      </c>
      <c r="F26">
        <v>2.9134199999999999</v>
      </c>
      <c r="G26">
        <f>-(Table2243[[#This Row],[time]]-2)*2</f>
        <v>-1.8268399999999998</v>
      </c>
      <c r="H26">
        <v>72.372699999999995</v>
      </c>
      <c r="I26">
        <v>3.2484599999999999E-3</v>
      </c>
      <c r="J26">
        <f>Table2243[[#This Row],[CFNM]]/Table2243[[#This Row],[CAREA]]</f>
        <v>4.488515697217321E-5</v>
      </c>
      <c r="K26">
        <v>2.9134199999999999</v>
      </c>
      <c r="L26">
        <f>-(Table3244[[#This Row],[time]]-2)*2</f>
        <v>-1.8268399999999998</v>
      </c>
      <c r="M26">
        <v>80.369699999999995</v>
      </c>
      <c r="N26">
        <v>47.888500000000001</v>
      </c>
      <c r="O26">
        <f>Table3244[[#This Row],[CFNM]]/Table3244[[#This Row],[CAREA]]</f>
        <v>0.59585266586785823</v>
      </c>
      <c r="P26">
        <v>2.9134199999999999</v>
      </c>
      <c r="Q26">
        <f>-(Table4245[[#This Row],[time]]-2)*2</f>
        <v>-1.8268399999999998</v>
      </c>
      <c r="R26">
        <v>65.043199999999999</v>
      </c>
      <c r="S26">
        <v>2.5209800000000002</v>
      </c>
      <c r="T26">
        <f>Table4245[[#This Row],[CFNM]]/Table4245[[#This Row],[CAREA]]</f>
        <v>3.8758548164911942E-2</v>
      </c>
      <c r="U26">
        <v>2.9134199999999999</v>
      </c>
      <c r="V26">
        <f>-(Table5246[[#This Row],[time]]-2)*2</f>
        <v>-1.8268399999999998</v>
      </c>
      <c r="W26">
        <v>81.175899999999999</v>
      </c>
      <c r="X26">
        <v>48.4191</v>
      </c>
      <c r="Y26">
        <f>Table5246[[#This Row],[CFNM]]/Table5246[[#This Row],[CAREA]]</f>
        <v>0.59647136650163413</v>
      </c>
      <c r="Z26">
        <v>2.9134199999999999</v>
      </c>
      <c r="AA26">
        <f>-(Table6247[[#This Row],[time]]-2)*2</f>
        <v>-1.8268399999999998</v>
      </c>
      <c r="AB26">
        <v>62.336199999999998</v>
      </c>
      <c r="AC26">
        <v>0.28403699999999998</v>
      </c>
      <c r="AD26">
        <f>Table6247[[#This Row],[CFNM]]/Table6247[[#This Row],[CAREA]]</f>
        <v>4.5565337636878731E-3</v>
      </c>
      <c r="AE26">
        <v>2.9134199999999999</v>
      </c>
      <c r="AF26">
        <f>-(Table7248[[#This Row],[time]]-2)*2</f>
        <v>-1.8268399999999998</v>
      </c>
      <c r="AG26">
        <v>66.599900000000005</v>
      </c>
      <c r="AH26">
        <v>62.637</v>
      </c>
      <c r="AI26">
        <f>Table7248[[#This Row],[CFNM]]/Table7248[[#This Row],[CAREA]]</f>
        <v>0.94049690765301441</v>
      </c>
      <c r="AJ26">
        <v>2.9134199999999999</v>
      </c>
      <c r="AK26">
        <f>-(Table8249[[#This Row],[time]]-2)*2</f>
        <v>-1.8268399999999998</v>
      </c>
      <c r="AL26">
        <v>75.359800000000007</v>
      </c>
      <c r="AM26">
        <v>4.4832799999999997</v>
      </c>
      <c r="AN26">
        <f>Table8249[[#This Row],[CFNM]]/Table8249[[#This Row],[CAREA]]</f>
        <v>5.9491665317583105E-2</v>
      </c>
    </row>
    <row r="27" spans="1:40" x14ac:dyDescent="0.25">
      <c r="A27">
        <v>2.9619599999999999</v>
      </c>
      <c r="B27">
        <f>-(Table1242[[#This Row],[time]]-2)*2</f>
        <v>-1.9239199999999999</v>
      </c>
      <c r="C27">
        <v>99.016400000000004</v>
      </c>
      <c r="D27">
        <v>56.041800000000002</v>
      </c>
      <c r="E27">
        <f>Table1242[[#This Row],[CFNM]]/Table1242[[#This Row],[CAREA]]</f>
        <v>0.56598502874271328</v>
      </c>
      <c r="F27">
        <v>2.9619599999999999</v>
      </c>
      <c r="G27">
        <f>-(Table2243[[#This Row],[time]]-2)*2</f>
        <v>-1.9239199999999999</v>
      </c>
      <c r="H27">
        <v>69.597999999999999</v>
      </c>
      <c r="I27">
        <v>2.97408E-3</v>
      </c>
      <c r="J27">
        <f>Table2243[[#This Row],[CFNM]]/Table2243[[#This Row],[CAREA]]</f>
        <v>4.2732262421333948E-5</v>
      </c>
      <c r="K27">
        <v>2.9619599999999999</v>
      </c>
      <c r="L27">
        <f>-(Table3244[[#This Row],[time]]-2)*2</f>
        <v>-1.9239199999999999</v>
      </c>
      <c r="M27">
        <v>79.053299999999993</v>
      </c>
      <c r="N27">
        <v>54.271599999999999</v>
      </c>
      <c r="O27">
        <f>Table3244[[#This Row],[CFNM]]/Table3244[[#This Row],[CAREA]]</f>
        <v>0.68651909534453337</v>
      </c>
      <c r="P27">
        <v>2.9619599999999999</v>
      </c>
      <c r="Q27">
        <f>-(Table4245[[#This Row],[time]]-2)*2</f>
        <v>-1.9239199999999999</v>
      </c>
      <c r="R27">
        <v>63.372</v>
      </c>
      <c r="S27">
        <v>2.0644800000000001</v>
      </c>
      <c r="T27">
        <f>Table4245[[#This Row],[CFNM]]/Table4245[[#This Row],[CAREA]]</f>
        <v>3.2577163416019697E-2</v>
      </c>
      <c r="U27">
        <v>2.9619599999999999</v>
      </c>
      <c r="V27">
        <f>-(Table5246[[#This Row],[time]]-2)*2</f>
        <v>-1.9239199999999999</v>
      </c>
      <c r="W27">
        <v>80.253600000000006</v>
      </c>
      <c r="X27">
        <v>53.489600000000003</v>
      </c>
      <c r="Y27">
        <f>Table5246[[#This Row],[CFNM]]/Table5246[[#This Row],[CAREA]]</f>
        <v>0.66650717226392331</v>
      </c>
      <c r="Z27">
        <v>2.9619599999999999</v>
      </c>
      <c r="AA27">
        <f>-(Table6247[[#This Row],[time]]-2)*2</f>
        <v>-1.9239199999999999</v>
      </c>
      <c r="AB27">
        <v>58.781500000000001</v>
      </c>
      <c r="AC27">
        <v>9.6335400000000002E-2</v>
      </c>
      <c r="AD27">
        <f>Table6247[[#This Row],[CFNM]]/Table6247[[#This Row],[CAREA]]</f>
        <v>1.63887277459745E-3</v>
      </c>
      <c r="AE27">
        <v>2.9619599999999999</v>
      </c>
      <c r="AF27">
        <f>-(Table7248[[#This Row],[time]]-2)*2</f>
        <v>-1.9239199999999999</v>
      </c>
      <c r="AG27">
        <v>65.444500000000005</v>
      </c>
      <c r="AH27">
        <v>67.309200000000004</v>
      </c>
      <c r="AI27">
        <f>Table7248[[#This Row],[CFNM]]/Table7248[[#This Row],[CAREA]]</f>
        <v>1.0284928450824744</v>
      </c>
      <c r="AJ27">
        <v>2.9619599999999999</v>
      </c>
      <c r="AK27">
        <f>-(Table8249[[#This Row],[time]]-2)*2</f>
        <v>-1.9239199999999999</v>
      </c>
      <c r="AL27">
        <v>72.152500000000003</v>
      </c>
      <c r="AM27">
        <v>3.1892499999999999</v>
      </c>
      <c r="AN27">
        <f>Table8249[[#This Row],[CFNM]]/Table8249[[#This Row],[CAREA]]</f>
        <v>4.4201517618932117E-2</v>
      </c>
    </row>
    <row r="28" spans="1:40" x14ac:dyDescent="0.25">
      <c r="A28">
        <v>3</v>
      </c>
      <c r="B28">
        <f>-(Table1242[[#This Row],[time]]-2)*2</f>
        <v>-2</v>
      </c>
      <c r="C28">
        <v>98.818600000000004</v>
      </c>
      <c r="D28">
        <v>56.698599999999999</v>
      </c>
      <c r="E28">
        <f>Table1242[[#This Row],[CFNM]]/Table1242[[#This Row],[CAREA]]</f>
        <v>0.5737644532507038</v>
      </c>
      <c r="F28">
        <v>3</v>
      </c>
      <c r="G28">
        <f>-(Table2243[[#This Row],[time]]-2)*2</f>
        <v>-2</v>
      </c>
      <c r="H28">
        <v>69.589699999999993</v>
      </c>
      <c r="I28">
        <v>2.94429E-3</v>
      </c>
      <c r="J28">
        <f>Table2243[[#This Row],[CFNM]]/Table2243[[#This Row],[CAREA]]</f>
        <v>4.2309278528287956E-5</v>
      </c>
      <c r="K28">
        <v>3</v>
      </c>
      <c r="L28">
        <f>-(Table3244[[#This Row],[time]]-2)*2</f>
        <v>-2</v>
      </c>
      <c r="M28">
        <v>78.925799999999995</v>
      </c>
      <c r="N28">
        <v>54.992199999999997</v>
      </c>
      <c r="O28">
        <f>Table3244[[#This Row],[CFNM]]/Table3244[[#This Row],[CAREA]]</f>
        <v>0.69675822101264728</v>
      </c>
      <c r="P28">
        <v>3</v>
      </c>
      <c r="Q28">
        <f>-(Table4245[[#This Row],[time]]-2)*2</f>
        <v>-2</v>
      </c>
      <c r="R28">
        <v>63.343600000000002</v>
      </c>
      <c r="S28">
        <v>2.0173399999999999</v>
      </c>
      <c r="T28">
        <f>Table4245[[#This Row],[CFNM]]/Table4245[[#This Row],[CAREA]]</f>
        <v>3.1847574182711433E-2</v>
      </c>
      <c r="U28">
        <v>3</v>
      </c>
      <c r="V28">
        <f>-(Table5246[[#This Row],[time]]-2)*2</f>
        <v>-2</v>
      </c>
      <c r="W28">
        <v>80.166200000000003</v>
      </c>
      <c r="X28">
        <v>54.067399999999999</v>
      </c>
      <c r="Y28">
        <f>Table5246[[#This Row],[CFNM]]/Table5246[[#This Row],[CAREA]]</f>
        <v>0.67444134809932366</v>
      </c>
      <c r="Z28">
        <v>3</v>
      </c>
      <c r="AA28">
        <f>-(Table6247[[#This Row],[time]]-2)*2</f>
        <v>-2</v>
      </c>
      <c r="AB28">
        <v>58.7393</v>
      </c>
      <c r="AC28">
        <v>7.5260900000000006E-2</v>
      </c>
      <c r="AD28">
        <f>Table6247[[#This Row],[CFNM]]/Table6247[[#This Row],[CAREA]]</f>
        <v>1.281269950442038E-3</v>
      </c>
      <c r="AE28">
        <v>3</v>
      </c>
      <c r="AF28">
        <f>-(Table7248[[#This Row],[time]]-2)*2</f>
        <v>-2</v>
      </c>
      <c r="AG28">
        <v>65.335099999999997</v>
      </c>
      <c r="AH28">
        <v>67.850300000000004</v>
      </c>
      <c r="AI28">
        <f>Table7248[[#This Row],[CFNM]]/Table7248[[#This Row],[CAREA]]</f>
        <v>1.0384969181955794</v>
      </c>
      <c r="AJ28">
        <v>3</v>
      </c>
      <c r="AK28">
        <f>-(Table8249[[#This Row],[time]]-2)*2</f>
        <v>-2</v>
      </c>
      <c r="AL28">
        <v>71.769400000000005</v>
      </c>
      <c r="AM28">
        <v>3.07246</v>
      </c>
      <c r="AN28">
        <f>Table8249[[#This Row],[CFNM]]/Table8249[[#This Row],[CAREA]]</f>
        <v>4.2810167007108879E-2</v>
      </c>
    </row>
    <row r="30" spans="1:40" x14ac:dyDescent="0.25">
      <c r="A30" t="s">
        <v>34</v>
      </c>
      <c r="E30" t="s">
        <v>1</v>
      </c>
    </row>
    <row r="31" spans="1:40" x14ac:dyDescent="0.25">
      <c r="A31" t="s">
        <v>35</v>
      </c>
      <c r="E31" t="s">
        <v>2</v>
      </c>
      <c r="F31" t="s">
        <v>3</v>
      </c>
    </row>
    <row r="33" spans="1:40" x14ac:dyDescent="0.25">
      <c r="A33" t="s">
        <v>5</v>
      </c>
      <c r="F33" t="s">
        <v>6</v>
      </c>
      <c r="K33" t="s">
        <v>7</v>
      </c>
      <c r="P33" t="s">
        <v>19</v>
      </c>
      <c r="U33" t="s">
        <v>8</v>
      </c>
      <c r="Z33" t="s">
        <v>9</v>
      </c>
      <c r="AE33" t="s">
        <v>10</v>
      </c>
      <c r="AJ33" t="s">
        <v>11</v>
      </c>
    </row>
    <row r="34" spans="1:40" x14ac:dyDescent="0.25">
      <c r="A34" t="s">
        <v>12</v>
      </c>
      <c r="B34" t="s">
        <v>13</v>
      </c>
      <c r="C34" t="s">
        <v>17</v>
      </c>
      <c r="D34" t="s">
        <v>15</v>
      </c>
      <c r="E34" t="s">
        <v>16</v>
      </c>
      <c r="F34" t="s">
        <v>12</v>
      </c>
      <c r="G34" t="s">
        <v>13</v>
      </c>
      <c r="H34" t="s">
        <v>17</v>
      </c>
      <c r="I34" t="s">
        <v>15</v>
      </c>
      <c r="J34" t="s">
        <v>16</v>
      </c>
      <c r="K34" t="s">
        <v>12</v>
      </c>
      <c r="L34" t="s">
        <v>13</v>
      </c>
      <c r="M34" t="s">
        <v>17</v>
      </c>
      <c r="N34" t="s">
        <v>15</v>
      </c>
      <c r="O34" t="s">
        <v>16</v>
      </c>
      <c r="P34" t="s">
        <v>12</v>
      </c>
      <c r="Q34" t="s">
        <v>13</v>
      </c>
      <c r="R34" t="s">
        <v>17</v>
      </c>
      <c r="S34" t="s">
        <v>15</v>
      </c>
      <c r="T34" t="s">
        <v>16</v>
      </c>
      <c r="U34" t="s">
        <v>12</v>
      </c>
      <c r="V34" t="s">
        <v>13</v>
      </c>
      <c r="W34" t="s">
        <v>17</v>
      </c>
      <c r="X34" t="s">
        <v>15</v>
      </c>
      <c r="Y34" t="s">
        <v>16</v>
      </c>
      <c r="Z34" t="s">
        <v>12</v>
      </c>
      <c r="AA34" t="s">
        <v>13</v>
      </c>
      <c r="AB34" t="s">
        <v>17</v>
      </c>
      <c r="AC34" t="s">
        <v>15</v>
      </c>
      <c r="AD34" t="s">
        <v>16</v>
      </c>
      <c r="AE34" t="s">
        <v>12</v>
      </c>
      <c r="AF34" t="s">
        <v>13</v>
      </c>
      <c r="AG34" t="s">
        <v>17</v>
      </c>
      <c r="AH34" t="s">
        <v>15</v>
      </c>
      <c r="AI34" t="s">
        <v>16</v>
      </c>
      <c r="AJ34" t="s">
        <v>12</v>
      </c>
      <c r="AK34" t="s">
        <v>13</v>
      </c>
      <c r="AL34" t="s">
        <v>17</v>
      </c>
      <c r="AM34" t="s">
        <v>15</v>
      </c>
      <c r="AN34" t="s">
        <v>16</v>
      </c>
    </row>
    <row r="35" spans="1:40" x14ac:dyDescent="0.25">
      <c r="A35">
        <v>2</v>
      </c>
      <c r="B35">
        <f>(Table110250[[#This Row],[time]]-2)*2</f>
        <v>0</v>
      </c>
      <c r="C35">
        <v>91.723799999999997</v>
      </c>
      <c r="D35">
        <v>8.3138100000000001</v>
      </c>
      <c r="E35" s="2">
        <f>Table110250[[#This Row],[CFNM]]/Table110250[[#This Row],[CAREA]]</f>
        <v>9.063961589031419E-2</v>
      </c>
      <c r="F35">
        <v>2</v>
      </c>
      <c r="G35">
        <f>(Table211251[[#This Row],[time]]-2)*2</f>
        <v>0</v>
      </c>
      <c r="H35">
        <v>94.410399999999996</v>
      </c>
      <c r="I35">
        <v>1.4588099999999999</v>
      </c>
      <c r="J35" s="2">
        <f>Table211251[[#This Row],[CFNM]]/Table211251[[#This Row],[CAREA]]</f>
        <v>1.5451793446484709E-2</v>
      </c>
      <c r="K35">
        <v>2</v>
      </c>
      <c r="L35">
        <f>(Table312252[[#This Row],[time]]-2)*2</f>
        <v>0</v>
      </c>
      <c r="M35">
        <v>89.358400000000003</v>
      </c>
      <c r="N35">
        <v>1.7889999999999999</v>
      </c>
      <c r="O35">
        <f>Table312252[[#This Row],[CFNM]]/Table312252[[#This Row],[CAREA]]</f>
        <v>2.0020501709967949E-2</v>
      </c>
      <c r="P35">
        <v>2</v>
      </c>
      <c r="Q35">
        <f>(Table413253[[#This Row],[time]]-2)*2</f>
        <v>0</v>
      </c>
      <c r="R35">
        <v>83.810500000000005</v>
      </c>
      <c r="S35">
        <v>2.8507699999999998</v>
      </c>
      <c r="T35">
        <f>Table413253[[#This Row],[CFNM]]/Table413253[[#This Row],[CAREA]]</f>
        <v>3.4014473126875507E-2</v>
      </c>
      <c r="U35">
        <v>2</v>
      </c>
      <c r="V35">
        <f>(Table514254[[#This Row],[time]]-2)*2</f>
        <v>0</v>
      </c>
      <c r="W35">
        <v>83.264200000000002</v>
      </c>
      <c r="X35">
        <v>6.3959700000000002</v>
      </c>
      <c r="Y35">
        <f>Table514254[[#This Row],[CFNM]]/Table514254[[#This Row],[CAREA]]</f>
        <v>7.681536602765654E-2</v>
      </c>
      <c r="Z35">
        <v>2</v>
      </c>
      <c r="AA35">
        <f>(Table615255[[#This Row],[time]]-2)*2</f>
        <v>0</v>
      </c>
      <c r="AB35">
        <v>87.737899999999996</v>
      </c>
      <c r="AC35">
        <v>10.3024</v>
      </c>
      <c r="AD35">
        <f>Table615255[[#This Row],[CFNM]]/Table615255[[#This Row],[CAREA]]</f>
        <v>0.11742245939326107</v>
      </c>
      <c r="AE35">
        <v>2</v>
      </c>
      <c r="AF35">
        <f>(Table716256[[#This Row],[time]]-2)*2</f>
        <v>0</v>
      </c>
      <c r="AG35">
        <v>78.824299999999994</v>
      </c>
      <c r="AH35">
        <v>18.997399999999999</v>
      </c>
      <c r="AI35">
        <f>Table716256[[#This Row],[CFNM]]/Table716256[[#This Row],[CAREA]]</f>
        <v>0.24100943490776322</v>
      </c>
      <c r="AJ35">
        <v>2</v>
      </c>
      <c r="AK35">
        <f>(Table817257[[#This Row],[time]]-2)*2</f>
        <v>0</v>
      </c>
      <c r="AL35">
        <v>83.280900000000003</v>
      </c>
      <c r="AM35">
        <v>18.324100000000001</v>
      </c>
      <c r="AN35">
        <f>Table817257[[#This Row],[CFNM]]/Table817257[[#This Row],[CAREA]]</f>
        <v>0.22002764139196385</v>
      </c>
    </row>
    <row r="36" spans="1:40" x14ac:dyDescent="0.25">
      <c r="A36">
        <v>2.0512600000000001</v>
      </c>
      <c r="B36">
        <f>(Table110250[[#This Row],[time]]-2)*2</f>
        <v>0.10252000000000017</v>
      </c>
      <c r="C36">
        <v>91.903599999999997</v>
      </c>
      <c r="D36">
        <v>9.7133599999999998</v>
      </c>
      <c r="E36">
        <f>Table110250[[#This Row],[CFNM]]/Table110250[[#This Row],[CAREA]]</f>
        <v>0.10569074552030606</v>
      </c>
      <c r="F36">
        <v>2.0512600000000001</v>
      </c>
      <c r="G36">
        <f>(Table211251[[#This Row],[time]]-2)*2</f>
        <v>0.10252000000000017</v>
      </c>
      <c r="H36">
        <v>94.863500000000002</v>
      </c>
      <c r="I36">
        <v>3.9909400000000002</v>
      </c>
      <c r="J36">
        <f>Table211251[[#This Row],[CFNM]]/Table211251[[#This Row],[CAREA]]</f>
        <v>4.2070343177302127E-2</v>
      </c>
      <c r="K36">
        <v>2.0512600000000001</v>
      </c>
      <c r="L36">
        <f>(Table312252[[#This Row],[time]]-2)*2</f>
        <v>0.10252000000000017</v>
      </c>
      <c r="M36">
        <v>89.32</v>
      </c>
      <c r="N36">
        <v>3.0033099999999999</v>
      </c>
      <c r="O36">
        <f>Table312252[[#This Row],[CFNM]]/Table312252[[#This Row],[CAREA]]</f>
        <v>3.3624160322436189E-2</v>
      </c>
      <c r="P36">
        <v>2.0512600000000001</v>
      </c>
      <c r="Q36">
        <f>(Table413253[[#This Row],[time]]-2)*2</f>
        <v>0.10252000000000017</v>
      </c>
      <c r="R36">
        <v>86.404200000000003</v>
      </c>
      <c r="S36">
        <v>6.85839</v>
      </c>
      <c r="T36">
        <f>Table413253[[#This Row],[CFNM]]/Table413253[[#This Row],[CAREA]]</f>
        <v>7.9375655350087143E-2</v>
      </c>
      <c r="U36">
        <v>2.0512600000000001</v>
      </c>
      <c r="V36">
        <f>(Table514254[[#This Row],[time]]-2)*2</f>
        <v>0.10252000000000017</v>
      </c>
      <c r="W36">
        <v>82.992500000000007</v>
      </c>
      <c r="X36">
        <v>8.3691800000000001</v>
      </c>
      <c r="Y36">
        <f>Table514254[[#This Row],[CFNM]]/Table514254[[#This Row],[CAREA]]</f>
        <v>0.10084260625960176</v>
      </c>
      <c r="Z36">
        <v>2.0512600000000001</v>
      </c>
      <c r="AA36">
        <f>(Table615255[[#This Row],[time]]-2)*2</f>
        <v>0.10252000000000017</v>
      </c>
      <c r="AB36">
        <v>89.698700000000002</v>
      </c>
      <c r="AC36">
        <v>17.069199999999999</v>
      </c>
      <c r="AD36">
        <f>Table615255[[#This Row],[CFNM]]/Table615255[[#This Row],[CAREA]]</f>
        <v>0.19029484262313723</v>
      </c>
      <c r="AE36">
        <v>2.0512600000000001</v>
      </c>
      <c r="AF36">
        <f>(Table716256[[#This Row],[time]]-2)*2</f>
        <v>0.10252000000000017</v>
      </c>
      <c r="AG36">
        <v>78.526700000000005</v>
      </c>
      <c r="AH36">
        <v>19.271899999999999</v>
      </c>
      <c r="AI36">
        <f>Table716256[[#This Row],[CFNM]]/Table716256[[#This Row],[CAREA]]</f>
        <v>0.24541843729584967</v>
      </c>
      <c r="AJ36">
        <v>2.0512600000000001</v>
      </c>
      <c r="AK36">
        <f>(Table817257[[#This Row],[time]]-2)*2</f>
        <v>0.10252000000000017</v>
      </c>
      <c r="AL36">
        <v>83.392799999999994</v>
      </c>
      <c r="AM36">
        <v>20.6478</v>
      </c>
      <c r="AN36">
        <f>Table817257[[#This Row],[CFNM]]/Table817257[[#This Row],[CAREA]]</f>
        <v>0.24759691484156907</v>
      </c>
    </row>
    <row r="37" spans="1:40" x14ac:dyDescent="0.25">
      <c r="A37">
        <v>2.1153300000000002</v>
      </c>
      <c r="B37">
        <f>(Table110250[[#This Row],[time]]-2)*2</f>
        <v>0.23066000000000031</v>
      </c>
      <c r="C37">
        <v>91.195899999999995</v>
      </c>
      <c r="D37">
        <v>9.16099</v>
      </c>
      <c r="E37">
        <f>Table110250[[#This Row],[CFNM]]/Table110250[[#This Row],[CAREA]]</f>
        <v>0.10045396777706016</v>
      </c>
      <c r="F37">
        <v>2.1153300000000002</v>
      </c>
      <c r="G37">
        <f>(Table211251[[#This Row],[time]]-2)*2</f>
        <v>0.23066000000000031</v>
      </c>
      <c r="H37">
        <v>94.873500000000007</v>
      </c>
      <c r="I37">
        <v>4.6174799999999996</v>
      </c>
      <c r="J37">
        <f>Table211251[[#This Row],[CFNM]]/Table211251[[#This Row],[CAREA]]</f>
        <v>4.8669860393049685E-2</v>
      </c>
      <c r="K37">
        <v>2.1153300000000002</v>
      </c>
      <c r="L37">
        <f>(Table312252[[#This Row],[time]]-2)*2</f>
        <v>0.23066000000000031</v>
      </c>
      <c r="M37">
        <v>87.559799999999996</v>
      </c>
      <c r="N37">
        <v>2.8784299999999998</v>
      </c>
      <c r="O37">
        <f>Table312252[[#This Row],[CFNM]]/Table312252[[#This Row],[CAREA]]</f>
        <v>3.2873875911091623E-2</v>
      </c>
      <c r="P37">
        <v>2.1153300000000002</v>
      </c>
      <c r="Q37">
        <f>(Table413253[[#This Row],[time]]-2)*2</f>
        <v>0.23066000000000031</v>
      </c>
      <c r="R37">
        <v>87.720299999999995</v>
      </c>
      <c r="S37">
        <v>8.5002999999999993</v>
      </c>
      <c r="T37">
        <f>Table413253[[#This Row],[CFNM]]/Table413253[[#This Row],[CAREA]]</f>
        <v>9.690231337558125E-2</v>
      </c>
      <c r="U37">
        <v>2.1153300000000002</v>
      </c>
      <c r="V37">
        <f>(Table514254[[#This Row],[time]]-2)*2</f>
        <v>0.23066000000000031</v>
      </c>
      <c r="W37">
        <v>82.085700000000003</v>
      </c>
      <c r="X37">
        <v>7.5369000000000002</v>
      </c>
      <c r="Y37">
        <f>Table514254[[#This Row],[CFNM]]/Table514254[[#This Row],[CAREA]]</f>
        <v>9.1817454197259687E-2</v>
      </c>
      <c r="Z37">
        <v>2.1153300000000002</v>
      </c>
      <c r="AA37">
        <f>(Table615255[[#This Row],[time]]-2)*2</f>
        <v>0.23066000000000031</v>
      </c>
      <c r="AB37">
        <v>89.542400000000001</v>
      </c>
      <c r="AC37">
        <v>20.529800000000002</v>
      </c>
      <c r="AD37">
        <f>Table615255[[#This Row],[CFNM]]/Table615255[[#This Row],[CAREA]]</f>
        <v>0.22927462297191054</v>
      </c>
      <c r="AE37">
        <v>2.1153300000000002</v>
      </c>
      <c r="AF37">
        <f>(Table716256[[#This Row],[time]]-2)*2</f>
        <v>0.23066000000000031</v>
      </c>
      <c r="AG37">
        <v>77.798400000000001</v>
      </c>
      <c r="AH37">
        <v>19.043800000000001</v>
      </c>
      <c r="AI37">
        <f>Table716256[[#This Row],[CFNM]]/Table716256[[#This Row],[CAREA]]</f>
        <v>0.24478395442579798</v>
      </c>
      <c r="AJ37">
        <v>2.1153300000000002</v>
      </c>
      <c r="AK37">
        <f>(Table817257[[#This Row],[time]]-2)*2</f>
        <v>0.23066000000000031</v>
      </c>
      <c r="AL37">
        <v>83.459100000000007</v>
      </c>
      <c r="AM37">
        <v>22.512799999999999</v>
      </c>
      <c r="AN37">
        <f>Table817257[[#This Row],[CFNM]]/Table817257[[#This Row],[CAREA]]</f>
        <v>0.26974649858433647</v>
      </c>
    </row>
    <row r="38" spans="1:40" x14ac:dyDescent="0.25">
      <c r="A38">
        <v>2.16533</v>
      </c>
      <c r="B38">
        <f>(Table110250[[#This Row],[time]]-2)*2</f>
        <v>0.33065999999999995</v>
      </c>
      <c r="C38">
        <v>90.109399999999994</v>
      </c>
      <c r="D38">
        <v>8.42469</v>
      </c>
      <c r="E38">
        <f>Table110250[[#This Row],[CFNM]]/Table110250[[#This Row],[CAREA]]</f>
        <v>9.3494019491862118E-2</v>
      </c>
      <c r="F38">
        <v>2.16533</v>
      </c>
      <c r="G38">
        <f>(Table211251[[#This Row],[time]]-2)*2</f>
        <v>0.33065999999999995</v>
      </c>
      <c r="H38">
        <v>95.968000000000004</v>
      </c>
      <c r="I38">
        <v>5.3187499999999996</v>
      </c>
      <c r="J38">
        <f>Table211251[[#This Row],[CFNM]]/Table211251[[#This Row],[CAREA]]</f>
        <v>5.5422119873291091E-2</v>
      </c>
      <c r="K38">
        <v>2.16533</v>
      </c>
      <c r="L38">
        <f>(Table312252[[#This Row],[time]]-2)*2</f>
        <v>0.33065999999999995</v>
      </c>
      <c r="M38">
        <v>86.547700000000006</v>
      </c>
      <c r="N38">
        <v>2.7090999999999998</v>
      </c>
      <c r="O38">
        <f>Table312252[[#This Row],[CFNM]]/Table312252[[#This Row],[CAREA]]</f>
        <v>3.1301813913021372E-2</v>
      </c>
      <c r="P38">
        <v>2.16533</v>
      </c>
      <c r="Q38">
        <f>(Table413253[[#This Row],[time]]-2)*2</f>
        <v>0.33065999999999995</v>
      </c>
      <c r="R38">
        <v>88.846299999999999</v>
      </c>
      <c r="S38">
        <v>9.9824099999999998</v>
      </c>
      <c r="T38">
        <f>Table413253[[#This Row],[CFNM]]/Table413253[[#This Row],[CAREA]]</f>
        <v>0.11235594504216832</v>
      </c>
      <c r="U38">
        <v>2.16533</v>
      </c>
      <c r="V38">
        <f>(Table514254[[#This Row],[time]]-2)*2</f>
        <v>0.33065999999999995</v>
      </c>
      <c r="W38">
        <v>81.162400000000005</v>
      </c>
      <c r="X38">
        <v>6.6920999999999999</v>
      </c>
      <c r="Y38">
        <f>Table514254[[#This Row],[CFNM]]/Table514254[[#This Row],[CAREA]]</f>
        <v>8.2453204932333199E-2</v>
      </c>
      <c r="Z38">
        <v>2.16533</v>
      </c>
      <c r="AA38">
        <f>(Table615255[[#This Row],[time]]-2)*2</f>
        <v>0.33065999999999995</v>
      </c>
      <c r="AB38">
        <v>91.161199999999994</v>
      </c>
      <c r="AC38">
        <v>23.553599999999999</v>
      </c>
      <c r="AD38">
        <f>Table615255[[#This Row],[CFNM]]/Table615255[[#This Row],[CAREA]]</f>
        <v>0.25837307977516749</v>
      </c>
      <c r="AE38">
        <v>2.16533</v>
      </c>
      <c r="AF38">
        <f>(Table716256[[#This Row],[time]]-2)*2</f>
        <v>0.33065999999999995</v>
      </c>
      <c r="AG38">
        <v>77.581800000000001</v>
      </c>
      <c r="AH38">
        <v>18.854399999999998</v>
      </c>
      <c r="AI38">
        <f>Table716256[[#This Row],[CFNM]]/Table716256[[#This Row],[CAREA]]</f>
        <v>0.24302607054747374</v>
      </c>
      <c r="AJ38">
        <v>2.16533</v>
      </c>
      <c r="AK38">
        <f>(Table817257[[#This Row],[time]]-2)*2</f>
        <v>0.33065999999999995</v>
      </c>
      <c r="AL38">
        <v>83.433099999999996</v>
      </c>
      <c r="AM38">
        <v>24.578499999999998</v>
      </c>
      <c r="AN38">
        <f>Table817257[[#This Row],[CFNM]]/Table817257[[#This Row],[CAREA]]</f>
        <v>0.2945893176688868</v>
      </c>
    </row>
    <row r="39" spans="1:40" x14ac:dyDescent="0.25">
      <c r="A39">
        <v>2.2246999999999999</v>
      </c>
      <c r="B39">
        <f>(Table110250[[#This Row],[time]]-2)*2</f>
        <v>0.4493999999999998</v>
      </c>
      <c r="C39">
        <v>88.975399999999993</v>
      </c>
      <c r="D39">
        <v>8.1362500000000004</v>
      </c>
      <c r="E39">
        <f>Table110250[[#This Row],[CFNM]]/Table110250[[#This Row],[CAREA]]</f>
        <v>9.1443814807238871E-2</v>
      </c>
      <c r="F39">
        <v>2.2246999999999999</v>
      </c>
      <c r="G39">
        <f>(Table211251[[#This Row],[time]]-2)*2</f>
        <v>0.4493999999999998</v>
      </c>
      <c r="H39">
        <v>96.699600000000004</v>
      </c>
      <c r="I39">
        <v>6.1069800000000001</v>
      </c>
      <c r="J39">
        <f>Table211251[[#This Row],[CFNM]]/Table211251[[#This Row],[CAREA]]</f>
        <v>6.315413921050346E-2</v>
      </c>
      <c r="K39">
        <v>2.2246999999999999</v>
      </c>
      <c r="L39">
        <f>(Table312252[[#This Row],[time]]-2)*2</f>
        <v>0.4493999999999998</v>
      </c>
      <c r="M39">
        <v>85.108699999999999</v>
      </c>
      <c r="N39">
        <v>3.1151200000000001</v>
      </c>
      <c r="O39">
        <f>Table312252[[#This Row],[CFNM]]/Table312252[[#This Row],[CAREA]]</f>
        <v>3.6601663519710677E-2</v>
      </c>
      <c r="P39">
        <v>2.2246999999999999</v>
      </c>
      <c r="Q39">
        <f>(Table413253[[#This Row],[time]]-2)*2</f>
        <v>0.4493999999999998</v>
      </c>
      <c r="R39">
        <v>89.879199999999997</v>
      </c>
      <c r="S39">
        <v>11.686500000000001</v>
      </c>
      <c r="T39">
        <f>Table413253[[#This Row],[CFNM]]/Table413253[[#This Row],[CAREA]]</f>
        <v>0.13002452180259727</v>
      </c>
      <c r="U39">
        <v>2.2246999999999999</v>
      </c>
      <c r="V39">
        <f>(Table514254[[#This Row],[time]]-2)*2</f>
        <v>0.4493999999999998</v>
      </c>
      <c r="W39">
        <v>78.182400000000001</v>
      </c>
      <c r="X39">
        <v>6.31616</v>
      </c>
      <c r="Y39">
        <f>Table514254[[#This Row],[CFNM]]/Table514254[[#This Row],[CAREA]]</f>
        <v>8.07874918140144E-2</v>
      </c>
      <c r="Z39">
        <v>2.2246999999999999</v>
      </c>
      <c r="AA39">
        <f>(Table615255[[#This Row],[time]]-2)*2</f>
        <v>0.4493999999999998</v>
      </c>
      <c r="AB39">
        <v>92.4328</v>
      </c>
      <c r="AC39">
        <v>26.6478</v>
      </c>
      <c r="AD39">
        <f>Table615255[[#This Row],[CFNM]]/Table615255[[#This Row],[CAREA]]</f>
        <v>0.28829376584935218</v>
      </c>
      <c r="AE39">
        <v>2.2246999999999999</v>
      </c>
      <c r="AF39">
        <f>(Table716256[[#This Row],[time]]-2)*2</f>
        <v>0.4493999999999998</v>
      </c>
      <c r="AG39">
        <v>77.620099999999994</v>
      </c>
      <c r="AH39">
        <v>18.633600000000001</v>
      </c>
      <c r="AI39">
        <f>Table716256[[#This Row],[CFNM]]/Table716256[[#This Row],[CAREA]]</f>
        <v>0.24006153045409634</v>
      </c>
      <c r="AJ39">
        <v>2.2246999999999999</v>
      </c>
      <c r="AK39">
        <f>(Table817257[[#This Row],[time]]-2)*2</f>
        <v>0.4493999999999998</v>
      </c>
      <c r="AL39">
        <v>82.825100000000006</v>
      </c>
      <c r="AM39">
        <v>26.864000000000001</v>
      </c>
      <c r="AN39">
        <f>Table817257[[#This Row],[CFNM]]/Table817257[[#This Row],[CAREA]]</f>
        <v>0.32434612212964425</v>
      </c>
    </row>
    <row r="40" spans="1:40" x14ac:dyDescent="0.25">
      <c r="A40">
        <v>2.2668900000000001</v>
      </c>
      <c r="B40">
        <f>(Table110250[[#This Row],[time]]-2)*2</f>
        <v>0.53378000000000014</v>
      </c>
      <c r="C40">
        <v>86.724900000000005</v>
      </c>
      <c r="D40">
        <v>8.4806699999999999</v>
      </c>
      <c r="E40">
        <f>Table110250[[#This Row],[CFNM]]/Table110250[[#This Row],[CAREA]]</f>
        <v>9.7788178481612545E-2</v>
      </c>
      <c r="F40">
        <v>2.2668900000000001</v>
      </c>
      <c r="G40">
        <f>(Table211251[[#This Row],[time]]-2)*2</f>
        <v>0.53378000000000014</v>
      </c>
      <c r="H40">
        <v>97.822999999999993</v>
      </c>
      <c r="I40">
        <v>7.9358399999999998</v>
      </c>
      <c r="J40">
        <f>Table211251[[#This Row],[CFNM]]/Table211251[[#This Row],[CAREA]]</f>
        <v>8.1124479928033288E-2</v>
      </c>
      <c r="K40">
        <v>2.2668900000000001</v>
      </c>
      <c r="L40">
        <f>(Table312252[[#This Row],[time]]-2)*2</f>
        <v>0.53378000000000014</v>
      </c>
      <c r="M40">
        <v>83.712699999999998</v>
      </c>
      <c r="N40">
        <v>3.2502599999999999</v>
      </c>
      <c r="O40">
        <f>Table312252[[#This Row],[CFNM]]/Table312252[[#This Row],[CAREA]]</f>
        <v>3.8826366847563153E-2</v>
      </c>
      <c r="P40">
        <v>2.2668900000000001</v>
      </c>
      <c r="Q40">
        <f>(Table413253[[#This Row],[time]]-2)*2</f>
        <v>0.53378000000000014</v>
      </c>
      <c r="R40">
        <v>90.289900000000003</v>
      </c>
      <c r="S40">
        <v>14.113300000000001</v>
      </c>
      <c r="T40">
        <f>Table413253[[#This Row],[CFNM]]/Table413253[[#This Row],[CAREA]]</f>
        <v>0.15631094950819527</v>
      </c>
      <c r="U40">
        <v>2.2668900000000001</v>
      </c>
      <c r="V40">
        <f>(Table514254[[#This Row],[time]]-2)*2</f>
        <v>0.53378000000000014</v>
      </c>
      <c r="W40">
        <v>76.052499999999995</v>
      </c>
      <c r="X40">
        <v>6.2858999999999998</v>
      </c>
      <c r="Y40">
        <f>Table514254[[#This Row],[CFNM]]/Table514254[[#This Row],[CAREA]]</f>
        <v>8.2652115315078406E-2</v>
      </c>
      <c r="Z40">
        <v>2.2668900000000001</v>
      </c>
      <c r="AA40">
        <f>(Table615255[[#This Row],[time]]-2)*2</f>
        <v>0.53378000000000014</v>
      </c>
      <c r="AB40">
        <v>93.510499999999993</v>
      </c>
      <c r="AC40">
        <v>30.602699999999999</v>
      </c>
      <c r="AD40">
        <f>Table615255[[#This Row],[CFNM]]/Table615255[[#This Row],[CAREA]]</f>
        <v>0.32726485261013472</v>
      </c>
      <c r="AE40">
        <v>2.2668900000000001</v>
      </c>
      <c r="AF40">
        <f>(Table716256[[#This Row],[time]]-2)*2</f>
        <v>0.53378000000000014</v>
      </c>
      <c r="AG40">
        <v>77.499499999999998</v>
      </c>
      <c r="AH40">
        <v>18.497199999999999</v>
      </c>
      <c r="AI40">
        <f>Table716256[[#This Row],[CFNM]]/Table716256[[#This Row],[CAREA]]</f>
        <v>0.23867508822637565</v>
      </c>
      <c r="AJ40">
        <v>2.2668900000000001</v>
      </c>
      <c r="AK40">
        <f>(Table817257[[#This Row],[time]]-2)*2</f>
        <v>0.53378000000000014</v>
      </c>
      <c r="AL40">
        <v>82.090199999999996</v>
      </c>
      <c r="AM40">
        <v>30.055199999999999</v>
      </c>
      <c r="AN40">
        <f>Table817257[[#This Row],[CFNM]]/Table817257[[#This Row],[CAREA]]</f>
        <v>0.3661240927662498</v>
      </c>
    </row>
    <row r="41" spans="1:40" x14ac:dyDescent="0.25">
      <c r="A41">
        <v>2.3262700000000001</v>
      </c>
      <c r="B41">
        <f>(Table110250[[#This Row],[time]]-2)*2</f>
        <v>0.65254000000000012</v>
      </c>
      <c r="C41">
        <v>85.440899999999999</v>
      </c>
      <c r="D41">
        <v>8.7311499999999995</v>
      </c>
      <c r="E41">
        <f>Table110250[[#This Row],[CFNM]]/Table110250[[#This Row],[CAREA]]</f>
        <v>0.10218934959720695</v>
      </c>
      <c r="F41">
        <v>2.3262700000000001</v>
      </c>
      <c r="G41">
        <f>(Table211251[[#This Row],[time]]-2)*2</f>
        <v>0.65254000000000012</v>
      </c>
      <c r="H41">
        <v>98.810400000000001</v>
      </c>
      <c r="I41">
        <v>9.6061099999999993</v>
      </c>
      <c r="J41">
        <f>Table211251[[#This Row],[CFNM]]/Table211251[[#This Row],[CAREA]]</f>
        <v>9.7217600576457536E-2</v>
      </c>
      <c r="K41">
        <v>2.3262700000000001</v>
      </c>
      <c r="L41">
        <f>(Table312252[[#This Row],[time]]-2)*2</f>
        <v>0.65254000000000012</v>
      </c>
      <c r="M41">
        <v>83.061599999999999</v>
      </c>
      <c r="N41">
        <v>3.2017600000000002</v>
      </c>
      <c r="O41">
        <f>Table312252[[#This Row],[CFNM]]/Table312252[[#This Row],[CAREA]]</f>
        <v>3.8546813449295468E-2</v>
      </c>
      <c r="P41">
        <v>2.3262700000000001</v>
      </c>
      <c r="Q41">
        <f>(Table413253[[#This Row],[time]]-2)*2</f>
        <v>0.65254000000000012</v>
      </c>
      <c r="R41">
        <v>90.242400000000004</v>
      </c>
      <c r="S41">
        <v>16.1615</v>
      </c>
      <c r="T41">
        <f>Table413253[[#This Row],[CFNM]]/Table413253[[#This Row],[CAREA]]</f>
        <v>0.17908987349627226</v>
      </c>
      <c r="U41">
        <v>2.3262700000000001</v>
      </c>
      <c r="V41">
        <f>(Table514254[[#This Row],[time]]-2)*2</f>
        <v>0.65254000000000012</v>
      </c>
      <c r="W41">
        <v>73.518199999999993</v>
      </c>
      <c r="X41">
        <v>6.1914800000000003</v>
      </c>
      <c r="Y41">
        <f>Table514254[[#This Row],[CFNM]]/Table514254[[#This Row],[CAREA]]</f>
        <v>8.4216969403494657E-2</v>
      </c>
      <c r="Z41">
        <v>2.3262700000000001</v>
      </c>
      <c r="AA41">
        <f>(Table615255[[#This Row],[time]]-2)*2</f>
        <v>0.65254000000000012</v>
      </c>
      <c r="AB41">
        <v>94.194500000000005</v>
      </c>
      <c r="AC41">
        <v>33.552599999999998</v>
      </c>
      <c r="AD41">
        <f>Table615255[[#This Row],[CFNM]]/Table615255[[#This Row],[CAREA]]</f>
        <v>0.3562055109374751</v>
      </c>
      <c r="AE41">
        <v>2.3262700000000001</v>
      </c>
      <c r="AF41">
        <f>(Table716256[[#This Row],[time]]-2)*2</f>
        <v>0.65254000000000012</v>
      </c>
      <c r="AG41">
        <v>77.165099999999995</v>
      </c>
      <c r="AH41">
        <v>18.3598</v>
      </c>
      <c r="AI41">
        <f>Table716256[[#This Row],[CFNM]]/Table716256[[#This Row],[CAREA]]</f>
        <v>0.23792880460208049</v>
      </c>
      <c r="AJ41">
        <v>2.3262700000000001</v>
      </c>
      <c r="AK41">
        <f>(Table817257[[#This Row],[time]]-2)*2</f>
        <v>0.65254000000000012</v>
      </c>
      <c r="AL41">
        <v>81.671800000000005</v>
      </c>
      <c r="AM41">
        <v>32.6355</v>
      </c>
      <c r="AN41">
        <f>Table817257[[#This Row],[CFNM]]/Table817257[[#This Row],[CAREA]]</f>
        <v>0.39959325005693519</v>
      </c>
    </row>
    <row r="42" spans="1:40" x14ac:dyDescent="0.25">
      <c r="A42">
        <v>2.3684599999999998</v>
      </c>
      <c r="B42">
        <f>(Table110250[[#This Row],[time]]-2)*2</f>
        <v>0.73691999999999958</v>
      </c>
      <c r="C42">
        <v>83.461200000000005</v>
      </c>
      <c r="D42">
        <v>8.9262300000000003</v>
      </c>
      <c r="E42">
        <f>Table110250[[#This Row],[CFNM]]/Table110250[[#This Row],[CAREA]]</f>
        <v>0.10695065491509827</v>
      </c>
      <c r="F42">
        <v>2.3684599999999998</v>
      </c>
      <c r="G42">
        <f>(Table211251[[#This Row],[time]]-2)*2</f>
        <v>0.73691999999999958</v>
      </c>
      <c r="H42">
        <v>99.557900000000004</v>
      </c>
      <c r="I42">
        <v>11.471500000000001</v>
      </c>
      <c r="J42">
        <f>Table211251[[#This Row],[CFNM]]/Table211251[[#This Row],[CAREA]]</f>
        <v>0.11522440710380592</v>
      </c>
      <c r="K42">
        <v>2.3684599999999998</v>
      </c>
      <c r="L42">
        <f>(Table312252[[#This Row],[time]]-2)*2</f>
        <v>0.73691999999999958</v>
      </c>
      <c r="M42">
        <v>82.302700000000002</v>
      </c>
      <c r="N42">
        <v>3.1637</v>
      </c>
      <c r="O42">
        <f>Table312252[[#This Row],[CFNM]]/Table312252[[#This Row],[CAREA]]</f>
        <v>3.843980817154237E-2</v>
      </c>
      <c r="P42">
        <v>2.3684599999999998</v>
      </c>
      <c r="Q42">
        <f>(Table413253[[#This Row],[time]]-2)*2</f>
        <v>0.73691999999999958</v>
      </c>
      <c r="R42">
        <v>90.334900000000005</v>
      </c>
      <c r="S42">
        <v>18.216999999999999</v>
      </c>
      <c r="T42">
        <f>Table413253[[#This Row],[CFNM]]/Table413253[[#This Row],[CAREA]]</f>
        <v>0.20166070920541229</v>
      </c>
      <c r="U42">
        <v>2.3684599999999998</v>
      </c>
      <c r="V42">
        <f>(Table514254[[#This Row],[time]]-2)*2</f>
        <v>0.73691999999999958</v>
      </c>
      <c r="W42">
        <v>72.594800000000006</v>
      </c>
      <c r="X42">
        <v>5.9083800000000002</v>
      </c>
      <c r="Y42">
        <f>Table514254[[#This Row],[CFNM]]/Table514254[[#This Row],[CAREA]]</f>
        <v>8.1388474105583322E-2</v>
      </c>
      <c r="Z42">
        <v>2.3684599999999998</v>
      </c>
      <c r="AA42">
        <f>(Table615255[[#This Row],[time]]-2)*2</f>
        <v>0.73691999999999958</v>
      </c>
      <c r="AB42">
        <v>94.734399999999994</v>
      </c>
      <c r="AC42">
        <v>36.482700000000001</v>
      </c>
      <c r="AD42">
        <f>Table615255[[#This Row],[CFNM]]/Table615255[[#This Row],[CAREA]]</f>
        <v>0.38510509382019631</v>
      </c>
      <c r="AE42">
        <v>2.3684599999999998</v>
      </c>
      <c r="AF42">
        <f>(Table716256[[#This Row],[time]]-2)*2</f>
        <v>0.73691999999999958</v>
      </c>
      <c r="AG42">
        <v>76.768299999999996</v>
      </c>
      <c r="AH42">
        <v>18.187999999999999</v>
      </c>
      <c r="AI42">
        <f>Table716256[[#This Row],[CFNM]]/Table716256[[#This Row],[CAREA]]</f>
        <v>0.23692070815688246</v>
      </c>
      <c r="AJ42">
        <v>2.3684599999999998</v>
      </c>
      <c r="AK42">
        <f>(Table817257[[#This Row],[time]]-2)*2</f>
        <v>0.73691999999999958</v>
      </c>
      <c r="AL42">
        <v>81.292299999999997</v>
      </c>
      <c r="AM42">
        <v>35.295400000000001</v>
      </c>
      <c r="AN42">
        <f>Table817257[[#This Row],[CFNM]]/Table817257[[#This Row],[CAREA]]</f>
        <v>0.43417888287082546</v>
      </c>
    </row>
    <row r="43" spans="1:40" x14ac:dyDescent="0.25">
      <c r="A43">
        <v>2.4278300000000002</v>
      </c>
      <c r="B43">
        <f>(Table110250[[#This Row],[time]]-2)*2</f>
        <v>0.85566000000000031</v>
      </c>
      <c r="C43">
        <v>81.611199999999997</v>
      </c>
      <c r="D43">
        <v>9.0416000000000007</v>
      </c>
      <c r="E43">
        <f>Table110250[[#This Row],[CFNM]]/Table110250[[#This Row],[CAREA]]</f>
        <v>0.11078871527437412</v>
      </c>
      <c r="F43">
        <v>2.4278300000000002</v>
      </c>
      <c r="G43">
        <f>(Table211251[[#This Row],[time]]-2)*2</f>
        <v>0.85566000000000031</v>
      </c>
      <c r="H43">
        <v>102.17</v>
      </c>
      <c r="I43">
        <v>13.6632</v>
      </c>
      <c r="J43">
        <f>Table211251[[#This Row],[CFNM]]/Table211251[[#This Row],[CAREA]]</f>
        <v>0.13373005774689242</v>
      </c>
      <c r="K43">
        <v>2.4278300000000002</v>
      </c>
      <c r="L43">
        <f>(Table312252[[#This Row],[time]]-2)*2</f>
        <v>0.85566000000000031</v>
      </c>
      <c r="M43">
        <v>81.272999999999996</v>
      </c>
      <c r="N43">
        <v>3.0201199999999999</v>
      </c>
      <c r="O43">
        <f>Table312252[[#This Row],[CFNM]]/Table312252[[#This Row],[CAREA]]</f>
        <v>3.7160188500486017E-2</v>
      </c>
      <c r="P43">
        <v>2.4278300000000002</v>
      </c>
      <c r="Q43">
        <f>(Table413253[[#This Row],[time]]-2)*2</f>
        <v>0.85566000000000031</v>
      </c>
      <c r="R43">
        <v>90.373099999999994</v>
      </c>
      <c r="S43">
        <v>20.493099999999998</v>
      </c>
      <c r="T43">
        <f>Table413253[[#This Row],[CFNM]]/Table413253[[#This Row],[CAREA]]</f>
        <v>0.22676106053681902</v>
      </c>
      <c r="U43">
        <v>2.4278300000000002</v>
      </c>
      <c r="V43">
        <f>(Table514254[[#This Row],[time]]-2)*2</f>
        <v>0.85566000000000031</v>
      </c>
      <c r="W43">
        <v>70.9666</v>
      </c>
      <c r="X43">
        <v>5.5208599999999999</v>
      </c>
      <c r="Y43">
        <f>Table514254[[#This Row],[CFNM]]/Table514254[[#This Row],[CAREA]]</f>
        <v>7.779518815893674E-2</v>
      </c>
      <c r="Z43">
        <v>2.4278300000000002</v>
      </c>
      <c r="AA43">
        <f>(Table615255[[#This Row],[time]]-2)*2</f>
        <v>0.85566000000000031</v>
      </c>
      <c r="AB43">
        <v>94.537099999999995</v>
      </c>
      <c r="AC43">
        <v>39.661900000000003</v>
      </c>
      <c r="AD43">
        <f>Table615255[[#This Row],[CFNM]]/Table615255[[#This Row],[CAREA]]</f>
        <v>0.41953793801586897</v>
      </c>
      <c r="AE43">
        <v>2.4278300000000002</v>
      </c>
      <c r="AF43">
        <f>(Table716256[[#This Row],[time]]-2)*2</f>
        <v>0.85566000000000031</v>
      </c>
      <c r="AG43">
        <v>76.571799999999996</v>
      </c>
      <c r="AH43">
        <v>17.941500000000001</v>
      </c>
      <c r="AI43">
        <f>Table716256[[#This Row],[CFNM]]/Table716256[[#This Row],[CAREA]]</f>
        <v>0.23430949775243631</v>
      </c>
      <c r="AJ43">
        <v>2.4278300000000002</v>
      </c>
      <c r="AK43">
        <f>(Table817257[[#This Row],[time]]-2)*2</f>
        <v>0.85566000000000031</v>
      </c>
      <c r="AL43">
        <v>80.771199999999993</v>
      </c>
      <c r="AM43">
        <v>38.289000000000001</v>
      </c>
      <c r="AN43">
        <f>Table817257[[#This Row],[CFNM]]/Table817257[[#This Row],[CAREA]]</f>
        <v>0.47404272810110543</v>
      </c>
    </row>
    <row r="44" spans="1:40" x14ac:dyDescent="0.25">
      <c r="A44">
        <v>2.4542000000000002</v>
      </c>
      <c r="B44">
        <f>(Table110250[[#This Row],[time]]-2)*2</f>
        <v>0.90840000000000032</v>
      </c>
      <c r="C44">
        <v>78.670299999999997</v>
      </c>
      <c r="D44">
        <v>9.0350599999999996</v>
      </c>
      <c r="E44">
        <f>Table110250[[#This Row],[CFNM]]/Table110250[[#This Row],[CAREA]]</f>
        <v>0.11484715324588822</v>
      </c>
      <c r="F44">
        <v>2.4542000000000002</v>
      </c>
      <c r="G44">
        <f>(Table211251[[#This Row],[time]]-2)*2</f>
        <v>0.90840000000000032</v>
      </c>
      <c r="H44">
        <v>104.438</v>
      </c>
      <c r="I44">
        <v>16.023</v>
      </c>
      <c r="J44">
        <f>Table211251[[#This Row],[CFNM]]/Table211251[[#This Row],[CAREA]]</f>
        <v>0.1534211685401865</v>
      </c>
      <c r="K44">
        <v>2.4542000000000002</v>
      </c>
      <c r="L44">
        <f>(Table312252[[#This Row],[time]]-2)*2</f>
        <v>0.90840000000000032</v>
      </c>
      <c r="M44">
        <v>80.461600000000004</v>
      </c>
      <c r="N44">
        <v>2.7914400000000001</v>
      </c>
      <c r="O44">
        <f>Table312252[[#This Row],[CFNM]]/Table312252[[#This Row],[CAREA]]</f>
        <v>3.4692822414667368E-2</v>
      </c>
      <c r="P44">
        <v>2.4542000000000002</v>
      </c>
      <c r="Q44">
        <f>(Table413253[[#This Row],[time]]-2)*2</f>
        <v>0.90840000000000032</v>
      </c>
      <c r="R44">
        <v>89.938400000000001</v>
      </c>
      <c r="S44">
        <v>22.8826</v>
      </c>
      <c r="T44">
        <f>Table413253[[#This Row],[CFNM]]/Table413253[[#This Row],[CAREA]]</f>
        <v>0.254425251060726</v>
      </c>
      <c r="U44">
        <v>2.4542000000000002</v>
      </c>
      <c r="V44">
        <f>(Table514254[[#This Row],[time]]-2)*2</f>
        <v>0.90840000000000032</v>
      </c>
      <c r="W44">
        <v>69.790599999999998</v>
      </c>
      <c r="X44">
        <v>5.0556999999999999</v>
      </c>
      <c r="Y44">
        <f>Table514254[[#This Row],[CFNM]]/Table514254[[#This Row],[CAREA]]</f>
        <v>7.2440987754797931E-2</v>
      </c>
      <c r="Z44">
        <v>2.4542000000000002</v>
      </c>
      <c r="AA44">
        <f>(Table615255[[#This Row],[time]]-2)*2</f>
        <v>0.90840000000000032</v>
      </c>
      <c r="AB44">
        <v>94.366</v>
      </c>
      <c r="AC44">
        <v>42.990200000000002</v>
      </c>
      <c r="AD44">
        <f>Table615255[[#This Row],[CFNM]]/Table615255[[#This Row],[CAREA]]</f>
        <v>0.45556874297946298</v>
      </c>
      <c r="AE44">
        <v>2.4542000000000002</v>
      </c>
      <c r="AF44">
        <f>(Table716256[[#This Row],[time]]-2)*2</f>
        <v>0.90840000000000032</v>
      </c>
      <c r="AG44">
        <v>76.563800000000001</v>
      </c>
      <c r="AH44">
        <v>17.590399999999999</v>
      </c>
      <c r="AI44">
        <f>Table716256[[#This Row],[CFNM]]/Table716256[[#This Row],[CAREA]]</f>
        <v>0.22974826223358819</v>
      </c>
      <c r="AJ44">
        <v>2.4542000000000002</v>
      </c>
      <c r="AK44">
        <f>(Table817257[[#This Row],[time]]-2)*2</f>
        <v>0.90840000000000032</v>
      </c>
      <c r="AL44">
        <v>80.218999999999994</v>
      </c>
      <c r="AM44">
        <v>41.482199999999999</v>
      </c>
      <c r="AN44">
        <f>Table817257[[#This Row],[CFNM]]/Table817257[[#This Row],[CAREA]]</f>
        <v>0.51711190615689551</v>
      </c>
    </row>
    <row r="45" spans="1:40" x14ac:dyDescent="0.25">
      <c r="A45">
        <v>2.5061499999999999</v>
      </c>
      <c r="B45">
        <f>(Table110250[[#This Row],[time]]-2)*2</f>
        <v>1.0122999999999998</v>
      </c>
      <c r="C45">
        <v>75.553200000000004</v>
      </c>
      <c r="D45">
        <v>8.7287800000000004</v>
      </c>
      <c r="E45">
        <f>Table110250[[#This Row],[CFNM]]/Table110250[[#This Row],[CAREA]]</f>
        <v>0.11553157245490595</v>
      </c>
      <c r="F45">
        <v>2.5061499999999999</v>
      </c>
      <c r="G45">
        <f>(Table211251[[#This Row],[time]]-2)*2</f>
        <v>1.0122999999999998</v>
      </c>
      <c r="H45">
        <v>106.312</v>
      </c>
      <c r="I45">
        <v>18.647500000000001</v>
      </c>
      <c r="J45">
        <f>Table211251[[#This Row],[CFNM]]/Table211251[[#This Row],[CAREA]]</f>
        <v>0.1754035292347054</v>
      </c>
      <c r="K45">
        <v>2.5061499999999999</v>
      </c>
      <c r="L45">
        <f>(Table312252[[#This Row],[time]]-2)*2</f>
        <v>1.0122999999999998</v>
      </c>
      <c r="M45">
        <v>79.560299999999998</v>
      </c>
      <c r="N45">
        <v>2.5146999999999999</v>
      </c>
      <c r="O45">
        <f>Table312252[[#This Row],[CFNM]]/Table312252[[#This Row],[CAREA]]</f>
        <v>3.1607472571119011E-2</v>
      </c>
      <c r="P45">
        <v>2.5061499999999999</v>
      </c>
      <c r="Q45">
        <f>(Table413253[[#This Row],[time]]-2)*2</f>
        <v>1.0122999999999998</v>
      </c>
      <c r="R45">
        <v>89.789900000000003</v>
      </c>
      <c r="S45">
        <v>25.442699999999999</v>
      </c>
      <c r="T45">
        <f>Table413253[[#This Row],[CFNM]]/Table413253[[#This Row],[CAREA]]</f>
        <v>0.28335815052695235</v>
      </c>
      <c r="U45">
        <v>2.5061499999999999</v>
      </c>
      <c r="V45">
        <f>(Table514254[[#This Row],[time]]-2)*2</f>
        <v>1.0122999999999998</v>
      </c>
      <c r="W45">
        <v>68.671999999999997</v>
      </c>
      <c r="X45">
        <v>4.5356399999999999</v>
      </c>
      <c r="Y45">
        <f>Table514254[[#This Row],[CFNM]]/Table514254[[#This Row],[CAREA]]</f>
        <v>6.6047879776328047E-2</v>
      </c>
      <c r="Z45">
        <v>2.5061499999999999</v>
      </c>
      <c r="AA45">
        <f>(Table615255[[#This Row],[time]]-2)*2</f>
        <v>1.0122999999999998</v>
      </c>
      <c r="AB45">
        <v>94.555499999999995</v>
      </c>
      <c r="AC45">
        <v>46.4998</v>
      </c>
      <c r="AD45">
        <f>Table615255[[#This Row],[CFNM]]/Table615255[[#This Row],[CAREA]]</f>
        <v>0.49177255685814153</v>
      </c>
      <c r="AE45">
        <v>2.5061499999999999</v>
      </c>
      <c r="AF45">
        <f>(Table716256[[#This Row],[time]]-2)*2</f>
        <v>1.0122999999999998</v>
      </c>
      <c r="AG45">
        <v>75.709999999999994</v>
      </c>
      <c r="AH45">
        <v>17.285599999999999</v>
      </c>
      <c r="AI45">
        <f>Table716256[[#This Row],[CFNM]]/Table716256[[#This Row],[CAREA]]</f>
        <v>0.22831330075287282</v>
      </c>
      <c r="AJ45">
        <v>2.5061499999999999</v>
      </c>
      <c r="AK45">
        <f>(Table817257[[#This Row],[time]]-2)*2</f>
        <v>1.0122999999999998</v>
      </c>
      <c r="AL45">
        <v>79.890799999999999</v>
      </c>
      <c r="AM45">
        <v>44.9071</v>
      </c>
      <c r="AN45">
        <f>Table817257[[#This Row],[CFNM]]/Table817257[[#This Row],[CAREA]]</f>
        <v>0.56210602472374793</v>
      </c>
    </row>
    <row r="46" spans="1:40" x14ac:dyDescent="0.25">
      <c r="A46">
        <v>2.5507599999999999</v>
      </c>
      <c r="B46">
        <f>(Table110250[[#This Row],[time]]-2)*2</f>
        <v>1.1015199999999998</v>
      </c>
      <c r="C46">
        <v>72.787199999999999</v>
      </c>
      <c r="D46">
        <v>8.2827900000000003</v>
      </c>
      <c r="E46">
        <f>Table110250[[#This Row],[CFNM]]/Table110250[[#This Row],[CAREA]]</f>
        <v>0.11379459575309946</v>
      </c>
      <c r="F46">
        <v>2.5507599999999999</v>
      </c>
      <c r="G46">
        <f>(Table211251[[#This Row],[time]]-2)*2</f>
        <v>1.1015199999999998</v>
      </c>
      <c r="H46">
        <v>107.035</v>
      </c>
      <c r="I46">
        <v>21.1145</v>
      </c>
      <c r="J46">
        <f>Table211251[[#This Row],[CFNM]]/Table211251[[#This Row],[CAREA]]</f>
        <v>0.1972672490306909</v>
      </c>
      <c r="K46">
        <v>2.5507599999999999</v>
      </c>
      <c r="L46">
        <f>(Table312252[[#This Row],[time]]-2)*2</f>
        <v>1.1015199999999998</v>
      </c>
      <c r="M46">
        <v>78.797899999999998</v>
      </c>
      <c r="N46">
        <v>2.2612800000000002</v>
      </c>
      <c r="O46">
        <f>Table312252[[#This Row],[CFNM]]/Table312252[[#This Row],[CAREA]]</f>
        <v>2.8697211473909842E-2</v>
      </c>
      <c r="P46">
        <v>2.5507599999999999</v>
      </c>
      <c r="Q46">
        <f>(Table413253[[#This Row],[time]]-2)*2</f>
        <v>1.1015199999999998</v>
      </c>
      <c r="R46">
        <v>89.505499999999998</v>
      </c>
      <c r="S46">
        <v>27.789899999999999</v>
      </c>
      <c r="T46">
        <f>Table413253[[#This Row],[CFNM]]/Table413253[[#This Row],[CAREA]]</f>
        <v>0.31048259604158401</v>
      </c>
      <c r="U46">
        <v>2.5507599999999999</v>
      </c>
      <c r="V46">
        <f>(Table514254[[#This Row],[time]]-2)*2</f>
        <v>1.1015199999999998</v>
      </c>
      <c r="W46">
        <v>67.536299999999997</v>
      </c>
      <c r="X46">
        <v>4.00603</v>
      </c>
      <c r="Y46">
        <f>Table514254[[#This Row],[CFNM]]/Table514254[[#This Row],[CAREA]]</f>
        <v>5.931669339303456E-2</v>
      </c>
      <c r="Z46">
        <v>2.5507599999999999</v>
      </c>
      <c r="AA46">
        <f>(Table615255[[#This Row],[time]]-2)*2</f>
        <v>1.1015199999999998</v>
      </c>
      <c r="AB46">
        <v>94.288899999999998</v>
      </c>
      <c r="AC46">
        <v>49.6693</v>
      </c>
      <c r="AD46">
        <f>Table615255[[#This Row],[CFNM]]/Table615255[[#This Row],[CAREA]]</f>
        <v>0.52677780735590296</v>
      </c>
      <c r="AE46">
        <v>2.5507599999999999</v>
      </c>
      <c r="AF46">
        <f>(Table716256[[#This Row],[time]]-2)*2</f>
        <v>1.1015199999999998</v>
      </c>
      <c r="AG46">
        <v>75.596400000000003</v>
      </c>
      <c r="AH46">
        <v>16.9405</v>
      </c>
      <c r="AI46">
        <f>Table716256[[#This Row],[CFNM]]/Table716256[[#This Row],[CAREA]]</f>
        <v>0.22409135884777581</v>
      </c>
      <c r="AJ46">
        <v>2.5507599999999999</v>
      </c>
      <c r="AK46">
        <f>(Table817257[[#This Row],[time]]-2)*2</f>
        <v>1.1015199999999998</v>
      </c>
      <c r="AL46">
        <v>79.379800000000003</v>
      </c>
      <c r="AM46">
        <v>48.034700000000001</v>
      </c>
      <c r="AN46">
        <f>Table817257[[#This Row],[CFNM]]/Table817257[[#This Row],[CAREA]]</f>
        <v>0.60512498141844651</v>
      </c>
    </row>
    <row r="47" spans="1:40" x14ac:dyDescent="0.25">
      <c r="A47">
        <v>2.60453</v>
      </c>
      <c r="B47">
        <f>(Table110250[[#This Row],[time]]-2)*2</f>
        <v>1.20906</v>
      </c>
      <c r="C47">
        <v>70.533699999999996</v>
      </c>
      <c r="D47">
        <v>7.8077800000000002</v>
      </c>
      <c r="E47">
        <f>Table110250[[#This Row],[CFNM]]/Table110250[[#This Row],[CAREA]]</f>
        <v>0.11069573834918628</v>
      </c>
      <c r="F47">
        <v>2.60453</v>
      </c>
      <c r="G47">
        <f>(Table211251[[#This Row],[time]]-2)*2</f>
        <v>1.20906</v>
      </c>
      <c r="H47">
        <v>105.97499999999999</v>
      </c>
      <c r="I47">
        <v>23.894400000000001</v>
      </c>
      <c r="J47">
        <f>Table211251[[#This Row],[CFNM]]/Table211251[[#This Row],[CAREA]]</f>
        <v>0.22547204529370138</v>
      </c>
      <c r="K47">
        <v>2.60453</v>
      </c>
      <c r="L47">
        <f>(Table312252[[#This Row],[time]]-2)*2</f>
        <v>1.20906</v>
      </c>
      <c r="M47">
        <v>77.995999999999995</v>
      </c>
      <c r="N47">
        <v>1.8663000000000001</v>
      </c>
      <c r="O47">
        <f>Table312252[[#This Row],[CFNM]]/Table312252[[#This Row],[CAREA]]</f>
        <v>2.3928150161546747E-2</v>
      </c>
      <c r="P47">
        <v>2.60453</v>
      </c>
      <c r="Q47">
        <f>(Table413253[[#This Row],[time]]-2)*2</f>
        <v>1.20906</v>
      </c>
      <c r="R47">
        <v>89.066500000000005</v>
      </c>
      <c r="S47">
        <v>30.878900000000002</v>
      </c>
      <c r="T47">
        <f>Table413253[[#This Row],[CFNM]]/Table413253[[#This Row],[CAREA]]</f>
        <v>0.34669488528234521</v>
      </c>
      <c r="U47">
        <v>2.60453</v>
      </c>
      <c r="V47">
        <f>(Table514254[[#This Row],[time]]-2)*2</f>
        <v>1.20906</v>
      </c>
      <c r="W47">
        <v>66.770600000000002</v>
      </c>
      <c r="X47">
        <v>3.4061300000000001</v>
      </c>
      <c r="Y47">
        <f>Table514254[[#This Row],[CFNM]]/Table514254[[#This Row],[CAREA]]</f>
        <v>5.1012421634671547E-2</v>
      </c>
      <c r="Z47">
        <v>2.60453</v>
      </c>
      <c r="AA47">
        <f>(Table615255[[#This Row],[time]]-2)*2</f>
        <v>1.20906</v>
      </c>
      <c r="AB47">
        <v>94.309100000000001</v>
      </c>
      <c r="AC47">
        <v>53.180300000000003</v>
      </c>
      <c r="AD47">
        <f>Table615255[[#This Row],[CFNM]]/Table615255[[#This Row],[CAREA]]</f>
        <v>0.56389362214250804</v>
      </c>
      <c r="AE47">
        <v>2.60453</v>
      </c>
      <c r="AF47">
        <f>(Table716256[[#This Row],[time]]-2)*2</f>
        <v>1.20906</v>
      </c>
      <c r="AG47">
        <v>74.890900000000002</v>
      </c>
      <c r="AH47">
        <v>16.457100000000001</v>
      </c>
      <c r="AI47">
        <f>Table716256[[#This Row],[CFNM]]/Table716256[[#This Row],[CAREA]]</f>
        <v>0.21974765959549158</v>
      </c>
      <c r="AJ47">
        <v>2.60453</v>
      </c>
      <c r="AK47">
        <f>(Table817257[[#This Row],[time]]-2)*2</f>
        <v>1.20906</v>
      </c>
      <c r="AL47">
        <v>78.774500000000003</v>
      </c>
      <c r="AM47">
        <v>51.359200000000001</v>
      </c>
      <c r="AN47">
        <f>Table817257[[#This Row],[CFNM]]/Table817257[[#This Row],[CAREA]]</f>
        <v>0.65197748002208833</v>
      </c>
    </row>
    <row r="48" spans="1:40" x14ac:dyDescent="0.25">
      <c r="A48">
        <v>2.65273</v>
      </c>
      <c r="B48">
        <f>(Table110250[[#This Row],[time]]-2)*2</f>
        <v>1.3054600000000001</v>
      </c>
      <c r="C48">
        <v>67.129499999999993</v>
      </c>
      <c r="D48">
        <v>7.1730999999999998</v>
      </c>
      <c r="E48">
        <f>Table110250[[#This Row],[CFNM]]/Table110250[[#This Row],[CAREA]]</f>
        <v>0.10685466151244982</v>
      </c>
      <c r="F48">
        <v>2.65273</v>
      </c>
      <c r="G48">
        <f>(Table211251[[#This Row],[time]]-2)*2</f>
        <v>1.3054600000000001</v>
      </c>
      <c r="H48">
        <v>103.767</v>
      </c>
      <c r="I48">
        <v>27.910499999999999</v>
      </c>
      <c r="J48">
        <f>Table211251[[#This Row],[CFNM]]/Table211251[[#This Row],[CAREA]]</f>
        <v>0.26897279481916214</v>
      </c>
      <c r="K48">
        <v>2.65273</v>
      </c>
      <c r="L48">
        <f>(Table312252[[#This Row],[time]]-2)*2</f>
        <v>1.3054600000000001</v>
      </c>
      <c r="M48">
        <v>76.429599999999994</v>
      </c>
      <c r="N48">
        <v>1.52813</v>
      </c>
      <c r="O48">
        <f>Table312252[[#This Row],[CFNM]]/Table312252[[#This Row],[CAREA]]</f>
        <v>1.9993955221537206E-2</v>
      </c>
      <c r="P48">
        <v>2.65273</v>
      </c>
      <c r="Q48">
        <f>(Table413253[[#This Row],[time]]-2)*2</f>
        <v>1.3054600000000001</v>
      </c>
      <c r="R48">
        <v>88.376800000000003</v>
      </c>
      <c r="S48">
        <v>34.746000000000002</v>
      </c>
      <c r="T48">
        <f>Table413253[[#This Row],[CFNM]]/Table413253[[#This Row],[CAREA]]</f>
        <v>0.39315748024368385</v>
      </c>
      <c r="U48">
        <v>2.65273</v>
      </c>
      <c r="V48">
        <f>(Table514254[[#This Row],[time]]-2)*2</f>
        <v>1.3054600000000001</v>
      </c>
      <c r="W48">
        <v>65.689400000000006</v>
      </c>
      <c r="X48">
        <v>2.66797</v>
      </c>
      <c r="Y48">
        <f>Table514254[[#This Row],[CFNM]]/Table514254[[#This Row],[CAREA]]</f>
        <v>4.061492417345873E-2</v>
      </c>
      <c r="Z48">
        <v>2.65273</v>
      </c>
      <c r="AA48">
        <f>(Table615255[[#This Row],[time]]-2)*2</f>
        <v>1.3054600000000001</v>
      </c>
      <c r="AB48">
        <v>93.727099999999993</v>
      </c>
      <c r="AC48">
        <v>57.4099</v>
      </c>
      <c r="AD48">
        <f>Table615255[[#This Row],[CFNM]]/Table615255[[#This Row],[CAREA]]</f>
        <v>0.6125218853458605</v>
      </c>
      <c r="AE48">
        <v>2.65273</v>
      </c>
      <c r="AF48">
        <f>(Table716256[[#This Row],[time]]-2)*2</f>
        <v>1.3054600000000001</v>
      </c>
      <c r="AG48">
        <v>74.341399999999993</v>
      </c>
      <c r="AH48">
        <v>15.8154</v>
      </c>
      <c r="AI48">
        <f>Table716256[[#This Row],[CFNM]]/Table716256[[#This Row],[CAREA]]</f>
        <v>0.21274014210117112</v>
      </c>
      <c r="AJ48">
        <v>2.65273</v>
      </c>
      <c r="AK48">
        <f>(Table817257[[#This Row],[time]]-2)*2</f>
        <v>1.3054600000000001</v>
      </c>
      <c r="AL48">
        <v>78.078400000000002</v>
      </c>
      <c r="AM48">
        <v>55.190800000000003</v>
      </c>
      <c r="AN48">
        <f>Table817257[[#This Row],[CFNM]]/Table817257[[#This Row],[CAREA]]</f>
        <v>0.70686387016127383</v>
      </c>
    </row>
    <row r="49" spans="1:40" x14ac:dyDescent="0.25">
      <c r="A49">
        <v>2.7006199999999998</v>
      </c>
      <c r="B49">
        <f>(Table110250[[#This Row],[time]]-2)*2</f>
        <v>1.4012399999999996</v>
      </c>
      <c r="C49">
        <v>65.217799999999997</v>
      </c>
      <c r="D49">
        <v>6.73888</v>
      </c>
      <c r="E49">
        <f>Table110250[[#This Row],[CFNM]]/Table110250[[#This Row],[CAREA]]</f>
        <v>0.10332884580589963</v>
      </c>
      <c r="F49">
        <v>2.7006199999999998</v>
      </c>
      <c r="G49">
        <f>(Table211251[[#This Row],[time]]-2)*2</f>
        <v>1.4012399999999996</v>
      </c>
      <c r="H49">
        <v>101.855</v>
      </c>
      <c r="I49">
        <v>31.084900000000001</v>
      </c>
      <c r="J49">
        <f>Table211251[[#This Row],[CFNM]]/Table211251[[#This Row],[CAREA]]</f>
        <v>0.3051877669235678</v>
      </c>
      <c r="K49">
        <v>2.7006199999999998</v>
      </c>
      <c r="L49">
        <f>(Table312252[[#This Row],[time]]-2)*2</f>
        <v>1.4012399999999996</v>
      </c>
      <c r="M49">
        <v>76.283500000000004</v>
      </c>
      <c r="N49">
        <v>1.36704</v>
      </c>
      <c r="O49">
        <f>Table312252[[#This Row],[CFNM]]/Table312252[[#This Row],[CAREA]]</f>
        <v>1.7920520164911153E-2</v>
      </c>
      <c r="P49">
        <v>2.7006199999999998</v>
      </c>
      <c r="Q49">
        <f>(Table413253[[#This Row],[time]]-2)*2</f>
        <v>1.4012399999999996</v>
      </c>
      <c r="R49">
        <v>87.558000000000007</v>
      </c>
      <c r="S49">
        <v>37.791800000000002</v>
      </c>
      <c r="T49">
        <f>Table413253[[#This Row],[CFNM]]/Table413253[[#This Row],[CAREA]]</f>
        <v>0.431620183192855</v>
      </c>
      <c r="U49">
        <v>2.7006199999999998</v>
      </c>
      <c r="V49">
        <f>(Table514254[[#This Row],[time]]-2)*2</f>
        <v>1.4012399999999996</v>
      </c>
      <c r="W49">
        <v>65.205299999999994</v>
      </c>
      <c r="X49">
        <v>2.17923</v>
      </c>
      <c r="Y49">
        <f>Table514254[[#This Row],[CFNM]]/Table514254[[#This Row],[CAREA]]</f>
        <v>3.3421056263831316E-2</v>
      </c>
      <c r="Z49">
        <v>2.7006199999999998</v>
      </c>
      <c r="AA49">
        <f>(Table615255[[#This Row],[time]]-2)*2</f>
        <v>1.4012399999999996</v>
      </c>
      <c r="AB49">
        <v>93.410899999999998</v>
      </c>
      <c r="AC49">
        <v>60.767400000000002</v>
      </c>
      <c r="AD49">
        <f>Table615255[[#This Row],[CFNM]]/Table615255[[#This Row],[CAREA]]</f>
        <v>0.65053864163604036</v>
      </c>
      <c r="AE49">
        <v>2.7006199999999998</v>
      </c>
      <c r="AF49">
        <f>(Table716256[[#This Row],[time]]-2)*2</f>
        <v>1.4012399999999996</v>
      </c>
      <c r="AG49">
        <v>73.714200000000005</v>
      </c>
      <c r="AH49">
        <v>15.2684</v>
      </c>
      <c r="AI49">
        <f>Table716256[[#This Row],[CFNM]]/Table716256[[#This Row],[CAREA]]</f>
        <v>0.20712969821282737</v>
      </c>
      <c r="AJ49">
        <v>2.7006199999999998</v>
      </c>
      <c r="AK49">
        <f>(Table817257[[#This Row],[time]]-2)*2</f>
        <v>1.4012399999999996</v>
      </c>
      <c r="AL49">
        <v>77.407799999999995</v>
      </c>
      <c r="AM49">
        <v>57.915300000000002</v>
      </c>
      <c r="AN49">
        <f>Table817257[[#This Row],[CFNM]]/Table817257[[#This Row],[CAREA]]</f>
        <v>0.74818429150550725</v>
      </c>
    </row>
    <row r="50" spans="1:40" x14ac:dyDescent="0.25">
      <c r="A50">
        <v>2.75176</v>
      </c>
      <c r="B50">
        <f>(Table110250[[#This Row],[time]]-2)*2</f>
        <v>1.50352</v>
      </c>
      <c r="C50">
        <v>63.2425</v>
      </c>
      <c r="D50">
        <v>6.2907799999999998</v>
      </c>
      <c r="E50">
        <f>Table110250[[#This Row],[CFNM]]/Table110250[[#This Row],[CAREA]]</f>
        <v>9.9470767284658257E-2</v>
      </c>
      <c r="F50">
        <v>2.75176</v>
      </c>
      <c r="G50">
        <f>(Table211251[[#This Row],[time]]-2)*2</f>
        <v>1.50352</v>
      </c>
      <c r="H50">
        <v>100.178</v>
      </c>
      <c r="I50">
        <v>35.230899999999998</v>
      </c>
      <c r="J50">
        <f>Table211251[[#This Row],[CFNM]]/Table211251[[#This Row],[CAREA]]</f>
        <v>0.35168300425243065</v>
      </c>
      <c r="K50">
        <v>2.75176</v>
      </c>
      <c r="L50">
        <f>(Table312252[[#This Row],[time]]-2)*2</f>
        <v>1.50352</v>
      </c>
      <c r="M50">
        <v>74.795599999999993</v>
      </c>
      <c r="N50">
        <v>1.09612</v>
      </c>
      <c r="O50">
        <f>Table312252[[#This Row],[CFNM]]/Table312252[[#This Row],[CAREA]]</f>
        <v>1.4654872746525199E-2</v>
      </c>
      <c r="P50">
        <v>2.75176</v>
      </c>
      <c r="Q50">
        <f>(Table413253[[#This Row],[time]]-2)*2</f>
        <v>1.50352</v>
      </c>
      <c r="R50">
        <v>86.640299999999996</v>
      </c>
      <c r="S50">
        <v>41.766300000000001</v>
      </c>
      <c r="T50">
        <f>Table413253[[#This Row],[CFNM]]/Table413253[[#This Row],[CAREA]]</f>
        <v>0.4820655053133473</v>
      </c>
      <c r="U50">
        <v>2.75176</v>
      </c>
      <c r="V50">
        <f>(Table514254[[#This Row],[time]]-2)*2</f>
        <v>1.50352</v>
      </c>
      <c r="W50">
        <v>64.062299999999993</v>
      </c>
      <c r="X50">
        <v>1.6593800000000001</v>
      </c>
      <c r="Y50">
        <f>Table514254[[#This Row],[CFNM]]/Table514254[[#This Row],[CAREA]]</f>
        <v>2.5902597939817962E-2</v>
      </c>
      <c r="Z50">
        <v>2.75176</v>
      </c>
      <c r="AA50">
        <f>(Table615255[[#This Row],[time]]-2)*2</f>
        <v>1.50352</v>
      </c>
      <c r="AB50">
        <v>92.731899999999996</v>
      </c>
      <c r="AC50">
        <v>64.672300000000007</v>
      </c>
      <c r="AD50">
        <f>Table615255[[#This Row],[CFNM]]/Table615255[[#This Row],[CAREA]]</f>
        <v>0.69741157034418588</v>
      </c>
      <c r="AE50">
        <v>2.75176</v>
      </c>
      <c r="AF50">
        <f>(Table716256[[#This Row],[time]]-2)*2</f>
        <v>1.50352</v>
      </c>
      <c r="AG50">
        <v>73.270499999999998</v>
      </c>
      <c r="AH50">
        <v>14.6248</v>
      </c>
      <c r="AI50">
        <f>Table716256[[#This Row],[CFNM]]/Table716256[[#This Row],[CAREA]]</f>
        <v>0.19960011191407184</v>
      </c>
      <c r="AJ50">
        <v>2.75176</v>
      </c>
      <c r="AK50">
        <f>(Table817257[[#This Row],[time]]-2)*2</f>
        <v>1.50352</v>
      </c>
      <c r="AL50">
        <v>76.700299999999999</v>
      </c>
      <c r="AM50">
        <v>60.905299999999997</v>
      </c>
      <c r="AN50">
        <f>Table817257[[#This Row],[CFNM]]/Table817257[[#This Row],[CAREA]]</f>
        <v>0.79406860207847951</v>
      </c>
    </row>
    <row r="51" spans="1:40" x14ac:dyDescent="0.25">
      <c r="A51">
        <v>2.80444</v>
      </c>
      <c r="B51">
        <f>(Table110250[[#This Row],[time]]-2)*2</f>
        <v>1.6088800000000001</v>
      </c>
      <c r="C51">
        <v>61.143500000000003</v>
      </c>
      <c r="D51">
        <v>5.7690599999999996</v>
      </c>
      <c r="E51">
        <f>Table110250[[#This Row],[CFNM]]/Table110250[[#This Row],[CAREA]]</f>
        <v>9.4352793019699552E-2</v>
      </c>
      <c r="F51">
        <v>2.80444</v>
      </c>
      <c r="G51">
        <f>(Table211251[[#This Row],[time]]-2)*2</f>
        <v>1.6088800000000001</v>
      </c>
      <c r="H51">
        <v>98.575699999999998</v>
      </c>
      <c r="I51">
        <v>40.182400000000001</v>
      </c>
      <c r="J51">
        <f>Table211251[[#This Row],[CFNM]]/Table211251[[#This Row],[CAREA]]</f>
        <v>0.40762987227075237</v>
      </c>
      <c r="K51">
        <v>2.80444</v>
      </c>
      <c r="L51">
        <f>(Table312252[[#This Row],[time]]-2)*2</f>
        <v>1.6088800000000001</v>
      </c>
      <c r="M51">
        <v>71.653199999999998</v>
      </c>
      <c r="N51">
        <v>0.77573800000000004</v>
      </c>
      <c r="O51">
        <f>Table312252[[#This Row],[CFNM]]/Table312252[[#This Row],[CAREA]]</f>
        <v>1.0826285497367878E-2</v>
      </c>
      <c r="P51">
        <v>2.80444</v>
      </c>
      <c r="Q51">
        <f>(Table413253[[#This Row],[time]]-2)*2</f>
        <v>1.6088800000000001</v>
      </c>
      <c r="R51">
        <v>85.672300000000007</v>
      </c>
      <c r="S51">
        <v>46.354900000000001</v>
      </c>
      <c r="T51">
        <f>Table413253[[#This Row],[CFNM]]/Table413253[[#This Row],[CAREA]]</f>
        <v>0.5410722018668811</v>
      </c>
      <c r="U51">
        <v>2.80444</v>
      </c>
      <c r="V51">
        <f>(Table514254[[#This Row],[time]]-2)*2</f>
        <v>1.6088800000000001</v>
      </c>
      <c r="W51">
        <v>62.561500000000002</v>
      </c>
      <c r="X51">
        <v>1.03729</v>
      </c>
      <c r="Y51">
        <f>Table514254[[#This Row],[CFNM]]/Table514254[[#This Row],[CAREA]]</f>
        <v>1.6580324960239125E-2</v>
      </c>
      <c r="Z51">
        <v>2.80444</v>
      </c>
      <c r="AA51">
        <f>(Table615255[[#This Row],[time]]-2)*2</f>
        <v>1.6088800000000001</v>
      </c>
      <c r="AB51">
        <v>91.926299999999998</v>
      </c>
      <c r="AC51">
        <v>69.244900000000001</v>
      </c>
      <c r="AD51">
        <f>Table615255[[#This Row],[CFNM]]/Table615255[[#This Row],[CAREA]]</f>
        <v>0.75326538759854367</v>
      </c>
      <c r="AE51">
        <v>2.80444</v>
      </c>
      <c r="AF51">
        <f>(Table716256[[#This Row],[time]]-2)*2</f>
        <v>1.6088800000000001</v>
      </c>
      <c r="AG51">
        <v>72.194400000000002</v>
      </c>
      <c r="AH51">
        <v>13.805999999999999</v>
      </c>
      <c r="AI51">
        <f>Table716256[[#This Row],[CFNM]]/Table716256[[#This Row],[CAREA]]</f>
        <v>0.19123366909344769</v>
      </c>
      <c r="AJ51">
        <v>2.80444</v>
      </c>
      <c r="AK51">
        <f>(Table817257[[#This Row],[time]]-2)*2</f>
        <v>1.6088800000000001</v>
      </c>
      <c r="AL51">
        <v>75.882199999999997</v>
      </c>
      <c r="AM51">
        <v>64.356099999999998</v>
      </c>
      <c r="AN51">
        <f>Table817257[[#This Row],[CFNM]]/Table817257[[#This Row],[CAREA]]</f>
        <v>0.84810535277047849</v>
      </c>
    </row>
    <row r="52" spans="1:40" x14ac:dyDescent="0.25">
      <c r="A52">
        <v>2.8583699999999999</v>
      </c>
      <c r="B52">
        <f>(Table110250[[#This Row],[time]]-2)*2</f>
        <v>1.7167399999999997</v>
      </c>
      <c r="C52">
        <v>59.533700000000003</v>
      </c>
      <c r="D52">
        <v>5.3810500000000001</v>
      </c>
      <c r="E52">
        <f>Table110250[[#This Row],[CFNM]]/Table110250[[#This Row],[CAREA]]</f>
        <v>9.0386621358994987E-2</v>
      </c>
      <c r="F52">
        <v>2.8583699999999999</v>
      </c>
      <c r="G52">
        <f>(Table211251[[#This Row],[time]]-2)*2</f>
        <v>1.7167399999999997</v>
      </c>
      <c r="H52">
        <v>97.429299999999998</v>
      </c>
      <c r="I52">
        <v>44.004899999999999</v>
      </c>
      <c r="J52">
        <f>Table211251[[#This Row],[CFNM]]/Table211251[[#This Row],[CAREA]]</f>
        <v>0.45165981896616314</v>
      </c>
      <c r="K52">
        <v>2.8583699999999999</v>
      </c>
      <c r="L52">
        <f>(Table312252[[#This Row],[time]]-2)*2</f>
        <v>1.7167399999999997</v>
      </c>
      <c r="M52">
        <v>68.715699999999998</v>
      </c>
      <c r="N52">
        <v>0.53674999999999995</v>
      </c>
      <c r="O52">
        <f>Table312252[[#This Row],[CFNM]]/Table312252[[#This Row],[CAREA]]</f>
        <v>7.8111697908920374E-3</v>
      </c>
      <c r="P52">
        <v>2.8583699999999999</v>
      </c>
      <c r="Q52">
        <f>(Table413253[[#This Row],[time]]-2)*2</f>
        <v>1.7167399999999997</v>
      </c>
      <c r="R52">
        <v>84.920400000000001</v>
      </c>
      <c r="S52">
        <v>50.064500000000002</v>
      </c>
      <c r="T52">
        <f>Table413253[[#This Row],[CFNM]]/Table413253[[#This Row],[CAREA]]</f>
        <v>0.58954621033344168</v>
      </c>
      <c r="U52">
        <v>2.8583699999999999</v>
      </c>
      <c r="V52">
        <f>(Table514254[[#This Row],[time]]-2)*2</f>
        <v>1.7167399999999997</v>
      </c>
      <c r="W52">
        <v>61.634300000000003</v>
      </c>
      <c r="X52">
        <v>0.629633</v>
      </c>
      <c r="Y52">
        <f>Table514254[[#This Row],[CFNM]]/Table514254[[#This Row],[CAREA]]</f>
        <v>1.0215626688386175E-2</v>
      </c>
      <c r="Z52">
        <v>2.8583699999999999</v>
      </c>
      <c r="AA52">
        <f>(Table615255[[#This Row],[time]]-2)*2</f>
        <v>1.7167399999999997</v>
      </c>
      <c r="AB52">
        <v>91.306700000000006</v>
      </c>
      <c r="AC52">
        <v>72.800200000000004</v>
      </c>
      <c r="AD52">
        <f>Table615255[[#This Row],[CFNM]]/Table615255[[#This Row],[CAREA]]</f>
        <v>0.7973149834568547</v>
      </c>
      <c r="AE52">
        <v>2.8583699999999999</v>
      </c>
      <c r="AF52">
        <f>(Table716256[[#This Row],[time]]-2)*2</f>
        <v>1.7167399999999997</v>
      </c>
      <c r="AG52">
        <v>71.048000000000002</v>
      </c>
      <c r="AH52">
        <v>13.1302</v>
      </c>
      <c r="AI52">
        <f>Table716256[[#This Row],[CFNM]]/Table716256[[#This Row],[CAREA]]</f>
        <v>0.18480745411552754</v>
      </c>
      <c r="AJ52">
        <v>2.8583699999999999</v>
      </c>
      <c r="AK52">
        <f>(Table817257[[#This Row],[time]]-2)*2</f>
        <v>1.7167399999999997</v>
      </c>
      <c r="AL52">
        <v>75.114099999999993</v>
      </c>
      <c r="AM52">
        <v>67.2804</v>
      </c>
      <c r="AN52">
        <f>Table817257[[#This Row],[CFNM]]/Table817257[[#This Row],[CAREA]]</f>
        <v>0.89570932754303123</v>
      </c>
    </row>
    <row r="53" spans="1:40" x14ac:dyDescent="0.25">
      <c r="A53">
        <v>2.9134199999999999</v>
      </c>
      <c r="B53">
        <f>(Table110250[[#This Row],[time]]-2)*2</f>
        <v>1.8268399999999998</v>
      </c>
      <c r="C53">
        <v>58.733199999999997</v>
      </c>
      <c r="D53">
        <v>4.9646499999999998</v>
      </c>
      <c r="E53">
        <f>Table110250[[#This Row],[CFNM]]/Table110250[[#This Row],[CAREA]]</f>
        <v>8.4528852505908067E-2</v>
      </c>
      <c r="F53">
        <v>2.9134199999999999</v>
      </c>
      <c r="G53">
        <f>(Table211251[[#This Row],[time]]-2)*2</f>
        <v>1.8268399999999998</v>
      </c>
      <c r="H53">
        <v>96.229799999999997</v>
      </c>
      <c r="I53">
        <v>48.0779</v>
      </c>
      <c r="J53">
        <f>Table211251[[#This Row],[CFNM]]/Table211251[[#This Row],[CAREA]]</f>
        <v>0.49961550372130048</v>
      </c>
      <c r="K53">
        <v>2.9134199999999999</v>
      </c>
      <c r="L53">
        <f>(Table312252[[#This Row],[time]]-2)*2</f>
        <v>1.8268399999999998</v>
      </c>
      <c r="M53">
        <v>64.655299999999997</v>
      </c>
      <c r="N53">
        <v>0.33380199999999999</v>
      </c>
      <c r="O53">
        <f>Table312252[[#This Row],[CFNM]]/Table312252[[#This Row],[CAREA]]</f>
        <v>5.1627940787530181E-3</v>
      </c>
      <c r="P53">
        <v>2.9134199999999999</v>
      </c>
      <c r="Q53">
        <f>(Table413253[[#This Row],[time]]-2)*2</f>
        <v>1.8268399999999998</v>
      </c>
      <c r="R53">
        <v>83.936199999999999</v>
      </c>
      <c r="S53">
        <v>54.014299999999999</v>
      </c>
      <c r="T53">
        <f>Table413253[[#This Row],[CFNM]]/Table413253[[#This Row],[CAREA]]</f>
        <v>0.64351614678767921</v>
      </c>
      <c r="U53">
        <v>2.9134199999999999</v>
      </c>
      <c r="V53">
        <f>(Table514254[[#This Row],[time]]-2)*2</f>
        <v>1.8268399999999998</v>
      </c>
      <c r="W53">
        <v>61.1145</v>
      </c>
      <c r="X53">
        <v>0.31695899999999999</v>
      </c>
      <c r="Y53">
        <f>Table514254[[#This Row],[CFNM]]/Table514254[[#This Row],[CAREA]]</f>
        <v>5.1863142134845252E-3</v>
      </c>
      <c r="Z53">
        <v>2.9134199999999999</v>
      </c>
      <c r="AA53">
        <f>(Table615255[[#This Row],[time]]-2)*2</f>
        <v>1.8268399999999998</v>
      </c>
      <c r="AB53">
        <v>90.559799999999996</v>
      </c>
      <c r="AC53">
        <v>76.4833</v>
      </c>
      <c r="AD53">
        <f>Table615255[[#This Row],[CFNM]]/Table615255[[#This Row],[CAREA]]</f>
        <v>0.84456127332436692</v>
      </c>
      <c r="AE53">
        <v>2.9134199999999999</v>
      </c>
      <c r="AF53">
        <f>(Table716256[[#This Row],[time]]-2)*2</f>
        <v>1.8268399999999998</v>
      </c>
      <c r="AG53">
        <v>70.757900000000006</v>
      </c>
      <c r="AH53">
        <v>12.3071</v>
      </c>
      <c r="AI53">
        <f>Table716256[[#This Row],[CFNM]]/Table716256[[#This Row],[CAREA]]</f>
        <v>0.17393252202227594</v>
      </c>
      <c r="AJ53">
        <v>2.9134199999999999</v>
      </c>
      <c r="AK53">
        <f>(Table817257[[#This Row],[time]]-2)*2</f>
        <v>1.8268399999999998</v>
      </c>
      <c r="AL53">
        <v>74.373000000000005</v>
      </c>
      <c r="AM53">
        <v>70.485399999999998</v>
      </c>
      <c r="AN53">
        <f>Table817257[[#This Row],[CFNM]]/Table817257[[#This Row],[CAREA]]</f>
        <v>0.94772834227475011</v>
      </c>
    </row>
    <row r="54" spans="1:40" x14ac:dyDescent="0.25">
      <c r="A54">
        <v>2.9619599999999999</v>
      </c>
      <c r="B54">
        <f>(Table110250[[#This Row],[time]]-2)*2</f>
        <v>1.9239199999999999</v>
      </c>
      <c r="C54">
        <v>58.404200000000003</v>
      </c>
      <c r="D54">
        <v>4.6214700000000004</v>
      </c>
      <c r="E54">
        <f>Table110250[[#This Row],[CFNM]]/Table110250[[#This Row],[CAREA]]</f>
        <v>7.9129069484728837E-2</v>
      </c>
      <c r="F54">
        <v>2.9619599999999999</v>
      </c>
      <c r="G54">
        <f>(Table211251[[#This Row],[time]]-2)*2</f>
        <v>1.9239199999999999</v>
      </c>
      <c r="H54">
        <v>94.97</v>
      </c>
      <c r="I54">
        <v>51.525500000000001</v>
      </c>
      <c r="J54">
        <f>Table211251[[#This Row],[CFNM]]/Table211251[[#This Row],[CAREA]]</f>
        <v>0.54254501421501533</v>
      </c>
      <c r="K54">
        <v>2.9619599999999999</v>
      </c>
      <c r="L54">
        <f>(Table312252[[#This Row],[time]]-2)*2</f>
        <v>1.9239199999999999</v>
      </c>
      <c r="M54">
        <v>62.744500000000002</v>
      </c>
      <c r="N54">
        <v>0.203348</v>
      </c>
      <c r="O54">
        <f>Table312252[[#This Row],[CFNM]]/Table312252[[#This Row],[CAREA]]</f>
        <v>3.2408896397293787E-3</v>
      </c>
      <c r="P54">
        <v>2.9619599999999999</v>
      </c>
      <c r="Q54">
        <f>(Table413253[[#This Row],[time]]-2)*2</f>
        <v>1.9239199999999999</v>
      </c>
      <c r="R54">
        <v>83.122699999999995</v>
      </c>
      <c r="S54">
        <v>57.499400000000001</v>
      </c>
      <c r="T54">
        <f>Table413253[[#This Row],[CFNM]]/Table413253[[#This Row],[CAREA]]</f>
        <v>0.69174124517129498</v>
      </c>
      <c r="U54">
        <v>2.9619599999999999</v>
      </c>
      <c r="V54">
        <f>(Table514254[[#This Row],[time]]-2)*2</f>
        <v>1.9239199999999999</v>
      </c>
      <c r="W54">
        <v>60.1477</v>
      </c>
      <c r="X54">
        <v>0.17800299999999999</v>
      </c>
      <c r="Y54">
        <f>Table514254[[#This Row],[CFNM]]/Table514254[[#This Row],[CAREA]]</f>
        <v>2.9594315327103114E-3</v>
      </c>
      <c r="Z54">
        <v>2.9619599999999999</v>
      </c>
      <c r="AA54">
        <f>(Table615255[[#This Row],[time]]-2)*2</f>
        <v>1.9239199999999999</v>
      </c>
      <c r="AB54">
        <v>89.943299999999994</v>
      </c>
      <c r="AC54">
        <v>80.052400000000006</v>
      </c>
      <c r="AD54">
        <f>Table615255[[#This Row],[CFNM]]/Table615255[[#This Row],[CAREA]]</f>
        <v>0.89003183116474505</v>
      </c>
      <c r="AE54">
        <v>2.9619599999999999</v>
      </c>
      <c r="AF54">
        <f>(Table716256[[#This Row],[time]]-2)*2</f>
        <v>1.9239199999999999</v>
      </c>
      <c r="AG54">
        <v>70.514799999999994</v>
      </c>
      <c r="AH54">
        <v>11.5359</v>
      </c>
      <c r="AI54">
        <f>Table716256[[#This Row],[CFNM]]/Table716256[[#This Row],[CAREA]]</f>
        <v>0.16359544379335969</v>
      </c>
      <c r="AJ54">
        <v>2.9619599999999999</v>
      </c>
      <c r="AK54">
        <f>(Table817257[[#This Row],[time]]-2)*2</f>
        <v>1.9239199999999999</v>
      </c>
      <c r="AL54">
        <v>73.707499999999996</v>
      </c>
      <c r="AM54">
        <v>73.270300000000006</v>
      </c>
      <c r="AN54">
        <f>Table817257[[#This Row],[CFNM]]/Table817257[[#This Row],[CAREA]]</f>
        <v>0.99406844622324742</v>
      </c>
    </row>
    <row r="55" spans="1:40" x14ac:dyDescent="0.25">
      <c r="A55">
        <v>3</v>
      </c>
      <c r="B55">
        <f>(Table110250[[#This Row],[time]]-2)*2</f>
        <v>2</v>
      </c>
      <c r="C55">
        <v>57.285400000000003</v>
      </c>
      <c r="D55">
        <v>4.2951699999999997</v>
      </c>
      <c r="E55">
        <f>Table110250[[#This Row],[CFNM]]/Table110250[[#This Row],[CAREA]]</f>
        <v>7.4978441278231445E-2</v>
      </c>
      <c r="F55">
        <v>3</v>
      </c>
      <c r="G55">
        <f>(Table211251[[#This Row],[time]]-2)*2</f>
        <v>2</v>
      </c>
      <c r="H55">
        <v>93.8279</v>
      </c>
      <c r="I55">
        <v>54.982599999999998</v>
      </c>
      <c r="J55">
        <f>Table211251[[#This Row],[CFNM]]/Table211251[[#This Row],[CAREA]]</f>
        <v>0.58599414459878141</v>
      </c>
      <c r="K55">
        <v>3</v>
      </c>
      <c r="L55">
        <f>(Table312252[[#This Row],[time]]-2)*2</f>
        <v>2</v>
      </c>
      <c r="M55">
        <v>57.7836</v>
      </c>
      <c r="N55">
        <v>8.2838700000000001E-2</v>
      </c>
      <c r="O55">
        <f>Table312252[[#This Row],[CFNM]]/Table312252[[#This Row],[CAREA]]</f>
        <v>1.4336022677714784E-3</v>
      </c>
      <c r="P55">
        <v>3</v>
      </c>
      <c r="Q55">
        <f>(Table413253[[#This Row],[time]]-2)*2</f>
        <v>2</v>
      </c>
      <c r="R55">
        <v>82.312200000000004</v>
      </c>
      <c r="S55">
        <v>61.0747</v>
      </c>
      <c r="T55">
        <f>Table413253[[#This Row],[CFNM]]/Table413253[[#This Row],[CAREA]]</f>
        <v>0.74198842941872523</v>
      </c>
      <c r="U55">
        <v>3</v>
      </c>
      <c r="V55">
        <f>(Table514254[[#This Row],[time]]-2)*2</f>
        <v>2</v>
      </c>
      <c r="W55">
        <v>60.001300000000001</v>
      </c>
      <c r="X55">
        <v>7.2799799999999998E-2</v>
      </c>
      <c r="Y55">
        <f>Table514254[[#This Row],[CFNM]]/Table514254[[#This Row],[CAREA]]</f>
        <v>1.213303711752912E-3</v>
      </c>
      <c r="Z55">
        <v>3</v>
      </c>
      <c r="AA55">
        <f>(Table615255[[#This Row],[time]]-2)*2</f>
        <v>2</v>
      </c>
      <c r="AB55">
        <v>89.376400000000004</v>
      </c>
      <c r="AC55">
        <v>83.857399999999998</v>
      </c>
      <c r="AD55">
        <f>Table615255[[#This Row],[CFNM]]/Table615255[[#This Row],[CAREA]]</f>
        <v>0.93824991832295768</v>
      </c>
      <c r="AE55">
        <v>3</v>
      </c>
      <c r="AF55">
        <f>(Table716256[[#This Row],[time]]-2)*2</f>
        <v>2</v>
      </c>
      <c r="AG55">
        <v>69.865700000000004</v>
      </c>
      <c r="AH55">
        <v>10.762700000000001</v>
      </c>
      <c r="AI55">
        <f>Table716256[[#This Row],[CFNM]]/Table716256[[#This Row],[CAREA]]</f>
        <v>0.15404841002094016</v>
      </c>
      <c r="AJ55">
        <v>3</v>
      </c>
      <c r="AK55">
        <f>(Table817257[[#This Row],[time]]-2)*2</f>
        <v>2</v>
      </c>
      <c r="AL55">
        <v>73.053600000000003</v>
      </c>
      <c r="AM55">
        <v>76.155100000000004</v>
      </c>
      <c r="AN55">
        <f>Table817257[[#This Row],[CFNM]]/Table817257[[#This Row],[CAREA]]</f>
        <v>1.0424551288369088</v>
      </c>
    </row>
    <row r="58" spans="1:40" x14ac:dyDescent="0.25">
      <c r="A58" s="1" t="s">
        <v>18</v>
      </c>
    </row>
    <row r="59" spans="1:40" x14ac:dyDescent="0.25">
      <c r="A59" t="s">
        <v>36</v>
      </c>
      <c r="E59" t="s">
        <v>1</v>
      </c>
    </row>
    <row r="60" spans="1:40" x14ac:dyDescent="0.25">
      <c r="A60" t="s">
        <v>37</v>
      </c>
      <c r="E60" t="s">
        <v>2</v>
      </c>
      <c r="F60" t="s">
        <v>3</v>
      </c>
    </row>
    <row r="61" spans="1:40" x14ac:dyDescent="0.25">
      <c r="E61" t="s">
        <v>4</v>
      </c>
    </row>
    <row r="63" spans="1:40" x14ac:dyDescent="0.25">
      <c r="A63" t="s">
        <v>5</v>
      </c>
      <c r="F63" t="s">
        <v>6</v>
      </c>
      <c r="K63" t="s">
        <v>7</v>
      </c>
      <c r="P63" t="s">
        <v>19</v>
      </c>
      <c r="U63" t="s">
        <v>8</v>
      </c>
      <c r="Z63" t="s">
        <v>9</v>
      </c>
      <c r="AE63" t="s">
        <v>10</v>
      </c>
      <c r="AJ63" t="s">
        <v>11</v>
      </c>
    </row>
    <row r="64" spans="1:40" x14ac:dyDescent="0.25">
      <c r="A64" t="s">
        <v>12</v>
      </c>
      <c r="B64" t="s">
        <v>13</v>
      </c>
      <c r="C64" t="s">
        <v>14</v>
      </c>
      <c r="D64" t="s">
        <v>15</v>
      </c>
      <c r="E64" s="2" t="s">
        <v>16</v>
      </c>
      <c r="F64" t="s">
        <v>12</v>
      </c>
      <c r="G64" t="s">
        <v>13</v>
      </c>
      <c r="H64" t="s">
        <v>14</v>
      </c>
      <c r="I64" t="s">
        <v>15</v>
      </c>
      <c r="J64" s="2" t="s">
        <v>16</v>
      </c>
      <c r="K64" t="s">
        <v>12</v>
      </c>
      <c r="L64" t="s">
        <v>13</v>
      </c>
      <c r="M64" t="s">
        <v>17</v>
      </c>
      <c r="N64" t="s">
        <v>15</v>
      </c>
      <c r="O64" t="s">
        <v>16</v>
      </c>
      <c r="P64" t="s">
        <v>12</v>
      </c>
      <c r="Q64" t="s">
        <v>13</v>
      </c>
      <c r="R64" t="s">
        <v>17</v>
      </c>
      <c r="S64" t="s">
        <v>15</v>
      </c>
      <c r="T64" t="s">
        <v>16</v>
      </c>
      <c r="U64" t="s">
        <v>12</v>
      </c>
      <c r="V64" t="s">
        <v>13</v>
      </c>
      <c r="W64" t="s">
        <v>17</v>
      </c>
      <c r="X64" t="s">
        <v>15</v>
      </c>
      <c r="Y64" t="s">
        <v>16</v>
      </c>
      <c r="Z64" t="s">
        <v>12</v>
      </c>
      <c r="AA64" t="s">
        <v>13</v>
      </c>
      <c r="AB64" t="s">
        <v>17</v>
      </c>
      <c r="AC64" t="s">
        <v>15</v>
      </c>
      <c r="AD64" t="s">
        <v>16</v>
      </c>
      <c r="AE64" t="s">
        <v>12</v>
      </c>
      <c r="AF64" t="s">
        <v>13</v>
      </c>
      <c r="AG64" t="s">
        <v>17</v>
      </c>
      <c r="AH64" t="s">
        <v>15</v>
      </c>
      <c r="AI64" t="s">
        <v>16</v>
      </c>
      <c r="AJ64" t="s">
        <v>12</v>
      </c>
      <c r="AK64" t="s">
        <v>13</v>
      </c>
      <c r="AL64" t="s">
        <v>17</v>
      </c>
      <c r="AM64" t="s">
        <v>15</v>
      </c>
      <c r="AN64" t="s">
        <v>16</v>
      </c>
    </row>
    <row r="65" spans="1:40" x14ac:dyDescent="0.25">
      <c r="A65">
        <v>2</v>
      </c>
      <c r="B65">
        <f>-(Table219266[[#This Row],[time]]-2)*2</f>
        <v>0</v>
      </c>
      <c r="C65">
        <v>91.921300000000002</v>
      </c>
      <c r="D65">
        <v>9.3756500000000003</v>
      </c>
      <c r="E65">
        <f>Table219266[[#This Row],[CFNM]]/Table219266[[#This Row],[CAREA ]]</f>
        <v>0.10199649047609205</v>
      </c>
      <c r="F65">
        <v>2</v>
      </c>
      <c r="G65">
        <f>-(Table320267[[#This Row],[time]]-2)*2</f>
        <v>0</v>
      </c>
      <c r="H65">
        <v>94.718199999999996</v>
      </c>
      <c r="I65">
        <v>2.8455900000000001</v>
      </c>
      <c r="J65" s="2">
        <f>Table320267[[#This Row],[CFNM]]/Table320267[[#This Row],[CAREA ]]</f>
        <v>3.0042695068107292E-2</v>
      </c>
      <c r="K65">
        <v>2</v>
      </c>
      <c r="L65">
        <f>-(Table421268[[#This Row],[time]]-2)*2</f>
        <v>0</v>
      </c>
      <c r="M65">
        <v>89.822999999999993</v>
      </c>
      <c r="N65">
        <v>2.7683800000000001</v>
      </c>
      <c r="O65">
        <f>Table421268[[#This Row],[CFNM]]/Table421268[[#This Row],[CAREA]]</f>
        <v>3.0820391213831649E-2</v>
      </c>
      <c r="P65">
        <v>2</v>
      </c>
      <c r="Q65">
        <f>-(Table16273[[#This Row],[time]]-2)*2</f>
        <v>0</v>
      </c>
      <c r="R65">
        <v>84.903199999999998</v>
      </c>
      <c r="S65">
        <v>4.4528400000000001</v>
      </c>
      <c r="T65">
        <f>Table16273[[#This Row],[CFNM]]/Table16273[[#This Row],[CAREA]]</f>
        <v>5.2446079770844915E-2</v>
      </c>
      <c r="U65">
        <v>2</v>
      </c>
      <c r="V65">
        <f>-(Table622269[[#This Row],[time]]-2)*2</f>
        <v>0</v>
      </c>
      <c r="W65">
        <v>83.020300000000006</v>
      </c>
      <c r="X65">
        <v>8.6436100000000007</v>
      </c>
      <c r="Y65">
        <f>Table622269[[#This Row],[CFNM]]/Table622269[[#This Row],[CAREA]]</f>
        <v>0.10411441538997089</v>
      </c>
      <c r="Z65">
        <v>2</v>
      </c>
      <c r="AA65">
        <f>-(Table723270[[#This Row],[time]]-2)*2</f>
        <v>0</v>
      </c>
      <c r="AB65">
        <v>88.872600000000006</v>
      </c>
      <c r="AC65">
        <v>13.6356</v>
      </c>
      <c r="AD65">
        <f>Table723270[[#This Row],[CFNM]]/Table723270[[#This Row],[CAREA]]</f>
        <v>0.1534286157938442</v>
      </c>
      <c r="AE65">
        <v>2</v>
      </c>
      <c r="AF65">
        <f>-(Table824271[[#This Row],[time]]-2)*2</f>
        <v>0</v>
      </c>
      <c r="AG65">
        <v>78.913399999999996</v>
      </c>
      <c r="AH65">
        <v>19.2013</v>
      </c>
      <c r="AI65">
        <f>Table824271[[#This Row],[CFNM]]/Table824271[[#This Row],[CAREA]]</f>
        <v>0.24332115965095916</v>
      </c>
      <c r="AJ65">
        <v>2</v>
      </c>
      <c r="AK65">
        <f>-(Table925272[[#This Row],[time]]-2)*2</f>
        <v>0</v>
      </c>
      <c r="AL65">
        <v>83.194400000000002</v>
      </c>
      <c r="AM65">
        <v>18.7179</v>
      </c>
      <c r="AN65">
        <f>Table925272[[#This Row],[CFNM]]/Table925272[[#This Row],[CAREA]]</f>
        <v>0.22498990316655929</v>
      </c>
    </row>
    <row r="66" spans="1:40" x14ac:dyDescent="0.25">
      <c r="A66">
        <v>2.0512600000000001</v>
      </c>
      <c r="B66">
        <f>-(Table219266[[#This Row],[time]]-2)*2</f>
        <v>-0.10252000000000017</v>
      </c>
      <c r="C66">
        <v>92.266499999999994</v>
      </c>
      <c r="D66">
        <v>11.079000000000001</v>
      </c>
      <c r="E66">
        <f>Table219266[[#This Row],[CFNM]]/Table219266[[#This Row],[CAREA ]]</f>
        <v>0.1200760839524638</v>
      </c>
      <c r="F66">
        <v>2.0512600000000001</v>
      </c>
      <c r="G66">
        <f>-(Table320267[[#This Row],[time]]-2)*2</f>
        <v>-0.10252000000000017</v>
      </c>
      <c r="H66">
        <v>94.908199999999994</v>
      </c>
      <c r="I66">
        <v>2.98434</v>
      </c>
      <c r="J66" s="2">
        <f>Table320267[[#This Row],[CFNM]]/Table320267[[#This Row],[CAREA ]]</f>
        <v>3.1444490570888502E-2</v>
      </c>
      <c r="K66">
        <v>2.0512600000000001</v>
      </c>
      <c r="L66">
        <f>-(Table421268[[#This Row],[time]]-2)*2</f>
        <v>-0.10252000000000017</v>
      </c>
      <c r="M66">
        <v>90.147300000000001</v>
      </c>
      <c r="N66">
        <v>4.5376399999999997</v>
      </c>
      <c r="O66">
        <f>Table421268[[#This Row],[CFNM]]/Table421268[[#This Row],[CAREA]]</f>
        <v>5.0335839232012493E-2</v>
      </c>
      <c r="P66">
        <v>2.0512600000000001</v>
      </c>
      <c r="Q66">
        <f>-(Table16273[[#This Row],[time]]-2)*2</f>
        <v>-0.10252000000000017</v>
      </c>
      <c r="R66">
        <v>85.254800000000003</v>
      </c>
      <c r="S66">
        <v>4.8687199999999997</v>
      </c>
      <c r="T66">
        <f>Table16273[[#This Row],[CFNM]]/Table16273[[#This Row],[CAREA]]</f>
        <v>5.7107869586228571E-2</v>
      </c>
      <c r="U66">
        <v>2.0512600000000001</v>
      </c>
      <c r="V66">
        <f>-(Table622269[[#This Row],[time]]-2)*2</f>
        <v>-0.10252000000000017</v>
      </c>
      <c r="W66">
        <v>82.875100000000003</v>
      </c>
      <c r="X66">
        <v>10.8858</v>
      </c>
      <c r="Y66">
        <f>Table622269[[#This Row],[CFNM]]/Table622269[[#This Row],[CAREA]]</f>
        <v>0.13135187770512494</v>
      </c>
      <c r="Z66">
        <v>2.0512600000000001</v>
      </c>
      <c r="AA66">
        <f>-(Table723270[[#This Row],[time]]-2)*2</f>
        <v>-0.10252000000000017</v>
      </c>
      <c r="AB66">
        <v>88.915300000000002</v>
      </c>
      <c r="AC66">
        <v>13.995699999999999</v>
      </c>
      <c r="AD66">
        <f>Table723270[[#This Row],[CFNM]]/Table723270[[#This Row],[CAREA]]</f>
        <v>0.15740485608213658</v>
      </c>
      <c r="AE66">
        <v>2.0512600000000001</v>
      </c>
      <c r="AF66">
        <f>-(Table824271[[#This Row],[time]]-2)*2</f>
        <v>-0.10252000000000017</v>
      </c>
      <c r="AG66">
        <v>79.430899999999994</v>
      </c>
      <c r="AH66">
        <v>20.322299999999998</v>
      </c>
      <c r="AI66">
        <f>Table824271[[#This Row],[CFNM]]/Table824271[[#This Row],[CAREA]]</f>
        <v>0.25584879436088476</v>
      </c>
      <c r="AJ66">
        <v>2.0512600000000001</v>
      </c>
      <c r="AK66">
        <f>-(Table925272[[#This Row],[time]]-2)*2</f>
        <v>-0.10252000000000017</v>
      </c>
      <c r="AL66">
        <v>83.076899999999995</v>
      </c>
      <c r="AM66">
        <v>18.0167</v>
      </c>
      <c r="AN66">
        <f>Table925272[[#This Row],[CFNM]]/Table925272[[#This Row],[CAREA]]</f>
        <v>0.21686774542622558</v>
      </c>
    </row>
    <row r="67" spans="1:40" x14ac:dyDescent="0.25">
      <c r="A67">
        <v>2.1153300000000002</v>
      </c>
      <c r="B67">
        <f>-(Table219266[[#This Row],[time]]-2)*2</f>
        <v>-0.23066000000000031</v>
      </c>
      <c r="C67">
        <v>91.971999999999994</v>
      </c>
      <c r="D67">
        <v>12.291399999999999</v>
      </c>
      <c r="E67">
        <f>Table219266[[#This Row],[CFNM]]/Table219266[[#This Row],[CAREA ]]</f>
        <v>0.13364284782325056</v>
      </c>
      <c r="F67">
        <v>2.1153300000000002</v>
      </c>
      <c r="G67">
        <f>-(Table320267[[#This Row],[time]]-2)*2</f>
        <v>-0.23066000000000031</v>
      </c>
      <c r="H67">
        <v>95.470200000000006</v>
      </c>
      <c r="I67">
        <v>2.34362</v>
      </c>
      <c r="J67" s="2">
        <f>Table320267[[#This Row],[CFNM]]/Table320267[[#This Row],[CAREA ]]</f>
        <v>2.4548183621695564E-2</v>
      </c>
      <c r="K67">
        <v>2.1153300000000002</v>
      </c>
      <c r="L67">
        <f>-(Table421268[[#This Row],[time]]-2)*2</f>
        <v>-0.23066000000000031</v>
      </c>
      <c r="M67">
        <v>90.485600000000005</v>
      </c>
      <c r="N67">
        <v>6.1895499999999997</v>
      </c>
      <c r="O67">
        <f>Table421268[[#This Row],[CFNM]]/Table421268[[#This Row],[CAREA]]</f>
        <v>6.8403701804486017E-2</v>
      </c>
      <c r="P67">
        <v>2.1153300000000002</v>
      </c>
      <c r="Q67">
        <f>-(Table16273[[#This Row],[time]]-2)*2</f>
        <v>-0.23066000000000031</v>
      </c>
      <c r="R67">
        <v>84.661799999999999</v>
      </c>
      <c r="S67">
        <v>4.2221200000000003</v>
      </c>
      <c r="T67">
        <f>Table16273[[#This Row],[CFNM]]/Table16273[[#This Row],[CAREA]]</f>
        <v>4.9870425622890138E-2</v>
      </c>
      <c r="U67">
        <v>2.1153300000000002</v>
      </c>
      <c r="V67">
        <f>-(Table622269[[#This Row],[time]]-2)*2</f>
        <v>-0.23066000000000031</v>
      </c>
      <c r="W67">
        <v>82.733599999999996</v>
      </c>
      <c r="X67">
        <v>12.8706</v>
      </c>
      <c r="Y67">
        <f>Table622269[[#This Row],[CFNM]]/Table622269[[#This Row],[CAREA]]</f>
        <v>0.15556678302406762</v>
      </c>
      <c r="Z67">
        <v>2.1153300000000002</v>
      </c>
      <c r="AA67">
        <f>-(Table723270[[#This Row],[time]]-2)*2</f>
        <v>-0.23066000000000031</v>
      </c>
      <c r="AB67">
        <v>86.828100000000006</v>
      </c>
      <c r="AC67">
        <v>12.237</v>
      </c>
      <c r="AD67">
        <f>Table723270[[#This Row],[CFNM]]/Table723270[[#This Row],[CAREA]]</f>
        <v>0.14093363784304849</v>
      </c>
      <c r="AE67">
        <v>2.1153300000000002</v>
      </c>
      <c r="AF67">
        <f>-(Table824271[[#This Row],[time]]-2)*2</f>
        <v>-0.23066000000000031</v>
      </c>
      <c r="AG67">
        <v>80.120099999999994</v>
      </c>
      <c r="AH67">
        <v>21.6356</v>
      </c>
      <c r="AI67">
        <f>Table824271[[#This Row],[CFNM]]/Table824271[[#This Row],[CAREA]]</f>
        <v>0.27003960304592733</v>
      </c>
      <c r="AJ67">
        <v>2.1153300000000002</v>
      </c>
      <c r="AK67">
        <f>-(Table925272[[#This Row],[time]]-2)*2</f>
        <v>-0.23066000000000031</v>
      </c>
      <c r="AL67">
        <v>82.755399999999995</v>
      </c>
      <c r="AM67">
        <v>16.921900000000001</v>
      </c>
      <c r="AN67">
        <f>Table925272[[#This Row],[CFNM]]/Table925272[[#This Row],[CAREA]]</f>
        <v>0.20448091604898294</v>
      </c>
    </row>
    <row r="68" spans="1:40" x14ac:dyDescent="0.25">
      <c r="A68">
        <v>2.1747100000000001</v>
      </c>
      <c r="B68">
        <f>-(Table219266[[#This Row],[time]]-2)*2</f>
        <v>-0.34942000000000029</v>
      </c>
      <c r="C68">
        <v>91.920199999999994</v>
      </c>
      <c r="D68">
        <v>13.0108</v>
      </c>
      <c r="E68">
        <f>Table219266[[#This Row],[CFNM]]/Table219266[[#This Row],[CAREA ]]</f>
        <v>0.14154451361071888</v>
      </c>
      <c r="F68">
        <v>2.1747100000000001</v>
      </c>
      <c r="G68">
        <f>-(Table320267[[#This Row],[time]]-2)*2</f>
        <v>-0.34942000000000029</v>
      </c>
      <c r="H68">
        <v>95.328599999999994</v>
      </c>
      <c r="I68">
        <v>1.8205100000000001</v>
      </c>
      <c r="J68" s="2">
        <f>Table320267[[#This Row],[CFNM]]/Table320267[[#This Row],[CAREA ]]</f>
        <v>1.9097206924259879E-2</v>
      </c>
      <c r="K68">
        <v>2.1747100000000001</v>
      </c>
      <c r="L68">
        <f>-(Table421268[[#This Row],[time]]-2)*2</f>
        <v>-0.34942000000000029</v>
      </c>
      <c r="M68">
        <v>90.418099999999995</v>
      </c>
      <c r="N68">
        <v>7.3320100000000004</v>
      </c>
      <c r="O68">
        <f>Table421268[[#This Row],[CFNM]]/Table421268[[#This Row],[CAREA]]</f>
        <v>8.1090069355582578E-2</v>
      </c>
      <c r="P68">
        <v>2.1747100000000001</v>
      </c>
      <c r="Q68">
        <f>-(Table16273[[#This Row],[time]]-2)*2</f>
        <v>-0.34942000000000029</v>
      </c>
      <c r="R68">
        <v>83.652900000000002</v>
      </c>
      <c r="S68">
        <v>4.0078699999999996</v>
      </c>
      <c r="T68">
        <f>Table16273[[#This Row],[CFNM]]/Table16273[[#This Row],[CAREA]]</f>
        <v>4.7910712001616194E-2</v>
      </c>
      <c r="U68">
        <v>2.1747100000000001</v>
      </c>
      <c r="V68">
        <f>-(Table622269[[#This Row],[time]]-2)*2</f>
        <v>-0.34942000000000029</v>
      </c>
      <c r="W68">
        <v>83.659499999999994</v>
      </c>
      <c r="X68">
        <v>14.162599999999999</v>
      </c>
      <c r="Y68">
        <f>Table622269[[#This Row],[CFNM]]/Table622269[[#This Row],[CAREA]]</f>
        <v>0.16928860440236912</v>
      </c>
      <c r="Z68">
        <v>2.1747100000000001</v>
      </c>
      <c r="AA68">
        <f>-(Table723270[[#This Row],[time]]-2)*2</f>
        <v>-0.34942000000000029</v>
      </c>
      <c r="AB68">
        <v>85.016000000000005</v>
      </c>
      <c r="AC68">
        <v>10.2684</v>
      </c>
      <c r="AD68">
        <f>Table723270[[#This Row],[CFNM]]/Table723270[[#This Row],[CAREA]]</f>
        <v>0.12078197045262068</v>
      </c>
      <c r="AE68">
        <v>2.1747100000000001</v>
      </c>
      <c r="AF68">
        <f>-(Table824271[[#This Row],[time]]-2)*2</f>
        <v>-0.34942000000000029</v>
      </c>
      <c r="AG68">
        <v>80.498500000000007</v>
      </c>
      <c r="AH68">
        <v>23.019600000000001</v>
      </c>
      <c r="AI68">
        <f>Table824271[[#This Row],[CFNM]]/Table824271[[#This Row],[CAREA]]</f>
        <v>0.28596309247998408</v>
      </c>
      <c r="AJ68">
        <v>2.1747100000000001</v>
      </c>
      <c r="AK68">
        <f>-(Table925272[[#This Row],[time]]-2)*2</f>
        <v>-0.34942000000000029</v>
      </c>
      <c r="AL68">
        <v>82.588499999999996</v>
      </c>
      <c r="AM68">
        <v>16.116800000000001</v>
      </c>
      <c r="AN68">
        <f>Table925272[[#This Row],[CFNM]]/Table925272[[#This Row],[CAREA]]</f>
        <v>0.19514581327908853</v>
      </c>
    </row>
    <row r="69" spans="1:40" x14ac:dyDescent="0.25">
      <c r="A69">
        <v>2.20404</v>
      </c>
      <c r="B69">
        <f>-(Table219266[[#This Row],[time]]-2)*2</f>
        <v>-0.40808</v>
      </c>
      <c r="C69">
        <v>91.947599999999994</v>
      </c>
      <c r="D69">
        <v>13.696099999999999</v>
      </c>
      <c r="E69">
        <f>Table219266[[#This Row],[CFNM]]/Table219266[[#This Row],[CAREA ]]</f>
        <v>0.14895549204111908</v>
      </c>
      <c r="F69">
        <v>2.20404</v>
      </c>
      <c r="G69">
        <f>-(Table320267[[#This Row],[time]]-2)*2</f>
        <v>-0.40808</v>
      </c>
      <c r="H69">
        <v>94.542500000000004</v>
      </c>
      <c r="I69">
        <v>1.36039</v>
      </c>
      <c r="J69" s="2">
        <f>Table320267[[#This Row],[CFNM]]/Table320267[[#This Row],[CAREA ]]</f>
        <v>1.4389190046804346E-2</v>
      </c>
      <c r="K69">
        <v>2.20404</v>
      </c>
      <c r="L69">
        <f>-(Table421268[[#This Row],[time]]-2)*2</f>
        <v>-0.40808</v>
      </c>
      <c r="M69">
        <v>90.537700000000001</v>
      </c>
      <c r="N69">
        <v>8.4746600000000001</v>
      </c>
      <c r="O69">
        <f>Table421268[[#This Row],[CFNM]]/Table421268[[#This Row],[CAREA]]</f>
        <v>9.3603659028228023E-2</v>
      </c>
      <c r="P69">
        <v>2.20404</v>
      </c>
      <c r="Q69">
        <f>-(Table16273[[#This Row],[time]]-2)*2</f>
        <v>-0.40808</v>
      </c>
      <c r="R69">
        <v>82.353700000000003</v>
      </c>
      <c r="S69">
        <v>3.8329</v>
      </c>
      <c r="T69">
        <f>Table16273[[#This Row],[CFNM]]/Table16273[[#This Row],[CAREA]]</f>
        <v>4.6541928292232165E-2</v>
      </c>
      <c r="U69">
        <v>2.20404</v>
      </c>
      <c r="V69">
        <f>-(Table622269[[#This Row],[time]]-2)*2</f>
        <v>-0.40808</v>
      </c>
      <c r="W69">
        <v>83.453299999999999</v>
      </c>
      <c r="X69">
        <v>15.415699999999999</v>
      </c>
      <c r="Y69">
        <f>Table622269[[#This Row],[CFNM]]/Table622269[[#This Row],[CAREA]]</f>
        <v>0.18472247352711035</v>
      </c>
      <c r="Z69">
        <v>2.20404</v>
      </c>
      <c r="AA69">
        <f>-(Table723270[[#This Row],[time]]-2)*2</f>
        <v>-0.40808</v>
      </c>
      <c r="AB69">
        <v>83.991900000000001</v>
      </c>
      <c r="AC69">
        <v>8.4340899999999994</v>
      </c>
      <c r="AD69">
        <f>Table723270[[#This Row],[CFNM]]/Table723270[[#This Row],[CAREA]]</f>
        <v>0.10041551625811536</v>
      </c>
      <c r="AE69">
        <v>2.20404</v>
      </c>
      <c r="AF69">
        <f>-(Table824271[[#This Row],[time]]-2)*2</f>
        <v>-0.40808</v>
      </c>
      <c r="AG69">
        <v>80.356200000000001</v>
      </c>
      <c r="AH69">
        <v>24.627199999999998</v>
      </c>
      <c r="AI69">
        <f>Table824271[[#This Row],[CFNM]]/Table824271[[#This Row],[CAREA]]</f>
        <v>0.30647541820046242</v>
      </c>
      <c r="AJ69">
        <v>2.20404</v>
      </c>
      <c r="AK69">
        <f>-(Table925272[[#This Row],[time]]-2)*2</f>
        <v>-0.40808</v>
      </c>
      <c r="AL69">
        <v>82.520600000000002</v>
      </c>
      <c r="AM69">
        <v>15.3453</v>
      </c>
      <c r="AN69">
        <f>Table925272[[#This Row],[CFNM]]/Table925272[[#This Row],[CAREA]]</f>
        <v>0.18595720341345071</v>
      </c>
    </row>
    <row r="70" spans="1:40" x14ac:dyDescent="0.25">
      <c r="A70">
        <v>2.2512099999999999</v>
      </c>
      <c r="B70">
        <f>-(Table219266[[#This Row],[time]]-2)*2</f>
        <v>-0.50241999999999987</v>
      </c>
      <c r="C70">
        <v>92.248199999999997</v>
      </c>
      <c r="D70">
        <v>14.520200000000001</v>
      </c>
      <c r="E70">
        <f>Table219266[[#This Row],[CFNM]]/Table219266[[#This Row],[CAREA ]]</f>
        <v>0.15740361329543559</v>
      </c>
      <c r="F70">
        <v>2.2512099999999999</v>
      </c>
      <c r="G70">
        <f>-(Table320267[[#This Row],[time]]-2)*2</f>
        <v>-0.50241999999999987</v>
      </c>
      <c r="H70">
        <v>94.200100000000006</v>
      </c>
      <c r="I70">
        <v>0.82572599999999996</v>
      </c>
      <c r="J70" s="2">
        <f>Table320267[[#This Row],[CFNM]]/Table320267[[#This Row],[CAREA ]]</f>
        <v>8.7656594844379137E-3</v>
      </c>
      <c r="K70">
        <v>2.2512099999999999</v>
      </c>
      <c r="L70">
        <f>-(Table421268[[#This Row],[time]]-2)*2</f>
        <v>-0.50241999999999987</v>
      </c>
      <c r="M70">
        <v>90.314499999999995</v>
      </c>
      <c r="N70">
        <v>9.9350900000000006</v>
      </c>
      <c r="O70">
        <f>Table421268[[#This Row],[CFNM]]/Table421268[[#This Row],[CAREA]]</f>
        <v>0.11000548084748298</v>
      </c>
      <c r="P70">
        <v>2.2512099999999999</v>
      </c>
      <c r="Q70">
        <f>-(Table16273[[#This Row],[time]]-2)*2</f>
        <v>-0.50241999999999987</v>
      </c>
      <c r="R70">
        <v>81.476900000000001</v>
      </c>
      <c r="S70">
        <v>3.8271899999999999</v>
      </c>
      <c r="T70">
        <f>Table16273[[#This Row],[CFNM]]/Table16273[[#This Row],[CAREA]]</f>
        <v>4.6972700237736094E-2</v>
      </c>
      <c r="U70">
        <v>2.2512099999999999</v>
      </c>
      <c r="V70">
        <f>-(Table622269[[#This Row],[time]]-2)*2</f>
        <v>-0.50241999999999987</v>
      </c>
      <c r="W70">
        <v>84.195400000000006</v>
      </c>
      <c r="X70">
        <v>16.9252</v>
      </c>
      <c r="Y70">
        <f>Table622269[[#This Row],[CFNM]]/Table622269[[#This Row],[CAREA]]</f>
        <v>0.20102285873099954</v>
      </c>
      <c r="Z70">
        <v>2.2512099999999999</v>
      </c>
      <c r="AA70">
        <f>-(Table723270[[#This Row],[time]]-2)*2</f>
        <v>-0.50241999999999987</v>
      </c>
      <c r="AB70">
        <v>83.686300000000003</v>
      </c>
      <c r="AC70">
        <v>6.4492099999999999</v>
      </c>
      <c r="AD70">
        <f>Table723270[[#This Row],[CFNM]]/Table723270[[#This Row],[CAREA]]</f>
        <v>7.7064107267258791E-2</v>
      </c>
      <c r="AE70">
        <v>2.2512099999999999</v>
      </c>
      <c r="AF70">
        <f>-(Table824271[[#This Row],[time]]-2)*2</f>
        <v>-0.50241999999999987</v>
      </c>
      <c r="AG70">
        <v>79.596699999999998</v>
      </c>
      <c r="AH70">
        <v>27.023499999999999</v>
      </c>
      <c r="AI70">
        <f>Table824271[[#This Row],[CFNM]]/Table824271[[#This Row],[CAREA]]</f>
        <v>0.33950528099783028</v>
      </c>
      <c r="AJ70">
        <v>2.2512099999999999</v>
      </c>
      <c r="AK70">
        <f>-(Table925272[[#This Row],[time]]-2)*2</f>
        <v>-0.50241999999999987</v>
      </c>
      <c r="AL70">
        <v>82.385599999999997</v>
      </c>
      <c r="AM70">
        <v>14.5303</v>
      </c>
      <c r="AN70">
        <f>Table925272[[#This Row],[CFNM]]/Table925272[[#This Row],[CAREA]]</f>
        <v>0.17636941407236217</v>
      </c>
    </row>
    <row r="71" spans="1:40" x14ac:dyDescent="0.25">
      <c r="A71">
        <v>2.3028900000000001</v>
      </c>
      <c r="B71">
        <f>-(Table219266[[#This Row],[time]]-2)*2</f>
        <v>-0.60578000000000021</v>
      </c>
      <c r="C71">
        <v>92.351699999999994</v>
      </c>
      <c r="D71">
        <v>14.882</v>
      </c>
      <c r="E71">
        <f>Table219266[[#This Row],[CFNM]]/Table219266[[#This Row],[CAREA ]]</f>
        <v>0.16114484086378486</v>
      </c>
      <c r="F71">
        <v>2.3028900000000001</v>
      </c>
      <c r="G71">
        <f>-(Table320267[[#This Row],[time]]-2)*2</f>
        <v>-0.60578000000000021</v>
      </c>
      <c r="H71">
        <v>94.102199999999996</v>
      </c>
      <c r="I71">
        <v>0.70110899999999998</v>
      </c>
      <c r="J71" s="2">
        <f>Table320267[[#This Row],[CFNM]]/Table320267[[#This Row],[CAREA ]]</f>
        <v>7.4505059392872856E-3</v>
      </c>
      <c r="K71">
        <v>2.3028900000000001</v>
      </c>
      <c r="L71">
        <f>-(Table421268[[#This Row],[time]]-2)*2</f>
        <v>-0.60578000000000021</v>
      </c>
      <c r="M71">
        <v>90.192999999999998</v>
      </c>
      <c r="N71">
        <v>10.5686</v>
      </c>
      <c r="O71">
        <f>Table421268[[#This Row],[CFNM]]/Table421268[[#This Row],[CAREA]]</f>
        <v>0.11717760801836064</v>
      </c>
      <c r="P71">
        <v>2.3028900000000001</v>
      </c>
      <c r="Q71">
        <f>-(Table16273[[#This Row],[time]]-2)*2</f>
        <v>-0.60578000000000021</v>
      </c>
      <c r="R71">
        <v>80.979799999999997</v>
      </c>
      <c r="S71">
        <v>4.0513399999999997</v>
      </c>
      <c r="T71">
        <f>Table16273[[#This Row],[CFNM]]/Table16273[[#This Row],[CAREA]]</f>
        <v>5.0029019582661351E-2</v>
      </c>
      <c r="U71">
        <v>2.3028900000000001</v>
      </c>
      <c r="V71">
        <f>-(Table622269[[#This Row],[time]]-2)*2</f>
        <v>-0.60578000000000021</v>
      </c>
      <c r="W71">
        <v>84.106899999999996</v>
      </c>
      <c r="X71">
        <v>17.629000000000001</v>
      </c>
      <c r="Y71">
        <f>Table622269[[#This Row],[CFNM]]/Table622269[[#This Row],[CAREA]]</f>
        <v>0.20960230373488978</v>
      </c>
      <c r="Z71">
        <v>2.3028900000000001</v>
      </c>
      <c r="AA71">
        <f>-(Table723270[[#This Row],[time]]-2)*2</f>
        <v>-0.60578000000000021</v>
      </c>
      <c r="AB71">
        <v>81.804400000000001</v>
      </c>
      <c r="AC71">
        <v>5.7329999999999997</v>
      </c>
      <c r="AD71">
        <f>Table723270[[#This Row],[CFNM]]/Table723270[[#This Row],[CAREA]]</f>
        <v>7.0081804890690477E-2</v>
      </c>
      <c r="AE71">
        <v>2.3028900000000001</v>
      </c>
      <c r="AF71">
        <f>-(Table824271[[#This Row],[time]]-2)*2</f>
        <v>-0.60578000000000021</v>
      </c>
      <c r="AG71">
        <v>78.946299999999994</v>
      </c>
      <c r="AH71">
        <v>28.288900000000002</v>
      </c>
      <c r="AI71">
        <f>Table824271[[#This Row],[CFNM]]/Table824271[[#This Row],[CAREA]]</f>
        <v>0.35833091607839762</v>
      </c>
      <c r="AJ71">
        <v>2.3028900000000001</v>
      </c>
      <c r="AK71">
        <f>-(Table925272[[#This Row],[time]]-2)*2</f>
        <v>-0.60578000000000021</v>
      </c>
      <c r="AL71">
        <v>82.448700000000002</v>
      </c>
      <c r="AM71">
        <v>14.2171</v>
      </c>
      <c r="AN71">
        <f>Table925272[[#This Row],[CFNM]]/Table925272[[#This Row],[CAREA]]</f>
        <v>0.17243570850722933</v>
      </c>
    </row>
    <row r="72" spans="1:40" x14ac:dyDescent="0.25">
      <c r="A72">
        <v>2.3528600000000002</v>
      </c>
      <c r="B72">
        <f>-(Table219266[[#This Row],[time]]-2)*2</f>
        <v>-0.70572000000000035</v>
      </c>
      <c r="C72">
        <v>92.715500000000006</v>
      </c>
      <c r="D72">
        <v>15.775600000000001</v>
      </c>
      <c r="E72">
        <f>Table219266[[#This Row],[CFNM]]/Table219266[[#This Row],[CAREA ]]</f>
        <v>0.17015062206427189</v>
      </c>
      <c r="F72">
        <v>2.3528600000000002</v>
      </c>
      <c r="G72">
        <f>-(Table320267[[#This Row],[time]]-2)*2</f>
        <v>-0.70572000000000035</v>
      </c>
      <c r="H72">
        <v>92.599800000000002</v>
      </c>
      <c r="I72">
        <v>0.464505</v>
      </c>
      <c r="J72" s="2">
        <f>Table320267[[#This Row],[CFNM]]/Table320267[[#This Row],[CAREA ]]</f>
        <v>5.0162635340465101E-3</v>
      </c>
      <c r="K72">
        <v>2.3528600000000002</v>
      </c>
      <c r="L72">
        <f>-(Table421268[[#This Row],[time]]-2)*2</f>
        <v>-0.70572000000000035</v>
      </c>
      <c r="M72">
        <v>89.850399999999993</v>
      </c>
      <c r="N72">
        <v>12.1021</v>
      </c>
      <c r="O72">
        <f>Table421268[[#This Row],[CFNM]]/Table421268[[#This Row],[CAREA]]</f>
        <v>0.13469166525691595</v>
      </c>
      <c r="P72">
        <v>2.3528600000000002</v>
      </c>
      <c r="Q72">
        <f>-(Table16273[[#This Row],[time]]-2)*2</f>
        <v>-0.70572000000000035</v>
      </c>
      <c r="R72">
        <v>79.372500000000002</v>
      </c>
      <c r="S72">
        <v>4.4453399999999998</v>
      </c>
      <c r="T72">
        <f>Table16273[[#This Row],[CFNM]]/Table16273[[#This Row],[CAREA]]</f>
        <v>5.6006047434564867E-2</v>
      </c>
      <c r="U72">
        <v>2.3528600000000002</v>
      </c>
      <c r="V72">
        <f>-(Table622269[[#This Row],[time]]-2)*2</f>
        <v>-0.70572000000000035</v>
      </c>
      <c r="W72">
        <v>84.067300000000003</v>
      </c>
      <c r="X72">
        <v>19.309799999999999</v>
      </c>
      <c r="Y72">
        <f>Table622269[[#This Row],[CFNM]]/Table622269[[#This Row],[CAREA]]</f>
        <v>0.22969454234880862</v>
      </c>
      <c r="Z72">
        <v>2.3528600000000002</v>
      </c>
      <c r="AA72">
        <f>-(Table723270[[#This Row],[time]]-2)*2</f>
        <v>-0.70572000000000035</v>
      </c>
      <c r="AB72">
        <v>80.210400000000007</v>
      </c>
      <c r="AC72">
        <v>4.6879</v>
      </c>
      <c r="AD72">
        <f>Table723270[[#This Row],[CFNM]]/Table723270[[#This Row],[CAREA]]</f>
        <v>5.8445039545994032E-2</v>
      </c>
      <c r="AE72">
        <v>2.3528600000000002</v>
      </c>
      <c r="AF72">
        <f>-(Table824271[[#This Row],[time]]-2)*2</f>
        <v>-0.70572000000000035</v>
      </c>
      <c r="AG72">
        <v>77.578800000000001</v>
      </c>
      <c r="AH72">
        <v>31.250399999999999</v>
      </c>
      <c r="AI72">
        <f>Table824271[[#This Row],[CFNM]]/Table824271[[#This Row],[CAREA]]</f>
        <v>0.40282138934863648</v>
      </c>
      <c r="AJ72">
        <v>2.3528600000000002</v>
      </c>
      <c r="AK72">
        <f>-(Table925272[[#This Row],[time]]-2)*2</f>
        <v>-0.70572000000000035</v>
      </c>
      <c r="AL72">
        <v>82.236400000000003</v>
      </c>
      <c r="AM72">
        <v>13.6126</v>
      </c>
      <c r="AN72">
        <f>Table925272[[#This Row],[CFNM]]/Table925272[[#This Row],[CAREA]]</f>
        <v>0.16553010588984926</v>
      </c>
    </row>
    <row r="73" spans="1:40" x14ac:dyDescent="0.25">
      <c r="A73">
        <v>2.4111699999999998</v>
      </c>
      <c r="B73">
        <f>-(Table219266[[#This Row],[time]]-2)*2</f>
        <v>-0.82233999999999963</v>
      </c>
      <c r="C73">
        <v>94.045199999999994</v>
      </c>
      <c r="D73">
        <v>16.988700000000001</v>
      </c>
      <c r="E73">
        <f>Table219266[[#This Row],[CFNM]]/Table219266[[#This Row],[CAREA ]]</f>
        <v>0.18064398820992461</v>
      </c>
      <c r="F73">
        <v>2.4111699999999998</v>
      </c>
      <c r="G73">
        <f>-(Table320267[[#This Row],[time]]-2)*2</f>
        <v>-0.82233999999999963</v>
      </c>
      <c r="H73">
        <v>91.887699999999995</v>
      </c>
      <c r="I73">
        <v>0.46585199999999999</v>
      </c>
      <c r="J73" s="2">
        <f>Table320267[[#This Row],[CFNM]]/Table320267[[#This Row],[CAREA ]]</f>
        <v>5.0697971545701987E-3</v>
      </c>
      <c r="K73">
        <v>2.4111699999999998</v>
      </c>
      <c r="L73">
        <f>-(Table421268[[#This Row],[time]]-2)*2</f>
        <v>-0.82233999999999963</v>
      </c>
      <c r="M73">
        <v>89.403400000000005</v>
      </c>
      <c r="N73">
        <v>13.842599999999999</v>
      </c>
      <c r="O73">
        <f>Table421268[[#This Row],[CFNM]]/Table421268[[#This Row],[CAREA]]</f>
        <v>0.1548330376697083</v>
      </c>
      <c r="P73">
        <v>2.4111699999999998</v>
      </c>
      <c r="Q73">
        <f>-(Table16273[[#This Row],[time]]-2)*2</f>
        <v>-0.82233999999999963</v>
      </c>
      <c r="R73">
        <v>79.041799999999995</v>
      </c>
      <c r="S73">
        <v>4.6694399999999998</v>
      </c>
      <c r="T73">
        <f>Table16273[[#This Row],[CFNM]]/Table16273[[#This Row],[CAREA]]</f>
        <v>5.9075577732288484E-2</v>
      </c>
      <c r="U73">
        <v>2.4111699999999998</v>
      </c>
      <c r="V73">
        <f>-(Table622269[[#This Row],[time]]-2)*2</f>
        <v>-0.82233999999999963</v>
      </c>
      <c r="W73">
        <v>84.489199999999997</v>
      </c>
      <c r="X73">
        <v>21.1568</v>
      </c>
      <c r="Y73">
        <f>Table622269[[#This Row],[CFNM]]/Table622269[[#This Row],[CAREA]]</f>
        <v>0.25040833621338587</v>
      </c>
      <c r="Z73">
        <v>2.4111699999999998</v>
      </c>
      <c r="AA73">
        <f>-(Table723270[[#This Row],[time]]-2)*2</f>
        <v>-0.82233999999999963</v>
      </c>
      <c r="AB73">
        <v>79.4846</v>
      </c>
      <c r="AC73">
        <v>3.8217099999999999</v>
      </c>
      <c r="AD73">
        <f>Table723270[[#This Row],[CFNM]]/Table723270[[#This Row],[CAREA]]</f>
        <v>4.8081137729824391E-2</v>
      </c>
      <c r="AE73">
        <v>2.4111699999999998</v>
      </c>
      <c r="AF73">
        <f>-(Table824271[[#This Row],[time]]-2)*2</f>
        <v>-0.82233999999999963</v>
      </c>
      <c r="AG73">
        <v>76.326400000000007</v>
      </c>
      <c r="AH73">
        <v>34.204099999999997</v>
      </c>
      <c r="AI73">
        <f>Table824271[[#This Row],[CFNM]]/Table824271[[#This Row],[CAREA]]</f>
        <v>0.44812934974006363</v>
      </c>
      <c r="AJ73">
        <v>2.4111699999999998</v>
      </c>
      <c r="AK73">
        <f>-(Table925272[[#This Row],[time]]-2)*2</f>
        <v>-0.82233999999999963</v>
      </c>
      <c r="AL73">
        <v>82.388000000000005</v>
      </c>
      <c r="AM73">
        <v>12.919499999999999</v>
      </c>
      <c r="AN73">
        <f>Table925272[[#This Row],[CFNM]]/Table925272[[#This Row],[CAREA]]</f>
        <v>0.15681288537165605</v>
      </c>
    </row>
    <row r="74" spans="1:40" x14ac:dyDescent="0.25">
      <c r="A74">
        <v>2.4602499999999998</v>
      </c>
      <c r="B74">
        <f>-(Table219266[[#This Row],[time]]-2)*2</f>
        <v>-0.92049999999999965</v>
      </c>
      <c r="C74">
        <v>95.228899999999996</v>
      </c>
      <c r="D74">
        <v>18.299499999999998</v>
      </c>
      <c r="E74">
        <f>Table219266[[#This Row],[CFNM]]/Table219266[[#This Row],[CAREA ]]</f>
        <v>0.19216330336694007</v>
      </c>
      <c r="F74">
        <v>2.4602499999999998</v>
      </c>
      <c r="G74">
        <f>-(Table320267[[#This Row],[time]]-2)*2</f>
        <v>-0.92049999999999965</v>
      </c>
      <c r="H74">
        <v>90.723399999999998</v>
      </c>
      <c r="I74">
        <v>0.44262499999999999</v>
      </c>
      <c r="J74" s="2">
        <f>Table320267[[#This Row],[CFNM]]/Table320267[[#This Row],[CAREA ]]</f>
        <v>4.878840519645428E-3</v>
      </c>
      <c r="K74">
        <v>2.4602499999999998</v>
      </c>
      <c r="L74">
        <f>-(Table421268[[#This Row],[time]]-2)*2</f>
        <v>-0.92049999999999965</v>
      </c>
      <c r="M74">
        <v>89.038200000000003</v>
      </c>
      <c r="N74">
        <v>15.4968</v>
      </c>
      <c r="O74">
        <f>Table421268[[#This Row],[CFNM]]/Table421268[[#This Row],[CAREA]]</f>
        <v>0.17404664514781296</v>
      </c>
      <c r="P74">
        <v>2.4602499999999998</v>
      </c>
      <c r="Q74">
        <f>-(Table16273[[#This Row],[time]]-2)*2</f>
        <v>-0.92049999999999965</v>
      </c>
      <c r="R74">
        <v>77.038899999999998</v>
      </c>
      <c r="S74">
        <v>4.87087</v>
      </c>
      <c r="T74">
        <f>Table16273[[#This Row],[CFNM]]/Table16273[[#This Row],[CAREA]]</f>
        <v>6.3226110445502207E-2</v>
      </c>
      <c r="U74">
        <v>2.4602499999999998</v>
      </c>
      <c r="V74">
        <f>-(Table622269[[#This Row],[time]]-2)*2</f>
        <v>-0.92049999999999965</v>
      </c>
      <c r="W74">
        <v>84.487399999999994</v>
      </c>
      <c r="X74">
        <v>23.040299999999998</v>
      </c>
      <c r="Y74">
        <f>Table622269[[#This Row],[CFNM]]/Table622269[[#This Row],[CAREA]]</f>
        <v>0.27270693618219993</v>
      </c>
      <c r="Z74">
        <v>2.4602499999999998</v>
      </c>
      <c r="AA74">
        <f>-(Table723270[[#This Row],[time]]-2)*2</f>
        <v>-0.92049999999999965</v>
      </c>
      <c r="AB74">
        <v>78.673699999999997</v>
      </c>
      <c r="AC74">
        <v>3.2416200000000002</v>
      </c>
      <c r="AD74">
        <f>Table723270[[#This Row],[CFNM]]/Table723270[[#This Row],[CAREA]]</f>
        <v>4.1203350039466811E-2</v>
      </c>
      <c r="AE74">
        <v>2.4602499999999998</v>
      </c>
      <c r="AF74">
        <f>-(Table824271[[#This Row],[time]]-2)*2</f>
        <v>-0.92049999999999965</v>
      </c>
      <c r="AG74">
        <v>74.994200000000006</v>
      </c>
      <c r="AH74">
        <v>37.0075</v>
      </c>
      <c r="AI74">
        <f>Table824271[[#This Row],[CFNM]]/Table824271[[#This Row],[CAREA]]</f>
        <v>0.49347149512895661</v>
      </c>
      <c r="AJ74">
        <v>2.4602499999999998</v>
      </c>
      <c r="AK74">
        <f>-(Table925272[[#This Row],[time]]-2)*2</f>
        <v>-0.92049999999999965</v>
      </c>
      <c r="AL74">
        <v>81.865200000000002</v>
      </c>
      <c r="AM74">
        <v>12.186199999999999</v>
      </c>
      <c r="AN74">
        <f>Table925272[[#This Row],[CFNM]]/Table925272[[#This Row],[CAREA]]</f>
        <v>0.1488569013451381</v>
      </c>
    </row>
    <row r="75" spans="1:40" x14ac:dyDescent="0.25">
      <c r="A75">
        <v>2.51267</v>
      </c>
      <c r="B75">
        <f>-(Table219266[[#This Row],[time]]-2)*2</f>
        <v>-1.0253399999999999</v>
      </c>
      <c r="C75">
        <v>96.135800000000003</v>
      </c>
      <c r="D75">
        <v>20.106400000000001</v>
      </c>
      <c r="E75">
        <f>Table219266[[#This Row],[CFNM]]/Table219266[[#This Row],[CAREA ]]</f>
        <v>0.20914581248608738</v>
      </c>
      <c r="F75">
        <v>2.51267</v>
      </c>
      <c r="G75">
        <f>-(Table320267[[#This Row],[time]]-2)*2</f>
        <v>-1.0253399999999999</v>
      </c>
      <c r="H75">
        <v>89.636099999999999</v>
      </c>
      <c r="I75">
        <v>0.381019</v>
      </c>
      <c r="J75" s="2">
        <f>Table320267[[#This Row],[CFNM]]/Table320267[[#This Row],[CAREA ]]</f>
        <v>4.2507315690887932E-3</v>
      </c>
      <c r="K75">
        <v>2.51267</v>
      </c>
      <c r="L75">
        <f>-(Table421268[[#This Row],[time]]-2)*2</f>
        <v>-1.0253399999999999</v>
      </c>
      <c r="M75">
        <v>88.718500000000006</v>
      </c>
      <c r="N75">
        <v>17.712599999999998</v>
      </c>
      <c r="O75">
        <f>Table421268[[#This Row],[CFNM]]/Table421268[[#This Row],[CAREA]]</f>
        <v>0.19964945304530618</v>
      </c>
      <c r="P75">
        <v>2.51267</v>
      </c>
      <c r="Q75">
        <f>-(Table16273[[#This Row],[time]]-2)*2</f>
        <v>-1.0253399999999999</v>
      </c>
      <c r="R75">
        <v>77.578199999999995</v>
      </c>
      <c r="S75">
        <v>5.0819299999999998</v>
      </c>
      <c r="T75">
        <f>Table16273[[#This Row],[CFNM]]/Table16273[[#This Row],[CAREA]]</f>
        <v>6.5507191453269095E-2</v>
      </c>
      <c r="U75">
        <v>2.51267</v>
      </c>
      <c r="V75">
        <f>-(Table622269[[#This Row],[time]]-2)*2</f>
        <v>-1.0253399999999999</v>
      </c>
      <c r="W75">
        <v>84.542400000000001</v>
      </c>
      <c r="X75">
        <v>25.575900000000001</v>
      </c>
      <c r="Y75">
        <f>Table622269[[#This Row],[CFNM]]/Table622269[[#This Row],[CAREA]]</f>
        <v>0.30252157497303128</v>
      </c>
      <c r="Z75">
        <v>2.51267</v>
      </c>
      <c r="AA75">
        <f>-(Table723270[[#This Row],[time]]-2)*2</f>
        <v>-1.0253399999999999</v>
      </c>
      <c r="AB75">
        <v>77.443399999999997</v>
      </c>
      <c r="AC75">
        <v>2.6538499999999998</v>
      </c>
      <c r="AD75">
        <f>Table723270[[#This Row],[CFNM]]/Table723270[[#This Row],[CAREA]]</f>
        <v>3.4268252685186858E-2</v>
      </c>
      <c r="AE75">
        <v>2.51267</v>
      </c>
      <c r="AF75">
        <f>-(Table824271[[#This Row],[time]]-2)*2</f>
        <v>-1.0253399999999999</v>
      </c>
      <c r="AG75">
        <v>73.680300000000003</v>
      </c>
      <c r="AH75">
        <v>40.373600000000003</v>
      </c>
      <c r="AI75">
        <f>Table824271[[#This Row],[CFNM]]/Table824271[[#This Row],[CAREA]]</f>
        <v>0.54795650940617779</v>
      </c>
      <c r="AJ75">
        <v>2.51267</v>
      </c>
      <c r="AK75">
        <f>-(Table925272[[#This Row],[time]]-2)*2</f>
        <v>-1.0253399999999999</v>
      </c>
      <c r="AL75">
        <v>81.331199999999995</v>
      </c>
      <c r="AM75">
        <v>11.2692</v>
      </c>
      <c r="AN75">
        <f>Table925272[[#This Row],[CFNM]]/Table925272[[#This Row],[CAREA]]</f>
        <v>0.13855937204910293</v>
      </c>
    </row>
    <row r="76" spans="1:40" x14ac:dyDescent="0.25">
      <c r="A76">
        <v>2.5564</v>
      </c>
      <c r="B76">
        <f>-(Table219266[[#This Row],[time]]-2)*2</f>
        <v>-1.1128</v>
      </c>
      <c r="C76">
        <v>97.0124</v>
      </c>
      <c r="D76">
        <v>21.300799999999999</v>
      </c>
      <c r="E76">
        <f>Table219266[[#This Row],[CFNM]]/Table219266[[#This Row],[CAREA ]]</f>
        <v>0.21956780782662833</v>
      </c>
      <c r="F76">
        <v>2.5564</v>
      </c>
      <c r="G76">
        <f>-(Table320267[[#This Row],[time]]-2)*2</f>
        <v>-1.1128</v>
      </c>
      <c r="H76">
        <v>88.529300000000006</v>
      </c>
      <c r="I76">
        <v>0.30702000000000002</v>
      </c>
      <c r="J76" s="2">
        <f>Table320267[[#This Row],[CFNM]]/Table320267[[#This Row],[CAREA ]]</f>
        <v>3.4680043782115075E-3</v>
      </c>
      <c r="K76">
        <v>2.5564</v>
      </c>
      <c r="L76">
        <f>-(Table421268[[#This Row],[time]]-2)*2</f>
        <v>-1.1128</v>
      </c>
      <c r="M76">
        <v>88.302899999999994</v>
      </c>
      <c r="N76">
        <v>19.137499999999999</v>
      </c>
      <c r="O76">
        <f>Table421268[[#This Row],[CFNM]]/Table421268[[#This Row],[CAREA]]</f>
        <v>0.21672561150313296</v>
      </c>
      <c r="P76">
        <v>2.5564</v>
      </c>
      <c r="Q76">
        <f>-(Table16273[[#This Row],[time]]-2)*2</f>
        <v>-1.1128</v>
      </c>
      <c r="R76">
        <v>75.366900000000001</v>
      </c>
      <c r="S76">
        <v>5.1464699999999999</v>
      </c>
      <c r="T76">
        <f>Table16273[[#This Row],[CFNM]]/Table16273[[#This Row],[CAREA]]</f>
        <v>6.8285547103569336E-2</v>
      </c>
      <c r="U76">
        <v>2.5564</v>
      </c>
      <c r="V76">
        <f>-(Table622269[[#This Row],[time]]-2)*2</f>
        <v>-1.1128</v>
      </c>
      <c r="W76">
        <v>84.350099999999998</v>
      </c>
      <c r="X76">
        <v>27.101099999999999</v>
      </c>
      <c r="Y76">
        <f>Table622269[[#This Row],[CFNM]]/Table622269[[#This Row],[CAREA]]</f>
        <v>0.32129303936806242</v>
      </c>
      <c r="Z76">
        <v>2.5564</v>
      </c>
      <c r="AA76">
        <f>-(Table723270[[#This Row],[time]]-2)*2</f>
        <v>-1.1128</v>
      </c>
      <c r="AB76">
        <v>75.802000000000007</v>
      </c>
      <c r="AC76">
        <v>2.4641500000000001</v>
      </c>
      <c r="AD76">
        <f>Table723270[[#This Row],[CFNM]]/Table723270[[#This Row],[CAREA]]</f>
        <v>3.2507717474472966E-2</v>
      </c>
      <c r="AE76">
        <v>2.5564</v>
      </c>
      <c r="AF76">
        <f>-(Table824271[[#This Row],[time]]-2)*2</f>
        <v>-1.1128</v>
      </c>
      <c r="AG76">
        <v>72.998999999999995</v>
      </c>
      <c r="AH76">
        <v>42.2941</v>
      </c>
      <c r="AI76">
        <f>Table824271[[#This Row],[CFNM]]/Table824271[[#This Row],[CAREA]]</f>
        <v>0.57937916957766544</v>
      </c>
      <c r="AJ76">
        <v>2.5564</v>
      </c>
      <c r="AK76">
        <f>-(Table925272[[#This Row],[time]]-2)*2</f>
        <v>-1.1128</v>
      </c>
      <c r="AL76">
        <v>81.388499999999993</v>
      </c>
      <c r="AM76">
        <v>10.7537</v>
      </c>
      <c r="AN76">
        <f>Table925272[[#This Row],[CFNM]]/Table925272[[#This Row],[CAREA]]</f>
        <v>0.13212800334199551</v>
      </c>
    </row>
    <row r="77" spans="1:40" x14ac:dyDescent="0.25">
      <c r="A77">
        <v>2.6033400000000002</v>
      </c>
      <c r="B77">
        <f>-(Table219266[[#This Row],[time]]-2)*2</f>
        <v>-1.2066800000000004</v>
      </c>
      <c r="C77">
        <v>98.082800000000006</v>
      </c>
      <c r="D77">
        <v>23.085999999999999</v>
      </c>
      <c r="E77">
        <f>Table219266[[#This Row],[CFNM]]/Table219266[[#This Row],[CAREA ]]</f>
        <v>0.23537256277349339</v>
      </c>
      <c r="F77">
        <v>2.6033400000000002</v>
      </c>
      <c r="G77">
        <f>-(Table320267[[#This Row],[time]]-2)*2</f>
        <v>-1.2066800000000004</v>
      </c>
      <c r="H77">
        <v>87.721199999999996</v>
      </c>
      <c r="I77">
        <v>0.21227199999999999</v>
      </c>
      <c r="J77" s="2">
        <f>Table320267[[#This Row],[CFNM]]/Table320267[[#This Row],[CAREA ]]</f>
        <v>2.419848337688039E-3</v>
      </c>
      <c r="K77">
        <v>2.6033400000000002</v>
      </c>
      <c r="L77">
        <f>-(Table421268[[#This Row],[time]]-2)*2</f>
        <v>-1.2066800000000004</v>
      </c>
      <c r="M77">
        <v>87.734300000000005</v>
      </c>
      <c r="N77">
        <v>21.397200000000002</v>
      </c>
      <c r="O77">
        <f>Table421268[[#This Row],[CFNM]]/Table421268[[#This Row],[CAREA]]</f>
        <v>0.24388637055290804</v>
      </c>
      <c r="P77">
        <v>2.6033400000000002</v>
      </c>
      <c r="Q77">
        <f>-(Table16273[[#This Row],[time]]-2)*2</f>
        <v>-1.2066800000000004</v>
      </c>
      <c r="R77">
        <v>74.768100000000004</v>
      </c>
      <c r="S77">
        <v>5.1497999999999999</v>
      </c>
      <c r="T77">
        <f>Table16273[[#This Row],[CFNM]]/Table16273[[#This Row],[CAREA]]</f>
        <v>6.8876967583769003E-2</v>
      </c>
      <c r="U77">
        <v>2.6033400000000002</v>
      </c>
      <c r="V77">
        <f>-(Table622269[[#This Row],[time]]-2)*2</f>
        <v>-1.2066800000000004</v>
      </c>
      <c r="W77">
        <v>84.484999999999999</v>
      </c>
      <c r="X77">
        <v>29.181000000000001</v>
      </c>
      <c r="Y77">
        <f>Table622269[[#This Row],[CFNM]]/Table622269[[#This Row],[CAREA]]</f>
        <v>0.34539859146594071</v>
      </c>
      <c r="Z77">
        <v>2.6033400000000002</v>
      </c>
      <c r="AA77">
        <f>-(Table723270[[#This Row],[time]]-2)*2</f>
        <v>-1.2066800000000004</v>
      </c>
      <c r="AB77">
        <v>74.997600000000006</v>
      </c>
      <c r="AC77">
        <v>2.2534000000000001</v>
      </c>
      <c r="AD77">
        <f>Table723270[[#This Row],[CFNM]]/Table723270[[#This Row],[CAREA]]</f>
        <v>3.0046294814767404E-2</v>
      </c>
      <c r="AE77">
        <v>2.6033400000000002</v>
      </c>
      <c r="AF77">
        <f>-(Table824271[[#This Row],[time]]-2)*2</f>
        <v>-1.2066800000000004</v>
      </c>
      <c r="AG77">
        <v>72.046099999999996</v>
      </c>
      <c r="AH77">
        <v>45.057499999999997</v>
      </c>
      <c r="AI77">
        <f>Table824271[[#This Row],[CFNM]]/Table824271[[#This Row],[CAREA]]</f>
        <v>0.62539818255256008</v>
      </c>
      <c r="AJ77">
        <v>2.6033400000000002</v>
      </c>
      <c r="AK77">
        <f>-(Table925272[[#This Row],[time]]-2)*2</f>
        <v>-1.2066800000000004</v>
      </c>
      <c r="AL77">
        <v>80.634799999999998</v>
      </c>
      <c r="AM77">
        <v>10.0657</v>
      </c>
      <c r="AN77">
        <f>Table925272[[#This Row],[CFNM]]/Table925272[[#This Row],[CAREA]]</f>
        <v>0.12483071825068084</v>
      </c>
    </row>
    <row r="78" spans="1:40" x14ac:dyDescent="0.25">
      <c r="A78">
        <v>2.6604800000000002</v>
      </c>
      <c r="B78">
        <f>-(Table219266[[#This Row],[time]]-2)*2</f>
        <v>-1.3209600000000004</v>
      </c>
      <c r="C78">
        <v>99.149199999999993</v>
      </c>
      <c r="D78">
        <v>26.132200000000001</v>
      </c>
      <c r="E78">
        <f>Table219266[[#This Row],[CFNM]]/Table219266[[#This Row],[CAREA ]]</f>
        <v>0.26356440596595843</v>
      </c>
      <c r="F78">
        <v>2.6604800000000002</v>
      </c>
      <c r="G78">
        <f>-(Table320267[[#This Row],[time]]-2)*2</f>
        <v>-1.3209600000000004</v>
      </c>
      <c r="H78">
        <v>85.514300000000006</v>
      </c>
      <c r="I78">
        <v>0.10466</v>
      </c>
      <c r="J78" s="2">
        <f>Table320267[[#This Row],[CFNM]]/Table320267[[#This Row],[CAREA ]]</f>
        <v>1.2238888700486351E-3</v>
      </c>
      <c r="K78">
        <v>2.6604800000000002</v>
      </c>
      <c r="L78">
        <f>-(Table421268[[#This Row],[time]]-2)*2</f>
        <v>-1.3209600000000004</v>
      </c>
      <c r="M78">
        <v>86.786900000000003</v>
      </c>
      <c r="N78">
        <v>24.919899999999998</v>
      </c>
      <c r="O78">
        <f>Table421268[[#This Row],[CFNM]]/Table421268[[#This Row],[CAREA]]</f>
        <v>0.28713895760765734</v>
      </c>
      <c r="P78">
        <v>2.6604800000000002</v>
      </c>
      <c r="Q78">
        <f>-(Table16273[[#This Row],[time]]-2)*2</f>
        <v>-1.3209600000000004</v>
      </c>
      <c r="R78">
        <v>74.002600000000001</v>
      </c>
      <c r="S78">
        <v>5.0738599999999998</v>
      </c>
      <c r="T78">
        <f>Table16273[[#This Row],[CFNM]]/Table16273[[#This Row],[CAREA]]</f>
        <v>6.8563266696035005E-2</v>
      </c>
      <c r="U78">
        <v>2.6604800000000002</v>
      </c>
      <c r="V78">
        <f>-(Table622269[[#This Row],[time]]-2)*2</f>
        <v>-1.3209600000000004</v>
      </c>
      <c r="W78">
        <v>83.927999999999997</v>
      </c>
      <c r="X78">
        <v>32.528700000000001</v>
      </c>
      <c r="Y78">
        <f>Table622269[[#This Row],[CFNM]]/Table622269[[#This Row],[CAREA]]</f>
        <v>0.38757863883328569</v>
      </c>
      <c r="Z78">
        <v>2.6604800000000002</v>
      </c>
      <c r="AA78">
        <f>-(Table723270[[#This Row],[time]]-2)*2</f>
        <v>-1.3209600000000004</v>
      </c>
      <c r="AB78">
        <v>73.347800000000007</v>
      </c>
      <c r="AC78">
        <v>1.7765</v>
      </c>
      <c r="AD78">
        <f>Table723270[[#This Row],[CFNM]]/Table723270[[#This Row],[CAREA]]</f>
        <v>2.4220222010748787E-2</v>
      </c>
      <c r="AE78">
        <v>2.6604800000000002</v>
      </c>
      <c r="AF78">
        <f>-(Table824271[[#This Row],[time]]-2)*2</f>
        <v>-1.3209600000000004</v>
      </c>
      <c r="AG78">
        <v>70.681899999999999</v>
      </c>
      <c r="AH78">
        <v>49.256399999999999</v>
      </c>
      <c r="AI78">
        <f>Table824271[[#This Row],[CFNM]]/Table824271[[#This Row],[CAREA]]</f>
        <v>0.6968743058689707</v>
      </c>
      <c r="AJ78">
        <v>2.6604800000000002</v>
      </c>
      <c r="AK78">
        <f>-(Table925272[[#This Row],[time]]-2)*2</f>
        <v>-1.3209600000000004</v>
      </c>
      <c r="AL78">
        <v>79.709699999999998</v>
      </c>
      <c r="AM78">
        <v>8.90611</v>
      </c>
      <c r="AN78">
        <f>Table925272[[#This Row],[CFNM]]/Table925272[[#This Row],[CAREA]]</f>
        <v>0.11173182184853286</v>
      </c>
    </row>
    <row r="79" spans="1:40" x14ac:dyDescent="0.25">
      <c r="A79">
        <v>2.7082199999999998</v>
      </c>
      <c r="B79">
        <f>-(Table219266[[#This Row],[time]]-2)*2</f>
        <v>-1.4164399999999997</v>
      </c>
      <c r="C79">
        <v>99.556100000000001</v>
      </c>
      <c r="D79">
        <v>27.5291</v>
      </c>
      <c r="E79">
        <f>Table219266[[#This Row],[CFNM]]/Table219266[[#This Row],[CAREA ]]</f>
        <v>0.2765184654682134</v>
      </c>
      <c r="F79">
        <v>2.7082199999999998</v>
      </c>
      <c r="G79">
        <f>-(Table320267[[#This Row],[time]]-2)*2</f>
        <v>-1.4164399999999997</v>
      </c>
      <c r="H79">
        <v>84.528199999999998</v>
      </c>
      <c r="I79">
        <v>4.01035E-2</v>
      </c>
      <c r="J79" s="2">
        <f>Table320267[[#This Row],[CFNM]]/Table320267[[#This Row],[CAREA ]]</f>
        <v>4.7443929954736998E-4</v>
      </c>
      <c r="K79">
        <v>2.7082199999999998</v>
      </c>
      <c r="L79">
        <f>-(Table421268[[#This Row],[time]]-2)*2</f>
        <v>-1.4164399999999997</v>
      </c>
      <c r="M79">
        <v>86.394800000000004</v>
      </c>
      <c r="N79">
        <v>26.465800000000002</v>
      </c>
      <c r="O79">
        <f>Table421268[[#This Row],[CFNM]]/Table421268[[#This Row],[CAREA]]</f>
        <v>0.30633556649242777</v>
      </c>
      <c r="P79">
        <v>2.7082199999999998</v>
      </c>
      <c r="Q79">
        <f>-(Table16273[[#This Row],[time]]-2)*2</f>
        <v>-1.4164399999999997</v>
      </c>
      <c r="R79">
        <v>73.113399999999999</v>
      </c>
      <c r="S79">
        <v>4.9846700000000004</v>
      </c>
      <c r="T79">
        <f>Table16273[[#This Row],[CFNM]]/Table16273[[#This Row],[CAREA]]</f>
        <v>6.8177242475387562E-2</v>
      </c>
      <c r="U79">
        <v>2.7082199999999998</v>
      </c>
      <c r="V79">
        <f>-(Table622269[[#This Row],[time]]-2)*2</f>
        <v>-1.4164399999999997</v>
      </c>
      <c r="W79">
        <v>83.766900000000007</v>
      </c>
      <c r="X79">
        <v>33.985700000000001</v>
      </c>
      <c r="Y79">
        <f>Table622269[[#This Row],[CFNM]]/Table622269[[#This Row],[CAREA]]</f>
        <v>0.40571753282024281</v>
      </c>
      <c r="Z79">
        <v>2.7082199999999998</v>
      </c>
      <c r="AA79">
        <f>-(Table723270[[#This Row],[time]]-2)*2</f>
        <v>-1.4164399999999997</v>
      </c>
      <c r="AB79">
        <v>71.7821</v>
      </c>
      <c r="AC79">
        <v>1.55511</v>
      </c>
      <c r="AD79">
        <f>Table723270[[#This Row],[CFNM]]/Table723270[[#This Row],[CAREA]]</f>
        <v>2.1664314641115266E-2</v>
      </c>
      <c r="AE79">
        <v>2.7082199999999998</v>
      </c>
      <c r="AF79">
        <f>-(Table824271[[#This Row],[time]]-2)*2</f>
        <v>-1.4164399999999997</v>
      </c>
      <c r="AG79">
        <v>70.167599999999993</v>
      </c>
      <c r="AH79">
        <v>50.978000000000002</v>
      </c>
      <c r="AI79">
        <f>Table824271[[#This Row],[CFNM]]/Table824271[[#This Row],[CAREA]]</f>
        <v>0.72651765202173091</v>
      </c>
      <c r="AJ79">
        <v>2.7082199999999998</v>
      </c>
      <c r="AK79">
        <f>-(Table925272[[#This Row],[time]]-2)*2</f>
        <v>-1.4164399999999997</v>
      </c>
      <c r="AL79">
        <v>79.681399999999996</v>
      </c>
      <c r="AM79">
        <v>8.4068799999999992</v>
      </c>
      <c r="AN79">
        <f>Table925272[[#This Row],[CFNM]]/Table925272[[#This Row],[CAREA]]</f>
        <v>0.10550617835529998</v>
      </c>
    </row>
    <row r="80" spans="1:40" x14ac:dyDescent="0.25">
      <c r="A80">
        <v>2.7589999999999999</v>
      </c>
      <c r="B80">
        <f>-(Table219266[[#This Row],[time]]-2)*2</f>
        <v>-1.5179999999999998</v>
      </c>
      <c r="C80">
        <v>99.892899999999997</v>
      </c>
      <c r="D80">
        <v>29.2791</v>
      </c>
      <c r="E80">
        <f>Table219266[[#This Row],[CFNM]]/Table219266[[#This Row],[CAREA ]]</f>
        <v>0.29310491536435523</v>
      </c>
      <c r="F80">
        <v>2.7589999999999999</v>
      </c>
      <c r="G80">
        <f>-(Table320267[[#This Row],[time]]-2)*2</f>
        <v>-1.5179999999999998</v>
      </c>
      <c r="H80">
        <v>83.580600000000004</v>
      </c>
      <c r="I80">
        <v>4.8369399999999996E-3</v>
      </c>
      <c r="J80" s="2">
        <f>Table320267[[#This Row],[CFNM]]/Table320267[[#This Row],[CAREA ]]</f>
        <v>5.7871563496792314E-5</v>
      </c>
      <c r="K80">
        <v>2.7589999999999999</v>
      </c>
      <c r="L80">
        <f>-(Table421268[[#This Row],[time]]-2)*2</f>
        <v>-1.5179999999999998</v>
      </c>
      <c r="M80">
        <v>85.868399999999994</v>
      </c>
      <c r="N80">
        <v>28.3918</v>
      </c>
      <c r="O80">
        <f>Table421268[[#This Row],[CFNM]]/Table421268[[#This Row],[CAREA]]</f>
        <v>0.33064317024656337</v>
      </c>
      <c r="P80">
        <v>2.7589999999999999</v>
      </c>
      <c r="Q80">
        <f>-(Table16273[[#This Row],[time]]-2)*2</f>
        <v>-1.5179999999999998</v>
      </c>
      <c r="R80">
        <v>72.895499999999998</v>
      </c>
      <c r="S80">
        <v>4.8122499999999997</v>
      </c>
      <c r="T80">
        <f>Table16273[[#This Row],[CFNM]]/Table16273[[#This Row],[CAREA]]</f>
        <v>6.6015734853317423E-2</v>
      </c>
      <c r="U80">
        <v>2.7589999999999999</v>
      </c>
      <c r="V80">
        <f>-(Table622269[[#This Row],[time]]-2)*2</f>
        <v>-1.5179999999999998</v>
      </c>
      <c r="W80">
        <v>83.515199999999993</v>
      </c>
      <c r="X80">
        <v>35.842799999999997</v>
      </c>
      <c r="Y80">
        <f>Table622269[[#This Row],[CFNM]]/Table622269[[#This Row],[CAREA]]</f>
        <v>0.42917696419334445</v>
      </c>
      <c r="Z80">
        <v>2.7589999999999999</v>
      </c>
      <c r="AA80">
        <f>-(Table723270[[#This Row],[time]]-2)*2</f>
        <v>-1.5179999999999998</v>
      </c>
      <c r="AB80">
        <v>70.816199999999995</v>
      </c>
      <c r="AC80">
        <v>1.2980799999999999</v>
      </c>
      <c r="AD80">
        <f>Table723270[[#This Row],[CFNM]]/Table723270[[#This Row],[CAREA]]</f>
        <v>1.8330269062728586E-2</v>
      </c>
      <c r="AE80">
        <v>2.7589999999999999</v>
      </c>
      <c r="AF80">
        <f>-(Table824271[[#This Row],[time]]-2)*2</f>
        <v>-1.5179999999999998</v>
      </c>
      <c r="AG80">
        <v>69.510900000000007</v>
      </c>
      <c r="AH80">
        <v>53.095799999999997</v>
      </c>
      <c r="AI80">
        <f>Table824271[[#This Row],[CFNM]]/Table824271[[#This Row],[CAREA]]</f>
        <v>0.76384854749399</v>
      </c>
      <c r="AJ80">
        <v>2.7589999999999999</v>
      </c>
      <c r="AK80">
        <f>-(Table925272[[#This Row],[time]]-2)*2</f>
        <v>-1.5179999999999998</v>
      </c>
      <c r="AL80">
        <v>79.621300000000005</v>
      </c>
      <c r="AM80">
        <v>7.76816</v>
      </c>
      <c r="AN80">
        <f>Table925272[[#This Row],[CFNM]]/Table925272[[#This Row],[CAREA]]</f>
        <v>9.7563842841048812E-2</v>
      </c>
    </row>
    <row r="81" spans="1:40" x14ac:dyDescent="0.25">
      <c r="A81">
        <v>2.8092299999999999</v>
      </c>
      <c r="B81">
        <f>-(Table219266[[#This Row],[time]]-2)*2</f>
        <v>-1.6184599999999998</v>
      </c>
      <c r="C81">
        <v>101.026</v>
      </c>
      <c r="D81">
        <v>32.896900000000002</v>
      </c>
      <c r="E81">
        <f>Table219266[[#This Row],[CFNM]]/Table219266[[#This Row],[CAREA ]]</f>
        <v>0.32562805614396295</v>
      </c>
      <c r="F81">
        <v>2.8092299999999999</v>
      </c>
      <c r="G81">
        <f>-(Table320267[[#This Row],[time]]-2)*2</f>
        <v>-1.6184599999999998</v>
      </c>
      <c r="H81">
        <v>81.596999999999994</v>
      </c>
      <c r="I81">
        <v>4.23063E-3</v>
      </c>
      <c r="J81" s="2">
        <f>Table320267[[#This Row],[CFNM]]/Table320267[[#This Row],[CAREA ]]</f>
        <v>5.1847862053751977E-5</v>
      </c>
      <c r="K81">
        <v>2.8092299999999999</v>
      </c>
      <c r="L81">
        <f>-(Table421268[[#This Row],[time]]-2)*2</f>
        <v>-1.6184599999999998</v>
      </c>
      <c r="M81">
        <v>84.810100000000006</v>
      </c>
      <c r="N81">
        <v>32.593200000000003</v>
      </c>
      <c r="O81">
        <f>Table421268[[#This Row],[CFNM]]/Table421268[[#This Row],[CAREA]]</f>
        <v>0.38430800105176155</v>
      </c>
      <c r="P81">
        <v>2.8092299999999999</v>
      </c>
      <c r="Q81">
        <f>-(Table16273[[#This Row],[time]]-2)*2</f>
        <v>-1.6184599999999998</v>
      </c>
      <c r="R81">
        <v>70.242400000000004</v>
      </c>
      <c r="S81">
        <v>4.2793799999999997</v>
      </c>
      <c r="T81">
        <f>Table16273[[#This Row],[CFNM]]/Table16273[[#This Row],[CAREA]]</f>
        <v>6.0923032242634075E-2</v>
      </c>
      <c r="U81">
        <v>2.8092299999999999</v>
      </c>
      <c r="V81">
        <f>-(Table622269[[#This Row],[time]]-2)*2</f>
        <v>-1.6184599999999998</v>
      </c>
      <c r="W81">
        <v>83.006100000000004</v>
      </c>
      <c r="X81">
        <v>39.591799999999999</v>
      </c>
      <c r="Y81">
        <f>Table622269[[#This Row],[CFNM]]/Table622269[[#This Row],[CAREA]]</f>
        <v>0.47697458379564872</v>
      </c>
      <c r="Z81">
        <v>2.8092299999999999</v>
      </c>
      <c r="AA81">
        <f>-(Table723270[[#This Row],[time]]-2)*2</f>
        <v>-1.6184599999999998</v>
      </c>
      <c r="AB81">
        <v>69.946100000000001</v>
      </c>
      <c r="AC81">
        <v>0.89062200000000002</v>
      </c>
      <c r="AD81">
        <f>Table723270[[#This Row],[CFNM]]/Table723270[[#This Row],[CAREA]]</f>
        <v>1.2732975819952792E-2</v>
      </c>
      <c r="AE81">
        <v>2.8092299999999999</v>
      </c>
      <c r="AF81">
        <f>-(Table824271[[#This Row],[time]]-2)*2</f>
        <v>-1.6184599999999998</v>
      </c>
      <c r="AG81">
        <v>68.290000000000006</v>
      </c>
      <c r="AH81">
        <v>57.213000000000001</v>
      </c>
      <c r="AI81">
        <f>Table824271[[#This Row],[CFNM]]/Table824271[[#This Row],[CAREA]]</f>
        <v>0.83779469907746373</v>
      </c>
      <c r="AJ81">
        <v>2.8092299999999999</v>
      </c>
      <c r="AK81">
        <f>-(Table925272[[#This Row],[time]]-2)*2</f>
        <v>-1.6184599999999998</v>
      </c>
      <c r="AL81">
        <v>78.472499999999997</v>
      </c>
      <c r="AM81">
        <v>6.4853300000000003</v>
      </c>
      <c r="AN81">
        <f>Table925272[[#This Row],[CFNM]]/Table925272[[#This Row],[CAREA]]</f>
        <v>8.2644620727006277E-2</v>
      </c>
    </row>
    <row r="82" spans="1:40" x14ac:dyDescent="0.25">
      <c r="A82">
        <v>2.8506100000000001</v>
      </c>
      <c r="B82">
        <f>-(Table219266[[#This Row],[time]]-2)*2</f>
        <v>-1.7012200000000002</v>
      </c>
      <c r="C82">
        <v>101.377</v>
      </c>
      <c r="D82">
        <v>34.513199999999998</v>
      </c>
      <c r="E82">
        <f>Table219266[[#This Row],[CFNM]]/Table219266[[#This Row],[CAREA ]]</f>
        <v>0.34044408495023526</v>
      </c>
      <c r="F82">
        <v>2.8506100000000001</v>
      </c>
      <c r="G82">
        <f>-(Table320267[[#This Row],[time]]-2)*2</f>
        <v>-1.7012200000000002</v>
      </c>
      <c r="H82">
        <v>80.992699999999999</v>
      </c>
      <c r="I82">
        <v>4.07596E-3</v>
      </c>
      <c r="J82" s="2">
        <f>Table320267[[#This Row],[CFNM]]/Table320267[[#This Row],[CAREA ]]</f>
        <v>5.0325029292763422E-5</v>
      </c>
      <c r="K82">
        <v>2.8506100000000001</v>
      </c>
      <c r="L82">
        <f>-(Table421268[[#This Row],[time]]-2)*2</f>
        <v>-1.7012200000000002</v>
      </c>
      <c r="M82">
        <v>84.376800000000003</v>
      </c>
      <c r="N82">
        <v>34.612699999999997</v>
      </c>
      <c r="O82">
        <f>Table421268[[#This Row],[CFNM]]/Table421268[[#This Row],[CAREA]]</f>
        <v>0.410215841321311</v>
      </c>
      <c r="P82">
        <v>2.8506100000000001</v>
      </c>
      <c r="Q82">
        <f>-(Table16273[[#This Row],[time]]-2)*2</f>
        <v>-1.7012200000000002</v>
      </c>
      <c r="R82">
        <v>70.061899999999994</v>
      </c>
      <c r="S82">
        <v>3.9861599999999999</v>
      </c>
      <c r="T82">
        <f>Table16273[[#This Row],[CFNM]]/Table16273[[#This Row],[CAREA]]</f>
        <v>5.6894831570368495E-2</v>
      </c>
      <c r="U82">
        <v>2.8506100000000001</v>
      </c>
      <c r="V82">
        <f>-(Table622269[[#This Row],[time]]-2)*2</f>
        <v>-1.7012200000000002</v>
      </c>
      <c r="W82">
        <v>82.786000000000001</v>
      </c>
      <c r="X82">
        <v>41.2149</v>
      </c>
      <c r="Y82">
        <f>Table622269[[#This Row],[CFNM]]/Table622269[[#This Row],[CAREA]]</f>
        <v>0.49784867006498684</v>
      </c>
      <c r="Z82">
        <v>2.8506100000000001</v>
      </c>
      <c r="AA82">
        <f>-(Table723270[[#This Row],[time]]-2)*2</f>
        <v>-1.7012200000000002</v>
      </c>
      <c r="AB82">
        <v>69.085300000000004</v>
      </c>
      <c r="AC82">
        <v>0.74200699999999997</v>
      </c>
      <c r="AD82">
        <f>Table723270[[#This Row],[CFNM]]/Table723270[[#This Row],[CAREA]]</f>
        <v>1.0740446954706717E-2</v>
      </c>
      <c r="AE82">
        <v>2.8506100000000001</v>
      </c>
      <c r="AF82">
        <f>-(Table824271[[#This Row],[time]]-2)*2</f>
        <v>-1.7012200000000002</v>
      </c>
      <c r="AG82">
        <v>67.789400000000001</v>
      </c>
      <c r="AH82">
        <v>58.929299999999998</v>
      </c>
      <c r="AI82">
        <f>Table824271[[#This Row],[CFNM]]/Table824271[[#This Row],[CAREA]]</f>
        <v>0.86929962501512037</v>
      </c>
      <c r="AJ82">
        <v>2.8506100000000001</v>
      </c>
      <c r="AK82">
        <f>-(Table925272[[#This Row],[time]]-2)*2</f>
        <v>-1.7012200000000002</v>
      </c>
      <c r="AL82">
        <v>77.492999999999995</v>
      </c>
      <c r="AM82">
        <v>5.9663399999999998</v>
      </c>
      <c r="AN82">
        <f>Table925272[[#This Row],[CFNM]]/Table925272[[#This Row],[CAREA]]</f>
        <v>7.6991986372962715E-2</v>
      </c>
    </row>
    <row r="83" spans="1:40" x14ac:dyDescent="0.25">
      <c r="A83">
        <v>2.90524</v>
      </c>
      <c r="B83">
        <f>-(Table219266[[#This Row],[time]]-2)*2</f>
        <v>-1.8104800000000001</v>
      </c>
      <c r="C83">
        <v>102.04900000000001</v>
      </c>
      <c r="D83">
        <v>37.780299999999997</v>
      </c>
      <c r="E83">
        <f>Table219266[[#This Row],[CFNM]]/Table219266[[#This Row],[CAREA ]]</f>
        <v>0.3702172485766641</v>
      </c>
      <c r="F83">
        <v>2.90524</v>
      </c>
      <c r="G83">
        <f>-(Table320267[[#This Row],[time]]-2)*2</f>
        <v>-1.8104800000000001</v>
      </c>
      <c r="H83">
        <v>78.553799999999995</v>
      </c>
      <c r="I83">
        <v>3.8049400000000001E-3</v>
      </c>
      <c r="J83" s="2">
        <f>Table320267[[#This Row],[CFNM]]/Table320267[[#This Row],[CAREA ]]</f>
        <v>4.8437376676876238E-5</v>
      </c>
      <c r="K83">
        <v>2.90524</v>
      </c>
      <c r="L83">
        <f>-(Table421268[[#This Row],[time]]-2)*2</f>
        <v>-1.8104800000000001</v>
      </c>
      <c r="M83">
        <v>83.5809</v>
      </c>
      <c r="N83">
        <v>38.2562</v>
      </c>
      <c r="O83">
        <f>Table421268[[#This Row],[CFNM]]/Table421268[[#This Row],[CAREA]]</f>
        <v>0.45771462140273672</v>
      </c>
      <c r="P83">
        <v>2.90524</v>
      </c>
      <c r="Q83">
        <f>-(Table16273[[#This Row],[time]]-2)*2</f>
        <v>-1.8104800000000001</v>
      </c>
      <c r="R83">
        <v>68.0167</v>
      </c>
      <c r="S83">
        <v>3.4653499999999999</v>
      </c>
      <c r="T83">
        <f>Table16273[[#This Row],[CFNM]]/Table16273[[#This Row],[CAREA]]</f>
        <v>5.0948517055370221E-2</v>
      </c>
      <c r="U83">
        <v>2.90524</v>
      </c>
      <c r="V83">
        <f>-(Table622269[[#This Row],[time]]-2)*2</f>
        <v>-1.8104800000000001</v>
      </c>
      <c r="W83">
        <v>82.288499999999999</v>
      </c>
      <c r="X83">
        <v>44.0595</v>
      </c>
      <c r="Y83">
        <f>Table622269[[#This Row],[CFNM]]/Table622269[[#This Row],[CAREA]]</f>
        <v>0.53542718605880535</v>
      </c>
      <c r="Z83">
        <v>2.90524</v>
      </c>
      <c r="AA83">
        <f>-(Table723270[[#This Row],[time]]-2)*2</f>
        <v>-1.8104800000000001</v>
      </c>
      <c r="AB83">
        <v>66.551199999999994</v>
      </c>
      <c r="AC83">
        <v>0.54433399999999998</v>
      </c>
      <c r="AD83">
        <f>Table723270[[#This Row],[CFNM]]/Table723270[[#This Row],[CAREA]]</f>
        <v>8.1791763334094665E-3</v>
      </c>
      <c r="AE83">
        <v>2.90524</v>
      </c>
      <c r="AF83">
        <f>-(Table824271[[#This Row],[time]]-2)*2</f>
        <v>-1.8104800000000001</v>
      </c>
      <c r="AG83">
        <v>66.964600000000004</v>
      </c>
      <c r="AH83">
        <v>61.940800000000003</v>
      </c>
      <c r="AI83">
        <f>Table824271[[#This Row],[CFNM]]/Table824271[[#This Row],[CAREA]]</f>
        <v>0.92497827210197625</v>
      </c>
      <c r="AJ83">
        <v>2.90524</v>
      </c>
      <c r="AK83">
        <f>-(Table925272[[#This Row],[time]]-2)*2</f>
        <v>-1.8104800000000001</v>
      </c>
      <c r="AL83">
        <v>77.5398</v>
      </c>
      <c r="AM83">
        <v>5.0886399999999998</v>
      </c>
      <c r="AN83">
        <f>Table925272[[#This Row],[CFNM]]/Table925272[[#This Row],[CAREA]]</f>
        <v>6.5626168754626651E-2</v>
      </c>
    </row>
    <row r="84" spans="1:40" x14ac:dyDescent="0.25">
      <c r="A84">
        <v>2.9500299999999999</v>
      </c>
      <c r="B84">
        <f>-(Table219266[[#This Row],[time]]-2)*2</f>
        <v>-1.9000599999999999</v>
      </c>
      <c r="C84">
        <v>102.336</v>
      </c>
      <c r="D84">
        <v>41.981400000000001</v>
      </c>
      <c r="E84">
        <f>Table219266[[#This Row],[CFNM]]/Table219266[[#This Row],[CAREA ]]</f>
        <v>0.41023100375234522</v>
      </c>
      <c r="F84">
        <v>2.9500299999999999</v>
      </c>
      <c r="G84">
        <f>-(Table320267[[#This Row],[time]]-2)*2</f>
        <v>-1.9000599999999999</v>
      </c>
      <c r="H84">
        <v>77.170400000000001</v>
      </c>
      <c r="I84">
        <v>3.51389E-3</v>
      </c>
      <c r="J84" s="2">
        <f>Table320267[[#This Row],[CFNM]]/Table320267[[#This Row],[CAREA ]]</f>
        <v>4.5534168541305994E-5</v>
      </c>
      <c r="K84">
        <v>2.9500299999999999</v>
      </c>
      <c r="L84">
        <f>-(Table421268[[#This Row],[time]]-2)*2</f>
        <v>-1.9000599999999999</v>
      </c>
      <c r="M84">
        <v>82.561899999999994</v>
      </c>
      <c r="N84">
        <v>42.575200000000002</v>
      </c>
      <c r="O84">
        <f>Table421268[[#This Row],[CFNM]]/Table421268[[#This Row],[CAREA]]</f>
        <v>0.51567611694982796</v>
      </c>
      <c r="P84">
        <v>2.9500299999999999</v>
      </c>
      <c r="Q84">
        <f>-(Table16273[[#This Row],[time]]-2)*2</f>
        <v>-1.9000599999999999</v>
      </c>
      <c r="R84">
        <v>66.882400000000004</v>
      </c>
      <c r="S84">
        <v>2.8351600000000001</v>
      </c>
      <c r="T84">
        <f>Table16273[[#This Row],[CFNM]]/Table16273[[#This Row],[CAREA]]</f>
        <v>4.239022523115199E-2</v>
      </c>
      <c r="U84">
        <v>2.9500299999999999</v>
      </c>
      <c r="V84">
        <f>-(Table622269[[#This Row],[time]]-2)*2</f>
        <v>-1.9000599999999999</v>
      </c>
      <c r="W84">
        <v>81.635400000000004</v>
      </c>
      <c r="X84">
        <v>47.355400000000003</v>
      </c>
      <c r="Y84">
        <f>Table622269[[#This Row],[CFNM]]/Table622269[[#This Row],[CAREA]]</f>
        <v>0.58008413016901983</v>
      </c>
      <c r="Z84">
        <v>2.9500299999999999</v>
      </c>
      <c r="AA84">
        <f>-(Table723270[[#This Row],[time]]-2)*2</f>
        <v>-1.9000599999999999</v>
      </c>
      <c r="AB84">
        <v>63.866900000000001</v>
      </c>
      <c r="AC84">
        <v>0.35677799999999998</v>
      </c>
      <c r="AD84">
        <f>Table723270[[#This Row],[CFNM]]/Table723270[[#This Row],[CAREA]]</f>
        <v>5.5862739541139459E-3</v>
      </c>
      <c r="AE84">
        <v>2.9500299999999999</v>
      </c>
      <c r="AF84">
        <f>-(Table824271[[#This Row],[time]]-2)*2</f>
        <v>-1.9000599999999999</v>
      </c>
      <c r="AG84">
        <v>66.119299999999996</v>
      </c>
      <c r="AH84">
        <v>65.215900000000005</v>
      </c>
      <c r="AI84">
        <f>Table824271[[#This Row],[CFNM]]/Table824271[[#This Row],[CAREA]]</f>
        <v>0.98633681844786636</v>
      </c>
      <c r="AJ84">
        <v>2.9500299999999999</v>
      </c>
      <c r="AK84">
        <f>-(Table925272[[#This Row],[time]]-2)*2</f>
        <v>-1.9000599999999999</v>
      </c>
      <c r="AL84">
        <v>75.334599999999995</v>
      </c>
      <c r="AM84">
        <v>4.0511600000000003</v>
      </c>
      <c r="AN84">
        <f>Table925272[[#This Row],[CFNM]]/Table925272[[#This Row],[CAREA]]</f>
        <v>5.377555598622679E-2</v>
      </c>
    </row>
    <row r="85" spans="1:40" x14ac:dyDescent="0.25">
      <c r="A85">
        <v>3</v>
      </c>
      <c r="B85">
        <f>-(Table219266[[#This Row],[time]]-2)*2</f>
        <v>-2</v>
      </c>
      <c r="C85">
        <v>102.47499999999999</v>
      </c>
      <c r="D85">
        <v>44.025599999999997</v>
      </c>
      <c r="E85">
        <f>Table219266[[#This Row],[CFNM]]/Table219266[[#This Row],[CAREA ]]</f>
        <v>0.42962283483776531</v>
      </c>
      <c r="F85">
        <v>3</v>
      </c>
      <c r="G85">
        <f>-(Table320267[[#This Row],[time]]-2)*2</f>
        <v>-2</v>
      </c>
      <c r="H85">
        <v>77.050700000000006</v>
      </c>
      <c r="I85">
        <v>3.3773399999999999E-3</v>
      </c>
      <c r="J85" s="2">
        <f>Table320267[[#This Row],[CFNM]]/Table320267[[#This Row],[CAREA ]]</f>
        <v>4.3832697172121726E-5</v>
      </c>
      <c r="K85">
        <v>3</v>
      </c>
      <c r="L85">
        <f>-(Table421268[[#This Row],[time]]-2)*2</f>
        <v>-2</v>
      </c>
      <c r="M85">
        <v>82.078199999999995</v>
      </c>
      <c r="N85">
        <v>44.729100000000003</v>
      </c>
      <c r="O85">
        <f>Table421268[[#This Row],[CFNM]]/Table421268[[#This Row],[CAREA]]</f>
        <v>0.54495712625276871</v>
      </c>
      <c r="P85">
        <v>3</v>
      </c>
      <c r="Q85">
        <f>-(Table16273[[#This Row],[time]]-2)*2</f>
        <v>-2</v>
      </c>
      <c r="R85">
        <v>66.156999999999996</v>
      </c>
      <c r="S85">
        <v>2.5448900000000001</v>
      </c>
      <c r="T85">
        <f>Table16273[[#This Row],[CFNM]]/Table16273[[#This Row],[CAREA]]</f>
        <v>3.8467433529331747E-2</v>
      </c>
      <c r="U85">
        <v>3</v>
      </c>
      <c r="V85">
        <f>-(Table622269[[#This Row],[time]]-2)*2</f>
        <v>-2</v>
      </c>
      <c r="W85">
        <v>81.345200000000006</v>
      </c>
      <c r="X85">
        <v>48.971499999999999</v>
      </c>
      <c r="Y85">
        <f>Table622269[[#This Row],[CFNM]]/Table622269[[#This Row],[CAREA]]</f>
        <v>0.60202077074000671</v>
      </c>
      <c r="Z85">
        <v>3</v>
      </c>
      <c r="AA85">
        <f>-(Table723270[[#This Row],[time]]-2)*2</f>
        <v>-2</v>
      </c>
      <c r="AB85">
        <v>62.255800000000001</v>
      </c>
      <c r="AC85">
        <v>0.27491900000000002</v>
      </c>
      <c r="AD85">
        <f>Table723270[[#This Row],[CFNM]]/Table723270[[#This Row],[CAREA]]</f>
        <v>4.4159580312195818E-3</v>
      </c>
      <c r="AE85">
        <v>3</v>
      </c>
      <c r="AF85">
        <f>-(Table824271[[#This Row],[time]]-2)*2</f>
        <v>-2</v>
      </c>
      <c r="AG85">
        <v>65.721500000000006</v>
      </c>
      <c r="AH85">
        <v>66.789599999999993</v>
      </c>
      <c r="AI85">
        <f>Table824271[[#This Row],[CFNM]]/Table824271[[#This Row],[CAREA]]</f>
        <v>1.0162519114749358</v>
      </c>
      <c r="AJ85">
        <v>3</v>
      </c>
      <c r="AK85">
        <f>-(Table925272[[#This Row],[time]]-2)*2</f>
        <v>-2</v>
      </c>
      <c r="AL85">
        <v>73.926199999999994</v>
      </c>
      <c r="AM85">
        <v>3.58758</v>
      </c>
      <c r="AN85">
        <f>Table925272[[#This Row],[CFNM]]/Table925272[[#This Row],[CAREA]]</f>
        <v>4.8529208859646518E-2</v>
      </c>
    </row>
    <row r="87" spans="1:40" x14ac:dyDescent="0.25">
      <c r="A87" t="s">
        <v>38</v>
      </c>
      <c r="D87" t="s">
        <v>1</v>
      </c>
    </row>
    <row r="88" spans="1:40" x14ac:dyDescent="0.25">
      <c r="A88" t="s">
        <v>39</v>
      </c>
      <c r="D88" t="s">
        <v>2</v>
      </c>
      <c r="E88" t="s">
        <v>3</v>
      </c>
    </row>
    <row r="90" spans="1:40" x14ac:dyDescent="0.25">
      <c r="A90" t="s">
        <v>5</v>
      </c>
      <c r="F90" t="s">
        <v>6</v>
      </c>
      <c r="K90" t="s">
        <v>7</v>
      </c>
      <c r="P90" t="s">
        <v>19</v>
      </c>
      <c r="U90" t="s">
        <v>8</v>
      </c>
      <c r="Z90" t="s">
        <v>9</v>
      </c>
      <c r="AE90" t="s">
        <v>10</v>
      </c>
      <c r="AJ90" t="s">
        <v>11</v>
      </c>
    </row>
    <row r="91" spans="1:40" x14ac:dyDescent="0.25">
      <c r="A91" t="s">
        <v>12</v>
      </c>
      <c r="B91" t="s">
        <v>13</v>
      </c>
      <c r="C91" t="s">
        <v>17</v>
      </c>
      <c r="D91" t="s">
        <v>15</v>
      </c>
      <c r="E91" t="s">
        <v>16</v>
      </c>
      <c r="F91" t="s">
        <v>12</v>
      </c>
      <c r="G91" t="s">
        <v>13</v>
      </c>
      <c r="H91" t="s">
        <v>17</v>
      </c>
      <c r="I91" t="s">
        <v>15</v>
      </c>
      <c r="J91" t="s">
        <v>16</v>
      </c>
      <c r="K91" t="s">
        <v>12</v>
      </c>
      <c r="L91" t="s">
        <v>13</v>
      </c>
      <c r="M91" t="s">
        <v>17</v>
      </c>
      <c r="N91" t="s">
        <v>15</v>
      </c>
      <c r="O91" t="s">
        <v>16</v>
      </c>
      <c r="P91" t="s">
        <v>12</v>
      </c>
      <c r="Q91" t="s">
        <v>13</v>
      </c>
      <c r="R91" t="s">
        <v>17</v>
      </c>
      <c r="S91" t="s">
        <v>15</v>
      </c>
      <c r="T91" t="s">
        <v>16</v>
      </c>
      <c r="U91" t="s">
        <v>12</v>
      </c>
      <c r="V91" t="s">
        <v>13</v>
      </c>
      <c r="W91" t="s">
        <v>17</v>
      </c>
      <c r="X91" t="s">
        <v>15</v>
      </c>
      <c r="Y91" t="s">
        <v>16</v>
      </c>
      <c r="Z91" t="s">
        <v>12</v>
      </c>
      <c r="AA91" t="s">
        <v>13</v>
      </c>
      <c r="AB91" t="s">
        <v>17</v>
      </c>
      <c r="AC91" t="s">
        <v>15</v>
      </c>
      <c r="AD91" t="s">
        <v>16</v>
      </c>
      <c r="AE91" t="s">
        <v>12</v>
      </c>
      <c r="AF91" t="s">
        <v>13</v>
      </c>
      <c r="AG91" t="s">
        <v>17</v>
      </c>
      <c r="AH91" t="s">
        <v>15</v>
      </c>
      <c r="AI91" t="s">
        <v>16</v>
      </c>
      <c r="AJ91" t="s">
        <v>12</v>
      </c>
      <c r="AK91" t="s">
        <v>13</v>
      </c>
      <c r="AL91" t="s">
        <v>17</v>
      </c>
      <c r="AM91" t="s">
        <v>15</v>
      </c>
      <c r="AN91" t="s">
        <v>16</v>
      </c>
    </row>
    <row r="92" spans="1:40" x14ac:dyDescent="0.25">
      <c r="A92">
        <v>2</v>
      </c>
      <c r="B92">
        <f>(Table1[[#This Row],[time]]-2)*2</f>
        <v>0</v>
      </c>
      <c r="C92">
        <v>91.921300000000002</v>
      </c>
      <c r="D92">
        <v>9.3756500000000003</v>
      </c>
      <c r="E92" s="2">
        <f>Table1[[#This Row],[CFNM]]/Table1[[#This Row],[CAREA]]</f>
        <v>0.10199649047609205</v>
      </c>
      <c r="F92">
        <v>2</v>
      </c>
      <c r="G92">
        <f>(Table2[[#This Row],[time]]-2)*2</f>
        <v>0</v>
      </c>
      <c r="H92">
        <v>94.718199999999996</v>
      </c>
      <c r="I92">
        <v>2.8455900000000001</v>
      </c>
      <c r="J92" s="2">
        <f>Table2[[#This Row],[CFNM]]/Table2[[#This Row],[CAREA]]</f>
        <v>3.0042695068107292E-2</v>
      </c>
      <c r="K92">
        <v>2</v>
      </c>
      <c r="L92">
        <f>(Table3[[#This Row],[time]]-2)*2</f>
        <v>0</v>
      </c>
      <c r="M92">
        <v>89.822999999999993</v>
      </c>
      <c r="N92">
        <v>2.7683800000000001</v>
      </c>
      <c r="O92">
        <f>Table3[[#This Row],[CFNM]]/Table3[[#This Row],[CAREA]]</f>
        <v>3.0820391213831649E-2</v>
      </c>
      <c r="P92">
        <v>2</v>
      </c>
      <c r="Q92">
        <f>(Table4[[#This Row],[time]]-2)*2</f>
        <v>0</v>
      </c>
      <c r="R92">
        <v>84.903199999999998</v>
      </c>
      <c r="S92">
        <v>4.4528400000000001</v>
      </c>
      <c r="T92">
        <f>Table4[[#This Row],[CFNM]]/Table4[[#This Row],[CAREA]]</f>
        <v>5.2446079770844915E-2</v>
      </c>
      <c r="U92">
        <v>2</v>
      </c>
      <c r="V92">
        <f>(Table5[[#This Row],[time]]-2)*2</f>
        <v>0</v>
      </c>
      <c r="W92">
        <v>83.020300000000006</v>
      </c>
      <c r="X92">
        <v>8.6436100000000007</v>
      </c>
      <c r="Y92">
        <f>Table5[[#This Row],[CFNM]]/Table5[[#This Row],[CAREA]]</f>
        <v>0.10411441538997089</v>
      </c>
      <c r="Z92">
        <v>2</v>
      </c>
      <c r="AA92">
        <f>(Table6[[#This Row],[time]]-2)*2</f>
        <v>0</v>
      </c>
      <c r="AB92">
        <v>88.872600000000006</v>
      </c>
      <c r="AC92">
        <v>13.6356</v>
      </c>
      <c r="AD92">
        <f>Table6[[#This Row],[CFNM]]/Table6[[#This Row],[CAREA]]</f>
        <v>0.1534286157938442</v>
      </c>
      <c r="AE92">
        <v>2</v>
      </c>
      <c r="AF92">
        <f>(Table7[[#This Row],[time]]-2)*2</f>
        <v>0</v>
      </c>
      <c r="AG92">
        <v>78.913399999999996</v>
      </c>
      <c r="AH92">
        <v>19.2013</v>
      </c>
      <c r="AI92">
        <f>Table7[[#This Row],[CFNM]]/Table7[[#This Row],[CAREA]]</f>
        <v>0.24332115965095916</v>
      </c>
      <c r="AJ92">
        <v>2</v>
      </c>
      <c r="AK92">
        <f>(Table8[[#This Row],[time]]-2)*2</f>
        <v>0</v>
      </c>
      <c r="AL92">
        <v>83.194400000000002</v>
      </c>
      <c r="AM92">
        <v>18.7179</v>
      </c>
      <c r="AN92">
        <f>Table8[[#This Row],[CFNM]]/Table8[[#This Row],[CAREA]]</f>
        <v>0.22498990316655929</v>
      </c>
    </row>
    <row r="93" spans="1:40" x14ac:dyDescent="0.25">
      <c r="A93">
        <v>2.0512600000000001</v>
      </c>
      <c r="B93">
        <f>(Table1[[#This Row],[time]]-2)*2</f>
        <v>0.10252000000000017</v>
      </c>
      <c r="C93">
        <v>92.244200000000006</v>
      </c>
      <c r="D93">
        <v>9.6472300000000004</v>
      </c>
      <c r="E93">
        <f>Table1[[#This Row],[CFNM]]/Table1[[#This Row],[CAREA]]</f>
        <v>0.10458359441569226</v>
      </c>
      <c r="F93">
        <v>2.0512600000000001</v>
      </c>
      <c r="G93">
        <f>(Table2[[#This Row],[time]]-2)*2</f>
        <v>0.10252000000000017</v>
      </c>
      <c r="H93">
        <v>94.964200000000005</v>
      </c>
      <c r="I93">
        <v>4.2829199999999998</v>
      </c>
      <c r="J93">
        <f>Table2[[#This Row],[CFNM]]/Table2[[#This Row],[CAREA]]</f>
        <v>4.5100364137222231E-2</v>
      </c>
      <c r="K93">
        <v>2.0512600000000001</v>
      </c>
      <c r="L93">
        <f>(Table3[[#This Row],[time]]-2)*2</f>
        <v>0.10252000000000017</v>
      </c>
      <c r="M93">
        <v>89.816100000000006</v>
      </c>
      <c r="N93">
        <v>2.8536999999999999</v>
      </c>
      <c r="O93">
        <f>Table3[[#This Row],[CFNM]]/Table3[[#This Row],[CAREA]]</f>
        <v>3.1772699994767083E-2</v>
      </c>
      <c r="P93">
        <v>2.0512600000000001</v>
      </c>
      <c r="Q93">
        <f>(Table4[[#This Row],[time]]-2)*2</f>
        <v>0.10252000000000017</v>
      </c>
      <c r="R93">
        <v>86.195099999999996</v>
      </c>
      <c r="S93">
        <v>6.8275600000000001</v>
      </c>
      <c r="T93">
        <f>Table4[[#This Row],[CFNM]]/Table4[[#This Row],[CAREA]]</f>
        <v>7.9210535169632612E-2</v>
      </c>
      <c r="U93">
        <v>2.0512600000000001</v>
      </c>
      <c r="V93">
        <f>(Table5[[#This Row],[time]]-2)*2</f>
        <v>0.10252000000000017</v>
      </c>
      <c r="W93">
        <v>82.817499999999995</v>
      </c>
      <c r="X93">
        <v>8.6218000000000004</v>
      </c>
      <c r="Y93">
        <f>Table5[[#This Row],[CFNM]]/Table5[[#This Row],[CAREA]]</f>
        <v>0.10410601624052888</v>
      </c>
      <c r="Z93">
        <v>2.0512600000000001</v>
      </c>
      <c r="AA93">
        <f>(Table6[[#This Row],[time]]-2)*2</f>
        <v>0.10252000000000017</v>
      </c>
      <c r="AB93">
        <v>88.983699999999999</v>
      </c>
      <c r="AC93">
        <v>16.682300000000001</v>
      </c>
      <c r="AD93">
        <f>Table6[[#This Row],[CFNM]]/Table6[[#This Row],[CAREA]]</f>
        <v>0.18747590850908652</v>
      </c>
      <c r="AE93">
        <v>2.0512600000000001</v>
      </c>
      <c r="AF93">
        <f>(Table7[[#This Row],[time]]-2)*2</f>
        <v>0.10252000000000017</v>
      </c>
      <c r="AG93">
        <v>78.599699999999999</v>
      </c>
      <c r="AH93">
        <v>19.0486</v>
      </c>
      <c r="AI93">
        <f>Table7[[#This Row],[CFNM]]/Table7[[#This Row],[CAREA]]</f>
        <v>0.24234952550709482</v>
      </c>
      <c r="AJ93">
        <v>2.0512600000000001</v>
      </c>
      <c r="AK93">
        <f>(Table8[[#This Row],[time]]-2)*2</f>
        <v>0.10252000000000017</v>
      </c>
      <c r="AL93">
        <v>83.382800000000003</v>
      </c>
      <c r="AM93">
        <v>20.4894</v>
      </c>
      <c r="AN93">
        <f>Table8[[#This Row],[CFNM]]/Table8[[#This Row],[CAREA]]</f>
        <v>0.24572693649049923</v>
      </c>
    </row>
    <row r="94" spans="1:40" x14ac:dyDescent="0.25">
      <c r="A94">
        <v>2.1153300000000002</v>
      </c>
      <c r="B94">
        <f>(Table1[[#This Row],[time]]-2)*2</f>
        <v>0.23066000000000031</v>
      </c>
      <c r="C94">
        <v>92.025899999999993</v>
      </c>
      <c r="D94">
        <v>8.9834200000000006</v>
      </c>
      <c r="E94">
        <f>Table1[[#This Row],[CFNM]]/Table1[[#This Row],[CAREA]]</f>
        <v>9.7618387866894002E-2</v>
      </c>
      <c r="F94">
        <v>2.1153300000000002</v>
      </c>
      <c r="G94">
        <f>(Table2[[#This Row],[time]]-2)*2</f>
        <v>0.23066000000000031</v>
      </c>
      <c r="H94">
        <v>95.032700000000006</v>
      </c>
      <c r="I94">
        <v>5.2551800000000002</v>
      </c>
      <c r="J94">
        <f>Table2[[#This Row],[CFNM]]/Table2[[#This Row],[CAREA]]</f>
        <v>5.529864983316269E-2</v>
      </c>
      <c r="K94">
        <v>2.1153300000000002</v>
      </c>
      <c r="L94">
        <f>(Table3[[#This Row],[time]]-2)*2</f>
        <v>0.23066000000000031</v>
      </c>
      <c r="M94">
        <v>88.849100000000007</v>
      </c>
      <c r="N94">
        <v>2.4712399999999999</v>
      </c>
      <c r="O94">
        <f>Table3[[#This Row],[CFNM]]/Table3[[#This Row],[CAREA]]</f>
        <v>2.7813900197075712E-2</v>
      </c>
      <c r="P94">
        <v>2.1153300000000002</v>
      </c>
      <c r="Q94">
        <f>(Table4[[#This Row],[time]]-2)*2</f>
        <v>0.23066000000000031</v>
      </c>
      <c r="R94">
        <v>87.126400000000004</v>
      </c>
      <c r="S94">
        <v>8.7881099999999996</v>
      </c>
      <c r="T94">
        <f>Table4[[#This Row],[CFNM]]/Table4[[#This Row],[CAREA]]</f>
        <v>0.10086621276673889</v>
      </c>
      <c r="U94">
        <v>2.1153300000000002</v>
      </c>
      <c r="V94">
        <f>(Table5[[#This Row],[time]]-2)*2</f>
        <v>0.23066000000000031</v>
      </c>
      <c r="W94">
        <v>82.165099999999995</v>
      </c>
      <c r="X94">
        <v>7.6385100000000001</v>
      </c>
      <c r="Y94">
        <f>Table5[[#This Row],[CFNM]]/Table5[[#This Row],[CAREA]]</f>
        <v>9.2965383112781463E-2</v>
      </c>
      <c r="Z94">
        <v>2.1153300000000002</v>
      </c>
      <c r="AA94">
        <f>(Table6[[#This Row],[time]]-2)*2</f>
        <v>0.23066000000000031</v>
      </c>
      <c r="AB94">
        <v>89.472499999999997</v>
      </c>
      <c r="AC94">
        <v>20.453299999999999</v>
      </c>
      <c r="AD94">
        <f>Table6[[#This Row],[CFNM]]/Table6[[#This Row],[CAREA]]</f>
        <v>0.22859873145379864</v>
      </c>
      <c r="AE94">
        <v>2.1153300000000002</v>
      </c>
      <c r="AF94">
        <f>(Table7[[#This Row],[time]]-2)*2</f>
        <v>0.23066000000000031</v>
      </c>
      <c r="AG94">
        <v>77.788499999999999</v>
      </c>
      <c r="AH94">
        <v>18.716200000000001</v>
      </c>
      <c r="AI94">
        <f>Table7[[#This Row],[CFNM]]/Table7[[#This Row],[CAREA]]</f>
        <v>0.24060368820584022</v>
      </c>
      <c r="AJ94">
        <v>2.1153300000000002</v>
      </c>
      <c r="AK94">
        <f>(Table8[[#This Row],[time]]-2)*2</f>
        <v>0.23066000000000031</v>
      </c>
      <c r="AL94">
        <v>83.503100000000003</v>
      </c>
      <c r="AM94">
        <v>22.8597</v>
      </c>
      <c r="AN94">
        <f>Table8[[#This Row],[CFNM]]/Table8[[#This Row],[CAREA]]</f>
        <v>0.27375869877884773</v>
      </c>
    </row>
    <row r="95" spans="1:40" x14ac:dyDescent="0.25">
      <c r="A95">
        <v>2.16533</v>
      </c>
      <c r="B95">
        <f>(Table1[[#This Row],[time]]-2)*2</f>
        <v>0.33065999999999995</v>
      </c>
      <c r="C95">
        <v>91.633799999999994</v>
      </c>
      <c r="D95">
        <v>8.2694600000000005</v>
      </c>
      <c r="E95">
        <f>Table1[[#This Row],[CFNM]]/Table1[[#This Row],[CAREA]]</f>
        <v>9.0244647717327028E-2</v>
      </c>
      <c r="F95">
        <v>2.16533</v>
      </c>
      <c r="G95">
        <f>(Table2[[#This Row],[time]]-2)*2</f>
        <v>0.33065999999999995</v>
      </c>
      <c r="H95">
        <v>94.9953</v>
      </c>
      <c r="I95">
        <v>6.1154700000000002</v>
      </c>
      <c r="J95">
        <f>Table2[[#This Row],[CFNM]]/Table2[[#This Row],[CAREA]]</f>
        <v>6.4376553366324446E-2</v>
      </c>
      <c r="K95">
        <v>2.16533</v>
      </c>
      <c r="L95">
        <f>(Table3[[#This Row],[time]]-2)*2</f>
        <v>0.33065999999999995</v>
      </c>
      <c r="M95">
        <v>87.490099999999998</v>
      </c>
      <c r="N95">
        <v>2.28267</v>
      </c>
      <c r="O95">
        <f>Table3[[#This Row],[CFNM]]/Table3[[#This Row],[CAREA]]</f>
        <v>2.6090609108916325E-2</v>
      </c>
      <c r="P95">
        <v>2.16533</v>
      </c>
      <c r="Q95">
        <f>(Table4[[#This Row],[time]]-2)*2</f>
        <v>0.33065999999999995</v>
      </c>
      <c r="R95">
        <v>88.305499999999995</v>
      </c>
      <c r="S95">
        <v>10.384</v>
      </c>
      <c r="T95">
        <f>Table4[[#This Row],[CFNM]]/Table4[[#This Row],[CAREA]]</f>
        <v>0.1175917694820821</v>
      </c>
      <c r="U95">
        <v>2.16533</v>
      </c>
      <c r="V95">
        <f>(Table5[[#This Row],[time]]-2)*2</f>
        <v>0.33065999999999995</v>
      </c>
      <c r="W95">
        <v>81.342600000000004</v>
      </c>
      <c r="X95">
        <v>6.73733</v>
      </c>
      <c r="Y95">
        <f>Table5[[#This Row],[CFNM]]/Table5[[#This Row],[CAREA]]</f>
        <v>8.2826587790407483E-2</v>
      </c>
      <c r="Z95">
        <v>2.16533</v>
      </c>
      <c r="AA95">
        <f>(Table6[[#This Row],[time]]-2)*2</f>
        <v>0.33065999999999995</v>
      </c>
      <c r="AB95">
        <v>89.943100000000001</v>
      </c>
      <c r="AC95">
        <v>23.9176</v>
      </c>
      <c r="AD95">
        <f>Table6[[#This Row],[CFNM]]/Table6[[#This Row],[CAREA]]</f>
        <v>0.26591923115836569</v>
      </c>
      <c r="AE95">
        <v>2.16533</v>
      </c>
      <c r="AF95">
        <f>(Table7[[#This Row],[time]]-2)*2</f>
        <v>0.33065999999999995</v>
      </c>
      <c r="AG95">
        <v>77.5505</v>
      </c>
      <c r="AH95">
        <v>18.434999999999999</v>
      </c>
      <c r="AI95">
        <f>Table7[[#This Row],[CFNM]]/Table7[[#This Row],[CAREA]]</f>
        <v>0.23771606888414645</v>
      </c>
      <c r="AJ95">
        <v>2.16533</v>
      </c>
      <c r="AK95">
        <f>(Table8[[#This Row],[time]]-2)*2</f>
        <v>0.33065999999999995</v>
      </c>
      <c r="AL95">
        <v>83.454800000000006</v>
      </c>
      <c r="AM95">
        <v>25.2605</v>
      </c>
      <c r="AN95">
        <f>Table8[[#This Row],[CFNM]]/Table8[[#This Row],[CAREA]]</f>
        <v>0.30268480662586211</v>
      </c>
    </row>
    <row r="96" spans="1:40" x14ac:dyDescent="0.25">
      <c r="A96">
        <v>2.2246999999999999</v>
      </c>
      <c r="B96">
        <f>(Table1[[#This Row],[time]]-2)*2</f>
        <v>0.4493999999999998</v>
      </c>
      <c r="C96">
        <v>91.403099999999995</v>
      </c>
      <c r="D96">
        <v>7.91221</v>
      </c>
      <c r="E96">
        <f>Table1[[#This Row],[CFNM]]/Table1[[#This Row],[CAREA]]</f>
        <v>8.656391304014853E-2</v>
      </c>
      <c r="F96">
        <v>2.2246999999999999</v>
      </c>
      <c r="G96">
        <f>(Table2[[#This Row],[time]]-2)*2</f>
        <v>0.4493999999999998</v>
      </c>
      <c r="H96">
        <v>95.001800000000003</v>
      </c>
      <c r="I96">
        <v>6.5239099999999999</v>
      </c>
      <c r="J96">
        <f>Table2[[#This Row],[CFNM]]/Table2[[#This Row],[CAREA]]</f>
        <v>6.8671435699113062E-2</v>
      </c>
      <c r="K96">
        <v>2.2246999999999999</v>
      </c>
      <c r="L96">
        <f>(Table3[[#This Row],[time]]-2)*2</f>
        <v>0.4493999999999998</v>
      </c>
      <c r="M96">
        <v>87.220500000000001</v>
      </c>
      <c r="N96">
        <v>2.1958899999999999</v>
      </c>
      <c r="O96">
        <f>Table3[[#This Row],[CFNM]]/Table3[[#This Row],[CAREA]]</f>
        <v>2.5176306028972546E-2</v>
      </c>
      <c r="P96">
        <v>2.2246999999999999</v>
      </c>
      <c r="Q96">
        <f>(Table4[[#This Row],[time]]-2)*2</f>
        <v>0.4493999999999998</v>
      </c>
      <c r="R96">
        <v>88.866900000000001</v>
      </c>
      <c r="S96">
        <v>11.1998</v>
      </c>
      <c r="T96">
        <f>Table4[[#This Row],[CFNM]]/Table4[[#This Row],[CAREA]]</f>
        <v>0.12602892640566959</v>
      </c>
      <c r="U96">
        <v>2.2246999999999999</v>
      </c>
      <c r="V96">
        <f>(Table5[[#This Row],[time]]-2)*2</f>
        <v>0.4493999999999998</v>
      </c>
      <c r="W96">
        <v>81.187899999999999</v>
      </c>
      <c r="X96">
        <v>6.3497500000000002</v>
      </c>
      <c r="Y96">
        <f>Table5[[#This Row],[CFNM]]/Table5[[#This Row],[CAREA]]</f>
        <v>7.821054615281342E-2</v>
      </c>
      <c r="Z96">
        <v>2.2246999999999999</v>
      </c>
      <c r="AA96">
        <f>(Table6[[#This Row],[time]]-2)*2</f>
        <v>0.4493999999999998</v>
      </c>
      <c r="AB96">
        <v>91.837900000000005</v>
      </c>
      <c r="AC96">
        <v>25.669699999999999</v>
      </c>
      <c r="AD96">
        <f>Table6[[#This Row],[CFNM]]/Table6[[#This Row],[CAREA]]</f>
        <v>0.27951096442754025</v>
      </c>
      <c r="AE96">
        <v>2.2246999999999999</v>
      </c>
      <c r="AF96">
        <f>(Table7[[#This Row],[time]]-2)*2</f>
        <v>0.4493999999999998</v>
      </c>
      <c r="AG96">
        <v>77.5364</v>
      </c>
      <c r="AH96">
        <v>18.3307</v>
      </c>
      <c r="AI96">
        <f>Table7[[#This Row],[CFNM]]/Table7[[#This Row],[CAREA]]</f>
        <v>0.23641412291517275</v>
      </c>
      <c r="AJ96">
        <v>2.2246999999999999</v>
      </c>
      <c r="AK96">
        <f>(Table8[[#This Row],[time]]-2)*2</f>
        <v>0.4493999999999998</v>
      </c>
      <c r="AL96">
        <v>83.153000000000006</v>
      </c>
      <c r="AM96">
        <v>26.579000000000001</v>
      </c>
      <c r="AN96">
        <f>Table8[[#This Row],[CFNM]]/Table8[[#This Row],[CAREA]]</f>
        <v>0.31963970031147404</v>
      </c>
    </row>
    <row r="97" spans="1:40" x14ac:dyDescent="0.25">
      <c r="A97">
        <v>2.2668900000000001</v>
      </c>
      <c r="B97">
        <f>(Table1[[#This Row],[time]]-2)*2</f>
        <v>0.53378000000000014</v>
      </c>
      <c r="C97">
        <v>90.679000000000002</v>
      </c>
      <c r="D97">
        <v>7.2773700000000003</v>
      </c>
      <c r="E97">
        <f>Table1[[#This Row],[CFNM]]/Table1[[#This Row],[CAREA]]</f>
        <v>8.0254193363402768E-2</v>
      </c>
      <c r="F97">
        <v>2.2668900000000001</v>
      </c>
      <c r="G97">
        <f>(Table2[[#This Row],[time]]-2)*2</f>
        <v>0.53378000000000014</v>
      </c>
      <c r="H97">
        <v>95.534199999999998</v>
      </c>
      <c r="I97">
        <v>7.1437900000000001</v>
      </c>
      <c r="J97">
        <f>Table2[[#This Row],[CFNM]]/Table2[[#This Row],[CAREA]]</f>
        <v>7.4777304881393267E-2</v>
      </c>
      <c r="K97">
        <v>2.2668900000000001</v>
      </c>
      <c r="L97">
        <f>(Table3[[#This Row],[time]]-2)*2</f>
        <v>0.53378000000000014</v>
      </c>
      <c r="M97">
        <v>85.345100000000002</v>
      </c>
      <c r="N97">
        <v>2.5016799999999999</v>
      </c>
      <c r="O97">
        <f>Table3[[#This Row],[CFNM]]/Table3[[#This Row],[CAREA]]</f>
        <v>2.9312520578217142E-2</v>
      </c>
      <c r="P97">
        <v>2.2668900000000001</v>
      </c>
      <c r="Q97">
        <f>(Table4[[#This Row],[time]]-2)*2</f>
        <v>0.53378000000000014</v>
      </c>
      <c r="R97">
        <v>89.826499999999996</v>
      </c>
      <c r="S97">
        <v>12.640700000000001</v>
      </c>
      <c r="T97">
        <f>Table4[[#This Row],[CFNM]]/Table4[[#This Row],[CAREA]]</f>
        <v>0.14072350586964871</v>
      </c>
      <c r="U97">
        <v>2.2668900000000001</v>
      </c>
      <c r="V97">
        <f>(Table5[[#This Row],[time]]-2)*2</f>
        <v>0.53378000000000014</v>
      </c>
      <c r="W97">
        <v>78.631600000000006</v>
      </c>
      <c r="X97">
        <v>6.0473800000000004</v>
      </c>
      <c r="Y97">
        <f>Table5[[#This Row],[CFNM]]/Table5[[#This Row],[CAREA]]</f>
        <v>7.6907757186678125E-2</v>
      </c>
      <c r="Z97">
        <v>2.2668900000000001</v>
      </c>
      <c r="AA97">
        <f>(Table6[[#This Row],[time]]-2)*2</f>
        <v>0.53378000000000014</v>
      </c>
      <c r="AB97">
        <v>92.503900000000002</v>
      </c>
      <c r="AC97">
        <v>28.7087</v>
      </c>
      <c r="AD97">
        <f>Table6[[#This Row],[CFNM]]/Table6[[#This Row],[CAREA]]</f>
        <v>0.31035123924504804</v>
      </c>
      <c r="AE97">
        <v>2.2668900000000001</v>
      </c>
      <c r="AF97">
        <f>(Table7[[#This Row],[time]]-2)*2</f>
        <v>0.53378000000000014</v>
      </c>
      <c r="AG97">
        <v>77.496700000000004</v>
      </c>
      <c r="AH97">
        <v>18.089700000000001</v>
      </c>
      <c r="AI97">
        <f>Table7[[#This Row],[CFNM]]/Table7[[#This Row],[CAREA]]</f>
        <v>0.23342542327608787</v>
      </c>
      <c r="AJ97">
        <v>2.2668900000000001</v>
      </c>
      <c r="AK97">
        <f>(Table8[[#This Row],[time]]-2)*2</f>
        <v>0.53378000000000014</v>
      </c>
      <c r="AL97">
        <v>82.520799999999994</v>
      </c>
      <c r="AM97">
        <v>29.069700000000001</v>
      </c>
      <c r="AN97">
        <f>Table8[[#This Row],[CFNM]]/Table8[[#This Row],[CAREA]]</f>
        <v>0.35227118496185206</v>
      </c>
    </row>
    <row r="98" spans="1:40" x14ac:dyDescent="0.25">
      <c r="A98">
        <v>2.3262700000000001</v>
      </c>
      <c r="B98">
        <f>(Table1[[#This Row],[time]]-2)*2</f>
        <v>0.65254000000000012</v>
      </c>
      <c r="C98">
        <v>89.421800000000005</v>
      </c>
      <c r="D98">
        <v>6.6655499999999996</v>
      </c>
      <c r="E98">
        <f>Table1[[#This Row],[CFNM]]/Table1[[#This Row],[CAREA]]</f>
        <v>7.4540548277936686E-2</v>
      </c>
      <c r="F98">
        <v>2.3262700000000001</v>
      </c>
      <c r="G98">
        <f>(Table2[[#This Row],[time]]-2)*2</f>
        <v>0.65254000000000012</v>
      </c>
      <c r="H98">
        <v>96.623900000000006</v>
      </c>
      <c r="I98">
        <v>8.1512100000000007</v>
      </c>
      <c r="J98">
        <f>Table2[[#This Row],[CFNM]]/Table2[[#This Row],[CAREA]]</f>
        <v>8.4360184178034633E-2</v>
      </c>
      <c r="K98">
        <v>2.3262700000000001</v>
      </c>
      <c r="L98">
        <f>(Table3[[#This Row],[time]]-2)*2</f>
        <v>0.65254000000000012</v>
      </c>
      <c r="M98">
        <v>84.529799999999994</v>
      </c>
      <c r="N98">
        <v>3.03478</v>
      </c>
      <c r="O98">
        <f>Table3[[#This Row],[CFNM]]/Table3[[#This Row],[CAREA]]</f>
        <v>3.5901894953022484E-2</v>
      </c>
      <c r="P98">
        <v>2.3262700000000001</v>
      </c>
      <c r="Q98">
        <f>(Table4[[#This Row],[time]]-2)*2</f>
        <v>0.65254000000000012</v>
      </c>
      <c r="R98">
        <v>90.430099999999996</v>
      </c>
      <c r="S98">
        <v>15.279199999999999</v>
      </c>
      <c r="T98">
        <f>Table4[[#This Row],[CFNM]]/Table4[[#This Row],[CAREA]]</f>
        <v>0.16896144093614848</v>
      </c>
      <c r="U98">
        <v>2.3262700000000001</v>
      </c>
      <c r="V98">
        <f>(Table5[[#This Row],[time]]-2)*2</f>
        <v>0.65254000000000012</v>
      </c>
      <c r="W98">
        <v>76.3489</v>
      </c>
      <c r="X98">
        <v>6.0029899999999996</v>
      </c>
      <c r="Y98">
        <f>Table5[[#This Row],[CFNM]]/Table5[[#This Row],[CAREA]]</f>
        <v>7.862575623224434E-2</v>
      </c>
      <c r="Z98">
        <v>2.3262700000000001</v>
      </c>
      <c r="AA98">
        <f>(Table6[[#This Row],[time]]-2)*2</f>
        <v>0.65254000000000012</v>
      </c>
      <c r="AB98">
        <v>93.620599999999996</v>
      </c>
      <c r="AC98">
        <v>33.2761</v>
      </c>
      <c r="AD98">
        <f>Table6[[#This Row],[CFNM]]/Table6[[#This Row],[CAREA]]</f>
        <v>0.35543566266398635</v>
      </c>
      <c r="AE98">
        <v>2.3262700000000001</v>
      </c>
      <c r="AF98">
        <f>(Table7[[#This Row],[time]]-2)*2</f>
        <v>0.65254000000000012</v>
      </c>
      <c r="AG98">
        <v>77.076700000000002</v>
      </c>
      <c r="AH98">
        <v>17.9466</v>
      </c>
      <c r="AI98">
        <f>Table7[[#This Row],[CFNM]]/Table7[[#This Row],[CAREA]]</f>
        <v>0.23284079365099958</v>
      </c>
      <c r="AJ98">
        <v>2.3262700000000001</v>
      </c>
      <c r="AK98">
        <f>(Table8[[#This Row],[time]]-2)*2</f>
        <v>0.65254000000000012</v>
      </c>
      <c r="AL98">
        <v>81.776899999999998</v>
      </c>
      <c r="AM98">
        <v>33.348999999999997</v>
      </c>
      <c r="AN98">
        <f>Table8[[#This Row],[CFNM]]/Table8[[#This Row],[CAREA]]</f>
        <v>0.4078046489901182</v>
      </c>
    </row>
    <row r="99" spans="1:40" x14ac:dyDescent="0.25">
      <c r="A99">
        <v>2.3684599999999998</v>
      </c>
      <c r="B99">
        <f>(Table1[[#This Row],[time]]-2)*2</f>
        <v>0.73691999999999958</v>
      </c>
      <c r="C99">
        <v>89.085499999999996</v>
      </c>
      <c r="D99">
        <v>6.7373900000000004</v>
      </c>
      <c r="E99">
        <f>Table1[[#This Row],[CFNM]]/Table1[[#This Row],[CAREA]]</f>
        <v>7.5628357027799145E-2</v>
      </c>
      <c r="F99">
        <v>2.3684599999999998</v>
      </c>
      <c r="G99">
        <f>(Table2[[#This Row],[time]]-2)*2</f>
        <v>0.73691999999999958</v>
      </c>
      <c r="H99">
        <v>96.973500000000001</v>
      </c>
      <c r="I99">
        <v>8.6399600000000003</v>
      </c>
      <c r="J99">
        <f>Table2[[#This Row],[CFNM]]/Table2[[#This Row],[CAREA]]</f>
        <v>8.9096093262592366E-2</v>
      </c>
      <c r="K99">
        <v>2.3684599999999998</v>
      </c>
      <c r="L99">
        <f>(Table3[[#This Row],[time]]-2)*2</f>
        <v>0.73691999999999958</v>
      </c>
      <c r="M99">
        <v>83.977800000000002</v>
      </c>
      <c r="N99">
        <v>3.1336400000000002</v>
      </c>
      <c r="O99">
        <f>Table3[[#This Row],[CFNM]]/Table3[[#This Row],[CAREA]]</f>
        <v>3.7315099943080195E-2</v>
      </c>
      <c r="P99">
        <v>2.3684599999999998</v>
      </c>
      <c r="Q99">
        <f>(Table4[[#This Row],[time]]-2)*2</f>
        <v>0.73691999999999958</v>
      </c>
      <c r="R99">
        <v>90.462699999999998</v>
      </c>
      <c r="S99">
        <v>16.173400000000001</v>
      </c>
      <c r="T99">
        <f>Table4[[#This Row],[CFNM]]/Table4[[#This Row],[CAREA]]</f>
        <v>0.17878528940657312</v>
      </c>
      <c r="U99">
        <v>2.3684599999999998</v>
      </c>
      <c r="V99">
        <f>(Table5[[#This Row],[time]]-2)*2</f>
        <v>0.73691999999999958</v>
      </c>
      <c r="W99">
        <v>74.858000000000004</v>
      </c>
      <c r="X99">
        <v>6.0555099999999999</v>
      </c>
      <c r="Y99">
        <f>Table5[[#This Row],[CFNM]]/Table5[[#This Row],[CAREA]]</f>
        <v>8.0893291298191242E-2</v>
      </c>
      <c r="Z99">
        <v>2.3684599999999998</v>
      </c>
      <c r="AA99">
        <f>(Table6[[#This Row],[time]]-2)*2</f>
        <v>0.73691999999999958</v>
      </c>
      <c r="AB99">
        <v>93.493700000000004</v>
      </c>
      <c r="AC99">
        <v>34.664999999999999</v>
      </c>
      <c r="AD99">
        <f>Table6[[#This Row],[CFNM]]/Table6[[#This Row],[CAREA]]</f>
        <v>0.37077364571088745</v>
      </c>
      <c r="AE99">
        <v>2.3684599999999998</v>
      </c>
      <c r="AF99">
        <f>(Table7[[#This Row],[time]]-2)*2</f>
        <v>0.73691999999999958</v>
      </c>
      <c r="AG99">
        <v>76.643500000000003</v>
      </c>
      <c r="AH99">
        <v>17.875699999999998</v>
      </c>
      <c r="AI99">
        <f>Table7[[#This Row],[CFNM]]/Table7[[#This Row],[CAREA]]</f>
        <v>0.23323178090770905</v>
      </c>
      <c r="AJ99">
        <v>2.3684599999999998</v>
      </c>
      <c r="AK99">
        <f>(Table8[[#This Row],[time]]-2)*2</f>
        <v>0.73691999999999958</v>
      </c>
      <c r="AL99">
        <v>81.567899999999995</v>
      </c>
      <c r="AM99">
        <v>34.736400000000003</v>
      </c>
      <c r="AN99">
        <f>Table8[[#This Row],[CFNM]]/Table8[[#This Row],[CAREA]]</f>
        <v>0.42585870176871055</v>
      </c>
    </row>
    <row r="100" spans="1:40" x14ac:dyDescent="0.25">
      <c r="A100">
        <v>2.4278300000000002</v>
      </c>
      <c r="B100">
        <f>(Table1[[#This Row],[time]]-2)*2</f>
        <v>0.85566000000000031</v>
      </c>
      <c r="C100">
        <v>88.182400000000001</v>
      </c>
      <c r="D100">
        <v>6.9138599999999997</v>
      </c>
      <c r="E100">
        <f>Table1[[#This Row],[CFNM]]/Table1[[#This Row],[CAREA]]</f>
        <v>7.8404080632870049E-2</v>
      </c>
      <c r="F100">
        <v>2.4278300000000002</v>
      </c>
      <c r="G100">
        <f>(Table2[[#This Row],[time]]-2)*2</f>
        <v>0.85566000000000031</v>
      </c>
      <c r="H100">
        <v>97.5441</v>
      </c>
      <c r="I100">
        <v>9.7944899999999997</v>
      </c>
      <c r="J100">
        <f>Table2[[#This Row],[CFNM]]/Table2[[#This Row],[CAREA]]</f>
        <v>0.1004108910738835</v>
      </c>
      <c r="K100">
        <v>2.4278300000000002</v>
      </c>
      <c r="L100">
        <f>(Table3[[#This Row],[time]]-2)*2</f>
        <v>0.85566000000000031</v>
      </c>
      <c r="M100">
        <v>83.357200000000006</v>
      </c>
      <c r="N100">
        <v>3.2713800000000002</v>
      </c>
      <c r="O100">
        <f>Table3[[#This Row],[CFNM]]/Table3[[#This Row],[CAREA]]</f>
        <v>3.9245320140311811E-2</v>
      </c>
      <c r="P100">
        <v>2.4278300000000002</v>
      </c>
      <c r="Q100">
        <f>(Table4[[#This Row],[time]]-2)*2</f>
        <v>0.85566000000000031</v>
      </c>
      <c r="R100">
        <v>90.424000000000007</v>
      </c>
      <c r="S100">
        <v>18.0304</v>
      </c>
      <c r="T100">
        <f>Table4[[#This Row],[CFNM]]/Table4[[#This Row],[CAREA]]</f>
        <v>0.19939838980801555</v>
      </c>
      <c r="U100">
        <v>2.4278300000000002</v>
      </c>
      <c r="V100">
        <f>(Table5[[#This Row],[time]]-2)*2</f>
        <v>0.85566000000000031</v>
      </c>
      <c r="W100">
        <v>73.587299999999999</v>
      </c>
      <c r="X100">
        <v>5.9688600000000003</v>
      </c>
      <c r="Y100">
        <f>Table5[[#This Row],[CFNM]]/Table5[[#This Row],[CAREA]]</f>
        <v>8.1112637642636709E-2</v>
      </c>
      <c r="Z100">
        <v>2.4278300000000002</v>
      </c>
      <c r="AA100">
        <f>(Table6[[#This Row],[time]]-2)*2</f>
        <v>0.85566000000000031</v>
      </c>
      <c r="AB100">
        <v>94.296499999999995</v>
      </c>
      <c r="AC100">
        <v>37.3992</v>
      </c>
      <c r="AD100">
        <f>Table6[[#This Row],[CFNM]]/Table6[[#This Row],[CAREA]]</f>
        <v>0.39661281171623552</v>
      </c>
      <c r="AE100">
        <v>2.4278300000000002</v>
      </c>
      <c r="AF100">
        <f>(Table7[[#This Row],[time]]-2)*2</f>
        <v>0.85566000000000031</v>
      </c>
      <c r="AG100">
        <v>76.680300000000003</v>
      </c>
      <c r="AH100">
        <v>17.686299999999999</v>
      </c>
      <c r="AI100">
        <f>Table7[[#This Row],[CFNM]]/Table7[[#This Row],[CAREA]]</f>
        <v>0.23064985400422272</v>
      </c>
      <c r="AJ100">
        <v>2.4278300000000002</v>
      </c>
      <c r="AK100">
        <f>(Table8[[#This Row],[time]]-2)*2</f>
        <v>0.85566000000000031</v>
      </c>
      <c r="AL100">
        <v>81.038300000000007</v>
      </c>
      <c r="AM100">
        <v>37.539099999999998</v>
      </c>
      <c r="AN100">
        <f>Table8[[#This Row],[CFNM]]/Table8[[#This Row],[CAREA]]</f>
        <v>0.46322664715325956</v>
      </c>
    </row>
    <row r="101" spans="1:40" x14ac:dyDescent="0.25">
      <c r="A101">
        <v>2.4542000000000002</v>
      </c>
      <c r="B101">
        <f>(Table1[[#This Row],[time]]-2)*2</f>
        <v>0.90840000000000032</v>
      </c>
      <c r="C101">
        <v>86.235299999999995</v>
      </c>
      <c r="D101">
        <v>7.2441300000000002</v>
      </c>
      <c r="E101">
        <f>Table1[[#This Row],[CFNM]]/Table1[[#This Row],[CAREA]]</f>
        <v>8.4004230286205309E-2</v>
      </c>
      <c r="F101">
        <v>2.4542000000000002</v>
      </c>
      <c r="G101">
        <f>(Table2[[#This Row],[time]]-2)*2</f>
        <v>0.90840000000000032</v>
      </c>
      <c r="H101">
        <v>98.391499999999994</v>
      </c>
      <c r="I101">
        <v>11.8459</v>
      </c>
      <c r="J101">
        <f>Table2[[#This Row],[CFNM]]/Table2[[#This Row],[CAREA]]</f>
        <v>0.12039556262482025</v>
      </c>
      <c r="K101">
        <v>2.4542000000000002</v>
      </c>
      <c r="L101">
        <f>(Table3[[#This Row],[time]]-2)*2</f>
        <v>0.90840000000000032</v>
      </c>
      <c r="M101">
        <v>81.746700000000004</v>
      </c>
      <c r="N101">
        <v>3.4167900000000002</v>
      </c>
      <c r="O101">
        <f>Table3[[#This Row],[CFNM]]/Table3[[#This Row],[CAREA]]</f>
        <v>4.1797283560070314E-2</v>
      </c>
      <c r="P101">
        <v>2.4542000000000002</v>
      </c>
      <c r="Q101">
        <f>(Table4[[#This Row],[time]]-2)*2</f>
        <v>0.90840000000000032</v>
      </c>
      <c r="R101">
        <v>90.543899999999994</v>
      </c>
      <c r="S101">
        <v>20.8916</v>
      </c>
      <c r="T101">
        <f>Table4[[#This Row],[CFNM]]/Table4[[#This Row],[CAREA]]</f>
        <v>0.23073448349364234</v>
      </c>
      <c r="U101">
        <v>2.4542000000000002</v>
      </c>
      <c r="V101">
        <f>(Table5[[#This Row],[time]]-2)*2</f>
        <v>0.90840000000000032</v>
      </c>
      <c r="W101">
        <v>71.440700000000007</v>
      </c>
      <c r="X101">
        <v>5.6027399999999998</v>
      </c>
      <c r="Y101">
        <f>Table5[[#This Row],[CFNM]]/Table5[[#This Row],[CAREA]]</f>
        <v>7.8425043427625976E-2</v>
      </c>
      <c r="Z101">
        <v>2.4542000000000002</v>
      </c>
      <c r="AA101">
        <f>(Table6[[#This Row],[time]]-2)*2</f>
        <v>0.90840000000000032</v>
      </c>
      <c r="AB101">
        <v>94.372699999999995</v>
      </c>
      <c r="AC101">
        <v>41.429600000000001</v>
      </c>
      <c r="AD101">
        <f>Table6[[#This Row],[CFNM]]/Table6[[#This Row],[CAREA]]</f>
        <v>0.43899983787684366</v>
      </c>
      <c r="AE101">
        <v>2.4542000000000002</v>
      </c>
      <c r="AF101">
        <f>(Table7[[#This Row],[time]]-2)*2</f>
        <v>0.90840000000000032</v>
      </c>
      <c r="AG101">
        <v>76.400700000000001</v>
      </c>
      <c r="AH101">
        <v>17.3185</v>
      </c>
      <c r="AI101">
        <f>Table7[[#This Row],[CFNM]]/Table7[[#This Row],[CAREA]]</f>
        <v>0.22667986026306042</v>
      </c>
      <c r="AJ101">
        <v>2.4542000000000002</v>
      </c>
      <c r="AK101">
        <f>(Table8[[#This Row],[time]]-2)*2</f>
        <v>0.90840000000000032</v>
      </c>
      <c r="AL101">
        <v>80.349100000000007</v>
      </c>
      <c r="AM101">
        <v>41.691200000000002</v>
      </c>
      <c r="AN101">
        <f>Table8[[#This Row],[CFNM]]/Table8[[#This Row],[CAREA]]</f>
        <v>0.5188757559201036</v>
      </c>
    </row>
    <row r="102" spans="1:40" x14ac:dyDescent="0.25">
      <c r="A102">
        <v>2.5061499999999999</v>
      </c>
      <c r="B102">
        <f>(Table1[[#This Row],[time]]-2)*2</f>
        <v>1.0122999999999998</v>
      </c>
      <c r="C102">
        <v>85.140500000000003</v>
      </c>
      <c r="D102">
        <v>7.3652800000000003</v>
      </c>
      <c r="E102">
        <f>Table1[[#This Row],[CFNM]]/Table1[[#This Row],[CAREA]]</f>
        <v>8.6507361361514198E-2</v>
      </c>
      <c r="F102">
        <v>2.5061499999999999</v>
      </c>
      <c r="G102">
        <f>(Table2[[#This Row],[time]]-2)*2</f>
        <v>1.0122999999999998</v>
      </c>
      <c r="H102">
        <v>99.373400000000004</v>
      </c>
      <c r="I102">
        <v>13.303599999999999</v>
      </c>
      <c r="J102">
        <f>Table2[[#This Row],[CFNM]]/Table2[[#This Row],[CAREA]]</f>
        <v>0.13387485987195769</v>
      </c>
      <c r="K102">
        <v>2.5061499999999999</v>
      </c>
      <c r="L102">
        <f>(Table3[[#This Row],[time]]-2)*2</f>
        <v>1.0122999999999998</v>
      </c>
      <c r="M102">
        <v>81.626300000000001</v>
      </c>
      <c r="N102">
        <v>3.4002699999999999</v>
      </c>
      <c r="O102">
        <f>Table3[[#This Row],[CFNM]]/Table3[[#This Row],[CAREA]]</f>
        <v>4.1656549420958686E-2</v>
      </c>
      <c r="P102">
        <v>2.5061499999999999</v>
      </c>
      <c r="Q102">
        <f>(Table4[[#This Row],[time]]-2)*2</f>
        <v>1.0122999999999998</v>
      </c>
      <c r="R102">
        <v>90.255700000000004</v>
      </c>
      <c r="S102">
        <v>22.662500000000001</v>
      </c>
      <c r="T102">
        <f>Table4[[#This Row],[CFNM]]/Table4[[#This Row],[CAREA]]</f>
        <v>0.25109217478785273</v>
      </c>
      <c r="U102">
        <v>2.5061499999999999</v>
      </c>
      <c r="V102">
        <f>(Table5[[#This Row],[time]]-2)*2</f>
        <v>1.0122999999999998</v>
      </c>
      <c r="W102">
        <v>71.025599999999997</v>
      </c>
      <c r="X102">
        <v>5.2735599999999998</v>
      </c>
      <c r="Y102">
        <f>Table5[[#This Row],[CFNM]]/Table5[[#This Row],[CAREA]]</f>
        <v>7.4248721587709218E-2</v>
      </c>
      <c r="Z102">
        <v>2.5061499999999999</v>
      </c>
      <c r="AA102">
        <f>(Table6[[#This Row],[time]]-2)*2</f>
        <v>1.0122999999999998</v>
      </c>
      <c r="AB102">
        <v>94.288700000000006</v>
      </c>
      <c r="AC102">
        <v>43.863</v>
      </c>
      <c r="AD102">
        <f>Table6[[#This Row],[CFNM]]/Table6[[#This Row],[CAREA]]</f>
        <v>0.46519890506497596</v>
      </c>
      <c r="AE102">
        <v>2.5061499999999999</v>
      </c>
      <c r="AF102">
        <f>(Table7[[#This Row],[time]]-2)*2</f>
        <v>1.0122999999999998</v>
      </c>
      <c r="AG102">
        <v>76.347200000000001</v>
      </c>
      <c r="AH102">
        <v>17.0472</v>
      </c>
      <c r="AI102">
        <f>Table7[[#This Row],[CFNM]]/Table7[[#This Row],[CAREA]]</f>
        <v>0.22328520233878912</v>
      </c>
      <c r="AJ102">
        <v>2.5061499999999999</v>
      </c>
      <c r="AK102">
        <f>(Table8[[#This Row],[time]]-2)*2</f>
        <v>1.0122999999999998</v>
      </c>
      <c r="AL102">
        <v>80.153199999999998</v>
      </c>
      <c r="AM102">
        <v>44.273800000000001</v>
      </c>
      <c r="AN102">
        <f>Table8[[#This Row],[CFNM]]/Table8[[#This Row],[CAREA]]</f>
        <v>0.55236472155821603</v>
      </c>
    </row>
    <row r="103" spans="1:40" x14ac:dyDescent="0.25">
      <c r="A103">
        <v>2.5507599999999999</v>
      </c>
      <c r="B103">
        <f>(Table1[[#This Row],[time]]-2)*2</f>
        <v>1.1015199999999998</v>
      </c>
      <c r="C103">
        <v>84.192700000000002</v>
      </c>
      <c r="D103">
        <v>7.5075599999999998</v>
      </c>
      <c r="E103">
        <f>Table1[[#This Row],[CFNM]]/Table1[[#This Row],[CAREA]]</f>
        <v>8.9171151418115824E-2</v>
      </c>
      <c r="F103">
        <v>2.5507599999999999</v>
      </c>
      <c r="G103">
        <f>(Table2[[#This Row],[time]]-2)*2</f>
        <v>1.1015199999999998</v>
      </c>
      <c r="H103">
        <v>99.559299999999993</v>
      </c>
      <c r="I103">
        <v>14.8894</v>
      </c>
      <c r="J103">
        <f>Table2[[#This Row],[CFNM]]/Table2[[#This Row],[CAREA]]</f>
        <v>0.14955308042543491</v>
      </c>
      <c r="K103">
        <v>2.5507599999999999</v>
      </c>
      <c r="L103">
        <f>(Table3[[#This Row],[time]]-2)*2</f>
        <v>1.1015199999999998</v>
      </c>
      <c r="M103">
        <v>80.970100000000002</v>
      </c>
      <c r="N103">
        <v>3.3205800000000001</v>
      </c>
      <c r="O103">
        <f>Table3[[#This Row],[CFNM]]/Table3[[#This Row],[CAREA]]</f>
        <v>4.1009953056745638E-2</v>
      </c>
      <c r="P103">
        <v>2.5507599999999999</v>
      </c>
      <c r="Q103">
        <f>(Table4[[#This Row],[time]]-2)*2</f>
        <v>1.1015199999999998</v>
      </c>
      <c r="R103">
        <v>89.986099999999993</v>
      </c>
      <c r="S103">
        <v>24.508600000000001</v>
      </c>
      <c r="T103">
        <f>Table4[[#This Row],[CFNM]]/Table4[[#This Row],[CAREA]]</f>
        <v>0.27235984224230192</v>
      </c>
      <c r="U103">
        <v>2.5507599999999999</v>
      </c>
      <c r="V103">
        <f>(Table5[[#This Row],[time]]-2)*2</f>
        <v>1.1015199999999998</v>
      </c>
      <c r="W103">
        <v>69.9679</v>
      </c>
      <c r="X103">
        <v>4.9155199999999999</v>
      </c>
      <c r="Y103">
        <f>Table5[[#This Row],[CFNM]]/Table5[[#This Row],[CAREA]]</f>
        <v>7.0253930731092401E-2</v>
      </c>
      <c r="Z103">
        <v>2.5507599999999999</v>
      </c>
      <c r="AA103">
        <f>(Table6[[#This Row],[time]]-2)*2</f>
        <v>1.1015199999999998</v>
      </c>
      <c r="AB103">
        <v>94.518199999999993</v>
      </c>
      <c r="AC103">
        <v>46.4621</v>
      </c>
      <c r="AD103">
        <f>Table6[[#This Row],[CFNM]]/Table6[[#This Row],[CAREA]]</f>
        <v>0.49156776155280152</v>
      </c>
      <c r="AE103">
        <v>2.5507599999999999</v>
      </c>
      <c r="AF103">
        <f>(Table7[[#This Row],[time]]-2)*2</f>
        <v>1.1015199999999998</v>
      </c>
      <c r="AG103">
        <v>75.530600000000007</v>
      </c>
      <c r="AH103">
        <v>16.7943</v>
      </c>
      <c r="AI103">
        <f>Table7[[#This Row],[CFNM]]/Table7[[#This Row],[CAREA]]</f>
        <v>0.22235094120793425</v>
      </c>
      <c r="AJ103">
        <v>2.5507599999999999</v>
      </c>
      <c r="AK103">
        <f>(Table8[[#This Row],[time]]-2)*2</f>
        <v>1.1015199999999998</v>
      </c>
      <c r="AL103">
        <v>79.638199999999998</v>
      </c>
      <c r="AM103">
        <v>47.085099999999997</v>
      </c>
      <c r="AN103">
        <f>Table8[[#This Row],[CFNM]]/Table8[[#This Row],[CAREA]]</f>
        <v>0.59123762214615594</v>
      </c>
    </row>
    <row r="104" spans="1:40" x14ac:dyDescent="0.25">
      <c r="A104">
        <v>2.60453</v>
      </c>
      <c r="B104">
        <f>(Table1[[#This Row],[time]]-2)*2</f>
        <v>1.20906</v>
      </c>
      <c r="C104">
        <v>81.613600000000005</v>
      </c>
      <c r="D104">
        <v>7.6027500000000003</v>
      </c>
      <c r="E104">
        <f>Table1[[#This Row],[CFNM]]/Table1[[#This Row],[CAREA]]</f>
        <v>9.3155429977356707E-2</v>
      </c>
      <c r="F104">
        <v>2.60453</v>
      </c>
      <c r="G104">
        <f>(Table2[[#This Row],[time]]-2)*2</f>
        <v>1.20906</v>
      </c>
      <c r="H104">
        <v>102.057</v>
      </c>
      <c r="I104">
        <v>17.146000000000001</v>
      </c>
      <c r="J104">
        <f>Table2[[#This Row],[CFNM]]/Table2[[#This Row],[CAREA]]</f>
        <v>0.1680041545410898</v>
      </c>
      <c r="K104">
        <v>2.60453</v>
      </c>
      <c r="L104">
        <f>(Table3[[#This Row],[time]]-2)*2</f>
        <v>1.20906</v>
      </c>
      <c r="M104">
        <v>79.926100000000005</v>
      </c>
      <c r="N104">
        <v>3.10806</v>
      </c>
      <c r="O104">
        <f>Table3[[#This Row],[CFNM]]/Table3[[#This Row],[CAREA]]</f>
        <v>3.888667156285619E-2</v>
      </c>
      <c r="P104">
        <v>2.60453</v>
      </c>
      <c r="Q104">
        <f>(Table4[[#This Row],[time]]-2)*2</f>
        <v>1.20906</v>
      </c>
      <c r="R104">
        <v>89.928799999999995</v>
      </c>
      <c r="S104">
        <v>26.968399999999999</v>
      </c>
      <c r="T104">
        <f>Table4[[#This Row],[CFNM]]/Table4[[#This Row],[CAREA]]</f>
        <v>0.29988613214009308</v>
      </c>
      <c r="U104">
        <v>2.60453</v>
      </c>
      <c r="V104">
        <f>(Table5[[#This Row],[time]]-2)*2</f>
        <v>1.20906</v>
      </c>
      <c r="W104">
        <v>68.265600000000006</v>
      </c>
      <c r="X104">
        <v>4.3287800000000001</v>
      </c>
      <c r="Y104">
        <f>Table5[[#This Row],[CFNM]]/Table5[[#This Row],[CAREA]]</f>
        <v>6.341085407584493E-2</v>
      </c>
      <c r="Z104">
        <v>2.60453</v>
      </c>
      <c r="AA104">
        <f>(Table6[[#This Row],[time]]-2)*2</f>
        <v>1.20906</v>
      </c>
      <c r="AB104">
        <v>94.2423</v>
      </c>
      <c r="AC104">
        <v>49.828200000000002</v>
      </c>
      <c r="AD104">
        <f>Table6[[#This Row],[CFNM]]/Table6[[#This Row],[CAREA]]</f>
        <v>0.52872436262697331</v>
      </c>
      <c r="AE104">
        <v>2.60453</v>
      </c>
      <c r="AF104">
        <f>(Table7[[#This Row],[time]]-2)*2</f>
        <v>1.20906</v>
      </c>
      <c r="AG104">
        <v>75.349999999999994</v>
      </c>
      <c r="AH104">
        <v>16.3659</v>
      </c>
      <c r="AI104">
        <f>Table7[[#This Row],[CFNM]]/Table7[[#This Row],[CAREA]]</f>
        <v>0.2171984074319841</v>
      </c>
      <c r="AJ104">
        <v>2.60453</v>
      </c>
      <c r="AK104">
        <f>(Table8[[#This Row],[time]]-2)*2</f>
        <v>1.20906</v>
      </c>
      <c r="AL104">
        <v>78.991500000000002</v>
      </c>
      <c r="AM104">
        <v>50.771700000000003</v>
      </c>
      <c r="AN104">
        <f>Table8[[#This Row],[CFNM]]/Table8[[#This Row],[CAREA]]</f>
        <v>0.64274890336302004</v>
      </c>
    </row>
    <row r="105" spans="1:40" x14ac:dyDescent="0.25">
      <c r="A105">
        <v>2.65273</v>
      </c>
      <c r="B105">
        <f>(Table1[[#This Row],[time]]-2)*2</f>
        <v>1.3054600000000001</v>
      </c>
      <c r="C105">
        <v>78.540000000000006</v>
      </c>
      <c r="D105">
        <v>7.6127599999999997</v>
      </c>
      <c r="E105">
        <f>Table1[[#This Row],[CFNM]]/Table1[[#This Row],[CAREA]]</f>
        <v>9.6928444104914677E-2</v>
      </c>
      <c r="F105">
        <v>2.65273</v>
      </c>
      <c r="G105">
        <f>(Table2[[#This Row],[time]]-2)*2</f>
        <v>1.3054600000000001</v>
      </c>
      <c r="H105">
        <v>103.78100000000001</v>
      </c>
      <c r="I105">
        <v>19.241700000000002</v>
      </c>
      <c r="J105">
        <f>Table2[[#This Row],[CFNM]]/Table2[[#This Row],[CAREA]]</f>
        <v>0.18540677002534184</v>
      </c>
      <c r="K105">
        <v>2.65273</v>
      </c>
      <c r="L105">
        <f>(Table3[[#This Row],[time]]-2)*2</f>
        <v>1.3054600000000001</v>
      </c>
      <c r="M105">
        <v>79.162899999999993</v>
      </c>
      <c r="N105">
        <v>2.78769</v>
      </c>
      <c r="O105">
        <f>Table3[[#This Row],[CFNM]]/Table3[[#This Row],[CAREA]]</f>
        <v>3.5214601789474616E-2</v>
      </c>
      <c r="P105">
        <v>2.65273</v>
      </c>
      <c r="Q105">
        <f>(Table4[[#This Row],[time]]-2)*2</f>
        <v>1.3054600000000001</v>
      </c>
      <c r="R105">
        <v>89.634</v>
      </c>
      <c r="S105">
        <v>29.390799999999999</v>
      </c>
      <c r="T105">
        <f>Table4[[#This Row],[CFNM]]/Table4[[#This Row],[CAREA]]</f>
        <v>0.32789789588772117</v>
      </c>
      <c r="U105">
        <v>2.65273</v>
      </c>
      <c r="V105">
        <f>(Table5[[#This Row],[time]]-2)*2</f>
        <v>1.3054600000000001</v>
      </c>
      <c r="W105">
        <v>67.566299999999998</v>
      </c>
      <c r="X105">
        <v>3.7521399999999998</v>
      </c>
      <c r="Y105">
        <f>Table5[[#This Row],[CFNM]]/Table5[[#This Row],[CAREA]]</f>
        <v>5.5532713793710768E-2</v>
      </c>
      <c r="Z105">
        <v>2.65273</v>
      </c>
      <c r="AA105">
        <f>(Table6[[#This Row],[time]]-2)*2</f>
        <v>1.3054600000000001</v>
      </c>
      <c r="AB105">
        <v>94.328199999999995</v>
      </c>
      <c r="AC105">
        <v>52.888399999999997</v>
      </c>
      <c r="AD105">
        <f>Table6[[#This Row],[CFNM]]/Table6[[#This Row],[CAREA]]</f>
        <v>0.56068492773104972</v>
      </c>
      <c r="AE105">
        <v>2.65273</v>
      </c>
      <c r="AF105">
        <f>(Table7[[#This Row],[time]]-2)*2</f>
        <v>1.3054600000000001</v>
      </c>
      <c r="AG105">
        <v>74.528599999999997</v>
      </c>
      <c r="AH105">
        <v>15.9297</v>
      </c>
      <c r="AI105">
        <f>Table7[[#This Row],[CFNM]]/Table7[[#This Row],[CAREA]]</f>
        <v>0.21373942352331857</v>
      </c>
      <c r="AJ105">
        <v>2.65273</v>
      </c>
      <c r="AK105">
        <f>(Table8[[#This Row],[time]]-2)*2</f>
        <v>1.3054600000000001</v>
      </c>
      <c r="AL105">
        <v>78.554199999999994</v>
      </c>
      <c r="AM105">
        <v>54.090200000000003</v>
      </c>
      <c r="AN105">
        <f>Table8[[#This Row],[CFNM]]/Table8[[#This Row],[CAREA]]</f>
        <v>0.68857171226999969</v>
      </c>
    </row>
    <row r="106" spans="1:40" x14ac:dyDescent="0.25">
      <c r="A106">
        <v>2.7006199999999998</v>
      </c>
      <c r="B106">
        <f>(Table1[[#This Row],[time]]-2)*2</f>
        <v>1.4012399999999996</v>
      </c>
      <c r="C106">
        <v>75.968199999999996</v>
      </c>
      <c r="D106">
        <v>7.4646299999999997</v>
      </c>
      <c r="E106">
        <f>Table1[[#This Row],[CFNM]]/Table1[[#This Row],[CAREA]]</f>
        <v>9.8259929812737429E-2</v>
      </c>
      <c r="F106">
        <v>2.7006199999999998</v>
      </c>
      <c r="G106">
        <f>(Table2[[#This Row],[time]]-2)*2</f>
        <v>1.4012399999999996</v>
      </c>
      <c r="H106">
        <v>105.563</v>
      </c>
      <c r="I106">
        <v>21.503699999999998</v>
      </c>
      <c r="J106">
        <f>Table2[[#This Row],[CFNM]]/Table2[[#This Row],[CAREA]]</f>
        <v>0.20370489660202909</v>
      </c>
      <c r="K106">
        <v>2.7006199999999998</v>
      </c>
      <c r="L106">
        <f>(Table3[[#This Row],[time]]-2)*2</f>
        <v>1.4012399999999996</v>
      </c>
      <c r="M106">
        <v>78.342399999999998</v>
      </c>
      <c r="N106">
        <v>2.3190200000000001</v>
      </c>
      <c r="O106">
        <f>Table3[[#This Row],[CFNM]]/Table3[[#This Row],[CAREA]]</f>
        <v>2.9601084470223023E-2</v>
      </c>
      <c r="P106">
        <v>2.7006199999999998</v>
      </c>
      <c r="Q106">
        <f>(Table4[[#This Row],[time]]-2)*2</f>
        <v>1.4012399999999996</v>
      </c>
      <c r="R106">
        <v>89.415300000000002</v>
      </c>
      <c r="S106">
        <v>32.163600000000002</v>
      </c>
      <c r="T106">
        <f>Table4[[#This Row],[CFNM]]/Table4[[#This Row],[CAREA]]</f>
        <v>0.35971025093020997</v>
      </c>
      <c r="U106">
        <v>2.7006199999999998</v>
      </c>
      <c r="V106">
        <f>(Table5[[#This Row],[time]]-2)*2</f>
        <v>1.4012399999999996</v>
      </c>
      <c r="W106">
        <v>66.7667</v>
      </c>
      <c r="X106">
        <v>3.10548</v>
      </c>
      <c r="Y106">
        <f>Table5[[#This Row],[CFNM]]/Table5[[#This Row],[CAREA]]</f>
        <v>4.6512408131598536E-2</v>
      </c>
      <c r="Z106">
        <v>2.7006199999999998</v>
      </c>
      <c r="AA106">
        <f>(Table6[[#This Row],[time]]-2)*2</f>
        <v>1.4012399999999996</v>
      </c>
      <c r="AB106">
        <v>93.917900000000003</v>
      </c>
      <c r="AC106">
        <v>56.089300000000001</v>
      </c>
      <c r="AD106">
        <f>Table6[[#This Row],[CFNM]]/Table6[[#This Row],[CAREA]]</f>
        <v>0.59721629210193161</v>
      </c>
      <c r="AE106">
        <v>2.7006199999999998</v>
      </c>
      <c r="AF106">
        <f>(Table7[[#This Row],[time]]-2)*2</f>
        <v>1.4012399999999996</v>
      </c>
      <c r="AG106">
        <v>73.823700000000002</v>
      </c>
      <c r="AH106">
        <v>15.4047</v>
      </c>
      <c r="AI106">
        <f>Table7[[#This Row],[CFNM]]/Table7[[#This Row],[CAREA]]</f>
        <v>0.20866876084509445</v>
      </c>
      <c r="AJ106">
        <v>2.7006199999999998</v>
      </c>
      <c r="AK106">
        <f>(Table8[[#This Row],[time]]-2)*2</f>
        <v>1.4012399999999996</v>
      </c>
      <c r="AL106">
        <v>77.743499999999997</v>
      </c>
      <c r="AM106">
        <v>57.419499999999999</v>
      </c>
      <c r="AN106">
        <f>Table8[[#This Row],[CFNM]]/Table8[[#This Row],[CAREA]]</f>
        <v>0.7385762153749188</v>
      </c>
    </row>
    <row r="107" spans="1:40" x14ac:dyDescent="0.25">
      <c r="A107">
        <v>2.75176</v>
      </c>
      <c r="B107">
        <f>(Table1[[#This Row],[time]]-2)*2</f>
        <v>1.50352</v>
      </c>
      <c r="C107">
        <v>73.956599999999995</v>
      </c>
      <c r="D107">
        <v>7.0340400000000001</v>
      </c>
      <c r="E107">
        <f>Table1[[#This Row],[CFNM]]/Table1[[#This Row],[CAREA]]</f>
        <v>9.5110375544576145E-2</v>
      </c>
      <c r="F107">
        <v>2.75176</v>
      </c>
      <c r="G107">
        <f>(Table2[[#This Row],[time]]-2)*2</f>
        <v>1.50352</v>
      </c>
      <c r="H107">
        <v>106.824</v>
      </c>
      <c r="I107">
        <v>23.937799999999999</v>
      </c>
      <c r="J107">
        <f>Table2[[#This Row],[CFNM]]/Table2[[#This Row],[CAREA]]</f>
        <v>0.22408634763723509</v>
      </c>
      <c r="K107">
        <v>2.75176</v>
      </c>
      <c r="L107">
        <f>(Table3[[#This Row],[time]]-2)*2</f>
        <v>1.50352</v>
      </c>
      <c r="M107">
        <v>77.378699999999995</v>
      </c>
      <c r="N107">
        <v>1.8686700000000001</v>
      </c>
      <c r="O107">
        <f>Table3[[#This Row],[CFNM]]/Table3[[#This Row],[CAREA]]</f>
        <v>2.4149669094983506E-2</v>
      </c>
      <c r="P107">
        <v>2.75176</v>
      </c>
      <c r="Q107">
        <f>(Table4[[#This Row],[time]]-2)*2</f>
        <v>1.50352</v>
      </c>
      <c r="R107">
        <v>88.992599999999996</v>
      </c>
      <c r="S107">
        <v>34.979500000000002</v>
      </c>
      <c r="T107">
        <f>Table4[[#This Row],[CFNM]]/Table4[[#This Row],[CAREA]]</f>
        <v>0.3930607713450332</v>
      </c>
      <c r="U107">
        <v>2.75176</v>
      </c>
      <c r="V107">
        <f>(Table5[[#This Row],[time]]-2)*2</f>
        <v>1.50352</v>
      </c>
      <c r="W107">
        <v>65.691599999999994</v>
      </c>
      <c r="X107">
        <v>2.4085800000000002</v>
      </c>
      <c r="Y107">
        <f>Table5[[#This Row],[CFNM]]/Table5[[#This Row],[CAREA]]</f>
        <v>3.6664961730266891E-2</v>
      </c>
      <c r="Z107">
        <v>2.75176</v>
      </c>
      <c r="AA107">
        <f>(Table6[[#This Row],[time]]-2)*2</f>
        <v>1.50352</v>
      </c>
      <c r="AB107">
        <v>93.465100000000007</v>
      </c>
      <c r="AC107">
        <v>59.314999999999998</v>
      </c>
      <c r="AD107">
        <f>Table6[[#This Row],[CFNM]]/Table6[[#This Row],[CAREA]]</f>
        <v>0.63462190700058085</v>
      </c>
      <c r="AE107">
        <v>2.75176</v>
      </c>
      <c r="AF107">
        <f>(Table7[[#This Row],[time]]-2)*2</f>
        <v>1.50352</v>
      </c>
      <c r="AG107">
        <v>73.321100000000001</v>
      </c>
      <c r="AH107">
        <v>14.7957</v>
      </c>
      <c r="AI107">
        <f>Table7[[#This Row],[CFNM]]/Table7[[#This Row],[CAREA]]</f>
        <v>0.20179320823064575</v>
      </c>
      <c r="AJ107">
        <v>2.75176</v>
      </c>
      <c r="AK107">
        <f>(Table8[[#This Row],[time]]-2)*2</f>
        <v>1.50352</v>
      </c>
      <c r="AL107">
        <v>77.061000000000007</v>
      </c>
      <c r="AM107">
        <v>60.6982</v>
      </c>
      <c r="AN107">
        <f>Table8[[#This Row],[CFNM]]/Table8[[#This Row],[CAREA]]</f>
        <v>0.78766431787804458</v>
      </c>
    </row>
    <row r="108" spans="1:40" x14ac:dyDescent="0.25">
      <c r="A108">
        <v>2.80444</v>
      </c>
      <c r="B108">
        <f>(Table1[[#This Row],[time]]-2)*2</f>
        <v>1.6088800000000001</v>
      </c>
      <c r="C108">
        <v>70.746499999999997</v>
      </c>
      <c r="D108">
        <v>6.5410300000000001</v>
      </c>
      <c r="E108">
        <f>Table1[[#This Row],[CFNM]]/Table1[[#This Row],[CAREA]]</f>
        <v>9.245729470715866E-2</v>
      </c>
      <c r="F108">
        <v>2.80444</v>
      </c>
      <c r="G108">
        <f>(Table2[[#This Row],[time]]-2)*2</f>
        <v>1.6088800000000001</v>
      </c>
      <c r="H108">
        <v>107.17</v>
      </c>
      <c r="I108">
        <v>26.321999999999999</v>
      </c>
      <c r="J108">
        <f>Table2[[#This Row],[CFNM]]/Table2[[#This Row],[CAREA]]</f>
        <v>0.24560977885602314</v>
      </c>
      <c r="K108">
        <v>2.80444</v>
      </c>
      <c r="L108">
        <f>(Table3[[#This Row],[time]]-2)*2</f>
        <v>1.6088800000000001</v>
      </c>
      <c r="M108">
        <v>76.590199999999996</v>
      </c>
      <c r="N108">
        <v>1.56857</v>
      </c>
      <c r="O108">
        <f>Table3[[#This Row],[CFNM]]/Table3[[#This Row],[CAREA]]</f>
        <v>2.0480035304777898E-2</v>
      </c>
      <c r="P108">
        <v>2.80444</v>
      </c>
      <c r="Q108">
        <f>(Table4[[#This Row],[time]]-2)*2</f>
        <v>1.6088800000000001</v>
      </c>
      <c r="R108">
        <v>88.433800000000005</v>
      </c>
      <c r="S108">
        <v>37.624299999999998</v>
      </c>
      <c r="T108">
        <f>Table4[[#This Row],[CFNM]]/Table4[[#This Row],[CAREA]]</f>
        <v>0.42545158073044465</v>
      </c>
      <c r="U108">
        <v>2.80444</v>
      </c>
      <c r="V108">
        <f>(Table5[[#This Row],[time]]-2)*2</f>
        <v>1.6088800000000001</v>
      </c>
      <c r="W108">
        <v>65.101500000000001</v>
      </c>
      <c r="X108">
        <v>1.82355</v>
      </c>
      <c r="Y108">
        <f>Table5[[#This Row],[CFNM]]/Table5[[#This Row],[CAREA]]</f>
        <v>2.8010875325453329E-2</v>
      </c>
      <c r="Z108">
        <v>2.80444</v>
      </c>
      <c r="AA108">
        <f>(Table6[[#This Row],[time]]-2)*2</f>
        <v>1.6088800000000001</v>
      </c>
      <c r="AB108">
        <v>93.174300000000002</v>
      </c>
      <c r="AC108">
        <v>62.375399999999999</v>
      </c>
      <c r="AD108">
        <f>Table6[[#This Row],[CFNM]]/Table6[[#This Row],[CAREA]]</f>
        <v>0.66944854965371348</v>
      </c>
      <c r="AE108">
        <v>2.80444</v>
      </c>
      <c r="AF108">
        <f>(Table7[[#This Row],[time]]-2)*2</f>
        <v>1.6088800000000001</v>
      </c>
      <c r="AG108">
        <v>72.830399999999997</v>
      </c>
      <c r="AH108">
        <v>14.208399999999999</v>
      </c>
      <c r="AI108">
        <f>Table7[[#This Row],[CFNM]]/Table7[[#This Row],[CAREA]]</f>
        <v>0.19508886399086095</v>
      </c>
      <c r="AJ108">
        <v>2.80444</v>
      </c>
      <c r="AK108">
        <f>(Table8[[#This Row],[time]]-2)*2</f>
        <v>1.6088800000000001</v>
      </c>
      <c r="AL108">
        <v>76.314599999999999</v>
      </c>
      <c r="AM108">
        <v>63.659599999999998</v>
      </c>
      <c r="AN108">
        <f>Table8[[#This Row],[CFNM]]/Table8[[#This Row],[CAREA]]</f>
        <v>0.83417327745935899</v>
      </c>
    </row>
    <row r="109" spans="1:40" x14ac:dyDescent="0.25">
      <c r="A109">
        <v>2.8583699999999999</v>
      </c>
      <c r="B109">
        <f>(Table1[[#This Row],[time]]-2)*2</f>
        <v>1.7167399999999997</v>
      </c>
      <c r="C109">
        <v>68.695999999999998</v>
      </c>
      <c r="D109">
        <v>6.0701499999999999</v>
      </c>
      <c r="E109">
        <f>Table1[[#This Row],[CFNM]]/Table1[[#This Row],[CAREA]]</f>
        <v>8.836249563293351E-2</v>
      </c>
      <c r="F109">
        <v>2.8583699999999999</v>
      </c>
      <c r="G109">
        <f>(Table2[[#This Row],[time]]-2)*2</f>
        <v>1.7167399999999997</v>
      </c>
      <c r="H109">
        <v>105.982</v>
      </c>
      <c r="I109">
        <v>28.812200000000001</v>
      </c>
      <c r="J109">
        <f>Table2[[#This Row],[CFNM]]/Table2[[#This Row],[CAREA]]</f>
        <v>0.27185937234624746</v>
      </c>
      <c r="K109">
        <v>2.8583699999999999</v>
      </c>
      <c r="L109">
        <f>(Table3[[#This Row],[time]]-2)*2</f>
        <v>1.7167399999999997</v>
      </c>
      <c r="M109">
        <v>75.5899</v>
      </c>
      <c r="N109">
        <v>1.2564</v>
      </c>
      <c r="O109">
        <f>Table3[[#This Row],[CFNM]]/Table3[[#This Row],[CAREA]]</f>
        <v>1.6621268185299888E-2</v>
      </c>
      <c r="P109">
        <v>2.8583699999999999</v>
      </c>
      <c r="Q109">
        <f>(Table4[[#This Row],[time]]-2)*2</f>
        <v>1.7167399999999997</v>
      </c>
      <c r="R109">
        <v>87.908199999999994</v>
      </c>
      <c r="S109">
        <v>40.515599999999999</v>
      </c>
      <c r="T109">
        <f>Table4[[#This Row],[CFNM]]/Table4[[#This Row],[CAREA]]</f>
        <v>0.46088533265383663</v>
      </c>
      <c r="U109">
        <v>2.8583699999999999</v>
      </c>
      <c r="V109">
        <f>(Table5[[#This Row],[time]]-2)*2</f>
        <v>1.7167399999999997</v>
      </c>
      <c r="W109">
        <v>63.405700000000003</v>
      </c>
      <c r="X109">
        <v>1.2940100000000001</v>
      </c>
      <c r="Y109">
        <f>Table5[[#This Row],[CFNM]]/Table5[[#This Row],[CAREA]]</f>
        <v>2.0408417539748005E-2</v>
      </c>
      <c r="Z109">
        <v>2.8583699999999999</v>
      </c>
      <c r="AA109">
        <f>(Table6[[#This Row],[time]]-2)*2</f>
        <v>1.7167399999999997</v>
      </c>
      <c r="AB109">
        <v>92.735900000000001</v>
      </c>
      <c r="AC109">
        <v>65.624700000000004</v>
      </c>
      <c r="AD109">
        <f>Table6[[#This Row],[CFNM]]/Table6[[#This Row],[CAREA]]</f>
        <v>0.70765151359937206</v>
      </c>
      <c r="AE109">
        <v>2.8583699999999999</v>
      </c>
      <c r="AF109">
        <f>(Table7[[#This Row],[time]]-2)*2</f>
        <v>1.7167399999999997</v>
      </c>
      <c r="AG109">
        <v>71.307500000000005</v>
      </c>
      <c r="AH109">
        <v>13.622</v>
      </c>
      <c r="AI109">
        <f>Table7[[#This Row],[CFNM]]/Table7[[#This Row],[CAREA]]</f>
        <v>0.19103179889913402</v>
      </c>
      <c r="AJ109">
        <v>2.8583699999999999</v>
      </c>
      <c r="AK109">
        <f>(Table8[[#This Row],[time]]-2)*2</f>
        <v>1.7167399999999997</v>
      </c>
      <c r="AL109">
        <v>75.661299999999997</v>
      </c>
      <c r="AM109">
        <v>66.686400000000006</v>
      </c>
      <c r="AN109">
        <f>Table8[[#This Row],[CFNM]]/Table8[[#This Row],[CAREA]]</f>
        <v>0.88138057368826606</v>
      </c>
    </row>
    <row r="110" spans="1:40" x14ac:dyDescent="0.25">
      <c r="A110">
        <v>2.9134199999999999</v>
      </c>
      <c r="B110">
        <f>(Table1[[#This Row],[time]]-2)*2</f>
        <v>1.8268399999999998</v>
      </c>
      <c r="C110">
        <v>66.067099999999996</v>
      </c>
      <c r="D110">
        <v>5.6738999999999997</v>
      </c>
      <c r="E110">
        <f>Table1[[#This Row],[CFNM]]/Table1[[#This Row],[CAREA]]</f>
        <v>8.5880869600754389E-2</v>
      </c>
      <c r="F110">
        <v>2.9134199999999999</v>
      </c>
      <c r="G110">
        <f>(Table2[[#This Row],[time]]-2)*2</f>
        <v>1.8268399999999998</v>
      </c>
      <c r="H110">
        <v>104.57299999999999</v>
      </c>
      <c r="I110">
        <v>31.680599999999998</v>
      </c>
      <c r="J110">
        <f>Table2[[#This Row],[CFNM]]/Table2[[#This Row],[CAREA]]</f>
        <v>0.30295200481959972</v>
      </c>
      <c r="K110">
        <v>2.9134199999999999</v>
      </c>
      <c r="L110">
        <f>(Table3[[#This Row],[time]]-2)*2</f>
        <v>1.8268399999999998</v>
      </c>
      <c r="M110">
        <v>74.813599999999994</v>
      </c>
      <c r="N110">
        <v>0.90601699999999996</v>
      </c>
      <c r="O110">
        <f>Table3[[#This Row],[CFNM]]/Table3[[#This Row],[CAREA]]</f>
        <v>1.2110324860720511E-2</v>
      </c>
      <c r="P110">
        <v>2.9134199999999999</v>
      </c>
      <c r="Q110">
        <f>(Table4[[#This Row],[time]]-2)*2</f>
        <v>1.8268399999999998</v>
      </c>
      <c r="R110">
        <v>87.361000000000004</v>
      </c>
      <c r="S110">
        <v>43.385399999999997</v>
      </c>
      <c r="T110">
        <f>Table4[[#This Row],[CFNM]]/Table4[[#This Row],[CAREA]]</f>
        <v>0.49662206247639101</v>
      </c>
      <c r="U110">
        <v>2.9134199999999999</v>
      </c>
      <c r="V110">
        <f>(Table5[[#This Row],[time]]-2)*2</f>
        <v>1.8268399999999998</v>
      </c>
      <c r="W110">
        <v>62.516599999999997</v>
      </c>
      <c r="X110">
        <v>0.93183700000000003</v>
      </c>
      <c r="Y110">
        <f>Table5[[#This Row],[CFNM]]/Table5[[#This Row],[CAREA]]</f>
        <v>1.4905433116964135E-2</v>
      </c>
      <c r="Z110">
        <v>2.9134199999999999</v>
      </c>
      <c r="AA110">
        <f>(Table6[[#This Row],[time]]-2)*2</f>
        <v>1.8268399999999998</v>
      </c>
      <c r="AB110">
        <v>92.228300000000004</v>
      </c>
      <c r="AC110">
        <v>68.725200000000001</v>
      </c>
      <c r="AD110">
        <f>Table6[[#This Row],[CFNM]]/Table6[[#This Row],[CAREA]]</f>
        <v>0.74516390305361802</v>
      </c>
      <c r="AE110">
        <v>2.9134199999999999</v>
      </c>
      <c r="AF110">
        <f>(Table7[[#This Row],[time]]-2)*2</f>
        <v>1.8268399999999998</v>
      </c>
      <c r="AG110">
        <v>70.847800000000007</v>
      </c>
      <c r="AH110">
        <v>13.071999999999999</v>
      </c>
      <c r="AI110">
        <f>Table7[[#This Row],[CFNM]]/Table7[[#This Row],[CAREA]]</f>
        <v>0.18450819926659681</v>
      </c>
      <c r="AJ110">
        <v>2.9134199999999999</v>
      </c>
      <c r="AK110">
        <f>(Table8[[#This Row],[time]]-2)*2</f>
        <v>1.8268399999999998</v>
      </c>
      <c r="AL110">
        <v>74.965100000000007</v>
      </c>
      <c r="AM110">
        <v>69.383600000000001</v>
      </c>
      <c r="AN110">
        <f>Table8[[#This Row],[CFNM]]/Table8[[#This Row],[CAREA]]</f>
        <v>0.92554535377128822</v>
      </c>
    </row>
    <row r="111" spans="1:40" x14ac:dyDescent="0.25">
      <c r="A111">
        <v>2.9619599999999999</v>
      </c>
      <c r="B111">
        <f>(Table1[[#This Row],[time]]-2)*2</f>
        <v>1.9239199999999999</v>
      </c>
      <c r="C111">
        <v>64.176100000000005</v>
      </c>
      <c r="D111">
        <v>5.2294200000000002</v>
      </c>
      <c r="E111">
        <f>Table1[[#This Row],[CFNM]]/Table1[[#This Row],[CAREA]]</f>
        <v>8.1485475122358625E-2</v>
      </c>
      <c r="F111">
        <v>2.9619599999999999</v>
      </c>
      <c r="G111">
        <f>(Table2[[#This Row],[time]]-2)*2</f>
        <v>1.9239199999999999</v>
      </c>
      <c r="H111">
        <v>102.961</v>
      </c>
      <c r="I111">
        <v>34.942500000000003</v>
      </c>
      <c r="J111">
        <f>Table2[[#This Row],[CFNM]]/Table2[[#This Row],[CAREA]]</f>
        <v>0.33937607443595152</v>
      </c>
      <c r="K111">
        <v>2.9619599999999999</v>
      </c>
      <c r="L111">
        <f>(Table3[[#This Row],[time]]-2)*2</f>
        <v>1.9239199999999999</v>
      </c>
      <c r="M111">
        <v>72.489199999999997</v>
      </c>
      <c r="N111">
        <v>0.483931</v>
      </c>
      <c r="O111">
        <f>Table3[[#This Row],[CFNM]]/Table3[[#This Row],[CAREA]]</f>
        <v>6.6759048244428142E-3</v>
      </c>
      <c r="P111">
        <v>2.9619599999999999</v>
      </c>
      <c r="Q111">
        <f>(Table4[[#This Row],[time]]-2)*2</f>
        <v>1.9239199999999999</v>
      </c>
      <c r="R111">
        <v>86.639399999999995</v>
      </c>
      <c r="S111">
        <v>46.621000000000002</v>
      </c>
      <c r="T111">
        <f>Table4[[#This Row],[CFNM]]/Table4[[#This Row],[CAREA]]</f>
        <v>0.53810391115358602</v>
      </c>
      <c r="U111">
        <v>2.9619599999999999</v>
      </c>
      <c r="V111">
        <f>(Table5[[#This Row],[time]]-2)*2</f>
        <v>1.9239199999999999</v>
      </c>
      <c r="W111">
        <v>61.288699999999999</v>
      </c>
      <c r="X111">
        <v>0.63860600000000001</v>
      </c>
      <c r="Y111">
        <f>Table5[[#This Row],[CFNM]]/Table5[[#This Row],[CAREA]]</f>
        <v>1.0419636898808426E-2</v>
      </c>
      <c r="Z111">
        <v>2.9619599999999999</v>
      </c>
      <c r="AA111">
        <f>(Table6[[#This Row],[time]]-2)*2</f>
        <v>1.9239199999999999</v>
      </c>
      <c r="AB111">
        <v>91.690700000000007</v>
      </c>
      <c r="AC111">
        <v>72.254900000000006</v>
      </c>
      <c r="AD111">
        <f>Table6[[#This Row],[CFNM]]/Table6[[#This Row],[CAREA]]</f>
        <v>0.78802866593885745</v>
      </c>
      <c r="AE111">
        <v>2.9619599999999999</v>
      </c>
      <c r="AF111">
        <f>(Table7[[#This Row],[time]]-2)*2</f>
        <v>1.9239199999999999</v>
      </c>
      <c r="AG111">
        <v>70.563800000000001</v>
      </c>
      <c r="AH111">
        <v>12.398199999999999</v>
      </c>
      <c r="AI111">
        <f>Table7[[#This Row],[CFNM]]/Table7[[#This Row],[CAREA]]</f>
        <v>0.17570198883846957</v>
      </c>
      <c r="AJ111">
        <v>2.9619599999999999</v>
      </c>
      <c r="AK111">
        <f>(Table8[[#This Row],[time]]-2)*2</f>
        <v>1.9239199999999999</v>
      </c>
      <c r="AL111">
        <v>74.380600000000001</v>
      </c>
      <c r="AM111">
        <v>72.217699999999994</v>
      </c>
      <c r="AN111">
        <f>Table8[[#This Row],[CFNM]]/Table8[[#This Row],[CAREA]]</f>
        <v>0.97092118106065284</v>
      </c>
    </row>
    <row r="112" spans="1:40" x14ac:dyDescent="0.25">
      <c r="A112">
        <v>3</v>
      </c>
      <c r="B112">
        <f>(Table1[[#This Row],[time]]-2)*2</f>
        <v>2</v>
      </c>
      <c r="C112">
        <v>62.042200000000001</v>
      </c>
      <c r="D112">
        <v>4.7253400000000001</v>
      </c>
      <c r="E112">
        <f>Table1[[#This Row],[CFNM]]/Table1[[#This Row],[CAREA]]</f>
        <v>7.6163321094351907E-2</v>
      </c>
      <c r="F112">
        <v>3</v>
      </c>
      <c r="G112">
        <f>(Table2[[#This Row],[time]]-2)*2</f>
        <v>2</v>
      </c>
      <c r="H112">
        <v>101.11499999999999</v>
      </c>
      <c r="I112">
        <v>38.773800000000001</v>
      </c>
      <c r="J112">
        <f>Table2[[#This Row],[CFNM]]/Table2[[#This Row],[CAREA]]</f>
        <v>0.38346239430351581</v>
      </c>
      <c r="K112">
        <v>3</v>
      </c>
      <c r="L112">
        <f>(Table3[[#This Row],[time]]-2)*2</f>
        <v>2</v>
      </c>
      <c r="M112">
        <v>71.057000000000002</v>
      </c>
      <c r="N112">
        <v>0.13433500000000001</v>
      </c>
      <c r="O112">
        <f>Table3[[#This Row],[CFNM]]/Table3[[#This Row],[CAREA]]</f>
        <v>1.8905245084931816E-3</v>
      </c>
      <c r="P112">
        <v>3</v>
      </c>
      <c r="Q112">
        <f>(Table4[[#This Row],[time]]-2)*2</f>
        <v>2</v>
      </c>
      <c r="R112">
        <v>85.922200000000004</v>
      </c>
      <c r="S112">
        <v>50.066200000000002</v>
      </c>
      <c r="T112">
        <f>Table4[[#This Row],[CFNM]]/Table4[[#This Row],[CAREA]]</f>
        <v>0.58269224950012921</v>
      </c>
      <c r="U112">
        <v>3</v>
      </c>
      <c r="V112">
        <f>(Table5[[#This Row],[time]]-2)*2</f>
        <v>2</v>
      </c>
      <c r="W112">
        <v>60.664299999999997</v>
      </c>
      <c r="X112">
        <v>0.42404900000000001</v>
      </c>
      <c r="Y112">
        <f>Table5[[#This Row],[CFNM]]/Table5[[#This Row],[CAREA]]</f>
        <v>6.9900913716963685E-3</v>
      </c>
      <c r="Z112">
        <v>3</v>
      </c>
      <c r="AA112">
        <f>(Table6[[#This Row],[time]]-2)*2</f>
        <v>2</v>
      </c>
      <c r="AB112">
        <v>91.2136</v>
      </c>
      <c r="AC112">
        <v>76.110799999999998</v>
      </c>
      <c r="AD112">
        <f>Table6[[#This Row],[CFNM]]/Table6[[#This Row],[CAREA]]</f>
        <v>0.8344238139926502</v>
      </c>
      <c r="AE112">
        <v>3</v>
      </c>
      <c r="AF112">
        <f>(Table7[[#This Row],[time]]-2)*2</f>
        <v>2</v>
      </c>
      <c r="AG112">
        <v>70.243899999999996</v>
      </c>
      <c r="AH112">
        <v>11.6267</v>
      </c>
      <c r="AI112">
        <f>Table7[[#This Row],[CFNM]]/Table7[[#This Row],[CAREA]]</f>
        <v>0.16551899880274301</v>
      </c>
      <c r="AJ112">
        <v>3</v>
      </c>
      <c r="AK112">
        <f>(Table8[[#This Row],[time]]-2)*2</f>
        <v>2</v>
      </c>
      <c r="AL112">
        <v>73.699700000000007</v>
      </c>
      <c r="AM112">
        <v>75.118899999999996</v>
      </c>
      <c r="AN112">
        <f>Table8[[#This Row],[CFNM]]/Table8[[#This Row],[CAREA]]</f>
        <v>1.0192565234322526</v>
      </c>
    </row>
    <row r="115" spans="1:40" x14ac:dyDescent="0.25">
      <c r="A115" s="1" t="s">
        <v>20</v>
      </c>
    </row>
    <row r="116" spans="1:40" x14ac:dyDescent="0.25">
      <c r="A116" t="s">
        <v>40</v>
      </c>
      <c r="F116" t="s">
        <v>1</v>
      </c>
    </row>
    <row r="117" spans="1:40" x14ac:dyDescent="0.25">
      <c r="F117" t="s">
        <v>2</v>
      </c>
      <c r="G117" t="s">
        <v>3</v>
      </c>
    </row>
    <row r="120" spans="1:40" x14ac:dyDescent="0.25">
      <c r="A120" t="s">
        <v>5</v>
      </c>
      <c r="F120" t="s">
        <v>6</v>
      </c>
      <c r="K120" t="s">
        <v>7</v>
      </c>
      <c r="P120" t="s">
        <v>19</v>
      </c>
      <c r="U120" t="s">
        <v>8</v>
      </c>
      <c r="Z120" t="s">
        <v>9</v>
      </c>
      <c r="AE120" t="s">
        <v>10</v>
      </c>
      <c r="AJ120" t="s">
        <v>11</v>
      </c>
    </row>
    <row r="121" spans="1:40" x14ac:dyDescent="0.25">
      <c r="A121" t="s">
        <v>12</v>
      </c>
      <c r="B121" t="s">
        <v>13</v>
      </c>
      <c r="C121" t="s">
        <v>17</v>
      </c>
      <c r="D121" t="s">
        <v>15</v>
      </c>
      <c r="E121" t="s">
        <v>16</v>
      </c>
      <c r="F121" t="s">
        <v>12</v>
      </c>
      <c r="G121" t="s">
        <v>13</v>
      </c>
      <c r="H121" t="s">
        <v>17</v>
      </c>
      <c r="I121" t="s">
        <v>15</v>
      </c>
      <c r="J121" t="s">
        <v>16</v>
      </c>
      <c r="K121" t="s">
        <v>12</v>
      </c>
      <c r="L121" t="s">
        <v>13</v>
      </c>
      <c r="M121" t="s">
        <v>17</v>
      </c>
      <c r="N121" t="s">
        <v>15</v>
      </c>
      <c r="O121" t="s">
        <v>16</v>
      </c>
      <c r="P121" t="s">
        <v>12</v>
      </c>
      <c r="Q121" t="s">
        <v>13</v>
      </c>
      <c r="R121" t="s">
        <v>17</v>
      </c>
      <c r="S121" t="s">
        <v>15</v>
      </c>
      <c r="T121" t="s">
        <v>16</v>
      </c>
      <c r="U121" t="s">
        <v>12</v>
      </c>
      <c r="V121" t="s">
        <v>13</v>
      </c>
      <c r="W121" t="s">
        <v>17</v>
      </c>
      <c r="X121" t="s">
        <v>15</v>
      </c>
      <c r="Y121" t="s">
        <v>16</v>
      </c>
      <c r="Z121" t="s">
        <v>12</v>
      </c>
      <c r="AA121" t="s">
        <v>13</v>
      </c>
      <c r="AB121" t="s">
        <v>17</v>
      </c>
      <c r="AC121" t="s">
        <v>15</v>
      </c>
      <c r="AD121" t="s">
        <v>16</v>
      </c>
      <c r="AE121" t="s">
        <v>12</v>
      </c>
      <c r="AF121" t="s">
        <v>13</v>
      </c>
      <c r="AG121" t="s">
        <v>17</v>
      </c>
      <c r="AH121" t="s">
        <v>15</v>
      </c>
      <c r="AI121" t="s">
        <v>16</v>
      </c>
      <c r="AJ121" t="s">
        <v>12</v>
      </c>
      <c r="AK121" t="s">
        <v>13</v>
      </c>
      <c r="AL121" t="s">
        <v>17</v>
      </c>
      <c r="AM121" t="s">
        <v>15</v>
      </c>
      <c r="AN121" t="s">
        <v>16</v>
      </c>
    </row>
    <row r="122" spans="1:40" x14ac:dyDescent="0.25">
      <c r="A122">
        <v>2</v>
      </c>
      <c r="B122">
        <f>-(Table1274[[#This Row],[time]]-2)*2</f>
        <v>0</v>
      </c>
      <c r="C122">
        <v>80.560199999999995</v>
      </c>
      <c r="D122">
        <v>3.9786999999999999</v>
      </c>
      <c r="E122" s="2">
        <f>Table1274[[#This Row],[CFNM]]/Table1274[[#This Row],[CAREA]]</f>
        <v>4.9387911152157023E-2</v>
      </c>
      <c r="F122">
        <v>2</v>
      </c>
      <c r="G122">
        <f>-(Table2275[[#This Row],[time]]-2)*2</f>
        <v>0</v>
      </c>
      <c r="H122">
        <v>87.831100000000006</v>
      </c>
      <c r="I122">
        <v>3.8477199999999998E-3</v>
      </c>
      <c r="J122" s="2">
        <f>Table2275[[#This Row],[CFNM]]/Table2275[[#This Row],[CAREA]]</f>
        <v>4.3808172731526752E-5</v>
      </c>
      <c r="K122">
        <v>2</v>
      </c>
      <c r="L122">
        <f>-(Table3276[[#This Row],[time]]-2)*2</f>
        <v>0</v>
      </c>
      <c r="M122">
        <v>85.165199999999999</v>
      </c>
      <c r="N122">
        <v>3.6992800000000001E-3</v>
      </c>
      <c r="O122">
        <f>Table3276[[#This Row],[CFNM]]/Table3276[[#This Row],[CAREA]]</f>
        <v>4.3436521020322855E-5</v>
      </c>
      <c r="P122">
        <v>2</v>
      </c>
      <c r="Q122">
        <f>-(Table4277[[#This Row],[time]]-2)*2</f>
        <v>0</v>
      </c>
      <c r="R122">
        <v>79.099999999999994</v>
      </c>
      <c r="S122">
        <v>4.5241600000000002E-3</v>
      </c>
      <c r="T122">
        <f>Table4277[[#This Row],[CFNM]]/Table4277[[#This Row],[CAREA]]</f>
        <v>5.7195448798988631E-5</v>
      </c>
      <c r="U122">
        <v>2</v>
      </c>
      <c r="V122">
        <f>-(Table5278[[#This Row],[time]]-2)*2</f>
        <v>0</v>
      </c>
      <c r="W122">
        <v>83.228300000000004</v>
      </c>
      <c r="X122">
        <v>3.5028600000000001</v>
      </c>
      <c r="Y122">
        <f>Table5278[[#This Row],[CFNM]]/Table5278[[#This Row],[CAREA]]</f>
        <v>4.2087366917262517E-2</v>
      </c>
      <c r="Z122">
        <v>2</v>
      </c>
      <c r="AA122">
        <f>-(Table6279[[#This Row],[time]]-2)*2</f>
        <v>0</v>
      </c>
      <c r="AB122">
        <v>84.265100000000004</v>
      </c>
      <c r="AC122">
        <v>6.2692600000000001</v>
      </c>
      <c r="AD122">
        <f>Table6279[[#This Row],[CFNM]]/Table6279[[#This Row],[CAREA]]</f>
        <v>7.4399247137901692E-2</v>
      </c>
      <c r="AE122">
        <v>2</v>
      </c>
      <c r="AF122">
        <f>-(Table7286[[#This Row],[time]]-2)*2</f>
        <v>0</v>
      </c>
      <c r="AG122">
        <v>78.459599999999995</v>
      </c>
      <c r="AH122">
        <v>14.705299999999999</v>
      </c>
      <c r="AI122">
        <f>Table7286[[#This Row],[CFNM]]/Table7286[[#This Row],[CAREA]]</f>
        <v>0.18742512069906042</v>
      </c>
      <c r="AJ122">
        <v>2</v>
      </c>
      <c r="AK122">
        <f>-(Table818[[#This Row],[time]]-2)*2</f>
        <v>0</v>
      </c>
      <c r="AL122">
        <v>83.005899999999997</v>
      </c>
      <c r="AM122">
        <v>14.6465</v>
      </c>
      <c r="AN122">
        <f>Table818[[#This Row],[CFNM]]/Table818[[#This Row],[CAREA]]</f>
        <v>0.17645131249706347</v>
      </c>
    </row>
    <row r="123" spans="1:40" x14ac:dyDescent="0.25">
      <c r="A123">
        <v>2.0512600000000001</v>
      </c>
      <c r="B123">
        <f>-(Table1274[[#This Row],[time]]-2)*2</f>
        <v>-0.10252000000000017</v>
      </c>
      <c r="C123">
        <v>90.140299999999996</v>
      </c>
      <c r="D123">
        <v>10.5723</v>
      </c>
      <c r="E123">
        <f>Table1274[[#This Row],[CFNM]]/Table1274[[#This Row],[CAREA]]</f>
        <v>0.11728716234580981</v>
      </c>
      <c r="F123">
        <v>2.0512600000000001</v>
      </c>
      <c r="G123">
        <f>-(Table2275[[#This Row],[time]]-2)*2</f>
        <v>-0.10252000000000017</v>
      </c>
      <c r="H123">
        <v>94.363600000000005</v>
      </c>
      <c r="I123">
        <v>2.5727000000000002</v>
      </c>
      <c r="J123">
        <f>Table2275[[#This Row],[CFNM]]/Table2275[[#This Row],[CAREA]]</f>
        <v>2.7263690660381756E-2</v>
      </c>
      <c r="K123">
        <v>2.0512600000000001</v>
      </c>
      <c r="L123">
        <f>-(Table3276[[#This Row],[time]]-2)*2</f>
        <v>-0.10252000000000017</v>
      </c>
      <c r="M123">
        <v>89.386799999999994</v>
      </c>
      <c r="N123">
        <v>3.8188300000000002</v>
      </c>
      <c r="O123">
        <f>Table3276[[#This Row],[CFNM]]/Table3276[[#This Row],[CAREA]]</f>
        <v>4.2722527263533323E-2</v>
      </c>
      <c r="P123">
        <v>2.0512600000000001</v>
      </c>
      <c r="Q123">
        <f>-(Table4277[[#This Row],[time]]-2)*2</f>
        <v>-0.10252000000000017</v>
      </c>
      <c r="R123">
        <v>84.326899999999995</v>
      </c>
      <c r="S123">
        <v>5.0367899999999999</v>
      </c>
      <c r="T123">
        <f>Table4277[[#This Row],[CFNM]]/Table4277[[#This Row],[CAREA]]</f>
        <v>5.9729339036535198E-2</v>
      </c>
      <c r="U123">
        <v>2.0512600000000001</v>
      </c>
      <c r="V123">
        <f>-(Table5278[[#This Row],[time]]-2)*2</f>
        <v>-0.10252000000000017</v>
      </c>
      <c r="W123">
        <v>82.595100000000002</v>
      </c>
      <c r="X123">
        <v>9.8749000000000002</v>
      </c>
      <c r="Y123">
        <f>Table5278[[#This Row],[CFNM]]/Table5278[[#This Row],[CAREA]]</f>
        <v>0.11955793987778936</v>
      </c>
      <c r="Z123">
        <v>2.0512600000000001</v>
      </c>
      <c r="AA123">
        <f>-(Table6279[[#This Row],[time]]-2)*2</f>
        <v>-0.10252000000000017</v>
      </c>
      <c r="AB123">
        <v>86.810199999999995</v>
      </c>
      <c r="AC123">
        <v>12.3775</v>
      </c>
      <c r="AD123">
        <f>Table6279[[#This Row],[CFNM]]/Table6279[[#This Row],[CAREA]]</f>
        <v>0.14258117133700879</v>
      </c>
      <c r="AE123">
        <v>2.0512600000000001</v>
      </c>
      <c r="AF123">
        <f>-(Table7286[[#This Row],[time]]-2)*2</f>
        <v>-0.10252000000000017</v>
      </c>
      <c r="AG123">
        <v>79.655299999999997</v>
      </c>
      <c r="AH123">
        <v>20.536300000000001</v>
      </c>
      <c r="AI123">
        <f>Table7286[[#This Row],[CFNM]]/Table7286[[#This Row],[CAREA]]</f>
        <v>0.25781460869521555</v>
      </c>
      <c r="AJ123">
        <v>2.0512600000000001</v>
      </c>
      <c r="AK123">
        <f>-(Table818[[#This Row],[time]]-2)*2</f>
        <v>-0.10252000000000017</v>
      </c>
      <c r="AL123">
        <v>82.987300000000005</v>
      </c>
      <c r="AM123">
        <v>18.310300000000002</v>
      </c>
      <c r="AN123">
        <f>Table818[[#This Row],[CFNM]]/Table818[[#This Row],[CAREA]]</f>
        <v>0.22063978464174638</v>
      </c>
    </row>
    <row r="124" spans="1:40" x14ac:dyDescent="0.25">
      <c r="A124">
        <v>2.1153300000000002</v>
      </c>
      <c r="B124">
        <f>-(Table1274[[#This Row],[time]]-2)*2</f>
        <v>-0.23066000000000031</v>
      </c>
      <c r="C124">
        <v>90.654499999999999</v>
      </c>
      <c r="D124">
        <v>11.3405</v>
      </c>
      <c r="E124">
        <f>Table1274[[#This Row],[CFNM]]/Table1274[[#This Row],[CAREA]]</f>
        <v>0.12509583087436366</v>
      </c>
      <c r="F124">
        <v>2.1153300000000002</v>
      </c>
      <c r="G124">
        <f>-(Table2275[[#This Row],[time]]-2)*2</f>
        <v>-0.23066000000000031</v>
      </c>
      <c r="H124">
        <v>92.807900000000004</v>
      </c>
      <c r="I124">
        <v>1.84474</v>
      </c>
      <c r="J124">
        <f>Table2275[[#This Row],[CFNM]]/Table2275[[#This Row],[CAREA]]</f>
        <v>1.9876971680212567E-2</v>
      </c>
      <c r="K124">
        <v>2.1153300000000002</v>
      </c>
      <c r="L124">
        <f>-(Table3276[[#This Row],[time]]-2)*2</f>
        <v>-0.23066000000000031</v>
      </c>
      <c r="M124">
        <v>90.041499999999999</v>
      </c>
      <c r="N124">
        <v>5.0777900000000002</v>
      </c>
      <c r="O124">
        <f>Table3276[[#This Row],[CFNM]]/Table3276[[#This Row],[CAREA]]</f>
        <v>5.6393885041897351E-2</v>
      </c>
      <c r="P124">
        <v>2.1153300000000002</v>
      </c>
      <c r="Q124">
        <f>-(Table4277[[#This Row],[time]]-2)*2</f>
        <v>-0.23066000000000031</v>
      </c>
      <c r="R124">
        <v>81.868300000000005</v>
      </c>
      <c r="S124">
        <v>4.3657300000000001</v>
      </c>
      <c r="T124">
        <f>Table4277[[#This Row],[CFNM]]/Table4277[[#This Row],[CAREA]]</f>
        <v>5.3326256927284432E-2</v>
      </c>
      <c r="U124">
        <v>2.1153300000000002</v>
      </c>
      <c r="V124">
        <f>-(Table5278[[#This Row],[time]]-2)*2</f>
        <v>-0.23066000000000031</v>
      </c>
      <c r="W124">
        <v>83.742099999999994</v>
      </c>
      <c r="X124">
        <v>10.4892</v>
      </c>
      <c r="Y124">
        <f>Table5278[[#This Row],[CFNM]]/Table5278[[#This Row],[CAREA]]</f>
        <v>0.12525599429677547</v>
      </c>
      <c r="Z124">
        <v>2.1153300000000002</v>
      </c>
      <c r="AA124">
        <f>-(Table6279[[#This Row],[time]]-2)*2</f>
        <v>-0.23066000000000031</v>
      </c>
      <c r="AB124">
        <v>83.865300000000005</v>
      </c>
      <c r="AC124">
        <v>8.5370699999999999</v>
      </c>
      <c r="AD124">
        <f>Table6279[[#This Row],[CFNM]]/Table6279[[#This Row],[CAREA]]</f>
        <v>0.10179502130201644</v>
      </c>
      <c r="AE124">
        <v>2.1153300000000002</v>
      </c>
      <c r="AF124">
        <f>-(Table7286[[#This Row],[time]]-2)*2</f>
        <v>-0.23066000000000031</v>
      </c>
      <c r="AG124">
        <v>80.233099999999993</v>
      </c>
      <c r="AH124">
        <v>21.8569</v>
      </c>
      <c r="AI124">
        <f>Table7286[[#This Row],[CFNM]]/Table7286[[#This Row],[CAREA]]</f>
        <v>0.27241749352823214</v>
      </c>
      <c r="AJ124">
        <v>2.1153300000000002</v>
      </c>
      <c r="AK124">
        <f>-(Table818[[#This Row],[time]]-2)*2</f>
        <v>-0.23066000000000031</v>
      </c>
      <c r="AL124">
        <v>82.752700000000004</v>
      </c>
      <c r="AM124">
        <v>17.371400000000001</v>
      </c>
      <c r="AN124">
        <f>Table818[[#This Row],[CFNM]]/Table818[[#This Row],[CAREA]]</f>
        <v>0.20991943465288745</v>
      </c>
    </row>
    <row r="125" spans="1:40" x14ac:dyDescent="0.25">
      <c r="A125">
        <v>2.16533</v>
      </c>
      <c r="B125">
        <f>-(Table1274[[#This Row],[time]]-2)*2</f>
        <v>-0.33065999999999995</v>
      </c>
      <c r="C125">
        <v>91.581699999999998</v>
      </c>
      <c r="D125">
        <v>12.4191</v>
      </c>
      <c r="E125">
        <f>Table1274[[#This Row],[CFNM]]/Table1274[[#This Row],[CAREA]]</f>
        <v>0.13560678607188992</v>
      </c>
      <c r="F125">
        <v>2.16533</v>
      </c>
      <c r="G125">
        <f>-(Table2275[[#This Row],[time]]-2)*2</f>
        <v>-0.33065999999999995</v>
      </c>
      <c r="H125">
        <v>91.381100000000004</v>
      </c>
      <c r="I125">
        <v>1.7529699999999999</v>
      </c>
      <c r="J125">
        <f>Table2275[[#This Row],[CFNM]]/Table2275[[#This Row],[CAREA]]</f>
        <v>1.9183069584410781E-2</v>
      </c>
      <c r="K125">
        <v>2.16533</v>
      </c>
      <c r="L125">
        <f>-(Table3276[[#This Row],[time]]-2)*2</f>
        <v>-0.33065999999999995</v>
      </c>
      <c r="M125">
        <v>90.448899999999995</v>
      </c>
      <c r="N125">
        <v>6.6112500000000001</v>
      </c>
      <c r="O125">
        <f>Table3276[[#This Row],[CFNM]]/Table3276[[#This Row],[CAREA]]</f>
        <v>7.3093757911925961E-2</v>
      </c>
      <c r="P125">
        <v>2.16533</v>
      </c>
      <c r="Q125">
        <f>-(Table4277[[#This Row],[time]]-2)*2</f>
        <v>-0.33065999999999995</v>
      </c>
      <c r="R125">
        <v>81.313299999999998</v>
      </c>
      <c r="S125">
        <v>4.4963300000000004</v>
      </c>
      <c r="T125">
        <f>Table4277[[#This Row],[CFNM]]/Table4277[[#This Row],[CAREA]]</f>
        <v>5.5296366031141284E-2</v>
      </c>
      <c r="U125">
        <v>2.16533</v>
      </c>
      <c r="V125">
        <f>-(Table5278[[#This Row],[time]]-2)*2</f>
        <v>-0.33065999999999995</v>
      </c>
      <c r="W125">
        <v>83.561700000000002</v>
      </c>
      <c r="X125">
        <v>11.5472</v>
      </c>
      <c r="Y125">
        <f>Table5278[[#This Row],[CFNM]]/Table5278[[#This Row],[CAREA]]</f>
        <v>0.13818771039842415</v>
      </c>
      <c r="Z125">
        <v>2.16533</v>
      </c>
      <c r="AA125">
        <f>-(Table6279[[#This Row],[time]]-2)*2</f>
        <v>-0.33065999999999995</v>
      </c>
      <c r="AB125">
        <v>83.489900000000006</v>
      </c>
      <c r="AC125">
        <v>6.3114600000000003</v>
      </c>
      <c r="AD125">
        <f>Table6279[[#This Row],[CFNM]]/Table6279[[#This Row],[CAREA]]</f>
        <v>7.5595491191150069E-2</v>
      </c>
      <c r="AE125">
        <v>2.16533</v>
      </c>
      <c r="AF125">
        <f>-(Table7286[[#This Row],[time]]-2)*2</f>
        <v>-0.33065999999999995</v>
      </c>
      <c r="AG125">
        <v>80.519099999999995</v>
      </c>
      <c r="AH125">
        <v>23.132899999999999</v>
      </c>
      <c r="AI125">
        <f>Table7286[[#This Row],[CFNM]]/Table7286[[#This Row],[CAREA]]</f>
        <v>0.28729705125864546</v>
      </c>
      <c r="AJ125">
        <v>2.16533</v>
      </c>
      <c r="AK125">
        <f>-(Table818[[#This Row],[time]]-2)*2</f>
        <v>-0.33065999999999995</v>
      </c>
      <c r="AL125">
        <v>82.688100000000006</v>
      </c>
      <c r="AM125">
        <v>16.6751</v>
      </c>
      <c r="AN125">
        <f>Table818[[#This Row],[CFNM]]/Table818[[#This Row],[CAREA]]</f>
        <v>0.20166263343818516</v>
      </c>
    </row>
    <row r="126" spans="1:40" x14ac:dyDescent="0.25">
      <c r="A126">
        <v>2.2246999999999999</v>
      </c>
      <c r="B126">
        <f>-(Table1274[[#This Row],[time]]-2)*2</f>
        <v>-0.4493999999999998</v>
      </c>
      <c r="C126">
        <v>94.174899999999994</v>
      </c>
      <c r="D126">
        <v>14.1584</v>
      </c>
      <c r="E126">
        <f>Table1274[[#This Row],[CFNM]]/Table1274[[#This Row],[CAREA]]</f>
        <v>0.15034154535868902</v>
      </c>
      <c r="F126">
        <v>2.2246999999999999</v>
      </c>
      <c r="G126">
        <f>-(Table2275[[#This Row],[time]]-2)*2</f>
        <v>-0.4493999999999998</v>
      </c>
      <c r="H126">
        <v>89.755899999999997</v>
      </c>
      <c r="I126">
        <v>1.5246</v>
      </c>
      <c r="J126">
        <f>Table2275[[#This Row],[CFNM]]/Table2275[[#This Row],[CAREA]]</f>
        <v>1.6986069996512764E-2</v>
      </c>
      <c r="K126">
        <v>2.2246999999999999</v>
      </c>
      <c r="L126">
        <f>-(Table3276[[#This Row],[time]]-2)*2</f>
        <v>-0.4493999999999998</v>
      </c>
      <c r="M126">
        <v>90.565899999999999</v>
      </c>
      <c r="N126">
        <v>9.0585100000000001</v>
      </c>
      <c r="O126">
        <f>Table3276[[#This Row],[CFNM]]/Table3276[[#This Row],[CAREA]]</f>
        <v>0.10002120003224171</v>
      </c>
      <c r="P126">
        <v>2.2246999999999999</v>
      </c>
      <c r="Q126">
        <f>-(Table4277[[#This Row],[time]]-2)*2</f>
        <v>-0.4493999999999998</v>
      </c>
      <c r="R126">
        <v>79.843100000000007</v>
      </c>
      <c r="S126">
        <v>4.7135499999999997</v>
      </c>
      <c r="T126">
        <f>Table4277[[#This Row],[CFNM]]/Table4277[[#This Row],[CAREA]]</f>
        <v>5.9035157703045085E-2</v>
      </c>
      <c r="U126">
        <v>2.2246999999999999</v>
      </c>
      <c r="V126">
        <f>-(Table5278[[#This Row],[time]]-2)*2</f>
        <v>-0.4493999999999998</v>
      </c>
      <c r="W126">
        <v>84.360799999999998</v>
      </c>
      <c r="X126">
        <v>13.7517</v>
      </c>
      <c r="Y126">
        <f>Table5278[[#This Row],[CFNM]]/Table5278[[#This Row],[CAREA]]</f>
        <v>0.16301054518212249</v>
      </c>
      <c r="Z126">
        <v>2.2246999999999999</v>
      </c>
      <c r="AA126">
        <f>-(Table6279[[#This Row],[time]]-2)*2</f>
        <v>-0.4493999999999998</v>
      </c>
      <c r="AB126">
        <v>82.029799999999994</v>
      </c>
      <c r="AC126">
        <v>4.77583</v>
      </c>
      <c r="AD126">
        <f>Table6279[[#This Row],[CFNM]]/Table6279[[#This Row],[CAREA]]</f>
        <v>5.822067102443259E-2</v>
      </c>
      <c r="AE126">
        <v>2.2246999999999999</v>
      </c>
      <c r="AF126">
        <f>-(Table7286[[#This Row],[time]]-2)*2</f>
        <v>-0.4493999999999998</v>
      </c>
      <c r="AG126">
        <v>80.2577</v>
      </c>
      <c r="AH126">
        <v>25.084</v>
      </c>
      <c r="AI126">
        <f>Table7286[[#This Row],[CFNM]]/Table7286[[#This Row],[CAREA]]</f>
        <v>0.31254322015208508</v>
      </c>
      <c r="AJ126">
        <v>2.2246999999999999</v>
      </c>
      <c r="AK126">
        <f>-(Table818[[#This Row],[time]]-2)*2</f>
        <v>-0.4493999999999998</v>
      </c>
      <c r="AL126">
        <v>82.552199999999999</v>
      </c>
      <c r="AM126">
        <v>15.658899999999999</v>
      </c>
      <c r="AN126">
        <f>Table818[[#This Row],[CFNM]]/Table818[[#This Row],[CAREA]]</f>
        <v>0.18968482971986209</v>
      </c>
    </row>
    <row r="127" spans="1:40" x14ac:dyDescent="0.25">
      <c r="A127">
        <v>2.2668900000000001</v>
      </c>
      <c r="B127">
        <f>-(Table1274[[#This Row],[time]]-2)*2</f>
        <v>-0.53378000000000014</v>
      </c>
      <c r="C127">
        <v>95.912599999999998</v>
      </c>
      <c r="D127">
        <v>16.063500000000001</v>
      </c>
      <c r="E127">
        <f>Table1274[[#This Row],[CFNM]]/Table1274[[#This Row],[CAREA]]</f>
        <v>0.16748060213152394</v>
      </c>
      <c r="F127">
        <v>2.2668900000000001</v>
      </c>
      <c r="G127">
        <f>-(Table2275[[#This Row],[time]]-2)*2</f>
        <v>-0.53378000000000014</v>
      </c>
      <c r="H127">
        <v>88.999799999999993</v>
      </c>
      <c r="I127">
        <v>1.3022199999999999</v>
      </c>
      <c r="J127">
        <f>Table2275[[#This Row],[CFNM]]/Table2275[[#This Row],[CAREA]]</f>
        <v>1.463171827352421E-2</v>
      </c>
      <c r="K127">
        <v>2.2668900000000001</v>
      </c>
      <c r="L127">
        <f>-(Table3276[[#This Row],[time]]-2)*2</f>
        <v>-0.53378000000000014</v>
      </c>
      <c r="M127">
        <v>90.1584</v>
      </c>
      <c r="N127">
        <v>11.096299999999999</v>
      </c>
      <c r="O127">
        <f>Table3276[[#This Row],[CFNM]]/Table3276[[#This Row],[CAREA]]</f>
        <v>0.123075609150118</v>
      </c>
      <c r="P127">
        <v>2.2668900000000001</v>
      </c>
      <c r="Q127">
        <f>-(Table4277[[#This Row],[time]]-2)*2</f>
        <v>-0.53378000000000014</v>
      </c>
      <c r="R127">
        <v>78.709500000000006</v>
      </c>
      <c r="S127">
        <v>4.82402</v>
      </c>
      <c r="T127">
        <f>Table4277[[#This Row],[CFNM]]/Table4277[[#This Row],[CAREA]]</f>
        <v>6.1288916839771564E-2</v>
      </c>
      <c r="U127">
        <v>2.2668900000000001</v>
      </c>
      <c r="V127">
        <f>-(Table5278[[#This Row],[time]]-2)*2</f>
        <v>-0.53378000000000014</v>
      </c>
      <c r="W127">
        <v>84.7059</v>
      </c>
      <c r="X127">
        <v>15.890499999999999</v>
      </c>
      <c r="Y127">
        <f>Table5278[[#This Row],[CFNM]]/Table5278[[#This Row],[CAREA]]</f>
        <v>0.18759614147302608</v>
      </c>
      <c r="Z127">
        <v>2.2668900000000001</v>
      </c>
      <c r="AA127">
        <f>-(Table6279[[#This Row],[time]]-2)*2</f>
        <v>-0.53378000000000014</v>
      </c>
      <c r="AB127">
        <v>81.475499999999997</v>
      </c>
      <c r="AC127">
        <v>3.9538500000000001</v>
      </c>
      <c r="AD127">
        <f>Table6279[[#This Row],[CFNM]]/Table6279[[#This Row],[CAREA]]</f>
        <v>4.8528085129885677E-2</v>
      </c>
      <c r="AE127">
        <v>2.2668900000000001</v>
      </c>
      <c r="AF127">
        <f>-(Table7286[[#This Row],[time]]-2)*2</f>
        <v>-0.53378000000000014</v>
      </c>
      <c r="AG127">
        <v>79.401399999999995</v>
      </c>
      <c r="AH127">
        <v>27.0639</v>
      </c>
      <c r="AI127">
        <f>Table7286[[#This Row],[CFNM]]/Table7286[[#This Row],[CAREA]]</f>
        <v>0.34084915379325809</v>
      </c>
      <c r="AJ127">
        <v>2.2668900000000001</v>
      </c>
      <c r="AK127">
        <f>-(Table818[[#This Row],[time]]-2)*2</f>
        <v>-0.53378000000000014</v>
      </c>
      <c r="AL127">
        <v>82.571299999999994</v>
      </c>
      <c r="AM127">
        <v>14.799899999999999</v>
      </c>
      <c r="AN127">
        <f>Table818[[#This Row],[CFNM]]/Table818[[#This Row],[CAREA]]</f>
        <v>0.17923782234262994</v>
      </c>
    </row>
    <row r="128" spans="1:40" x14ac:dyDescent="0.25">
      <c r="A128">
        <v>2.3262700000000001</v>
      </c>
      <c r="B128">
        <f>-(Table1274[[#This Row],[time]]-2)*2</f>
        <v>-0.65254000000000012</v>
      </c>
      <c r="C128">
        <v>97.935699999999997</v>
      </c>
      <c r="D128">
        <v>18.588000000000001</v>
      </c>
      <c r="E128">
        <f>Table1274[[#This Row],[CFNM]]/Table1274[[#This Row],[CAREA]]</f>
        <v>0.18979800011640291</v>
      </c>
      <c r="F128">
        <v>2.3262700000000001</v>
      </c>
      <c r="G128">
        <f>-(Table2275[[#This Row],[time]]-2)*2</f>
        <v>-0.65254000000000012</v>
      </c>
      <c r="H128">
        <v>87.854900000000001</v>
      </c>
      <c r="I128">
        <v>1.0221499999999999</v>
      </c>
      <c r="J128">
        <f>Table2275[[#This Row],[CFNM]]/Table2275[[#This Row],[CAREA]]</f>
        <v>1.1634524653718802E-2</v>
      </c>
      <c r="K128">
        <v>2.3262700000000001</v>
      </c>
      <c r="L128">
        <f>-(Table3276[[#This Row],[time]]-2)*2</f>
        <v>-0.65254000000000012</v>
      </c>
      <c r="M128">
        <v>89.491699999999994</v>
      </c>
      <c r="N128">
        <v>13.419700000000001</v>
      </c>
      <c r="O128">
        <f>Table3276[[#This Row],[CFNM]]/Table3276[[#This Row],[CAREA]]</f>
        <v>0.1499546885353614</v>
      </c>
      <c r="P128">
        <v>2.3262700000000001</v>
      </c>
      <c r="Q128">
        <f>-(Table4277[[#This Row],[time]]-2)*2</f>
        <v>-0.65254000000000012</v>
      </c>
      <c r="R128">
        <v>78.286799999999999</v>
      </c>
      <c r="S128">
        <v>4.94869</v>
      </c>
      <c r="T128">
        <f>Table4277[[#This Row],[CFNM]]/Table4277[[#This Row],[CAREA]]</f>
        <v>6.3212316763490137E-2</v>
      </c>
      <c r="U128">
        <v>2.3262700000000001</v>
      </c>
      <c r="V128">
        <f>-(Table5278[[#This Row],[time]]-2)*2</f>
        <v>-0.65254000000000012</v>
      </c>
      <c r="W128">
        <v>84.602999999999994</v>
      </c>
      <c r="X128">
        <v>18.427700000000002</v>
      </c>
      <c r="Y128">
        <f>Table5278[[#This Row],[CFNM]]/Table5278[[#This Row],[CAREA]]</f>
        <v>0.21781378910913327</v>
      </c>
      <c r="Z128">
        <v>2.3262700000000001</v>
      </c>
      <c r="AA128">
        <f>-(Table6279[[#This Row],[time]]-2)*2</f>
        <v>-0.65254000000000012</v>
      </c>
      <c r="AB128">
        <v>79.884399999999999</v>
      </c>
      <c r="AC128">
        <v>3.31107</v>
      </c>
      <c r="AD128">
        <f>Table6279[[#This Row],[CFNM]]/Table6279[[#This Row],[CAREA]]</f>
        <v>4.1448267746894259E-2</v>
      </c>
      <c r="AE128">
        <v>2.3262700000000001</v>
      </c>
      <c r="AF128">
        <f>-(Table7286[[#This Row],[time]]-2)*2</f>
        <v>-0.65254000000000012</v>
      </c>
      <c r="AG128">
        <v>78.091499999999996</v>
      </c>
      <c r="AH128">
        <v>29.675599999999999</v>
      </c>
      <c r="AI128">
        <f>Table7286[[#This Row],[CFNM]]/Table7286[[#This Row],[CAREA]]</f>
        <v>0.38001062855752549</v>
      </c>
      <c r="AJ128">
        <v>2.3262700000000001</v>
      </c>
      <c r="AK128">
        <f>-(Table818[[#This Row],[time]]-2)*2</f>
        <v>-0.65254000000000012</v>
      </c>
      <c r="AL128">
        <v>82.346900000000005</v>
      </c>
      <c r="AM128">
        <v>14.0953</v>
      </c>
      <c r="AN128">
        <f>Table818[[#This Row],[CFNM]]/Table818[[#This Row],[CAREA]]</f>
        <v>0.17116977081104448</v>
      </c>
    </row>
    <row r="129" spans="1:40" x14ac:dyDescent="0.25">
      <c r="A129">
        <v>2.3684599999999998</v>
      </c>
      <c r="B129">
        <f>-(Table1274[[#This Row],[time]]-2)*2</f>
        <v>-0.73691999999999958</v>
      </c>
      <c r="C129">
        <v>99.192700000000002</v>
      </c>
      <c r="D129">
        <v>21.026199999999999</v>
      </c>
      <c r="E129">
        <f>Table1274[[#This Row],[CFNM]]/Table1274[[#This Row],[CAREA]]</f>
        <v>0.21197326012902157</v>
      </c>
      <c r="F129">
        <v>2.3684599999999998</v>
      </c>
      <c r="G129">
        <f>-(Table2275[[#This Row],[time]]-2)*2</f>
        <v>-0.73691999999999958</v>
      </c>
      <c r="H129">
        <v>86.356300000000005</v>
      </c>
      <c r="I129">
        <v>0.87992700000000001</v>
      </c>
      <c r="J129">
        <f>Table2275[[#This Row],[CFNM]]/Table2275[[#This Row],[CAREA]]</f>
        <v>1.0189493991752773E-2</v>
      </c>
      <c r="K129">
        <v>2.3684599999999998</v>
      </c>
      <c r="L129">
        <f>-(Table3276[[#This Row],[time]]-2)*2</f>
        <v>-0.73691999999999958</v>
      </c>
      <c r="M129">
        <v>88.746499999999997</v>
      </c>
      <c r="N129">
        <v>15.5594</v>
      </c>
      <c r="O129">
        <f>Table3276[[#This Row],[CFNM]]/Table3276[[#This Row],[CAREA]]</f>
        <v>0.17532409728834378</v>
      </c>
      <c r="P129">
        <v>2.3684599999999998</v>
      </c>
      <c r="Q129">
        <f>-(Table4277[[#This Row],[time]]-2)*2</f>
        <v>-0.73691999999999958</v>
      </c>
      <c r="R129">
        <v>76.851100000000002</v>
      </c>
      <c r="S129">
        <v>5.0676300000000003</v>
      </c>
      <c r="T129">
        <f>Table4277[[#This Row],[CFNM]]/Table4277[[#This Row],[CAREA]]</f>
        <v>6.5940890891607276E-2</v>
      </c>
      <c r="U129">
        <v>2.3684599999999998</v>
      </c>
      <c r="V129">
        <f>-(Table5278[[#This Row],[time]]-2)*2</f>
        <v>-0.73691999999999958</v>
      </c>
      <c r="W129">
        <v>84.444299999999998</v>
      </c>
      <c r="X129">
        <v>20.817599999999999</v>
      </c>
      <c r="Y129">
        <f>Table5278[[#This Row],[CFNM]]/Table5278[[#This Row],[CAREA]]</f>
        <v>0.24652463221318668</v>
      </c>
      <c r="Z129">
        <v>2.3684599999999998</v>
      </c>
      <c r="AA129">
        <f>-(Table6279[[#This Row],[time]]-2)*2</f>
        <v>-0.73691999999999958</v>
      </c>
      <c r="AB129">
        <v>79.111099999999993</v>
      </c>
      <c r="AC129">
        <v>2.9117799999999998</v>
      </c>
      <c r="AD129">
        <f>Table6279[[#This Row],[CFNM]]/Table6279[[#This Row],[CAREA]]</f>
        <v>3.6806213034580482E-2</v>
      </c>
      <c r="AE129">
        <v>2.3684599999999998</v>
      </c>
      <c r="AF129">
        <f>-(Table7286[[#This Row],[time]]-2)*2</f>
        <v>-0.73691999999999958</v>
      </c>
      <c r="AG129">
        <v>76.926199999999994</v>
      </c>
      <c r="AH129">
        <v>32.078000000000003</v>
      </c>
      <c r="AI129">
        <f>Table7286[[#This Row],[CFNM]]/Table7286[[#This Row],[CAREA]]</f>
        <v>0.41699706991896135</v>
      </c>
      <c r="AJ129">
        <v>2.3684599999999998</v>
      </c>
      <c r="AK129">
        <f>-(Table818[[#This Row],[time]]-2)*2</f>
        <v>-0.73691999999999958</v>
      </c>
      <c r="AL129">
        <v>82.482600000000005</v>
      </c>
      <c r="AM129">
        <v>13.480399999999999</v>
      </c>
      <c r="AN129">
        <f>Table818[[#This Row],[CFNM]]/Table818[[#This Row],[CAREA]]</f>
        <v>0.16343325743853854</v>
      </c>
    </row>
    <row r="130" spans="1:40" x14ac:dyDescent="0.25">
      <c r="A130">
        <v>2.4278300000000002</v>
      </c>
      <c r="B130">
        <f>-(Table1274[[#This Row],[time]]-2)*2</f>
        <v>-0.85566000000000031</v>
      </c>
      <c r="C130">
        <v>100.254</v>
      </c>
      <c r="D130">
        <v>24.678999999999998</v>
      </c>
      <c r="E130">
        <f>Table1274[[#This Row],[CFNM]]/Table1274[[#This Row],[CAREA]]</f>
        <v>0.2461647415564466</v>
      </c>
      <c r="F130">
        <v>2.4278300000000002</v>
      </c>
      <c r="G130">
        <f>-(Table2275[[#This Row],[time]]-2)*2</f>
        <v>-0.85566000000000031</v>
      </c>
      <c r="H130">
        <v>85.231800000000007</v>
      </c>
      <c r="I130">
        <v>0.82355299999999998</v>
      </c>
      <c r="J130">
        <f>Table2275[[#This Row],[CFNM]]/Table2275[[#This Row],[CAREA]]</f>
        <v>9.6625085942101414E-3</v>
      </c>
      <c r="K130">
        <v>2.4278300000000002</v>
      </c>
      <c r="L130">
        <f>-(Table3276[[#This Row],[time]]-2)*2</f>
        <v>-0.85566000000000031</v>
      </c>
      <c r="M130">
        <v>87.3643</v>
      </c>
      <c r="N130">
        <v>18.915700000000001</v>
      </c>
      <c r="O130">
        <f>Table3276[[#This Row],[CFNM]]/Table3276[[#This Row],[CAREA]]</f>
        <v>0.21651521273563687</v>
      </c>
      <c r="P130">
        <v>2.4278300000000002</v>
      </c>
      <c r="Q130">
        <f>-(Table4277[[#This Row],[time]]-2)*2</f>
        <v>-0.85566000000000031</v>
      </c>
      <c r="R130">
        <v>75.437299999999993</v>
      </c>
      <c r="S130">
        <v>5.21007</v>
      </c>
      <c r="T130">
        <f>Table4277[[#This Row],[CFNM]]/Table4277[[#This Row],[CAREA]]</f>
        <v>6.90649055573304E-2</v>
      </c>
      <c r="U130">
        <v>2.4278300000000002</v>
      </c>
      <c r="V130">
        <f>-(Table5278[[#This Row],[time]]-2)*2</f>
        <v>-0.85566000000000031</v>
      </c>
      <c r="W130">
        <v>84.548400000000001</v>
      </c>
      <c r="X130">
        <v>24.144100000000002</v>
      </c>
      <c r="Y130">
        <f>Table5278[[#This Row],[CFNM]]/Table5278[[#This Row],[CAREA]]</f>
        <v>0.28556542761305953</v>
      </c>
      <c r="Z130">
        <v>2.4278300000000002</v>
      </c>
      <c r="AA130">
        <f>-(Table6279[[#This Row],[time]]-2)*2</f>
        <v>-0.85566000000000031</v>
      </c>
      <c r="AB130">
        <v>77.291399999999996</v>
      </c>
      <c r="AC130">
        <v>2.62575</v>
      </c>
      <c r="AD130">
        <f>Table6279[[#This Row],[CFNM]]/Table6279[[#This Row],[CAREA]]</f>
        <v>3.397208486325775E-2</v>
      </c>
      <c r="AE130">
        <v>2.4278300000000002</v>
      </c>
      <c r="AF130">
        <f>-(Table7286[[#This Row],[time]]-2)*2</f>
        <v>-0.85566000000000031</v>
      </c>
      <c r="AG130">
        <v>75.420599999999993</v>
      </c>
      <c r="AH130">
        <v>35.4529</v>
      </c>
      <c r="AI130">
        <f>Table7286[[#This Row],[CFNM]]/Table7286[[#This Row],[CAREA]]</f>
        <v>0.47006918534193581</v>
      </c>
      <c r="AJ130">
        <v>2.4278300000000002</v>
      </c>
      <c r="AK130">
        <f>-(Table818[[#This Row],[time]]-2)*2</f>
        <v>-0.85566000000000031</v>
      </c>
      <c r="AL130">
        <v>82.570099999999996</v>
      </c>
      <c r="AM130">
        <v>12.532999999999999</v>
      </c>
      <c r="AN130">
        <f>Table818[[#This Row],[CFNM]]/Table818[[#This Row],[CAREA]]</f>
        <v>0.15178617925859361</v>
      </c>
    </row>
    <row r="131" spans="1:40" x14ac:dyDescent="0.25">
      <c r="A131">
        <v>2.4542000000000002</v>
      </c>
      <c r="B131">
        <f>-(Table1274[[#This Row],[time]]-2)*2</f>
        <v>-0.90840000000000032</v>
      </c>
      <c r="C131">
        <v>100.855</v>
      </c>
      <c r="D131">
        <v>27.744900000000001</v>
      </c>
      <c r="E131">
        <f>Table1274[[#This Row],[CFNM]]/Table1274[[#This Row],[CAREA]]</f>
        <v>0.27509692132269098</v>
      </c>
      <c r="F131">
        <v>2.4542000000000002</v>
      </c>
      <c r="G131">
        <f>-(Table2275[[#This Row],[time]]-2)*2</f>
        <v>-0.90840000000000032</v>
      </c>
      <c r="H131">
        <v>84.225200000000001</v>
      </c>
      <c r="I131">
        <v>0.75962099999999999</v>
      </c>
      <c r="J131">
        <f>Table2275[[#This Row],[CFNM]]/Table2275[[#This Row],[CAREA]]</f>
        <v>9.0189278268261747E-3</v>
      </c>
      <c r="K131">
        <v>2.4542000000000002</v>
      </c>
      <c r="L131">
        <f>-(Table3276[[#This Row],[time]]-2)*2</f>
        <v>-0.90840000000000032</v>
      </c>
      <c r="M131">
        <v>86.349500000000006</v>
      </c>
      <c r="N131">
        <v>21.860199999999999</v>
      </c>
      <c r="O131">
        <f>Table3276[[#This Row],[CFNM]]/Table3276[[#This Row],[CAREA]]</f>
        <v>0.2531595434831701</v>
      </c>
      <c r="P131">
        <v>2.4542000000000002</v>
      </c>
      <c r="Q131">
        <f>-(Table4277[[#This Row],[time]]-2)*2</f>
        <v>-0.90840000000000032</v>
      </c>
      <c r="R131">
        <v>74.420699999999997</v>
      </c>
      <c r="S131">
        <v>5.2331799999999999</v>
      </c>
      <c r="T131">
        <f>Table4277[[#This Row],[CFNM]]/Table4277[[#This Row],[CAREA]]</f>
        <v>7.0318876334138219E-2</v>
      </c>
      <c r="U131">
        <v>2.4542000000000002</v>
      </c>
      <c r="V131">
        <f>-(Table5278[[#This Row],[time]]-2)*2</f>
        <v>-0.90840000000000032</v>
      </c>
      <c r="W131">
        <v>84.1584</v>
      </c>
      <c r="X131">
        <v>26.733599999999999</v>
      </c>
      <c r="Y131">
        <f>Table5278[[#This Row],[CFNM]]/Table5278[[#This Row],[CAREA]]</f>
        <v>0.3176581303827069</v>
      </c>
      <c r="Z131">
        <v>2.4542000000000002</v>
      </c>
      <c r="AA131">
        <f>-(Table6279[[#This Row],[time]]-2)*2</f>
        <v>-0.90840000000000032</v>
      </c>
      <c r="AB131">
        <v>75.642499999999998</v>
      </c>
      <c r="AC131">
        <v>2.4251499999999999</v>
      </c>
      <c r="AD131">
        <f>Table6279[[#This Row],[CFNM]]/Table6279[[#This Row],[CAREA]]</f>
        <v>3.2060680173183066E-2</v>
      </c>
      <c r="AE131">
        <v>2.4542000000000002</v>
      </c>
      <c r="AF131">
        <f>-(Table7286[[#This Row],[time]]-2)*2</f>
        <v>-0.90840000000000032</v>
      </c>
      <c r="AG131">
        <v>74.377300000000005</v>
      </c>
      <c r="AH131">
        <v>37.946399999999997</v>
      </c>
      <c r="AI131">
        <f>Table7286[[#This Row],[CFNM]]/Table7286[[#This Row],[CAREA]]</f>
        <v>0.51018792023910509</v>
      </c>
      <c r="AJ131">
        <v>2.4542000000000002</v>
      </c>
      <c r="AK131">
        <f>-(Table818[[#This Row],[time]]-2)*2</f>
        <v>-0.90840000000000032</v>
      </c>
      <c r="AL131">
        <v>82.0381</v>
      </c>
      <c r="AM131">
        <v>11.770799999999999</v>
      </c>
      <c r="AN131">
        <f>Table818[[#This Row],[CFNM]]/Table818[[#This Row],[CAREA]]</f>
        <v>0.14347967590668237</v>
      </c>
    </row>
    <row r="132" spans="1:40" x14ac:dyDescent="0.25">
      <c r="A132">
        <v>2.5061499999999999</v>
      </c>
      <c r="B132">
        <f>-(Table1274[[#This Row],[time]]-2)*2</f>
        <v>-1.0122999999999998</v>
      </c>
      <c r="C132">
        <v>100.999</v>
      </c>
      <c r="D132">
        <v>31.264600000000002</v>
      </c>
      <c r="E132">
        <f>Table1274[[#This Row],[CFNM]]/Table1274[[#This Row],[CAREA]]</f>
        <v>0.30955355993623701</v>
      </c>
      <c r="F132">
        <v>2.5061499999999999</v>
      </c>
      <c r="G132">
        <f>-(Table2275[[#This Row],[time]]-2)*2</f>
        <v>-1.0122999999999998</v>
      </c>
      <c r="H132">
        <v>82.898499999999999</v>
      </c>
      <c r="I132">
        <v>0.57060500000000003</v>
      </c>
      <c r="J132">
        <f>Table2275[[#This Row],[CFNM]]/Table2275[[#This Row],[CAREA]]</f>
        <v>6.8831764145310236E-3</v>
      </c>
      <c r="K132">
        <v>2.5061499999999999</v>
      </c>
      <c r="L132">
        <f>-(Table3276[[#This Row],[time]]-2)*2</f>
        <v>-1.0122999999999998</v>
      </c>
      <c r="M132">
        <v>85.361400000000003</v>
      </c>
      <c r="N132">
        <v>24.977900000000002</v>
      </c>
      <c r="O132">
        <f>Table3276[[#This Row],[CFNM]]/Table3276[[#This Row],[CAREA]]</f>
        <v>0.29261352320838224</v>
      </c>
      <c r="P132">
        <v>2.5061499999999999</v>
      </c>
      <c r="Q132">
        <f>-(Table4277[[#This Row],[time]]-2)*2</f>
        <v>-1.0122999999999998</v>
      </c>
      <c r="R132">
        <v>73.465000000000003</v>
      </c>
      <c r="S132">
        <v>5.2742100000000001</v>
      </c>
      <c r="T132">
        <f>Table4277[[#This Row],[CFNM]]/Table4277[[#This Row],[CAREA]]</f>
        <v>7.1792145919825759E-2</v>
      </c>
      <c r="U132">
        <v>2.5061499999999999</v>
      </c>
      <c r="V132">
        <f>-(Table5278[[#This Row],[time]]-2)*2</f>
        <v>-1.0122999999999998</v>
      </c>
      <c r="W132">
        <v>84.145499999999998</v>
      </c>
      <c r="X132">
        <v>29.371200000000002</v>
      </c>
      <c r="Y132">
        <f>Table5278[[#This Row],[CFNM]]/Table5278[[#This Row],[CAREA]]</f>
        <v>0.34905253400360092</v>
      </c>
      <c r="Z132">
        <v>2.5061499999999999</v>
      </c>
      <c r="AA132">
        <f>-(Table6279[[#This Row],[time]]-2)*2</f>
        <v>-1.0122999999999998</v>
      </c>
      <c r="AB132">
        <v>74.280900000000003</v>
      </c>
      <c r="AC132">
        <v>2.2110799999999999</v>
      </c>
      <c r="AD132">
        <f>Table6279[[#This Row],[CFNM]]/Table6279[[#This Row],[CAREA]]</f>
        <v>2.9766467557609019E-2</v>
      </c>
      <c r="AE132">
        <v>2.5061499999999999</v>
      </c>
      <c r="AF132">
        <f>-(Table7286[[#This Row],[time]]-2)*2</f>
        <v>-1.0122999999999998</v>
      </c>
      <c r="AG132">
        <v>73.356399999999994</v>
      </c>
      <c r="AH132">
        <v>40.503399999999999</v>
      </c>
      <c r="AI132">
        <f>Table7286[[#This Row],[CFNM]]/Table7286[[#This Row],[CAREA]]</f>
        <v>0.55214541607821543</v>
      </c>
      <c r="AJ132">
        <v>2.5061499999999999</v>
      </c>
      <c r="AK132">
        <f>-(Table818[[#This Row],[time]]-2)*2</f>
        <v>-1.0122999999999998</v>
      </c>
      <c r="AL132">
        <v>81.476600000000005</v>
      </c>
      <c r="AM132">
        <v>10.9778</v>
      </c>
      <c r="AN132">
        <f>Table818[[#This Row],[CFNM]]/Table818[[#This Row],[CAREA]]</f>
        <v>0.13473561734289355</v>
      </c>
    </row>
    <row r="133" spans="1:40" x14ac:dyDescent="0.25">
      <c r="A133">
        <v>2.5507599999999999</v>
      </c>
      <c r="B133">
        <f>-(Table1274[[#This Row],[time]]-2)*2</f>
        <v>-1.1015199999999998</v>
      </c>
      <c r="C133">
        <v>101.11199999999999</v>
      </c>
      <c r="D133">
        <v>35.6081</v>
      </c>
      <c r="E133">
        <f>Table1274[[#This Row],[CFNM]]/Table1274[[#This Row],[CAREA]]</f>
        <v>0.35216492602262839</v>
      </c>
      <c r="F133">
        <v>2.5507599999999999</v>
      </c>
      <c r="G133">
        <f>-(Table2275[[#This Row],[time]]-2)*2</f>
        <v>-1.1015199999999998</v>
      </c>
      <c r="H133">
        <v>82.289100000000005</v>
      </c>
      <c r="I133">
        <v>0.429564</v>
      </c>
      <c r="J133">
        <f>Table2275[[#This Row],[CFNM]]/Table2275[[#This Row],[CAREA]]</f>
        <v>5.2201810446341011E-3</v>
      </c>
      <c r="K133">
        <v>2.5507599999999999</v>
      </c>
      <c r="L133">
        <f>-(Table3276[[#This Row],[time]]-2)*2</f>
        <v>-1.1015199999999998</v>
      </c>
      <c r="M133">
        <v>83.966099999999997</v>
      </c>
      <c r="N133">
        <v>29.322900000000001</v>
      </c>
      <c r="O133">
        <f>Table3276[[#This Row],[CFNM]]/Table3276[[#This Row],[CAREA]]</f>
        <v>0.34922307931415181</v>
      </c>
      <c r="P133">
        <v>2.5507599999999999</v>
      </c>
      <c r="Q133">
        <f>-(Table4277[[#This Row],[time]]-2)*2</f>
        <v>-1.1015199999999998</v>
      </c>
      <c r="R133">
        <v>72.433700000000002</v>
      </c>
      <c r="S133">
        <v>5.1449400000000001</v>
      </c>
      <c r="T133">
        <f>Table4277[[#This Row],[CFNM]]/Table4277[[#This Row],[CAREA]]</f>
        <v>7.1029645040913275E-2</v>
      </c>
      <c r="U133">
        <v>2.5507599999999999</v>
      </c>
      <c r="V133">
        <f>-(Table5278[[#This Row],[time]]-2)*2</f>
        <v>-1.1015199999999998</v>
      </c>
      <c r="W133">
        <v>83.731099999999998</v>
      </c>
      <c r="X133">
        <v>32.821800000000003</v>
      </c>
      <c r="Y133">
        <f>Table5278[[#This Row],[CFNM]]/Table5278[[#This Row],[CAREA]]</f>
        <v>0.39199055070338268</v>
      </c>
      <c r="Z133">
        <v>2.5507599999999999</v>
      </c>
      <c r="AA133">
        <f>-(Table6279[[#This Row],[time]]-2)*2</f>
        <v>-1.1015199999999998</v>
      </c>
      <c r="AB133">
        <v>72.928200000000004</v>
      </c>
      <c r="AC133">
        <v>1.8795900000000001</v>
      </c>
      <c r="AD133">
        <f>Table6279[[#This Row],[CFNM]]/Table6279[[#This Row],[CAREA]]</f>
        <v>2.5773157708540727E-2</v>
      </c>
      <c r="AE133">
        <v>2.5507599999999999</v>
      </c>
      <c r="AF133">
        <f>-(Table7286[[#This Row],[time]]-2)*2</f>
        <v>-1.1015199999999998</v>
      </c>
      <c r="AG133">
        <v>72.169399999999996</v>
      </c>
      <c r="AH133">
        <v>44.033099999999997</v>
      </c>
      <c r="AI133">
        <f>Table7286[[#This Row],[CFNM]]/Table7286[[#This Row],[CAREA]]</f>
        <v>0.61013532050980057</v>
      </c>
      <c r="AJ133">
        <v>2.5507599999999999</v>
      </c>
      <c r="AK133">
        <f>-(Table818[[#This Row],[time]]-2)*2</f>
        <v>-1.1015199999999998</v>
      </c>
      <c r="AL133">
        <v>80.772999999999996</v>
      </c>
      <c r="AM133">
        <v>9.9932700000000008</v>
      </c>
      <c r="AN133">
        <f>Table818[[#This Row],[CFNM]]/Table818[[#This Row],[CAREA]]</f>
        <v>0.12372042638010228</v>
      </c>
    </row>
    <row r="134" spans="1:40" x14ac:dyDescent="0.25">
      <c r="A134">
        <v>2.60453</v>
      </c>
      <c r="B134">
        <f>-(Table1274[[#This Row],[time]]-2)*2</f>
        <v>-1.20906</v>
      </c>
      <c r="C134">
        <v>101.117</v>
      </c>
      <c r="D134">
        <v>38.5548</v>
      </c>
      <c r="E134">
        <f>Table1274[[#This Row],[CFNM]]/Table1274[[#This Row],[CAREA]]</f>
        <v>0.38128900184934283</v>
      </c>
      <c r="F134">
        <v>2.60453</v>
      </c>
      <c r="G134">
        <f>-(Table2275[[#This Row],[time]]-2)*2</f>
        <v>-1.20906</v>
      </c>
      <c r="H134">
        <v>81.664900000000003</v>
      </c>
      <c r="I134">
        <v>0.34990399999999999</v>
      </c>
      <c r="J134">
        <f>Table2275[[#This Row],[CFNM]]/Table2275[[#This Row],[CAREA]]</f>
        <v>4.2846314634561481E-3</v>
      </c>
      <c r="K134">
        <v>2.60453</v>
      </c>
      <c r="L134">
        <f>-(Table3276[[#This Row],[time]]-2)*2</f>
        <v>-1.20906</v>
      </c>
      <c r="M134">
        <v>83.184600000000003</v>
      </c>
      <c r="N134">
        <v>32.680900000000001</v>
      </c>
      <c r="O134">
        <f>Table3276[[#This Row],[CFNM]]/Table3276[[#This Row],[CAREA]]</f>
        <v>0.39287199794192673</v>
      </c>
      <c r="P134">
        <v>2.60453</v>
      </c>
      <c r="Q134">
        <f>-(Table4277[[#This Row],[time]]-2)*2</f>
        <v>-1.20906</v>
      </c>
      <c r="R134">
        <v>71.715999999999994</v>
      </c>
      <c r="S134">
        <v>4.8341900000000004</v>
      </c>
      <c r="T134">
        <f>Table4277[[#This Row],[CFNM]]/Table4277[[#This Row],[CAREA]]</f>
        <v>6.7407412571811043E-2</v>
      </c>
      <c r="U134">
        <v>2.60453</v>
      </c>
      <c r="V134">
        <f>-(Table5278[[#This Row],[time]]-2)*2</f>
        <v>-1.20906</v>
      </c>
      <c r="W134">
        <v>83.276899999999998</v>
      </c>
      <c r="X134">
        <v>35.302900000000001</v>
      </c>
      <c r="Y134">
        <f>Table5278[[#This Row],[CFNM]]/Table5278[[#This Row],[CAREA]]</f>
        <v>0.42392187989706631</v>
      </c>
      <c r="Z134">
        <v>2.60453</v>
      </c>
      <c r="AA134">
        <f>-(Table6279[[#This Row],[time]]-2)*2</f>
        <v>-1.20906</v>
      </c>
      <c r="AB134">
        <v>71.150599999999997</v>
      </c>
      <c r="AC134">
        <v>1.64354</v>
      </c>
      <c r="AD134">
        <f>Table6279[[#This Row],[CFNM]]/Table6279[[#This Row],[CAREA]]</f>
        <v>2.3099453834542507E-2</v>
      </c>
      <c r="AE134">
        <v>2.60453</v>
      </c>
      <c r="AF134">
        <f>-(Table7286[[#This Row],[time]]-2)*2</f>
        <v>-1.20906</v>
      </c>
      <c r="AG134">
        <v>71.321899999999999</v>
      </c>
      <c r="AH134">
        <v>46.641100000000002</v>
      </c>
      <c r="AI134">
        <f>Table7286[[#This Row],[CFNM]]/Table7286[[#This Row],[CAREA]]</f>
        <v>0.65395201193462316</v>
      </c>
      <c r="AJ134">
        <v>2.60453</v>
      </c>
      <c r="AK134">
        <f>-(Table818[[#This Row],[time]]-2)*2</f>
        <v>-1.20906</v>
      </c>
      <c r="AL134">
        <v>80.793700000000001</v>
      </c>
      <c r="AM134">
        <v>9.2570700000000006</v>
      </c>
      <c r="AN134">
        <f>Table818[[#This Row],[CFNM]]/Table818[[#This Row],[CAREA]]</f>
        <v>0.11457663159380002</v>
      </c>
    </row>
    <row r="135" spans="1:40" x14ac:dyDescent="0.25">
      <c r="A135">
        <v>2.65273</v>
      </c>
      <c r="B135">
        <f>-(Table1274[[#This Row],[time]]-2)*2</f>
        <v>-1.3054600000000001</v>
      </c>
      <c r="C135">
        <v>100.735</v>
      </c>
      <c r="D135">
        <v>41.959600000000002</v>
      </c>
      <c r="E135">
        <f>Table1274[[#This Row],[CFNM]]/Table1274[[#This Row],[CAREA]]</f>
        <v>0.41653447163349383</v>
      </c>
      <c r="F135">
        <v>2.65273</v>
      </c>
      <c r="G135">
        <f>-(Table2275[[#This Row],[time]]-2)*2</f>
        <v>-1.3054600000000001</v>
      </c>
      <c r="H135">
        <v>79.427499999999995</v>
      </c>
      <c r="I135">
        <v>0.248394</v>
      </c>
      <c r="J135">
        <f>Table2275[[#This Row],[CFNM]]/Table2275[[#This Row],[CAREA]]</f>
        <v>3.1273047747946243E-3</v>
      </c>
      <c r="K135">
        <v>2.65273</v>
      </c>
      <c r="L135">
        <f>-(Table3276[[#This Row],[time]]-2)*2</f>
        <v>-1.3054600000000001</v>
      </c>
      <c r="M135">
        <v>82.268799999999999</v>
      </c>
      <c r="N135">
        <v>36.572699999999998</v>
      </c>
      <c r="O135">
        <f>Table3276[[#This Row],[CFNM]]/Table3276[[#This Row],[CAREA]]</f>
        <v>0.44455127581780696</v>
      </c>
      <c r="P135">
        <v>2.65273</v>
      </c>
      <c r="Q135">
        <f>-(Table4277[[#This Row],[time]]-2)*2</f>
        <v>-1.3054600000000001</v>
      </c>
      <c r="R135">
        <v>68.578000000000003</v>
      </c>
      <c r="S135">
        <v>4.4678399999999998</v>
      </c>
      <c r="T135">
        <f>Table4277[[#This Row],[CFNM]]/Table4277[[#This Row],[CAREA]]</f>
        <v>6.5149756481670498E-2</v>
      </c>
      <c r="U135">
        <v>2.65273</v>
      </c>
      <c r="V135">
        <f>-(Table5278[[#This Row],[time]]-2)*2</f>
        <v>-1.3054600000000001</v>
      </c>
      <c r="W135">
        <v>82.838300000000004</v>
      </c>
      <c r="X135">
        <v>38.238700000000001</v>
      </c>
      <c r="Y135">
        <f>Table5278[[#This Row],[CFNM]]/Table5278[[#This Row],[CAREA]]</f>
        <v>0.46160652741545877</v>
      </c>
      <c r="Z135">
        <v>2.65273</v>
      </c>
      <c r="AA135">
        <f>-(Table6279[[#This Row],[time]]-2)*2</f>
        <v>-1.3054600000000001</v>
      </c>
      <c r="AB135">
        <v>69.541300000000007</v>
      </c>
      <c r="AC135">
        <v>1.3742000000000001</v>
      </c>
      <c r="AD135">
        <f>Table6279[[#This Row],[CFNM]]/Table6279[[#This Row],[CAREA]]</f>
        <v>1.9760919050981214E-2</v>
      </c>
      <c r="AE135">
        <v>2.65273</v>
      </c>
      <c r="AF135">
        <f>-(Table7286[[#This Row],[time]]-2)*2</f>
        <v>-1.3054600000000001</v>
      </c>
      <c r="AG135">
        <v>70.365200000000002</v>
      </c>
      <c r="AH135">
        <v>49.6661</v>
      </c>
      <c r="AI135">
        <f>Table7286[[#This Row],[CFNM]]/Table7286[[#This Row],[CAREA]]</f>
        <v>0.70583328122424149</v>
      </c>
      <c r="AJ135">
        <v>2.65273</v>
      </c>
      <c r="AK135">
        <f>-(Table818[[#This Row],[time]]-2)*2</f>
        <v>-1.3054600000000001</v>
      </c>
      <c r="AL135">
        <v>79.8279</v>
      </c>
      <c r="AM135">
        <v>8.3484800000000003</v>
      </c>
      <c r="AN135">
        <f>Table818[[#This Row],[CFNM]]/Table818[[#This Row],[CAREA]]</f>
        <v>0.10458097983286546</v>
      </c>
    </row>
    <row r="136" spans="1:40" x14ac:dyDescent="0.25">
      <c r="A136">
        <v>2.7006199999999998</v>
      </c>
      <c r="B136">
        <f>-(Table1274[[#This Row],[time]]-2)*2</f>
        <v>-1.4012399999999996</v>
      </c>
      <c r="C136">
        <v>100.286</v>
      </c>
      <c r="D136">
        <v>45.952199999999998</v>
      </c>
      <c r="E136">
        <f>Table1274[[#This Row],[CFNM]]/Table1274[[#This Row],[CAREA]]</f>
        <v>0.4582115150669086</v>
      </c>
      <c r="F136">
        <v>2.7006199999999998</v>
      </c>
      <c r="G136">
        <f>-(Table2275[[#This Row],[time]]-2)*2</f>
        <v>-1.4012399999999996</v>
      </c>
      <c r="H136">
        <v>77.890199999999993</v>
      </c>
      <c r="I136">
        <v>0.11804099999999999</v>
      </c>
      <c r="J136">
        <f>Table2275[[#This Row],[CFNM]]/Table2275[[#This Row],[CAREA]]</f>
        <v>1.5154794826563547E-3</v>
      </c>
      <c r="K136">
        <v>2.7006199999999998</v>
      </c>
      <c r="L136">
        <f>-(Table3276[[#This Row],[time]]-2)*2</f>
        <v>-1.4012399999999996</v>
      </c>
      <c r="M136">
        <v>81.230599999999995</v>
      </c>
      <c r="N136">
        <v>41.080100000000002</v>
      </c>
      <c r="O136">
        <f>Table3276[[#This Row],[CFNM]]/Table3276[[#This Row],[CAREA]]</f>
        <v>0.50572198161776483</v>
      </c>
      <c r="P136">
        <v>2.7006199999999998</v>
      </c>
      <c r="Q136">
        <f>-(Table4277[[#This Row],[time]]-2)*2</f>
        <v>-1.4012399999999996</v>
      </c>
      <c r="R136">
        <v>68.313100000000006</v>
      </c>
      <c r="S136">
        <v>4.0510799999999998</v>
      </c>
      <c r="T136">
        <f>Table4277[[#This Row],[CFNM]]/Table4277[[#This Row],[CAREA]]</f>
        <v>5.9301656636867595E-2</v>
      </c>
      <c r="U136">
        <v>2.7006199999999998</v>
      </c>
      <c r="V136">
        <f>-(Table5278[[#This Row],[time]]-2)*2</f>
        <v>-1.4012399999999996</v>
      </c>
      <c r="W136">
        <v>82.213999999999999</v>
      </c>
      <c r="X136">
        <v>41.706200000000003</v>
      </c>
      <c r="Y136">
        <f>Table5278[[#This Row],[CFNM]]/Table5278[[#This Row],[CAREA]]</f>
        <v>0.50728829639720729</v>
      </c>
      <c r="Z136">
        <v>2.7006199999999998</v>
      </c>
      <c r="AA136">
        <f>-(Table6279[[#This Row],[time]]-2)*2</f>
        <v>-1.4012399999999996</v>
      </c>
      <c r="AB136">
        <v>68.151700000000005</v>
      </c>
      <c r="AC136">
        <v>1.0757699999999999</v>
      </c>
      <c r="AD136">
        <f>Table6279[[#This Row],[CFNM]]/Table6279[[#This Row],[CAREA]]</f>
        <v>1.5784932730951683E-2</v>
      </c>
      <c r="AE136">
        <v>2.7006199999999998</v>
      </c>
      <c r="AF136">
        <f>-(Table7286[[#This Row],[time]]-2)*2</f>
        <v>-1.4012399999999996</v>
      </c>
      <c r="AG136">
        <v>69.225499999999997</v>
      </c>
      <c r="AH136">
        <v>53.2209</v>
      </c>
      <c r="AI136">
        <f>Table7286[[#This Row],[CFNM]]/Table7286[[#This Row],[CAREA]]</f>
        <v>0.76880484792453652</v>
      </c>
      <c r="AJ136">
        <v>2.7006199999999998</v>
      </c>
      <c r="AK136">
        <f>-(Table818[[#This Row],[time]]-2)*2</f>
        <v>-1.4012399999999996</v>
      </c>
      <c r="AL136">
        <v>79.094499999999996</v>
      </c>
      <c r="AM136">
        <v>7.24214</v>
      </c>
      <c r="AN136">
        <f>Table818[[#This Row],[CFNM]]/Table818[[#This Row],[CAREA]]</f>
        <v>9.156313017972173E-2</v>
      </c>
    </row>
    <row r="137" spans="1:40" x14ac:dyDescent="0.25">
      <c r="A137">
        <v>2.75176</v>
      </c>
      <c r="B137">
        <f>-(Table1274[[#This Row],[time]]-2)*2</f>
        <v>-1.50352</v>
      </c>
      <c r="C137">
        <v>99.909000000000006</v>
      </c>
      <c r="D137">
        <v>48.0319</v>
      </c>
      <c r="E137">
        <f>Table1274[[#This Row],[CFNM]]/Table1274[[#This Row],[CAREA]]</f>
        <v>0.48075648840444801</v>
      </c>
      <c r="F137">
        <v>2.75176</v>
      </c>
      <c r="G137">
        <f>-(Table2275[[#This Row],[time]]-2)*2</f>
        <v>-1.50352</v>
      </c>
      <c r="H137">
        <v>77.843400000000003</v>
      </c>
      <c r="I137">
        <v>5.3655399999999999E-2</v>
      </c>
      <c r="J137">
        <f>Table2275[[#This Row],[CFNM]]/Table2275[[#This Row],[CAREA]]</f>
        <v>6.8927359288006428E-4</v>
      </c>
      <c r="K137">
        <v>2.75176</v>
      </c>
      <c r="L137">
        <f>-(Table3276[[#This Row],[time]]-2)*2</f>
        <v>-1.50352</v>
      </c>
      <c r="M137">
        <v>80.724699999999999</v>
      </c>
      <c r="N137">
        <v>43.4193</v>
      </c>
      <c r="O137">
        <f>Table3276[[#This Row],[CFNM]]/Table3276[[#This Row],[CAREA]]</f>
        <v>0.53786883072962799</v>
      </c>
      <c r="P137">
        <v>2.75176</v>
      </c>
      <c r="Q137">
        <f>-(Table4277[[#This Row],[time]]-2)*2</f>
        <v>-1.50352</v>
      </c>
      <c r="R137">
        <v>66.962900000000005</v>
      </c>
      <c r="S137">
        <v>3.84483</v>
      </c>
      <c r="T137">
        <f>Table4277[[#This Row],[CFNM]]/Table4277[[#This Row],[CAREA]]</f>
        <v>5.7417316155662312E-2</v>
      </c>
      <c r="U137">
        <v>2.75176</v>
      </c>
      <c r="V137">
        <f>-(Table5278[[#This Row],[time]]-2)*2</f>
        <v>-1.50352</v>
      </c>
      <c r="W137">
        <v>81.892700000000005</v>
      </c>
      <c r="X137">
        <v>43.523400000000002</v>
      </c>
      <c r="Y137">
        <f>Table5278[[#This Row],[CFNM]]/Table5278[[#This Row],[CAREA]]</f>
        <v>0.53146861686084357</v>
      </c>
      <c r="Z137">
        <v>2.75176</v>
      </c>
      <c r="AA137">
        <f>-(Table6279[[#This Row],[time]]-2)*2</f>
        <v>-1.50352</v>
      </c>
      <c r="AB137">
        <v>67.298299999999998</v>
      </c>
      <c r="AC137">
        <v>0.93276800000000004</v>
      </c>
      <c r="AD137">
        <f>Table6279[[#This Row],[CFNM]]/Table6279[[#This Row],[CAREA]]</f>
        <v>1.3860201520692204E-2</v>
      </c>
      <c r="AE137">
        <v>2.75176</v>
      </c>
      <c r="AF137">
        <f>-(Table7286[[#This Row],[time]]-2)*2</f>
        <v>-1.50352</v>
      </c>
      <c r="AG137">
        <v>68.713099999999997</v>
      </c>
      <c r="AH137">
        <v>55.067599999999999</v>
      </c>
      <c r="AI137">
        <f>Table7286[[#This Row],[CFNM]]/Table7286[[#This Row],[CAREA]]</f>
        <v>0.80141341316284664</v>
      </c>
      <c r="AJ137">
        <v>2.75176</v>
      </c>
      <c r="AK137">
        <f>-(Table818[[#This Row],[time]]-2)*2</f>
        <v>-1.50352</v>
      </c>
      <c r="AL137">
        <v>78.547799999999995</v>
      </c>
      <c r="AM137">
        <v>6.6545800000000002</v>
      </c>
      <c r="AN137">
        <f>Table818[[#This Row],[CFNM]]/Table818[[#This Row],[CAREA]]</f>
        <v>8.4720132199756076E-2</v>
      </c>
    </row>
    <row r="138" spans="1:40" x14ac:dyDescent="0.25">
      <c r="A138">
        <v>2.80444</v>
      </c>
      <c r="B138">
        <f>-(Table1274[[#This Row],[time]]-2)*2</f>
        <v>-1.6088800000000001</v>
      </c>
      <c r="C138">
        <v>99.1173</v>
      </c>
      <c r="D138">
        <v>51.317</v>
      </c>
      <c r="E138">
        <f>Table1274[[#This Row],[CFNM]]/Table1274[[#This Row],[CAREA]]</f>
        <v>0.51774009179023239</v>
      </c>
      <c r="F138">
        <v>2.80444</v>
      </c>
      <c r="G138">
        <f>-(Table2275[[#This Row],[time]]-2)*2</f>
        <v>-1.6088800000000001</v>
      </c>
      <c r="H138">
        <v>74.152799999999999</v>
      </c>
      <c r="I138">
        <v>3.6705900000000001E-3</v>
      </c>
      <c r="J138">
        <f>Table2275[[#This Row],[CFNM]]/Table2275[[#This Row],[CAREA]]</f>
        <v>4.9500356021620222E-5</v>
      </c>
      <c r="K138">
        <v>2.80444</v>
      </c>
      <c r="L138">
        <f>-(Table3276[[#This Row],[time]]-2)*2</f>
        <v>-1.6088800000000001</v>
      </c>
      <c r="M138">
        <v>79.909000000000006</v>
      </c>
      <c r="N138">
        <v>47.101700000000001</v>
      </c>
      <c r="O138">
        <f>Table3276[[#This Row],[CFNM]]/Table3276[[#This Row],[CAREA]]</f>
        <v>0.58944173997922633</v>
      </c>
      <c r="P138">
        <v>2.80444</v>
      </c>
      <c r="Q138">
        <f>-(Table4277[[#This Row],[time]]-2)*2</f>
        <v>-1.6088800000000001</v>
      </c>
      <c r="R138">
        <v>65.668599999999998</v>
      </c>
      <c r="S138">
        <v>3.5135100000000001</v>
      </c>
      <c r="T138">
        <f>Table4277[[#This Row],[CFNM]]/Table4277[[#This Row],[CAREA]]</f>
        <v>5.3503653191936486E-2</v>
      </c>
      <c r="U138">
        <v>2.80444</v>
      </c>
      <c r="V138">
        <f>-(Table5278[[#This Row],[time]]-2)*2</f>
        <v>-1.6088800000000001</v>
      </c>
      <c r="W138">
        <v>81.311999999999998</v>
      </c>
      <c r="X138">
        <v>46.450099999999999</v>
      </c>
      <c r="Y138">
        <f>Table5278[[#This Row],[CFNM]]/Table5278[[#This Row],[CAREA]]</f>
        <v>0.57125762495080679</v>
      </c>
      <c r="Z138">
        <v>2.80444</v>
      </c>
      <c r="AA138">
        <f>-(Table6279[[#This Row],[time]]-2)*2</f>
        <v>-1.6088800000000001</v>
      </c>
      <c r="AB138">
        <v>63.419600000000003</v>
      </c>
      <c r="AC138">
        <v>0.72228800000000004</v>
      </c>
      <c r="AD138">
        <f>Table6279[[#This Row],[CFNM]]/Table6279[[#This Row],[CAREA]]</f>
        <v>1.1389034304852127E-2</v>
      </c>
      <c r="AE138">
        <v>2.80444</v>
      </c>
      <c r="AF138">
        <f>-(Table7286[[#This Row],[time]]-2)*2</f>
        <v>-1.6088800000000001</v>
      </c>
      <c r="AG138">
        <v>67.762699999999995</v>
      </c>
      <c r="AH138">
        <v>58.022500000000001</v>
      </c>
      <c r="AI138">
        <f>Table7286[[#This Row],[CFNM]]/Table7286[[#This Row],[CAREA]]</f>
        <v>0.85626015492298868</v>
      </c>
      <c r="AJ138">
        <v>2.80444</v>
      </c>
      <c r="AK138">
        <f>-(Table818[[#This Row],[time]]-2)*2</f>
        <v>-1.6088800000000001</v>
      </c>
      <c r="AL138">
        <v>77.598100000000002</v>
      </c>
      <c r="AM138">
        <v>5.7633999999999999</v>
      </c>
      <c r="AN138">
        <f>Table818[[#This Row],[CFNM]]/Table818[[#This Row],[CAREA]]</f>
        <v>7.427243708286671E-2</v>
      </c>
    </row>
    <row r="139" spans="1:40" x14ac:dyDescent="0.25">
      <c r="A139">
        <v>2.8583699999999999</v>
      </c>
      <c r="B139">
        <f>-(Table1274[[#This Row],[time]]-2)*2</f>
        <v>-1.7167399999999997</v>
      </c>
      <c r="C139">
        <v>98.034599999999998</v>
      </c>
      <c r="D139">
        <v>55.182499999999997</v>
      </c>
      <c r="E139">
        <f>Table1274[[#This Row],[CFNM]]/Table1274[[#This Row],[CAREA]]</f>
        <v>0.56288800076707612</v>
      </c>
      <c r="F139">
        <v>2.8583699999999999</v>
      </c>
      <c r="G139">
        <f>-(Table2275[[#This Row],[time]]-2)*2</f>
        <v>-1.7167399999999997</v>
      </c>
      <c r="H139">
        <v>70.509900000000002</v>
      </c>
      <c r="I139">
        <v>3.2400699999999998E-3</v>
      </c>
      <c r="J139">
        <f>Table2275[[#This Row],[CFNM]]/Table2275[[#This Row],[CAREA]]</f>
        <v>4.5951986884111304E-5</v>
      </c>
      <c r="K139">
        <v>2.8583699999999999</v>
      </c>
      <c r="L139">
        <f>-(Table3276[[#This Row],[time]]-2)*2</f>
        <v>-1.7167399999999997</v>
      </c>
      <c r="M139">
        <v>79.095500000000001</v>
      </c>
      <c r="N139">
        <v>51.454999999999998</v>
      </c>
      <c r="O139">
        <f>Table3276[[#This Row],[CFNM]]/Table3276[[#This Row],[CAREA]]</f>
        <v>0.65054269838359957</v>
      </c>
      <c r="P139">
        <v>2.8583699999999999</v>
      </c>
      <c r="Q139">
        <f>-(Table4277[[#This Row],[time]]-2)*2</f>
        <v>-1.7167399999999997</v>
      </c>
      <c r="R139">
        <v>65.422799999999995</v>
      </c>
      <c r="S139">
        <v>3.1212499999999999</v>
      </c>
      <c r="T139">
        <f>Table4277[[#This Row],[CFNM]]/Table4277[[#This Row],[CAREA]]</f>
        <v>4.7708902706701639E-2</v>
      </c>
      <c r="U139">
        <v>2.8583699999999999</v>
      </c>
      <c r="V139">
        <f>-(Table5278[[#This Row],[time]]-2)*2</f>
        <v>-1.7167399999999997</v>
      </c>
      <c r="W139">
        <v>80.602999999999994</v>
      </c>
      <c r="X139">
        <v>49.980899999999998</v>
      </c>
      <c r="Y139">
        <f>Table5278[[#This Row],[CFNM]]/Table5278[[#This Row],[CAREA]]</f>
        <v>0.62008734166222101</v>
      </c>
      <c r="Z139">
        <v>2.8583699999999999</v>
      </c>
      <c r="AA139">
        <f>-(Table6279[[#This Row],[time]]-2)*2</f>
        <v>-1.7167399999999997</v>
      </c>
      <c r="AB139">
        <v>62.335000000000001</v>
      </c>
      <c r="AC139">
        <v>0.51163899999999995</v>
      </c>
      <c r="AD139">
        <f>Table6279[[#This Row],[CFNM]]/Table6279[[#This Row],[CAREA]]</f>
        <v>8.2078928370899161E-3</v>
      </c>
      <c r="AE139">
        <v>2.8583699999999999</v>
      </c>
      <c r="AF139">
        <f>-(Table7286[[#This Row],[time]]-2)*2</f>
        <v>-1.7167399999999997</v>
      </c>
      <c r="AG139">
        <v>66.744100000000003</v>
      </c>
      <c r="AH139">
        <v>61.548499999999997</v>
      </c>
      <c r="AI139">
        <f>Table7286[[#This Row],[CFNM]]/Table7286[[#This Row],[CAREA]]</f>
        <v>0.9221564153236016</v>
      </c>
      <c r="AJ139">
        <v>2.8583699999999999</v>
      </c>
      <c r="AK139">
        <f>-(Table818[[#This Row],[time]]-2)*2</f>
        <v>-1.7167399999999997</v>
      </c>
      <c r="AL139">
        <v>74.751000000000005</v>
      </c>
      <c r="AM139">
        <v>4.7192299999999996</v>
      </c>
      <c r="AN139">
        <f>Table818[[#This Row],[CFNM]]/Table818[[#This Row],[CAREA]]</f>
        <v>6.3132667121510069E-2</v>
      </c>
    </row>
    <row r="140" spans="1:40" x14ac:dyDescent="0.25">
      <c r="A140">
        <v>2.9134199999999999</v>
      </c>
      <c r="B140">
        <f>-(Table1274[[#This Row],[time]]-2)*2</f>
        <v>-1.8268399999999998</v>
      </c>
      <c r="C140">
        <v>97.443399999999997</v>
      </c>
      <c r="D140">
        <v>57.104999999999997</v>
      </c>
      <c r="E140">
        <f>Table1274[[#This Row],[CFNM]]/Table1274[[#This Row],[CAREA]]</f>
        <v>0.58603250707590249</v>
      </c>
      <c r="F140">
        <v>2.9134199999999999</v>
      </c>
      <c r="G140">
        <f>-(Table2275[[#This Row],[time]]-2)*2</f>
        <v>-1.8268399999999998</v>
      </c>
      <c r="H140">
        <v>70.024900000000002</v>
      </c>
      <c r="I140">
        <v>3.1427899999999999E-3</v>
      </c>
      <c r="J140">
        <f>Table2275[[#This Row],[CFNM]]/Table2275[[#This Row],[CAREA]]</f>
        <v>4.4881035174630738E-5</v>
      </c>
      <c r="K140">
        <v>2.9134199999999999</v>
      </c>
      <c r="L140">
        <f>-(Table3276[[#This Row],[time]]-2)*2</f>
        <v>-1.8268399999999998</v>
      </c>
      <c r="M140">
        <v>78.725999999999999</v>
      </c>
      <c r="N140">
        <v>53.621400000000001</v>
      </c>
      <c r="O140">
        <f>Table3276[[#This Row],[CFNM]]/Table3276[[#This Row],[CAREA]]</f>
        <v>0.68111424434113255</v>
      </c>
      <c r="P140">
        <v>2.9134199999999999</v>
      </c>
      <c r="Q140">
        <f>-(Table4277[[#This Row],[time]]-2)*2</f>
        <v>-1.8268399999999998</v>
      </c>
      <c r="R140">
        <v>64.081000000000003</v>
      </c>
      <c r="S140">
        <v>2.94367</v>
      </c>
      <c r="T140">
        <f>Table4277[[#This Row],[CFNM]]/Table4277[[#This Row],[CAREA]]</f>
        <v>4.5936705107598196E-2</v>
      </c>
      <c r="U140">
        <v>2.9134199999999999</v>
      </c>
      <c r="V140">
        <f>-(Table5278[[#This Row],[time]]-2)*2</f>
        <v>-1.8268399999999998</v>
      </c>
      <c r="W140">
        <v>80.214799999999997</v>
      </c>
      <c r="X140">
        <v>51.777099999999997</v>
      </c>
      <c r="Y140">
        <f>Table5278[[#This Row],[CFNM]]/Table5278[[#This Row],[CAREA]]</f>
        <v>0.64548063449637727</v>
      </c>
      <c r="Z140">
        <v>2.9134199999999999</v>
      </c>
      <c r="AA140">
        <f>-(Table6279[[#This Row],[time]]-2)*2</f>
        <v>-1.8268399999999998</v>
      </c>
      <c r="AB140">
        <v>61.174900000000001</v>
      </c>
      <c r="AC140">
        <v>0.41369099999999998</v>
      </c>
      <c r="AD140">
        <f>Table6279[[#This Row],[CFNM]]/Table6279[[#This Row],[CAREA]]</f>
        <v>6.7624303431636171E-3</v>
      </c>
      <c r="AE140">
        <v>2.9134199999999999</v>
      </c>
      <c r="AF140">
        <f>-(Table7286[[#This Row],[time]]-2)*2</f>
        <v>-1.8268399999999998</v>
      </c>
      <c r="AG140">
        <v>66.307199999999995</v>
      </c>
      <c r="AH140">
        <v>63.290999999999997</v>
      </c>
      <c r="AI140">
        <f>Table7286[[#This Row],[CFNM]]/Table7286[[#This Row],[CAREA]]</f>
        <v>0.95451172723324162</v>
      </c>
      <c r="AJ140">
        <v>2.9134199999999999</v>
      </c>
      <c r="AK140">
        <f>-(Table818[[#This Row],[time]]-2)*2</f>
        <v>-1.8268399999999998</v>
      </c>
      <c r="AL140">
        <v>74.098699999999994</v>
      </c>
      <c r="AM140">
        <v>4.1921900000000001</v>
      </c>
      <c r="AN140">
        <f>Table818[[#This Row],[CFNM]]/Table818[[#This Row],[CAREA]]</f>
        <v>5.657575638978822E-2</v>
      </c>
    </row>
    <row r="141" spans="1:40" x14ac:dyDescent="0.25">
      <c r="A141">
        <v>2.9619599999999999</v>
      </c>
      <c r="B141">
        <f>-(Table1274[[#This Row],[time]]-2)*2</f>
        <v>-1.9239199999999999</v>
      </c>
      <c r="C141">
        <v>96.0077</v>
      </c>
      <c r="D141">
        <v>61.913400000000003</v>
      </c>
      <c r="E141">
        <f>Table1274[[#This Row],[CFNM]]/Table1274[[#This Row],[CAREA]]</f>
        <v>0.64487952528807591</v>
      </c>
      <c r="F141">
        <v>2.9619599999999999</v>
      </c>
      <c r="G141">
        <f>-(Table2275[[#This Row],[time]]-2)*2</f>
        <v>-1.9239199999999999</v>
      </c>
      <c r="H141">
        <v>66.723100000000002</v>
      </c>
      <c r="I141">
        <v>2.9202799999999999E-3</v>
      </c>
      <c r="J141">
        <f>Table2275[[#This Row],[CFNM]]/Table2275[[#This Row],[CAREA]]</f>
        <v>4.3767151106588271E-5</v>
      </c>
      <c r="K141">
        <v>2.9619599999999999</v>
      </c>
      <c r="L141">
        <f>-(Table3276[[#This Row],[time]]-2)*2</f>
        <v>-1.9239199999999999</v>
      </c>
      <c r="M141">
        <v>77.794200000000004</v>
      </c>
      <c r="N141">
        <v>58.984299999999998</v>
      </c>
      <c r="O141">
        <f>Table3276[[#This Row],[CFNM]]/Table3276[[#This Row],[CAREA]]</f>
        <v>0.75820948091245866</v>
      </c>
      <c r="P141">
        <v>2.9619599999999999</v>
      </c>
      <c r="Q141">
        <f>-(Table4277[[#This Row],[time]]-2)*2</f>
        <v>-1.9239199999999999</v>
      </c>
      <c r="R141">
        <v>62.991500000000002</v>
      </c>
      <c r="S141">
        <v>2.58975</v>
      </c>
      <c r="T141">
        <f>Table4277[[#This Row],[CFNM]]/Table4277[[#This Row],[CAREA]]</f>
        <v>4.1112689807354962E-2</v>
      </c>
      <c r="U141">
        <v>2.9619599999999999</v>
      </c>
      <c r="V141">
        <f>-(Table5278[[#This Row],[time]]-2)*2</f>
        <v>-1.9239199999999999</v>
      </c>
      <c r="W141">
        <v>79.503299999999996</v>
      </c>
      <c r="X141">
        <v>56.248800000000003</v>
      </c>
      <c r="Y141">
        <f>Table5278[[#This Row],[CFNM]]/Table5278[[#This Row],[CAREA]]</f>
        <v>0.70750270743478583</v>
      </c>
      <c r="Z141">
        <v>2.9619599999999999</v>
      </c>
      <c r="AA141">
        <f>-(Table6279[[#This Row],[time]]-2)*2</f>
        <v>-1.9239199999999999</v>
      </c>
      <c r="AB141">
        <v>58.442999999999998</v>
      </c>
      <c r="AC141">
        <v>0.18936</v>
      </c>
      <c r="AD141">
        <f>Table6279[[#This Row],[CFNM]]/Table6279[[#This Row],[CAREA]]</f>
        <v>3.2400800780247423E-3</v>
      </c>
      <c r="AE141">
        <v>2.9619599999999999</v>
      </c>
      <c r="AF141">
        <f>-(Table7286[[#This Row],[time]]-2)*2</f>
        <v>-1.9239199999999999</v>
      </c>
      <c r="AG141">
        <v>65.281000000000006</v>
      </c>
      <c r="AH141">
        <v>67.688900000000004</v>
      </c>
      <c r="AI141">
        <f>Table7286[[#This Row],[CFNM]]/Table7286[[#This Row],[CAREA]]</f>
        <v>1.0368851580092215</v>
      </c>
      <c r="AJ141">
        <v>2.9619599999999999</v>
      </c>
      <c r="AK141">
        <f>-(Table818[[#This Row],[time]]-2)*2</f>
        <v>-1.9239199999999999</v>
      </c>
      <c r="AL141">
        <v>71.787700000000001</v>
      </c>
      <c r="AM141">
        <v>3.0506199999999999</v>
      </c>
      <c r="AN141">
        <f>Table818[[#This Row],[CFNM]]/Table818[[#This Row],[CAREA]]</f>
        <v>4.2495023520742407E-2</v>
      </c>
    </row>
    <row r="142" spans="1:40" x14ac:dyDescent="0.25">
      <c r="A142">
        <v>3</v>
      </c>
      <c r="B142">
        <f>-(Table1274[[#This Row],[time]]-2)*2</f>
        <v>-2</v>
      </c>
      <c r="C142">
        <v>95.7667</v>
      </c>
      <c r="D142">
        <v>62.7149</v>
      </c>
      <c r="E142">
        <f>Table1274[[#This Row],[CFNM]]/Table1274[[#This Row],[CAREA]]</f>
        <v>0.65487168295451337</v>
      </c>
      <c r="F142">
        <v>3</v>
      </c>
      <c r="G142">
        <f>-(Table2275[[#This Row],[time]]-2)*2</f>
        <v>-2</v>
      </c>
      <c r="H142">
        <v>66.227500000000006</v>
      </c>
      <c r="I142">
        <v>2.8887100000000001E-3</v>
      </c>
      <c r="J142">
        <f>Table2275[[#This Row],[CFNM]]/Table2275[[#This Row],[CAREA]]</f>
        <v>4.3617983466082815E-5</v>
      </c>
      <c r="K142">
        <v>3</v>
      </c>
      <c r="L142">
        <f>-(Table3276[[#This Row],[time]]-2)*2</f>
        <v>-2</v>
      </c>
      <c r="M142">
        <v>77.6404</v>
      </c>
      <c r="N142">
        <v>59.880200000000002</v>
      </c>
      <c r="O142">
        <f>Table3276[[#This Row],[CFNM]]/Table3276[[#This Row],[CAREA]]</f>
        <v>0.77125053451553571</v>
      </c>
      <c r="P142">
        <v>3</v>
      </c>
      <c r="Q142">
        <f>-(Table4277[[#This Row],[time]]-2)*2</f>
        <v>-2</v>
      </c>
      <c r="R142">
        <v>62.948700000000002</v>
      </c>
      <c r="S142">
        <v>2.5408599999999999</v>
      </c>
      <c r="T142">
        <f>Table4277[[#This Row],[CFNM]]/Table4277[[#This Row],[CAREA]]</f>
        <v>4.0363978922519445E-2</v>
      </c>
      <c r="U142">
        <v>3</v>
      </c>
      <c r="V142">
        <f>-(Table5278[[#This Row],[time]]-2)*2</f>
        <v>-2</v>
      </c>
      <c r="W142">
        <v>79.323700000000002</v>
      </c>
      <c r="X142">
        <v>56.9908</v>
      </c>
      <c r="Y142">
        <f>Table5278[[#This Row],[CFNM]]/Table5278[[#This Row],[CAREA]]</f>
        <v>0.71845866998135488</v>
      </c>
      <c r="Z142">
        <v>3</v>
      </c>
      <c r="AA142">
        <f>-(Table6279[[#This Row],[time]]-2)*2</f>
        <v>-2</v>
      </c>
      <c r="AB142">
        <v>58.395600000000002</v>
      </c>
      <c r="AC142">
        <v>0.15581</v>
      </c>
      <c r="AD142">
        <f>Table6279[[#This Row],[CFNM]]/Table6279[[#This Row],[CAREA]]</f>
        <v>2.6681804793511838E-3</v>
      </c>
      <c r="AE142">
        <v>3</v>
      </c>
      <c r="AF142">
        <f>-(Table7286[[#This Row],[time]]-2)*2</f>
        <v>-2</v>
      </c>
      <c r="AG142">
        <v>65.126800000000003</v>
      </c>
      <c r="AH142">
        <v>68.434700000000007</v>
      </c>
      <c r="AI142">
        <f>Table7286[[#This Row],[CFNM]]/Table7286[[#This Row],[CAREA]]</f>
        <v>1.0507916863718163</v>
      </c>
      <c r="AJ142">
        <v>3</v>
      </c>
      <c r="AK142">
        <f>-(Table818[[#This Row],[time]]-2)*2</f>
        <v>-2</v>
      </c>
      <c r="AL142">
        <v>71.148399999999995</v>
      </c>
      <c r="AM142">
        <v>2.9029400000000001</v>
      </c>
      <c r="AN142">
        <f>Table818[[#This Row],[CFNM]]/Table818[[#This Row],[CAREA]]</f>
        <v>4.080119862147287E-2</v>
      </c>
    </row>
    <row r="144" spans="1:40" x14ac:dyDescent="0.25">
      <c r="A144" t="s">
        <v>41</v>
      </c>
      <c r="E144" t="s">
        <v>1</v>
      </c>
    </row>
    <row r="145" spans="1:40" x14ac:dyDescent="0.25">
      <c r="A145" t="s">
        <v>42</v>
      </c>
      <c r="E145" t="s">
        <v>2</v>
      </c>
      <c r="F145" t="s">
        <v>3</v>
      </c>
    </row>
    <row r="147" spans="1:40" x14ac:dyDescent="0.25">
      <c r="A147" t="s">
        <v>5</v>
      </c>
      <c r="F147" t="s">
        <v>6</v>
      </c>
      <c r="K147" t="s">
        <v>7</v>
      </c>
      <c r="P147" t="s">
        <v>19</v>
      </c>
      <c r="U147" t="s">
        <v>8</v>
      </c>
      <c r="Z147" t="s">
        <v>9</v>
      </c>
      <c r="AE147" t="s">
        <v>10</v>
      </c>
      <c r="AJ147" t="s">
        <v>11</v>
      </c>
    </row>
    <row r="148" spans="1:40" x14ac:dyDescent="0.25">
      <c r="A148" t="s">
        <v>12</v>
      </c>
      <c r="B148" t="s">
        <v>13</v>
      </c>
      <c r="C148" t="s">
        <v>17</v>
      </c>
      <c r="D148" t="s">
        <v>15</v>
      </c>
      <c r="E148" t="s">
        <v>16</v>
      </c>
      <c r="F148" t="s">
        <v>12</v>
      </c>
      <c r="G148" t="s">
        <v>13</v>
      </c>
      <c r="H148" t="s">
        <v>17</v>
      </c>
      <c r="I148" t="s">
        <v>15</v>
      </c>
      <c r="J148" t="s">
        <v>16</v>
      </c>
      <c r="K148" t="s">
        <v>12</v>
      </c>
      <c r="L148" t="s">
        <v>13</v>
      </c>
      <c r="M148" t="s">
        <v>17</v>
      </c>
      <c r="N148" t="s">
        <v>15</v>
      </c>
      <c r="O148" t="s">
        <v>16</v>
      </c>
      <c r="P148" t="s">
        <v>12</v>
      </c>
      <c r="Q148" t="s">
        <v>13</v>
      </c>
      <c r="R148" t="s">
        <v>17</v>
      </c>
      <c r="S148" t="s">
        <v>15</v>
      </c>
      <c r="T148" t="s">
        <v>16</v>
      </c>
      <c r="U148" t="s">
        <v>12</v>
      </c>
      <c r="V148" t="s">
        <v>13</v>
      </c>
      <c r="W148" t="s">
        <v>17</v>
      </c>
      <c r="X148" t="s">
        <v>15</v>
      </c>
      <c r="Y148" t="s">
        <v>16</v>
      </c>
      <c r="Z148" t="s">
        <v>12</v>
      </c>
      <c r="AA148" t="s">
        <v>13</v>
      </c>
      <c r="AB148" t="s">
        <v>17</v>
      </c>
      <c r="AC148" t="s">
        <v>15</v>
      </c>
      <c r="AD148" t="s">
        <v>16</v>
      </c>
      <c r="AE148" t="s">
        <v>12</v>
      </c>
      <c r="AF148" t="s">
        <v>13</v>
      </c>
      <c r="AG148" t="s">
        <v>17</v>
      </c>
      <c r="AH148" t="s">
        <v>15</v>
      </c>
      <c r="AI148" t="s">
        <v>16</v>
      </c>
      <c r="AJ148" t="s">
        <v>12</v>
      </c>
      <c r="AK148" t="s">
        <v>13</v>
      </c>
      <c r="AL148" t="s">
        <v>17</v>
      </c>
      <c r="AM148" t="s">
        <v>15</v>
      </c>
      <c r="AN148" t="s">
        <v>16</v>
      </c>
    </row>
    <row r="149" spans="1:40" x14ac:dyDescent="0.25">
      <c r="A149">
        <v>2</v>
      </c>
      <c r="B149">
        <f>(Table110280[[#This Row],[time]]-2)*2</f>
        <v>0</v>
      </c>
      <c r="C149">
        <v>80.560199999999995</v>
      </c>
      <c r="D149">
        <v>3.9786999999999999</v>
      </c>
      <c r="E149" s="2">
        <f>Table110280[[#This Row],[CFNM]]/Table110280[[#This Row],[CAREA]]</f>
        <v>4.9387911152157023E-2</v>
      </c>
      <c r="F149">
        <v>2</v>
      </c>
      <c r="G149">
        <f>(Table211281[[#This Row],[time]]-2)*2</f>
        <v>0</v>
      </c>
      <c r="H149">
        <v>87.831100000000006</v>
      </c>
      <c r="I149">
        <v>3.8477199999999998E-3</v>
      </c>
      <c r="J149" s="2">
        <f>Table211281[[#This Row],[CFNM]]/Table211281[[#This Row],[CAREA]]</f>
        <v>4.3808172731526752E-5</v>
      </c>
      <c r="K149">
        <v>2</v>
      </c>
      <c r="L149">
        <f>(Table312282[[#This Row],[time]]-2)*2</f>
        <v>0</v>
      </c>
      <c r="M149">
        <v>85.165199999999999</v>
      </c>
      <c r="N149">
        <v>3.6992800000000001E-3</v>
      </c>
      <c r="O149">
        <f>Table312282[[#This Row],[CFNM]]/Table312282[[#This Row],[CAREA]]</f>
        <v>4.3436521020322855E-5</v>
      </c>
      <c r="P149">
        <v>2</v>
      </c>
      <c r="Q149">
        <f>(Table413283[[#This Row],[time]]-2)*2</f>
        <v>0</v>
      </c>
      <c r="R149">
        <v>79.099999999999994</v>
      </c>
      <c r="S149">
        <v>4.5241600000000002E-3</v>
      </c>
      <c r="T149">
        <f>Table413283[[#This Row],[CFNM]]/Table413283[[#This Row],[CAREA]]</f>
        <v>5.7195448798988631E-5</v>
      </c>
      <c r="U149">
        <v>2</v>
      </c>
      <c r="V149">
        <f>(Table514284[[#This Row],[time]]-2)*2</f>
        <v>0</v>
      </c>
      <c r="W149">
        <v>83.228300000000004</v>
      </c>
      <c r="X149">
        <v>3.5028600000000001</v>
      </c>
      <c r="Y149">
        <f>Table514284[[#This Row],[CFNM]]/Table514284[[#This Row],[CAREA]]</f>
        <v>4.2087366917262517E-2</v>
      </c>
      <c r="Z149">
        <v>2</v>
      </c>
      <c r="AA149">
        <f>(Table615285[[#This Row],[time]]-2)*2</f>
        <v>0</v>
      </c>
      <c r="AB149">
        <v>84.265100000000004</v>
      </c>
      <c r="AC149">
        <v>6.2692600000000001</v>
      </c>
      <c r="AD149">
        <f>Table615285[[#This Row],[CFNM]]/Table615285[[#This Row],[CAREA]]</f>
        <v>7.4399247137901692E-2</v>
      </c>
      <c r="AE149">
        <v>2</v>
      </c>
      <c r="AF149">
        <f>(Table716288[[#This Row],[time]]-2)*2</f>
        <v>0</v>
      </c>
      <c r="AG149">
        <v>78.459599999999995</v>
      </c>
      <c r="AH149">
        <v>14.705299999999999</v>
      </c>
      <c r="AI149">
        <f>Table716288[[#This Row],[CFNM]]/Table716288[[#This Row],[CAREA]]</f>
        <v>0.18742512069906042</v>
      </c>
      <c r="AJ149">
        <v>2</v>
      </c>
      <c r="AK149">
        <f>(Table81719[[#This Row],[time]]-2)*2</f>
        <v>0</v>
      </c>
      <c r="AL149">
        <v>83.005899999999997</v>
      </c>
      <c r="AM149">
        <v>14.6465</v>
      </c>
      <c r="AN149">
        <f>Table81719[[#This Row],[CFNM]]/Table81719[[#This Row],[CAREA]]</f>
        <v>0.17645131249706347</v>
      </c>
    </row>
    <row r="150" spans="1:40" x14ac:dyDescent="0.25">
      <c r="A150">
        <v>2.0512600000000001</v>
      </c>
      <c r="B150">
        <f>(Table110280[[#This Row],[time]]-2)*2</f>
        <v>0.10252000000000017</v>
      </c>
      <c r="C150">
        <v>88.778999999999996</v>
      </c>
      <c r="D150">
        <v>9.6479099999999995</v>
      </c>
      <c r="E150">
        <f>Table110280[[#This Row],[CFNM]]/Table110280[[#This Row],[CAREA]]</f>
        <v>0.10867333491028283</v>
      </c>
      <c r="F150">
        <v>2.0512600000000001</v>
      </c>
      <c r="G150">
        <f>(Table211281[[#This Row],[time]]-2)*2</f>
        <v>0.10252000000000017</v>
      </c>
      <c r="H150">
        <v>96.201300000000003</v>
      </c>
      <c r="I150">
        <v>3.88863</v>
      </c>
      <c r="J150">
        <f>Table211281[[#This Row],[CFNM]]/Table211281[[#This Row],[CAREA]]</f>
        <v>4.0421803031767761E-2</v>
      </c>
      <c r="K150">
        <v>2.0512600000000001</v>
      </c>
      <c r="L150">
        <f>(Table312282[[#This Row],[time]]-2)*2</f>
        <v>0.10252000000000017</v>
      </c>
      <c r="M150">
        <v>86.738900000000001</v>
      </c>
      <c r="N150">
        <v>2.59531</v>
      </c>
      <c r="O150">
        <f>Table312282[[#This Row],[CFNM]]/Table312282[[#This Row],[CAREA]]</f>
        <v>2.9920946657151521E-2</v>
      </c>
      <c r="P150">
        <v>2.0512600000000001</v>
      </c>
      <c r="Q150">
        <f>(Table413283[[#This Row],[time]]-2)*2</f>
        <v>0.10252000000000017</v>
      </c>
      <c r="R150">
        <v>87.936700000000002</v>
      </c>
      <c r="S150">
        <v>8.0667799999999996</v>
      </c>
      <c r="T150">
        <f>Table413283[[#This Row],[CFNM]]/Table413283[[#This Row],[CAREA]]</f>
        <v>9.1733940436700481E-2</v>
      </c>
      <c r="U150">
        <v>2.0512600000000001</v>
      </c>
      <c r="V150">
        <f>(Table514284[[#This Row],[time]]-2)*2</f>
        <v>0.10252000000000017</v>
      </c>
      <c r="W150">
        <v>81.172700000000006</v>
      </c>
      <c r="X150">
        <v>7.0114999999999998</v>
      </c>
      <c r="Y150">
        <f>Table514284[[#This Row],[CFNM]]/Table514284[[#This Row],[CAREA]]</f>
        <v>8.6377562899841928E-2</v>
      </c>
      <c r="Z150">
        <v>2.0512600000000001</v>
      </c>
      <c r="AA150">
        <f>(Table615285[[#This Row],[time]]-2)*2</f>
        <v>0.10252000000000017</v>
      </c>
      <c r="AB150">
        <v>89.614099999999993</v>
      </c>
      <c r="AC150">
        <v>19.003699999999998</v>
      </c>
      <c r="AD150">
        <f>Table615285[[#This Row],[CFNM]]/Table615285[[#This Row],[CAREA]]</f>
        <v>0.21206149478709266</v>
      </c>
      <c r="AE150">
        <v>2.0512600000000001</v>
      </c>
      <c r="AF150">
        <f>(Table716288[[#This Row],[time]]-2)*2</f>
        <v>0.10252000000000017</v>
      </c>
      <c r="AG150">
        <v>78.351500000000001</v>
      </c>
      <c r="AH150">
        <v>19.404800000000002</v>
      </c>
      <c r="AI150">
        <f>Table716288[[#This Row],[CFNM]]/Table716288[[#This Row],[CAREA]]</f>
        <v>0.24766341422946594</v>
      </c>
      <c r="AJ150">
        <v>2.0512600000000001</v>
      </c>
      <c r="AK150">
        <f>(Table81719[[#This Row],[time]]-2)*2</f>
        <v>0.10252000000000017</v>
      </c>
      <c r="AL150">
        <v>83.392200000000003</v>
      </c>
      <c r="AM150">
        <v>21.232099999999999</v>
      </c>
      <c r="AN150">
        <f>Table81719[[#This Row],[CFNM]]/Table81719[[#This Row],[CAREA]]</f>
        <v>0.25460534678303243</v>
      </c>
    </row>
    <row r="151" spans="1:40" x14ac:dyDescent="0.25">
      <c r="A151">
        <v>2.1153300000000002</v>
      </c>
      <c r="B151">
        <f>(Table110280[[#This Row],[time]]-2)*2</f>
        <v>0.23066000000000031</v>
      </c>
      <c r="C151">
        <v>86.465699999999998</v>
      </c>
      <c r="D151">
        <v>9.8890100000000007</v>
      </c>
      <c r="E151">
        <f>Table110280[[#This Row],[CFNM]]/Table110280[[#This Row],[CAREA]]</f>
        <v>0.11436916603925025</v>
      </c>
      <c r="F151">
        <v>2.1153300000000002</v>
      </c>
      <c r="G151">
        <f>(Table211281[[#This Row],[time]]-2)*2</f>
        <v>0.23066000000000031</v>
      </c>
      <c r="H151">
        <v>97.383799999999994</v>
      </c>
      <c r="I151">
        <v>5.3710199999999997</v>
      </c>
      <c r="J151">
        <f>Table211281[[#This Row],[CFNM]]/Table211281[[#This Row],[CAREA]]</f>
        <v>5.5153115815977607E-2</v>
      </c>
      <c r="K151">
        <v>2.1153300000000002</v>
      </c>
      <c r="L151">
        <f>(Table312282[[#This Row],[time]]-2)*2</f>
        <v>0.23066000000000031</v>
      </c>
      <c r="M151">
        <v>85.143900000000002</v>
      </c>
      <c r="N151">
        <v>2.7648700000000002</v>
      </c>
      <c r="O151">
        <f>Table312282[[#This Row],[CFNM]]/Table312282[[#This Row],[CAREA]]</f>
        <v>3.2472907630493791E-2</v>
      </c>
      <c r="P151">
        <v>2.1153300000000002</v>
      </c>
      <c r="Q151">
        <f>(Table413283[[#This Row],[time]]-2)*2</f>
        <v>0.23066000000000031</v>
      </c>
      <c r="R151">
        <v>88.998800000000003</v>
      </c>
      <c r="S151">
        <v>9.6808399999999999</v>
      </c>
      <c r="T151">
        <f>Table413283[[#This Row],[CFNM]]/Table413283[[#This Row],[CAREA]]</f>
        <v>0.1087749497746037</v>
      </c>
      <c r="U151">
        <v>2.1153300000000002</v>
      </c>
      <c r="V151">
        <f>(Table514284[[#This Row],[time]]-2)*2</f>
        <v>0.23066000000000031</v>
      </c>
      <c r="W151">
        <v>79.354299999999995</v>
      </c>
      <c r="X151">
        <v>6.2889600000000003</v>
      </c>
      <c r="Y151">
        <f>Table514284[[#This Row],[CFNM]]/Table514284[[#This Row],[CAREA]]</f>
        <v>7.9251659960455842E-2</v>
      </c>
      <c r="Z151">
        <v>2.1153300000000002</v>
      </c>
      <c r="AA151">
        <f>(Table615285[[#This Row],[time]]-2)*2</f>
        <v>0.23066000000000031</v>
      </c>
      <c r="AB151">
        <v>92.395099999999999</v>
      </c>
      <c r="AC151">
        <v>21.450600000000001</v>
      </c>
      <c r="AD151">
        <f>Table615285[[#This Row],[CFNM]]/Table615285[[#This Row],[CAREA]]</f>
        <v>0.23216166225265195</v>
      </c>
      <c r="AE151">
        <v>2.1153300000000002</v>
      </c>
      <c r="AF151">
        <f>(Table716288[[#This Row],[time]]-2)*2</f>
        <v>0.23066000000000031</v>
      </c>
      <c r="AG151">
        <v>77.714200000000005</v>
      </c>
      <c r="AH151">
        <v>19.230399999999999</v>
      </c>
      <c r="AI151">
        <f>Table716288[[#This Row],[CFNM]]/Table716288[[#This Row],[CAREA]]</f>
        <v>0.2474502729230951</v>
      </c>
      <c r="AJ151">
        <v>2.1153300000000002</v>
      </c>
      <c r="AK151">
        <f>(Table81719[[#This Row],[time]]-2)*2</f>
        <v>0.23066000000000031</v>
      </c>
      <c r="AL151">
        <v>83.421499999999995</v>
      </c>
      <c r="AM151">
        <v>23.077400000000001</v>
      </c>
      <c r="AN151">
        <f>Table81719[[#This Row],[CFNM]]/Table81719[[#This Row],[CAREA]]</f>
        <v>0.27663611898611273</v>
      </c>
    </row>
    <row r="152" spans="1:40" x14ac:dyDescent="0.25">
      <c r="A152">
        <v>2.16533</v>
      </c>
      <c r="B152">
        <f>(Table110280[[#This Row],[time]]-2)*2</f>
        <v>0.33065999999999995</v>
      </c>
      <c r="C152">
        <v>85.035399999999996</v>
      </c>
      <c r="D152">
        <v>10.0101</v>
      </c>
      <c r="E152">
        <f>Table110280[[#This Row],[CFNM]]/Table110280[[#This Row],[CAREA]]</f>
        <v>0.11771685674436765</v>
      </c>
      <c r="F152">
        <v>2.16533</v>
      </c>
      <c r="G152">
        <f>(Table211281[[#This Row],[time]]-2)*2</f>
        <v>0.33065999999999995</v>
      </c>
      <c r="H152">
        <v>99.246499999999997</v>
      </c>
      <c r="I152">
        <v>7.7132699999999996</v>
      </c>
      <c r="J152">
        <f>Table211281[[#This Row],[CFNM]]/Table211281[[#This Row],[CAREA]]</f>
        <v>7.7718307446610208E-2</v>
      </c>
      <c r="K152">
        <v>2.16533</v>
      </c>
      <c r="L152">
        <f>(Table312282[[#This Row],[time]]-2)*2</f>
        <v>0.33065999999999995</v>
      </c>
      <c r="M152">
        <v>83.443100000000001</v>
      </c>
      <c r="N152">
        <v>2.87527</v>
      </c>
      <c r="O152">
        <f>Table312282[[#This Row],[CFNM]]/Table312282[[#This Row],[CAREA]]</f>
        <v>3.4457852117191233E-2</v>
      </c>
      <c r="P152">
        <v>2.16533</v>
      </c>
      <c r="Q152">
        <f>(Table413283[[#This Row],[time]]-2)*2</f>
        <v>0.33065999999999995</v>
      </c>
      <c r="R152">
        <v>89.849500000000006</v>
      </c>
      <c r="S152">
        <v>12.0817</v>
      </c>
      <c r="T152">
        <f>Table413283[[#This Row],[CFNM]]/Table413283[[#This Row],[CAREA]]</f>
        <v>0.13446596809108563</v>
      </c>
      <c r="U152">
        <v>2.16533</v>
      </c>
      <c r="V152">
        <f>(Table514284[[#This Row],[time]]-2)*2</f>
        <v>0.33065999999999995</v>
      </c>
      <c r="W152">
        <v>76.7072</v>
      </c>
      <c r="X152">
        <v>6.2227199999999998</v>
      </c>
      <c r="Y152">
        <f>Table514284[[#This Row],[CFNM]]/Table514284[[#This Row],[CAREA]]</f>
        <v>8.1123023653581414E-2</v>
      </c>
      <c r="Z152">
        <v>2.16533</v>
      </c>
      <c r="AA152">
        <f>(Table615285[[#This Row],[time]]-2)*2</f>
        <v>0.33065999999999995</v>
      </c>
      <c r="AB152">
        <v>92.382800000000003</v>
      </c>
      <c r="AC152">
        <v>25.559799999999999</v>
      </c>
      <c r="AD152">
        <f>Table615285[[#This Row],[CFNM]]/Table615285[[#This Row],[CAREA]]</f>
        <v>0.27667271396840104</v>
      </c>
      <c r="AE152">
        <v>2.16533</v>
      </c>
      <c r="AF152">
        <f>(Table716288[[#This Row],[time]]-2)*2</f>
        <v>0.33065999999999995</v>
      </c>
      <c r="AG152">
        <v>77.603999999999999</v>
      </c>
      <c r="AH152">
        <v>19.003599999999999</v>
      </c>
      <c r="AI152">
        <f>Table716288[[#This Row],[CFNM]]/Table716288[[#This Row],[CAREA]]</f>
        <v>0.24487912994175556</v>
      </c>
      <c r="AJ152">
        <v>2.16533</v>
      </c>
      <c r="AK152">
        <f>(Table81719[[#This Row],[time]]-2)*2</f>
        <v>0.33065999999999995</v>
      </c>
      <c r="AL152">
        <v>83.0334</v>
      </c>
      <c r="AM152">
        <v>25.488800000000001</v>
      </c>
      <c r="AN152">
        <f>Table81719[[#This Row],[CFNM]]/Table81719[[#This Row],[CAREA]]</f>
        <v>0.30697044803657325</v>
      </c>
    </row>
    <row r="153" spans="1:40" x14ac:dyDescent="0.25">
      <c r="A153">
        <v>2.2246999999999999</v>
      </c>
      <c r="B153">
        <f>(Table110280[[#This Row],[time]]-2)*2</f>
        <v>0.4493999999999998</v>
      </c>
      <c r="C153">
        <v>83.516499999999994</v>
      </c>
      <c r="D153">
        <v>10.069100000000001</v>
      </c>
      <c r="E153">
        <f>Table110280[[#This Row],[CFNM]]/Table110280[[#This Row],[CAREA]]</f>
        <v>0.12056419988864478</v>
      </c>
      <c r="F153">
        <v>2.2246999999999999</v>
      </c>
      <c r="G153">
        <f>(Table211281[[#This Row],[time]]-2)*2</f>
        <v>0.4493999999999998</v>
      </c>
      <c r="H153">
        <v>100.81699999999999</v>
      </c>
      <c r="I153">
        <v>9.59206</v>
      </c>
      <c r="J153">
        <f>Table211281[[#This Row],[CFNM]]/Table211281[[#This Row],[CAREA]]</f>
        <v>9.5143279407242834E-2</v>
      </c>
      <c r="K153">
        <v>2.2246999999999999</v>
      </c>
      <c r="L153">
        <f>(Table312282[[#This Row],[time]]-2)*2</f>
        <v>0.4493999999999998</v>
      </c>
      <c r="M153">
        <v>83.013099999999994</v>
      </c>
      <c r="N153">
        <v>2.9463400000000002</v>
      </c>
      <c r="O153">
        <f>Table312282[[#This Row],[CFNM]]/Table312282[[#This Row],[CAREA]]</f>
        <v>3.5492470465504848E-2</v>
      </c>
      <c r="P153">
        <v>2.2246999999999999</v>
      </c>
      <c r="Q153">
        <f>(Table413283[[#This Row],[time]]-2)*2</f>
        <v>0.4493999999999998</v>
      </c>
      <c r="R153">
        <v>89.89</v>
      </c>
      <c r="S153">
        <v>13.902699999999999</v>
      </c>
      <c r="T153">
        <f>Table413283[[#This Row],[CFNM]]/Table413283[[#This Row],[CAREA]]</f>
        <v>0.15466347758371343</v>
      </c>
      <c r="U153">
        <v>2.2246999999999999</v>
      </c>
      <c r="V153">
        <f>(Table514284[[#This Row],[time]]-2)*2</f>
        <v>0.4493999999999998</v>
      </c>
      <c r="W153">
        <v>75.580699999999993</v>
      </c>
      <c r="X153">
        <v>6.29732</v>
      </c>
      <c r="Y153">
        <f>Table514284[[#This Row],[CFNM]]/Table514284[[#This Row],[CAREA]]</f>
        <v>8.3319154228526607E-2</v>
      </c>
      <c r="Z153">
        <v>2.2246999999999999</v>
      </c>
      <c r="AA153">
        <f>(Table615285[[#This Row],[time]]-2)*2</f>
        <v>0.4493999999999998</v>
      </c>
      <c r="AB153">
        <v>93.204400000000007</v>
      </c>
      <c r="AC153">
        <v>28.627300000000002</v>
      </c>
      <c r="AD153">
        <f>Table615285[[#This Row],[CFNM]]/Table615285[[#This Row],[CAREA]]</f>
        <v>0.30714537081940335</v>
      </c>
      <c r="AE153">
        <v>2.2246999999999999</v>
      </c>
      <c r="AF153">
        <f>(Table716288[[#This Row],[time]]-2)*2</f>
        <v>0.4493999999999998</v>
      </c>
      <c r="AG153">
        <v>77.607799999999997</v>
      </c>
      <c r="AH153">
        <v>18.834700000000002</v>
      </c>
      <c r="AI153">
        <f>Table716288[[#This Row],[CFNM]]/Table716288[[#This Row],[CAREA]]</f>
        <v>0.24269081200600973</v>
      </c>
      <c r="AJ153">
        <v>2.2246999999999999</v>
      </c>
      <c r="AK153">
        <f>(Table81719[[#This Row],[time]]-2)*2</f>
        <v>0.4493999999999998</v>
      </c>
      <c r="AL153">
        <v>82.452600000000004</v>
      </c>
      <c r="AM153">
        <v>27.331</v>
      </c>
      <c r="AN153">
        <f>Table81719[[#This Row],[CFNM]]/Table81719[[#This Row],[CAREA]]</f>
        <v>0.33147529610952231</v>
      </c>
    </row>
    <row r="154" spans="1:40" x14ac:dyDescent="0.25">
      <c r="A154">
        <v>2.2668900000000001</v>
      </c>
      <c r="B154">
        <f>(Table110280[[#This Row],[time]]-2)*2</f>
        <v>0.53378000000000014</v>
      </c>
      <c r="C154">
        <v>79.184100000000001</v>
      </c>
      <c r="D154">
        <v>10.1287</v>
      </c>
      <c r="E154">
        <f>Table110280[[#This Row],[CFNM]]/Table110280[[#This Row],[CAREA]]</f>
        <v>0.12791330582781138</v>
      </c>
      <c r="F154">
        <v>2.2668900000000001</v>
      </c>
      <c r="G154">
        <f>(Table211281[[#This Row],[time]]-2)*2</f>
        <v>0.53378000000000014</v>
      </c>
      <c r="H154">
        <v>104.556</v>
      </c>
      <c r="I154">
        <v>12.9358</v>
      </c>
      <c r="J154">
        <f>Table211281[[#This Row],[CFNM]]/Table211281[[#This Row],[CAREA]]</f>
        <v>0.12372125942078886</v>
      </c>
      <c r="K154">
        <v>2.2668900000000001</v>
      </c>
      <c r="L154">
        <f>(Table312282[[#This Row],[time]]-2)*2</f>
        <v>0.53378000000000014</v>
      </c>
      <c r="M154">
        <v>82.3018</v>
      </c>
      <c r="N154">
        <v>3.1312000000000002</v>
      </c>
      <c r="O154">
        <f>Table312282[[#This Row],[CFNM]]/Table312282[[#This Row],[CAREA]]</f>
        <v>3.8045340442128851E-2</v>
      </c>
      <c r="P154">
        <v>2.2668900000000001</v>
      </c>
      <c r="Q154">
        <f>(Table413283[[#This Row],[time]]-2)*2</f>
        <v>0.53378000000000014</v>
      </c>
      <c r="R154">
        <v>89.998900000000006</v>
      </c>
      <c r="S154">
        <v>16.869399999999999</v>
      </c>
      <c r="T154">
        <f>Table413283[[#This Row],[CFNM]]/Table413283[[#This Row],[CAREA]]</f>
        <v>0.1874400687119509</v>
      </c>
      <c r="U154">
        <v>2.2668900000000001</v>
      </c>
      <c r="V154">
        <f>(Table514284[[#This Row],[time]]-2)*2</f>
        <v>0.53378000000000014</v>
      </c>
      <c r="W154">
        <v>72.9375</v>
      </c>
      <c r="X154">
        <v>6.24533</v>
      </c>
      <c r="Y154">
        <f>Table514284[[#This Row],[CFNM]]/Table514284[[#This Row],[CAREA]]</f>
        <v>8.5625775492716369E-2</v>
      </c>
      <c r="Z154">
        <v>2.2668900000000001</v>
      </c>
      <c r="AA154">
        <f>(Table615285[[#This Row],[time]]-2)*2</f>
        <v>0.53378000000000014</v>
      </c>
      <c r="AB154">
        <v>94.648499999999999</v>
      </c>
      <c r="AC154">
        <v>33.457299999999996</v>
      </c>
      <c r="AD154">
        <f>Table615285[[#This Row],[CFNM]]/Table615285[[#This Row],[CAREA]]</f>
        <v>0.35349001833098248</v>
      </c>
      <c r="AE154">
        <v>2.2668900000000001</v>
      </c>
      <c r="AF154">
        <f>(Table716288[[#This Row],[time]]-2)*2</f>
        <v>0.53378000000000014</v>
      </c>
      <c r="AG154">
        <v>77.318399999999997</v>
      </c>
      <c r="AH154">
        <v>18.569900000000001</v>
      </c>
      <c r="AI154">
        <f>Table716288[[#This Row],[CFNM]]/Table716288[[#This Row],[CAREA]]</f>
        <v>0.24017439574538532</v>
      </c>
      <c r="AJ154">
        <v>2.2668900000000001</v>
      </c>
      <c r="AK154">
        <f>(Table81719[[#This Row],[time]]-2)*2</f>
        <v>0.53378000000000014</v>
      </c>
      <c r="AL154">
        <v>81.842299999999994</v>
      </c>
      <c r="AM154">
        <v>30.514500000000002</v>
      </c>
      <c r="AN154">
        <f>Table81719[[#This Row],[CFNM]]/Table81719[[#This Row],[CAREA]]</f>
        <v>0.37284509355186746</v>
      </c>
    </row>
    <row r="155" spans="1:40" x14ac:dyDescent="0.25">
      <c r="A155">
        <v>2.3262700000000001</v>
      </c>
      <c r="B155">
        <f>(Table110280[[#This Row],[time]]-2)*2</f>
        <v>0.65254000000000012</v>
      </c>
      <c r="C155">
        <v>77.2376</v>
      </c>
      <c r="D155">
        <v>10.011100000000001</v>
      </c>
      <c r="E155">
        <f>Table110280[[#This Row],[CFNM]]/Table110280[[#This Row],[CAREA]]</f>
        <v>0.12961433291557481</v>
      </c>
      <c r="F155">
        <v>2.3262700000000001</v>
      </c>
      <c r="G155">
        <f>(Table211281[[#This Row],[time]]-2)*2</f>
        <v>0.65254000000000012</v>
      </c>
      <c r="H155">
        <v>106.575</v>
      </c>
      <c r="I155">
        <v>15.5839</v>
      </c>
      <c r="J155">
        <f>Table211281[[#This Row],[CFNM]]/Table211281[[#This Row],[CAREA]]</f>
        <v>0.14622472437250761</v>
      </c>
      <c r="K155">
        <v>2.3262700000000001</v>
      </c>
      <c r="L155">
        <f>(Table312282[[#This Row],[time]]-2)*2</f>
        <v>0.65254000000000012</v>
      </c>
      <c r="M155">
        <v>81.361699999999999</v>
      </c>
      <c r="N155">
        <v>3.2727400000000002</v>
      </c>
      <c r="O155">
        <f>Table312282[[#This Row],[CFNM]]/Table312282[[#This Row],[CAREA]]</f>
        <v>4.0224577411730585E-2</v>
      </c>
      <c r="P155">
        <v>2.3262700000000001</v>
      </c>
      <c r="Q155">
        <f>(Table413283[[#This Row],[time]]-2)*2</f>
        <v>0.65254000000000012</v>
      </c>
      <c r="R155">
        <v>89.937799999999996</v>
      </c>
      <c r="S155">
        <v>19.299099999999999</v>
      </c>
      <c r="T155">
        <f>Table413283[[#This Row],[CFNM]]/Table413283[[#This Row],[CAREA]]</f>
        <v>0.21458274496374161</v>
      </c>
      <c r="U155">
        <v>2.3262700000000001</v>
      </c>
      <c r="V155">
        <f>(Table514284[[#This Row],[time]]-2)*2</f>
        <v>0.65254000000000012</v>
      </c>
      <c r="W155">
        <v>71.867400000000004</v>
      </c>
      <c r="X155">
        <v>6.0812799999999996</v>
      </c>
      <c r="Y155">
        <f>Table514284[[#This Row],[CFNM]]/Table514284[[#This Row],[CAREA]]</f>
        <v>8.4618060483612867E-2</v>
      </c>
      <c r="Z155">
        <v>2.3262700000000001</v>
      </c>
      <c r="AA155">
        <f>(Table615285[[#This Row],[time]]-2)*2</f>
        <v>0.65254000000000012</v>
      </c>
      <c r="AB155">
        <v>94.599599999999995</v>
      </c>
      <c r="AC155">
        <v>37.159300000000002</v>
      </c>
      <c r="AD155">
        <f>Table615285[[#This Row],[CFNM]]/Table615285[[#This Row],[CAREA]]</f>
        <v>0.39280610066004512</v>
      </c>
      <c r="AE155">
        <v>2.3262700000000001</v>
      </c>
      <c r="AF155">
        <f>(Table716288[[#This Row],[time]]-2)*2</f>
        <v>0.65254000000000012</v>
      </c>
      <c r="AG155">
        <v>76.819999999999993</v>
      </c>
      <c r="AH155">
        <v>18.3202</v>
      </c>
      <c r="AI155">
        <f>Table716288[[#This Row],[CFNM]]/Table716288[[#This Row],[CAREA]]</f>
        <v>0.23848216610257747</v>
      </c>
      <c r="AJ155">
        <v>2.3262700000000001</v>
      </c>
      <c r="AK155">
        <f>(Table81719[[#This Row],[time]]-2)*2</f>
        <v>0.65254000000000012</v>
      </c>
      <c r="AL155">
        <v>81.381399999999999</v>
      </c>
      <c r="AM155">
        <v>33.113799999999998</v>
      </c>
      <c r="AN155">
        <f>Table81719[[#This Row],[CFNM]]/Table81719[[#This Row],[CAREA]]</f>
        <v>0.40689641613439925</v>
      </c>
    </row>
    <row r="156" spans="1:40" x14ac:dyDescent="0.25">
      <c r="A156">
        <v>2.3684599999999998</v>
      </c>
      <c r="B156">
        <f>(Table110280[[#This Row],[time]]-2)*2</f>
        <v>0.73691999999999958</v>
      </c>
      <c r="C156">
        <v>73.613399999999999</v>
      </c>
      <c r="D156">
        <v>9.8029299999999999</v>
      </c>
      <c r="E156">
        <f>Table110280[[#This Row],[CFNM]]/Table110280[[#This Row],[CAREA]]</f>
        <v>0.13316773848239588</v>
      </c>
      <c r="F156">
        <v>2.3684599999999998</v>
      </c>
      <c r="G156">
        <f>(Table211281[[#This Row],[time]]-2)*2</f>
        <v>0.73691999999999958</v>
      </c>
      <c r="H156">
        <v>106.42100000000001</v>
      </c>
      <c r="I156">
        <v>18.412199999999999</v>
      </c>
      <c r="J156">
        <f>Table211281[[#This Row],[CFNM]]/Table211281[[#This Row],[CAREA]]</f>
        <v>0.17301284520912225</v>
      </c>
      <c r="K156">
        <v>2.3684599999999998</v>
      </c>
      <c r="L156">
        <f>(Table312282[[#This Row],[time]]-2)*2</f>
        <v>0.73691999999999958</v>
      </c>
      <c r="M156">
        <v>80.698700000000002</v>
      </c>
      <c r="N156">
        <v>3.3764400000000001</v>
      </c>
      <c r="O156">
        <f>Table312282[[#This Row],[CFNM]]/Table312282[[#This Row],[CAREA]]</f>
        <v>4.1840079208215253E-2</v>
      </c>
      <c r="P156">
        <v>2.3684599999999998</v>
      </c>
      <c r="Q156">
        <f>(Table413283[[#This Row],[time]]-2)*2</f>
        <v>0.73691999999999958</v>
      </c>
      <c r="R156">
        <v>89.522800000000004</v>
      </c>
      <c r="S156">
        <v>22.1008</v>
      </c>
      <c r="T156">
        <f>Table413283[[#This Row],[CFNM]]/Table413283[[#This Row],[CAREA]]</f>
        <v>0.24687342218965447</v>
      </c>
      <c r="U156">
        <v>2.3684599999999998</v>
      </c>
      <c r="V156">
        <f>(Table514284[[#This Row],[time]]-2)*2</f>
        <v>0.73691999999999958</v>
      </c>
      <c r="W156">
        <v>70.927599999999998</v>
      </c>
      <c r="X156">
        <v>5.7994199999999996</v>
      </c>
      <c r="Y156">
        <f>Table514284[[#This Row],[CFNM]]/Table514284[[#This Row],[CAREA]]</f>
        <v>8.1765349454937145E-2</v>
      </c>
      <c r="Z156">
        <v>2.3684599999999998</v>
      </c>
      <c r="AA156">
        <f>(Table615285[[#This Row],[time]]-2)*2</f>
        <v>0.73691999999999958</v>
      </c>
      <c r="AB156">
        <v>94.262799999999999</v>
      </c>
      <c r="AC156">
        <v>41.175699999999999</v>
      </c>
      <c r="AD156">
        <f>Table615285[[#This Row],[CFNM]]/Table615285[[#This Row],[CAREA]]</f>
        <v>0.43681812973940937</v>
      </c>
      <c r="AE156">
        <v>2.3684599999999998</v>
      </c>
      <c r="AF156">
        <f>(Table716288[[#This Row],[time]]-2)*2</f>
        <v>0.73691999999999958</v>
      </c>
      <c r="AG156">
        <v>76.864099999999993</v>
      </c>
      <c r="AH156">
        <v>18.0486</v>
      </c>
      <c r="AI156">
        <f>Table716288[[#This Row],[CFNM]]/Table716288[[#This Row],[CAREA]]</f>
        <v>0.23481183023023755</v>
      </c>
      <c r="AJ156">
        <v>2.3684599999999998</v>
      </c>
      <c r="AK156">
        <f>(Table81719[[#This Row],[time]]-2)*2</f>
        <v>0.73691999999999958</v>
      </c>
      <c r="AL156">
        <v>80.852400000000003</v>
      </c>
      <c r="AM156">
        <v>36.161999999999999</v>
      </c>
      <c r="AN156">
        <f>Table81719[[#This Row],[CFNM]]/Table81719[[#This Row],[CAREA]]</f>
        <v>0.44725945055434346</v>
      </c>
    </row>
    <row r="157" spans="1:40" x14ac:dyDescent="0.25">
      <c r="A157">
        <v>2.4278300000000002</v>
      </c>
      <c r="B157">
        <f>(Table110280[[#This Row],[time]]-2)*2</f>
        <v>0.85566000000000031</v>
      </c>
      <c r="C157">
        <v>70.027100000000004</v>
      </c>
      <c r="D157">
        <v>9.6215200000000003</v>
      </c>
      <c r="E157">
        <f>Table110280[[#This Row],[CFNM]]/Table110280[[#This Row],[CAREA]]</f>
        <v>0.13739709341097947</v>
      </c>
      <c r="F157">
        <v>2.4278300000000002</v>
      </c>
      <c r="G157">
        <f>(Table211281[[#This Row],[time]]-2)*2</f>
        <v>0.85566000000000031</v>
      </c>
      <c r="H157">
        <v>104.36499999999999</v>
      </c>
      <c r="I157">
        <v>21.229700000000001</v>
      </c>
      <c r="J157">
        <f>Table211281[[#This Row],[CFNM]]/Table211281[[#This Row],[CAREA]]</f>
        <v>0.20341781248502852</v>
      </c>
      <c r="K157">
        <v>2.4278300000000002</v>
      </c>
      <c r="L157">
        <f>(Table312282[[#This Row],[time]]-2)*2</f>
        <v>0.85566000000000031</v>
      </c>
      <c r="M157">
        <v>79.885099999999994</v>
      </c>
      <c r="N157">
        <v>3.4186100000000001</v>
      </c>
      <c r="O157">
        <f>Table312282[[#This Row],[CFNM]]/Table312282[[#This Row],[CAREA]]</f>
        <v>4.2794088008902789E-2</v>
      </c>
      <c r="P157">
        <v>2.4278300000000002</v>
      </c>
      <c r="Q157">
        <f>(Table413283[[#This Row],[time]]-2)*2</f>
        <v>0.85566000000000031</v>
      </c>
      <c r="R157">
        <v>89.206599999999995</v>
      </c>
      <c r="S157">
        <v>24.840299999999999</v>
      </c>
      <c r="T157">
        <f>Table413283[[#This Row],[CFNM]]/Table413283[[#This Row],[CAREA]]</f>
        <v>0.27845809614983646</v>
      </c>
      <c r="U157">
        <v>2.4278300000000002</v>
      </c>
      <c r="V157">
        <f>(Table514284[[#This Row],[time]]-2)*2</f>
        <v>0.85566000000000031</v>
      </c>
      <c r="W157">
        <v>69.980099999999993</v>
      </c>
      <c r="X157">
        <v>5.4529899999999998</v>
      </c>
      <c r="Y157">
        <f>Table514284[[#This Row],[CFNM]]/Table514284[[#This Row],[CAREA]]</f>
        <v>7.7922009256917335E-2</v>
      </c>
      <c r="Z157">
        <v>2.4278300000000002</v>
      </c>
      <c r="AA157">
        <f>(Table615285[[#This Row],[time]]-2)*2</f>
        <v>0.85566000000000031</v>
      </c>
      <c r="AB157">
        <v>94.488200000000006</v>
      </c>
      <c r="AC157">
        <v>44.869500000000002</v>
      </c>
      <c r="AD157">
        <f>Table615285[[#This Row],[CFNM]]/Table615285[[#This Row],[CAREA]]</f>
        <v>0.47486881959863769</v>
      </c>
      <c r="AE157">
        <v>2.4278300000000002</v>
      </c>
      <c r="AF157">
        <f>(Table716288[[#This Row],[time]]-2)*2</f>
        <v>0.85566000000000031</v>
      </c>
      <c r="AG157">
        <v>76.627300000000005</v>
      </c>
      <c r="AH157">
        <v>17.708500000000001</v>
      </c>
      <c r="AI157">
        <f>Table716288[[#This Row],[CFNM]]/Table716288[[#This Row],[CAREA]]</f>
        <v>0.23109909914612678</v>
      </c>
      <c r="AJ157">
        <v>2.4278300000000002</v>
      </c>
      <c r="AK157">
        <f>(Table81719[[#This Row],[time]]-2)*2</f>
        <v>0.85566000000000031</v>
      </c>
      <c r="AL157">
        <v>80.350999999999999</v>
      </c>
      <c r="AM157">
        <v>39.029200000000003</v>
      </c>
      <c r="AN157">
        <f>Table81719[[#This Row],[CFNM]]/Table81719[[#This Row],[CAREA]]</f>
        <v>0.48573384276486919</v>
      </c>
    </row>
    <row r="158" spans="1:40" x14ac:dyDescent="0.25">
      <c r="A158">
        <v>2.4542000000000002</v>
      </c>
      <c r="B158">
        <f>(Table110280[[#This Row],[time]]-2)*2</f>
        <v>0.90840000000000032</v>
      </c>
      <c r="C158">
        <v>68.003399999999999</v>
      </c>
      <c r="D158">
        <v>9.1843699999999995</v>
      </c>
      <c r="E158">
        <f>Table110280[[#This Row],[CFNM]]/Table110280[[#This Row],[CAREA]]</f>
        <v>0.13505751183029083</v>
      </c>
      <c r="F158">
        <v>2.4542000000000002</v>
      </c>
      <c r="G158">
        <f>(Table211281[[#This Row],[time]]-2)*2</f>
        <v>0.90840000000000032</v>
      </c>
      <c r="H158">
        <v>101.83</v>
      </c>
      <c r="I158">
        <v>25.257300000000001</v>
      </c>
      <c r="J158">
        <f>Table211281[[#This Row],[CFNM]]/Table211281[[#This Row],[CAREA]]</f>
        <v>0.24803397819895906</v>
      </c>
      <c r="K158">
        <v>2.4542000000000002</v>
      </c>
      <c r="L158">
        <f>(Table312282[[#This Row],[time]]-2)*2</f>
        <v>0.90840000000000032</v>
      </c>
      <c r="M158">
        <v>79.187100000000001</v>
      </c>
      <c r="N158">
        <v>3.2873999999999999</v>
      </c>
      <c r="O158">
        <f>Table312282[[#This Row],[CFNM]]/Table312282[[#This Row],[CAREA]]</f>
        <v>4.1514337562557534E-2</v>
      </c>
      <c r="P158">
        <v>2.4542000000000002</v>
      </c>
      <c r="Q158">
        <f>(Table413283[[#This Row],[time]]-2)*2</f>
        <v>0.90840000000000032</v>
      </c>
      <c r="R158">
        <v>88.525599999999997</v>
      </c>
      <c r="S158">
        <v>28.664400000000001</v>
      </c>
      <c r="T158">
        <f>Table413283[[#This Row],[CFNM]]/Table413283[[#This Row],[CAREA]]</f>
        <v>0.32379786186142767</v>
      </c>
      <c r="U158">
        <v>2.4542000000000002</v>
      </c>
      <c r="V158">
        <f>(Table514284[[#This Row],[time]]-2)*2</f>
        <v>0.90840000000000032</v>
      </c>
      <c r="W158">
        <v>68.923100000000005</v>
      </c>
      <c r="X158">
        <v>4.9250999999999996</v>
      </c>
      <c r="Y158">
        <f>Table514284[[#This Row],[CFNM]]/Table514284[[#This Row],[CAREA]]</f>
        <v>7.145790018150662E-2</v>
      </c>
      <c r="Z158">
        <v>2.4542000000000002</v>
      </c>
      <c r="AA158">
        <f>(Table615285[[#This Row],[time]]-2)*2</f>
        <v>0.90840000000000032</v>
      </c>
      <c r="AB158">
        <v>94.041399999999996</v>
      </c>
      <c r="AC158">
        <v>49.278300000000002</v>
      </c>
      <c r="AD158">
        <f>Table615285[[#This Row],[CFNM]]/Table615285[[#This Row],[CAREA]]</f>
        <v>0.52400644822386744</v>
      </c>
      <c r="AE158">
        <v>2.4542000000000002</v>
      </c>
      <c r="AF158">
        <f>(Table716288[[#This Row],[time]]-2)*2</f>
        <v>0.90840000000000032</v>
      </c>
      <c r="AG158">
        <v>76.599000000000004</v>
      </c>
      <c r="AH158">
        <v>17.250399999999999</v>
      </c>
      <c r="AI158">
        <f>Table716288[[#This Row],[CFNM]]/Table716288[[#This Row],[CAREA]]</f>
        <v>0.22520398438621911</v>
      </c>
      <c r="AJ158">
        <v>2.4542000000000002</v>
      </c>
      <c r="AK158">
        <f>(Table81719[[#This Row],[time]]-2)*2</f>
        <v>0.90840000000000032</v>
      </c>
      <c r="AL158">
        <v>79.763000000000005</v>
      </c>
      <c r="AM158">
        <v>42.6708</v>
      </c>
      <c r="AN158">
        <f>Table81719[[#This Row],[CFNM]]/Table81719[[#This Row],[CAREA]]</f>
        <v>0.53496984817521909</v>
      </c>
    </row>
    <row r="159" spans="1:40" x14ac:dyDescent="0.25">
      <c r="A159">
        <v>2.5061499999999999</v>
      </c>
      <c r="B159">
        <f>(Table110280[[#This Row],[time]]-2)*2</f>
        <v>1.0122999999999998</v>
      </c>
      <c r="C159">
        <v>65.6447</v>
      </c>
      <c r="D159">
        <v>8.6695899999999995</v>
      </c>
      <c r="E159">
        <f>Table110280[[#This Row],[CFNM]]/Table110280[[#This Row],[CAREA]]</f>
        <v>0.13206839242162732</v>
      </c>
      <c r="F159">
        <v>2.5061499999999999</v>
      </c>
      <c r="G159">
        <f>(Table211281[[#This Row],[time]]-2)*2</f>
        <v>1.0122999999999998</v>
      </c>
      <c r="H159">
        <v>99.970600000000005</v>
      </c>
      <c r="I159">
        <v>29.462700000000002</v>
      </c>
      <c r="J159">
        <f>Table211281[[#This Row],[CFNM]]/Table211281[[#This Row],[CAREA]]</f>
        <v>0.29471364581186871</v>
      </c>
      <c r="K159">
        <v>2.5061499999999999</v>
      </c>
      <c r="L159">
        <f>(Table312282[[#This Row],[time]]-2)*2</f>
        <v>1.0122999999999998</v>
      </c>
      <c r="M159">
        <v>77.957599999999999</v>
      </c>
      <c r="N159">
        <v>3.0705</v>
      </c>
      <c r="O159">
        <f>Table312282[[#This Row],[CFNM]]/Table312282[[#This Row],[CAREA]]</f>
        <v>3.938679487311051E-2</v>
      </c>
      <c r="P159">
        <v>2.5061499999999999</v>
      </c>
      <c r="Q159">
        <f>(Table413283[[#This Row],[time]]-2)*2</f>
        <v>1.0122999999999998</v>
      </c>
      <c r="R159">
        <v>87.780799999999999</v>
      </c>
      <c r="S159">
        <v>32.731999999999999</v>
      </c>
      <c r="T159">
        <f>Table413283[[#This Row],[CFNM]]/Table413283[[#This Row],[CAREA]]</f>
        <v>0.37288336401582123</v>
      </c>
      <c r="U159">
        <v>2.5061499999999999</v>
      </c>
      <c r="V159">
        <f>(Table514284[[#This Row],[time]]-2)*2</f>
        <v>1.0122999999999998</v>
      </c>
      <c r="W159">
        <v>67.818200000000004</v>
      </c>
      <c r="X159">
        <v>4.2910500000000003</v>
      </c>
      <c r="Y159">
        <f>Table514284[[#This Row],[CFNM]]/Table514284[[#This Row],[CAREA]]</f>
        <v>6.3272838264654616E-2</v>
      </c>
      <c r="Z159">
        <v>2.5061499999999999</v>
      </c>
      <c r="AA159">
        <f>(Table615285[[#This Row],[time]]-2)*2</f>
        <v>1.0122999999999998</v>
      </c>
      <c r="AB159">
        <v>93.871399999999994</v>
      </c>
      <c r="AC159">
        <v>53.553600000000003</v>
      </c>
      <c r="AD159">
        <f>Table615285[[#This Row],[CFNM]]/Table615285[[#This Row],[CAREA]]</f>
        <v>0.57049964099821682</v>
      </c>
      <c r="AE159">
        <v>2.5061499999999999</v>
      </c>
      <c r="AF159">
        <f>(Table716288[[#This Row],[time]]-2)*2</f>
        <v>1.0122999999999998</v>
      </c>
      <c r="AG159">
        <v>75.709100000000007</v>
      </c>
      <c r="AH159">
        <v>16.810199999999998</v>
      </c>
      <c r="AI159">
        <f>Table716288[[#This Row],[CFNM]]/Table716288[[#This Row],[CAREA]]</f>
        <v>0.22203671685438073</v>
      </c>
      <c r="AJ159">
        <v>2.5061499999999999</v>
      </c>
      <c r="AK159">
        <f>(Table81719[[#This Row],[time]]-2)*2</f>
        <v>1.0122999999999998</v>
      </c>
      <c r="AL159">
        <v>79.347499999999997</v>
      </c>
      <c r="AM159">
        <v>46.473100000000002</v>
      </c>
      <c r="AN159">
        <f>Table81719[[#This Row],[CFNM]]/Table81719[[#This Row],[CAREA]]</f>
        <v>0.58569079051009809</v>
      </c>
    </row>
    <row r="160" spans="1:40" x14ac:dyDescent="0.25">
      <c r="A160">
        <v>2.5507599999999999</v>
      </c>
      <c r="B160">
        <f>(Table110280[[#This Row],[time]]-2)*2</f>
        <v>1.1015199999999998</v>
      </c>
      <c r="C160">
        <v>64.834900000000005</v>
      </c>
      <c r="D160">
        <v>8.2767499999999998</v>
      </c>
      <c r="E160">
        <f>Table110280[[#This Row],[CFNM]]/Table110280[[#This Row],[CAREA]]</f>
        <v>0.12765886891165096</v>
      </c>
      <c r="F160">
        <v>2.5507599999999999</v>
      </c>
      <c r="G160">
        <f>(Table211281[[#This Row],[time]]-2)*2</f>
        <v>1.1015199999999998</v>
      </c>
      <c r="H160">
        <v>99.0929</v>
      </c>
      <c r="I160">
        <v>32.146299999999997</v>
      </c>
      <c r="J160">
        <f>Table211281[[#This Row],[CFNM]]/Table211281[[#This Row],[CAREA]]</f>
        <v>0.32440568395919384</v>
      </c>
      <c r="K160">
        <v>2.5507599999999999</v>
      </c>
      <c r="L160">
        <f>(Table312282[[#This Row],[time]]-2)*2</f>
        <v>1.1015199999999998</v>
      </c>
      <c r="M160">
        <v>76.782700000000006</v>
      </c>
      <c r="N160">
        <v>2.9590100000000001</v>
      </c>
      <c r="O160">
        <f>Table312282[[#This Row],[CFNM]]/Table312282[[#This Row],[CAREA]]</f>
        <v>3.8537457005288954E-2</v>
      </c>
      <c r="P160">
        <v>2.5507599999999999</v>
      </c>
      <c r="Q160">
        <f>(Table413283[[#This Row],[time]]-2)*2</f>
        <v>1.1015199999999998</v>
      </c>
      <c r="R160">
        <v>86.963700000000003</v>
      </c>
      <c r="S160">
        <v>35.331400000000002</v>
      </c>
      <c r="T160">
        <f>Table413283[[#This Row],[CFNM]]/Table413283[[#This Row],[CAREA]]</f>
        <v>0.40627756178727448</v>
      </c>
      <c r="U160">
        <v>2.5507599999999999</v>
      </c>
      <c r="V160">
        <f>(Table514284[[#This Row],[time]]-2)*2</f>
        <v>1.1015199999999998</v>
      </c>
      <c r="W160">
        <v>67.285399999999996</v>
      </c>
      <c r="X160">
        <v>3.8149199999999999</v>
      </c>
      <c r="Y160">
        <f>Table514284[[#This Row],[CFNM]]/Table514284[[#This Row],[CAREA]]</f>
        <v>5.6697589670270221E-2</v>
      </c>
      <c r="Z160">
        <v>2.5507599999999999</v>
      </c>
      <c r="AA160">
        <f>(Table615285[[#This Row],[time]]-2)*2</f>
        <v>1.1015199999999998</v>
      </c>
      <c r="AB160">
        <v>93.473399999999998</v>
      </c>
      <c r="AC160">
        <v>56.186199999999999</v>
      </c>
      <c r="AD160">
        <f>Table615285[[#This Row],[CFNM]]/Table615285[[#This Row],[CAREA]]</f>
        <v>0.60109293125102969</v>
      </c>
      <c r="AE160">
        <v>2.5507599999999999</v>
      </c>
      <c r="AF160">
        <f>(Table716288[[#This Row],[time]]-2)*2</f>
        <v>1.1015199999999998</v>
      </c>
      <c r="AG160">
        <v>75.581599999999995</v>
      </c>
      <c r="AH160">
        <v>16.466100000000001</v>
      </c>
      <c r="AI160">
        <f>Table716288[[#This Row],[CFNM]]/Table716288[[#This Row],[CAREA]]</f>
        <v>0.21785857933676983</v>
      </c>
      <c r="AJ160">
        <v>2.5507599999999999</v>
      </c>
      <c r="AK160">
        <f>(Table81719[[#This Row],[time]]-2)*2</f>
        <v>1.1015199999999998</v>
      </c>
      <c r="AL160">
        <v>78.907399999999996</v>
      </c>
      <c r="AM160">
        <v>48.918300000000002</v>
      </c>
      <c r="AN160">
        <f>Table81719[[#This Row],[CFNM]]/Table81719[[#This Row],[CAREA]]</f>
        <v>0.61994565782169997</v>
      </c>
    </row>
    <row r="161" spans="1:40" x14ac:dyDescent="0.25">
      <c r="A161">
        <v>2.60453</v>
      </c>
      <c r="B161">
        <f>(Table110280[[#This Row],[time]]-2)*2</f>
        <v>1.20906</v>
      </c>
      <c r="C161">
        <v>63.640999999999998</v>
      </c>
      <c r="D161">
        <v>7.7711399999999999</v>
      </c>
      <c r="E161">
        <f>Table110280[[#This Row],[CFNM]]/Table110280[[#This Row],[CAREA]]</f>
        <v>0.12210901777156236</v>
      </c>
      <c r="F161">
        <v>2.60453</v>
      </c>
      <c r="G161">
        <f>(Table211281[[#This Row],[time]]-2)*2</f>
        <v>1.20906</v>
      </c>
      <c r="H161">
        <v>98.102599999999995</v>
      </c>
      <c r="I161">
        <v>35.700899999999997</v>
      </c>
      <c r="J161">
        <f>Table211281[[#This Row],[CFNM]]/Table211281[[#This Row],[CAREA]]</f>
        <v>0.36391390238383081</v>
      </c>
      <c r="K161">
        <v>2.60453</v>
      </c>
      <c r="L161">
        <f>(Table312282[[#This Row],[time]]-2)*2</f>
        <v>1.20906</v>
      </c>
      <c r="M161">
        <v>76.016300000000001</v>
      </c>
      <c r="N161">
        <v>2.5365700000000002</v>
      </c>
      <c r="O161">
        <f>Table312282[[#This Row],[CFNM]]/Table312282[[#This Row],[CAREA]]</f>
        <v>3.3368764330808001E-2</v>
      </c>
      <c r="P161">
        <v>2.60453</v>
      </c>
      <c r="Q161">
        <f>(Table413283[[#This Row],[time]]-2)*2</f>
        <v>1.20906</v>
      </c>
      <c r="R161">
        <v>86.264099999999999</v>
      </c>
      <c r="S161">
        <v>39.093800000000002</v>
      </c>
      <c r="T161">
        <f>Table413283[[#This Row],[CFNM]]/Table413283[[#This Row],[CAREA]]</f>
        <v>0.45318736299341211</v>
      </c>
      <c r="U161">
        <v>2.60453</v>
      </c>
      <c r="V161">
        <f>(Table514284[[#This Row],[time]]-2)*2</f>
        <v>1.20906</v>
      </c>
      <c r="W161">
        <v>66.388400000000004</v>
      </c>
      <c r="X161">
        <v>3.0918199999999998</v>
      </c>
      <c r="Y161">
        <f>Table514284[[#This Row],[CFNM]]/Table514284[[#This Row],[CAREA]]</f>
        <v>4.6571690235041055E-2</v>
      </c>
      <c r="Z161">
        <v>2.60453</v>
      </c>
      <c r="AA161">
        <f>(Table615285[[#This Row],[time]]-2)*2</f>
        <v>1.20906</v>
      </c>
      <c r="AB161">
        <v>92.869600000000005</v>
      </c>
      <c r="AC161">
        <v>59.783200000000001</v>
      </c>
      <c r="AD161">
        <f>Table615285[[#This Row],[CFNM]]/Table615285[[#This Row],[CAREA]]</f>
        <v>0.64373271770310192</v>
      </c>
      <c r="AE161">
        <v>2.60453</v>
      </c>
      <c r="AF161">
        <f>(Table716288[[#This Row],[time]]-2)*2</f>
        <v>1.20906</v>
      </c>
      <c r="AG161">
        <v>74.882900000000006</v>
      </c>
      <c r="AH161">
        <v>15.9049</v>
      </c>
      <c r="AI161">
        <f>Table716288[[#This Row],[CFNM]]/Table716288[[#This Row],[CAREA]]</f>
        <v>0.21239695578029161</v>
      </c>
      <c r="AJ161">
        <v>2.60453</v>
      </c>
      <c r="AK161">
        <f>(Table81719[[#This Row],[time]]-2)*2</f>
        <v>1.20906</v>
      </c>
      <c r="AL161">
        <v>78.337100000000007</v>
      </c>
      <c r="AM161">
        <v>52.226599999999998</v>
      </c>
      <c r="AN161">
        <f>Table81719[[#This Row],[CFNM]]/Table81719[[#This Row],[CAREA]]</f>
        <v>0.66669049530809787</v>
      </c>
    </row>
    <row r="162" spans="1:40" x14ac:dyDescent="0.25">
      <c r="A162">
        <v>2.65273</v>
      </c>
      <c r="B162">
        <f>(Table110280[[#This Row],[time]]-2)*2</f>
        <v>1.3054600000000001</v>
      </c>
      <c r="C162">
        <v>62.820999999999998</v>
      </c>
      <c r="D162">
        <v>7.2387899999999998</v>
      </c>
      <c r="E162">
        <f>Table110280[[#This Row],[CFNM]]/Table110280[[#This Row],[CAREA]]</f>
        <v>0.11522882475605291</v>
      </c>
      <c r="F162">
        <v>2.65273</v>
      </c>
      <c r="G162">
        <f>(Table211281[[#This Row],[time]]-2)*2</f>
        <v>1.3054600000000001</v>
      </c>
      <c r="H162">
        <v>97.155799999999999</v>
      </c>
      <c r="I162">
        <v>39.290500000000002</v>
      </c>
      <c r="J162">
        <f>Table211281[[#This Row],[CFNM]]/Table211281[[#This Row],[CAREA]]</f>
        <v>0.40440714810644346</v>
      </c>
      <c r="K162">
        <v>2.65273</v>
      </c>
      <c r="L162">
        <f>(Table312282[[#This Row],[time]]-2)*2</f>
        <v>1.3054600000000001</v>
      </c>
      <c r="M162">
        <v>75.201999999999998</v>
      </c>
      <c r="N162">
        <v>2.0901399999999999</v>
      </c>
      <c r="O162">
        <f>Table312282[[#This Row],[CFNM]]/Table312282[[#This Row],[CAREA]]</f>
        <v>2.7793675700114359E-2</v>
      </c>
      <c r="P162">
        <v>2.65273</v>
      </c>
      <c r="Q162">
        <f>(Table413283[[#This Row],[time]]-2)*2</f>
        <v>1.3054600000000001</v>
      </c>
      <c r="R162">
        <v>85.598699999999994</v>
      </c>
      <c r="S162">
        <v>42.923900000000003</v>
      </c>
      <c r="T162">
        <f>Table413283[[#This Row],[CFNM]]/Table413283[[#This Row],[CAREA]]</f>
        <v>0.50145504546213915</v>
      </c>
      <c r="U162">
        <v>2.65273</v>
      </c>
      <c r="V162">
        <f>(Table514284[[#This Row],[time]]-2)*2</f>
        <v>1.3054600000000001</v>
      </c>
      <c r="W162">
        <v>64.983400000000003</v>
      </c>
      <c r="X162">
        <v>2.2592400000000001</v>
      </c>
      <c r="Y162">
        <f>Table514284[[#This Row],[CFNM]]/Table514284[[#This Row],[CAREA]]</f>
        <v>3.4766417269641171E-2</v>
      </c>
      <c r="Z162">
        <v>2.65273</v>
      </c>
      <c r="AA162">
        <f>(Table615285[[#This Row],[time]]-2)*2</f>
        <v>1.3054600000000001</v>
      </c>
      <c r="AB162">
        <v>92.377399999999994</v>
      </c>
      <c r="AC162">
        <v>63.505600000000001</v>
      </c>
      <c r="AD162">
        <f>Table615285[[#This Row],[CFNM]]/Table615285[[#This Row],[CAREA]]</f>
        <v>0.68745818782516077</v>
      </c>
      <c r="AE162">
        <v>2.65273</v>
      </c>
      <c r="AF162">
        <f>(Table716288[[#This Row],[time]]-2)*2</f>
        <v>1.3054600000000001</v>
      </c>
      <c r="AG162">
        <v>74.377499999999998</v>
      </c>
      <c r="AH162">
        <v>15.2567</v>
      </c>
      <c r="AI162">
        <f>Table716288[[#This Row],[CFNM]]/Table716288[[#This Row],[CAREA]]</f>
        <v>0.20512520587543276</v>
      </c>
      <c r="AJ162">
        <v>2.65273</v>
      </c>
      <c r="AK162">
        <f>(Table81719[[#This Row],[time]]-2)*2</f>
        <v>1.3054600000000001</v>
      </c>
      <c r="AL162">
        <v>77.495400000000004</v>
      </c>
      <c r="AM162">
        <v>55.712600000000002</v>
      </c>
      <c r="AN162">
        <f>Table81719[[#This Row],[CFNM]]/Table81719[[#This Row],[CAREA]]</f>
        <v>0.71891492914418142</v>
      </c>
    </row>
    <row r="163" spans="1:40" x14ac:dyDescent="0.25">
      <c r="A163">
        <v>2.7006199999999998</v>
      </c>
      <c r="B163">
        <f>(Table110280[[#This Row],[time]]-2)*2</f>
        <v>1.4012399999999996</v>
      </c>
      <c r="C163">
        <v>61.719499999999996</v>
      </c>
      <c r="D163">
        <v>6.8164400000000001</v>
      </c>
      <c r="E163">
        <f>Table110280[[#This Row],[CFNM]]/Table110280[[#This Row],[CAREA]]</f>
        <v>0.110442242727177</v>
      </c>
      <c r="F163">
        <v>2.7006199999999998</v>
      </c>
      <c r="G163">
        <f>(Table211281[[#This Row],[time]]-2)*2</f>
        <v>1.4012399999999996</v>
      </c>
      <c r="H163">
        <v>96.439099999999996</v>
      </c>
      <c r="I163">
        <v>42.296999999999997</v>
      </c>
      <c r="J163">
        <f>Table211281[[#This Row],[CFNM]]/Table211281[[#This Row],[CAREA]]</f>
        <v>0.43858766827977447</v>
      </c>
      <c r="K163">
        <v>2.7006199999999998</v>
      </c>
      <c r="L163">
        <f>(Table312282[[#This Row],[time]]-2)*2</f>
        <v>1.4012399999999996</v>
      </c>
      <c r="M163">
        <v>72.473500000000001</v>
      </c>
      <c r="N163">
        <v>1.7411099999999999</v>
      </c>
      <c r="O163">
        <f>Table312282[[#This Row],[CFNM]]/Table312282[[#This Row],[CAREA]]</f>
        <v>2.4024091564502886E-2</v>
      </c>
      <c r="P163">
        <v>2.7006199999999998</v>
      </c>
      <c r="Q163">
        <f>(Table413283[[#This Row],[time]]-2)*2</f>
        <v>1.4012399999999996</v>
      </c>
      <c r="R163">
        <v>85.029899999999998</v>
      </c>
      <c r="S163">
        <v>46.077300000000001</v>
      </c>
      <c r="T163">
        <f>Table413283[[#This Row],[CFNM]]/Table413283[[#This Row],[CAREA]]</f>
        <v>0.54189526272522959</v>
      </c>
      <c r="U163">
        <v>2.7006199999999998</v>
      </c>
      <c r="V163">
        <f>(Table514284[[#This Row],[time]]-2)*2</f>
        <v>1.4012399999999996</v>
      </c>
      <c r="W163">
        <v>64.790199999999999</v>
      </c>
      <c r="X163">
        <v>1.5517000000000001</v>
      </c>
      <c r="Y163">
        <f>Table514284[[#This Row],[CFNM]]/Table514284[[#This Row],[CAREA]]</f>
        <v>2.3949609663189805E-2</v>
      </c>
      <c r="Z163">
        <v>2.7006199999999998</v>
      </c>
      <c r="AA163">
        <f>(Table615285[[#This Row],[time]]-2)*2</f>
        <v>1.4012399999999996</v>
      </c>
      <c r="AB163">
        <v>91.744399999999999</v>
      </c>
      <c r="AC163">
        <v>66.597700000000003</v>
      </c>
      <c r="AD163">
        <f>Table615285[[#This Row],[CFNM]]/Table615285[[#This Row],[CAREA]]</f>
        <v>0.7259047963690427</v>
      </c>
      <c r="AE163">
        <v>2.7006199999999998</v>
      </c>
      <c r="AF163">
        <f>(Table716288[[#This Row],[time]]-2)*2</f>
        <v>1.4012399999999996</v>
      </c>
      <c r="AG163">
        <v>73.728099999999998</v>
      </c>
      <c r="AH163">
        <v>14.683199999999999</v>
      </c>
      <c r="AI163">
        <f>Table716288[[#This Row],[CFNM]]/Table716288[[#This Row],[CAREA]]</f>
        <v>0.19915337571427991</v>
      </c>
      <c r="AJ163">
        <v>2.7006199999999998</v>
      </c>
      <c r="AK163">
        <f>(Table81719[[#This Row],[time]]-2)*2</f>
        <v>1.4012399999999996</v>
      </c>
      <c r="AL163">
        <v>76.867000000000004</v>
      </c>
      <c r="AM163">
        <v>58.640099999999997</v>
      </c>
      <c r="AN163">
        <f>Table81719[[#This Row],[CFNM]]/Table81719[[#This Row],[CAREA]]</f>
        <v>0.7628774376520483</v>
      </c>
    </row>
    <row r="164" spans="1:40" x14ac:dyDescent="0.25">
      <c r="A164">
        <v>2.75176</v>
      </c>
      <c r="B164">
        <f>(Table110280[[#This Row],[time]]-2)*2</f>
        <v>1.50352</v>
      </c>
      <c r="C164">
        <v>59.953499999999998</v>
      </c>
      <c r="D164">
        <v>6.2926700000000002</v>
      </c>
      <c r="E164">
        <f>Table110280[[#This Row],[CFNM]]/Table110280[[#This Row],[CAREA]]</f>
        <v>0.10495917669527217</v>
      </c>
      <c r="F164">
        <v>2.75176</v>
      </c>
      <c r="G164">
        <f>(Table211281[[#This Row],[time]]-2)*2</f>
        <v>1.50352</v>
      </c>
      <c r="H164">
        <v>95.223299999999995</v>
      </c>
      <c r="I164">
        <v>46.3461</v>
      </c>
      <c r="J164">
        <f>Table211281[[#This Row],[CFNM]]/Table211281[[#This Row],[CAREA]]</f>
        <v>0.48670966034573476</v>
      </c>
      <c r="K164">
        <v>2.75176</v>
      </c>
      <c r="L164">
        <f>(Table312282[[#This Row],[time]]-2)*2</f>
        <v>1.50352</v>
      </c>
      <c r="M164">
        <v>68.821200000000005</v>
      </c>
      <c r="N164">
        <v>1.34199</v>
      </c>
      <c r="O164">
        <f>Table312282[[#This Row],[CFNM]]/Table312282[[#This Row],[CAREA]]</f>
        <v>1.9499659988491916E-2</v>
      </c>
      <c r="P164">
        <v>2.75176</v>
      </c>
      <c r="Q164">
        <f>(Table413283[[#This Row],[time]]-2)*2</f>
        <v>1.50352</v>
      </c>
      <c r="R164">
        <v>84.078400000000002</v>
      </c>
      <c r="S164">
        <v>50.323</v>
      </c>
      <c r="T164">
        <f>Table413283[[#This Row],[CFNM]]/Table413283[[#This Row],[CAREA]]</f>
        <v>0.59852471027041432</v>
      </c>
      <c r="U164">
        <v>2.75176</v>
      </c>
      <c r="V164">
        <f>(Table514284[[#This Row],[time]]-2)*2</f>
        <v>1.50352</v>
      </c>
      <c r="W164">
        <v>63.331699999999998</v>
      </c>
      <c r="X164">
        <v>0.76169299999999995</v>
      </c>
      <c r="Y164">
        <f>Table514284[[#This Row],[CFNM]]/Table514284[[#This Row],[CAREA]]</f>
        <v>1.202704175002408E-2</v>
      </c>
      <c r="Z164">
        <v>2.75176</v>
      </c>
      <c r="AA164">
        <f>(Table615285[[#This Row],[time]]-2)*2</f>
        <v>1.50352</v>
      </c>
      <c r="AB164">
        <v>91.089500000000001</v>
      </c>
      <c r="AC164">
        <v>70.911000000000001</v>
      </c>
      <c r="AD164">
        <f>Table615285[[#This Row],[CFNM]]/Table615285[[#This Row],[CAREA]]</f>
        <v>0.77847611415146645</v>
      </c>
      <c r="AE164">
        <v>2.75176</v>
      </c>
      <c r="AF164">
        <f>(Table716288[[#This Row],[time]]-2)*2</f>
        <v>1.50352</v>
      </c>
      <c r="AG164">
        <v>73.126599999999996</v>
      </c>
      <c r="AH164">
        <v>13.8424</v>
      </c>
      <c r="AI164">
        <f>Table716288[[#This Row],[CFNM]]/Table716288[[#This Row],[CAREA]]</f>
        <v>0.18929363596830703</v>
      </c>
      <c r="AJ164">
        <v>2.75176</v>
      </c>
      <c r="AK164">
        <f>(Table81719[[#This Row],[time]]-2)*2</f>
        <v>1.50352</v>
      </c>
      <c r="AL164">
        <v>75.944299999999998</v>
      </c>
      <c r="AM164">
        <v>62.648800000000001</v>
      </c>
      <c r="AN164">
        <f>Table81719[[#This Row],[CFNM]]/Table81719[[#This Row],[CAREA]]</f>
        <v>0.82493090330676566</v>
      </c>
    </row>
    <row r="165" spans="1:40" x14ac:dyDescent="0.25">
      <c r="A165">
        <v>2.80444</v>
      </c>
      <c r="B165">
        <f>(Table110280[[#This Row],[time]]-2)*2</f>
        <v>1.6088800000000001</v>
      </c>
      <c r="C165">
        <v>59.897500000000001</v>
      </c>
      <c r="D165">
        <v>6.0362499999999999</v>
      </c>
      <c r="E165">
        <f>Table110280[[#This Row],[CFNM]]/Table110280[[#This Row],[CAREA]]</f>
        <v>0.10077632622396594</v>
      </c>
      <c r="F165">
        <v>2.80444</v>
      </c>
      <c r="G165">
        <f>(Table211281[[#This Row],[time]]-2)*2</f>
        <v>1.6088800000000001</v>
      </c>
      <c r="H165">
        <v>94.649500000000003</v>
      </c>
      <c r="I165">
        <v>48.414200000000001</v>
      </c>
      <c r="J165">
        <f>Table211281[[#This Row],[CFNM]]/Table211281[[#This Row],[CAREA]]</f>
        <v>0.51151036191422039</v>
      </c>
      <c r="K165">
        <v>2.80444</v>
      </c>
      <c r="L165">
        <f>(Table312282[[#This Row],[time]]-2)*2</f>
        <v>1.6088800000000001</v>
      </c>
      <c r="M165">
        <v>65.650400000000005</v>
      </c>
      <c r="N165">
        <v>1.17441</v>
      </c>
      <c r="O165">
        <f>Table312282[[#This Row],[CFNM]]/Table312282[[#This Row],[CAREA]]</f>
        <v>1.7888847592703164E-2</v>
      </c>
      <c r="P165">
        <v>2.80444</v>
      </c>
      <c r="Q165">
        <f>(Table413283[[#This Row],[time]]-2)*2</f>
        <v>1.6088800000000001</v>
      </c>
      <c r="R165">
        <v>83.575100000000006</v>
      </c>
      <c r="S165">
        <v>52.527500000000003</v>
      </c>
      <c r="T165">
        <f>Table413283[[#This Row],[CFNM]]/Table413283[[#This Row],[CAREA]]</f>
        <v>0.62850657671962107</v>
      </c>
      <c r="U165">
        <v>2.80444</v>
      </c>
      <c r="V165">
        <f>(Table514284[[#This Row],[time]]-2)*2</f>
        <v>1.6088800000000001</v>
      </c>
      <c r="W165">
        <v>62.614699999999999</v>
      </c>
      <c r="X165">
        <v>0.50047200000000003</v>
      </c>
      <c r="Y165">
        <f>Table514284[[#This Row],[CFNM]]/Table514284[[#This Row],[CAREA]]</f>
        <v>7.9928834602737055E-3</v>
      </c>
      <c r="Z165">
        <v>2.80444</v>
      </c>
      <c r="AA165">
        <f>(Table615285[[#This Row],[time]]-2)*2</f>
        <v>1.6088800000000001</v>
      </c>
      <c r="AB165">
        <v>90.730099999999993</v>
      </c>
      <c r="AC165">
        <v>73.260999999999996</v>
      </c>
      <c r="AD165">
        <f>Table615285[[#This Row],[CFNM]]/Table615285[[#This Row],[CAREA]]</f>
        <v>0.80746080958799782</v>
      </c>
      <c r="AE165">
        <v>2.80444</v>
      </c>
      <c r="AF165">
        <f>(Table716288[[#This Row],[time]]-2)*2</f>
        <v>1.6088800000000001</v>
      </c>
      <c r="AG165">
        <v>72.253399999999999</v>
      </c>
      <c r="AH165">
        <v>13.398</v>
      </c>
      <c r="AI165">
        <f>Table716288[[#This Row],[CFNM]]/Table716288[[#This Row],[CAREA]]</f>
        <v>0.18543072021524246</v>
      </c>
      <c r="AJ165">
        <v>2.80444</v>
      </c>
      <c r="AK165">
        <f>(Table81719[[#This Row],[time]]-2)*2</f>
        <v>1.6088800000000001</v>
      </c>
      <c r="AL165">
        <v>75.481399999999994</v>
      </c>
      <c r="AM165">
        <v>64.694999999999993</v>
      </c>
      <c r="AN165">
        <f>Table81719[[#This Row],[CFNM]]/Table81719[[#This Row],[CAREA]]</f>
        <v>0.85709856997882916</v>
      </c>
    </row>
    <row r="166" spans="1:40" x14ac:dyDescent="0.25">
      <c r="A166">
        <v>2.8583699999999999</v>
      </c>
      <c r="B166">
        <f>(Table110280[[#This Row],[time]]-2)*2</f>
        <v>1.7167399999999997</v>
      </c>
      <c r="C166">
        <v>59.413400000000003</v>
      </c>
      <c r="D166">
        <v>5.6322599999999996</v>
      </c>
      <c r="E166">
        <f>Table110280[[#This Row],[CFNM]]/Table110280[[#This Row],[CAREA]]</f>
        <v>9.4797806555423511E-2</v>
      </c>
      <c r="F166">
        <v>2.8583699999999999</v>
      </c>
      <c r="G166">
        <f>(Table211281[[#This Row],[time]]-2)*2</f>
        <v>1.7167399999999997</v>
      </c>
      <c r="H166">
        <v>93.620500000000007</v>
      </c>
      <c r="I166">
        <v>51.834000000000003</v>
      </c>
      <c r="J166">
        <f>Table211281[[#This Row],[CFNM]]/Table211281[[#This Row],[CAREA]]</f>
        <v>0.55366079010473135</v>
      </c>
      <c r="K166">
        <v>2.8583699999999999</v>
      </c>
      <c r="L166">
        <f>(Table312282[[#This Row],[time]]-2)*2</f>
        <v>1.7167399999999997</v>
      </c>
      <c r="M166">
        <v>64.386700000000005</v>
      </c>
      <c r="N166">
        <v>0.90710100000000005</v>
      </c>
      <c r="O166">
        <f>Table312282[[#This Row],[CFNM]]/Table312282[[#This Row],[CAREA]]</f>
        <v>1.4088328800823773E-2</v>
      </c>
      <c r="P166">
        <v>2.8583699999999999</v>
      </c>
      <c r="Q166">
        <f>(Table413283[[#This Row],[time]]-2)*2</f>
        <v>1.7167399999999997</v>
      </c>
      <c r="R166">
        <v>82.796199999999999</v>
      </c>
      <c r="S166">
        <v>56.203899999999997</v>
      </c>
      <c r="T166">
        <f>Table413283[[#This Row],[CFNM]]/Table413283[[#This Row],[CAREA]]</f>
        <v>0.67882221647853402</v>
      </c>
      <c r="U166">
        <v>2.8583699999999999</v>
      </c>
      <c r="V166">
        <f>(Table514284[[#This Row],[time]]-2)*2</f>
        <v>1.7167399999999997</v>
      </c>
      <c r="W166">
        <v>61.652500000000003</v>
      </c>
      <c r="X166">
        <v>0.34161999999999998</v>
      </c>
      <c r="Y166">
        <f>Table514284[[#This Row],[CFNM]]/Table514284[[#This Row],[CAREA]]</f>
        <v>5.5410567292486102E-3</v>
      </c>
      <c r="Z166">
        <v>2.8583699999999999</v>
      </c>
      <c r="AA166">
        <f>(Table615285[[#This Row],[time]]-2)*2</f>
        <v>1.7167399999999997</v>
      </c>
      <c r="AB166">
        <v>90.103200000000001</v>
      </c>
      <c r="AC166">
        <v>77.290899999999993</v>
      </c>
      <c r="AD166">
        <f>Table615285[[#This Row],[CFNM]]/Table615285[[#This Row],[CAREA]]</f>
        <v>0.85780416233829648</v>
      </c>
      <c r="AE166">
        <v>2.8583699999999999</v>
      </c>
      <c r="AF166">
        <f>(Table716288[[#This Row],[time]]-2)*2</f>
        <v>1.7167399999999997</v>
      </c>
      <c r="AG166">
        <v>71.042599999999993</v>
      </c>
      <c r="AH166">
        <v>12.617100000000001</v>
      </c>
      <c r="AI166">
        <f>Table716288[[#This Row],[CFNM]]/Table716288[[#This Row],[CAREA]]</f>
        <v>0.17759907435820202</v>
      </c>
      <c r="AJ166">
        <v>2.8583699999999999</v>
      </c>
      <c r="AK166">
        <f>(Table81719[[#This Row],[time]]-2)*2</f>
        <v>1.7167399999999997</v>
      </c>
      <c r="AL166">
        <v>74.620900000000006</v>
      </c>
      <c r="AM166">
        <v>68.05</v>
      </c>
      <c r="AN166">
        <f>Table81719[[#This Row],[CFNM]]/Table81719[[#This Row],[CAREA]]</f>
        <v>0.91194290071548312</v>
      </c>
    </row>
    <row r="167" spans="1:40" x14ac:dyDescent="0.25">
      <c r="A167">
        <v>2.9134199999999999</v>
      </c>
      <c r="B167">
        <f>(Table110280[[#This Row],[time]]-2)*2</f>
        <v>1.8268399999999998</v>
      </c>
      <c r="C167">
        <v>58.3553</v>
      </c>
      <c r="D167">
        <v>5.2792399999999997</v>
      </c>
      <c r="E167">
        <f>Table110280[[#This Row],[CFNM]]/Table110280[[#This Row],[CAREA]]</f>
        <v>9.0467189783961344E-2</v>
      </c>
      <c r="F167">
        <v>2.9134199999999999</v>
      </c>
      <c r="G167">
        <f>(Table211281[[#This Row],[time]]-2)*2</f>
        <v>1.8268399999999998</v>
      </c>
      <c r="H167">
        <v>92.561499999999995</v>
      </c>
      <c r="I167">
        <v>55.079700000000003</v>
      </c>
      <c r="J167">
        <f>Table211281[[#This Row],[CFNM]]/Table211281[[#This Row],[CAREA]]</f>
        <v>0.59506058134321516</v>
      </c>
      <c r="K167">
        <v>2.9134199999999999</v>
      </c>
      <c r="L167">
        <f>(Table312282[[#This Row],[time]]-2)*2</f>
        <v>1.8268399999999998</v>
      </c>
      <c r="M167">
        <v>59.255899999999997</v>
      </c>
      <c r="N167">
        <v>0.67885700000000004</v>
      </c>
      <c r="O167">
        <f>Table312282[[#This Row],[CFNM]]/Table312282[[#This Row],[CAREA]]</f>
        <v>1.145636130748162E-2</v>
      </c>
      <c r="P167">
        <v>2.9134199999999999</v>
      </c>
      <c r="Q167">
        <f>(Table413283[[#This Row],[time]]-2)*2</f>
        <v>1.8268399999999998</v>
      </c>
      <c r="R167">
        <v>82.037800000000004</v>
      </c>
      <c r="S167">
        <v>59.691800000000001</v>
      </c>
      <c r="T167">
        <f>Table413283[[#This Row],[CFNM]]/Table413283[[#This Row],[CAREA]]</f>
        <v>0.72761336847160696</v>
      </c>
      <c r="U167">
        <v>2.9134199999999999</v>
      </c>
      <c r="V167">
        <f>(Table514284[[#This Row],[time]]-2)*2</f>
        <v>1.8268399999999998</v>
      </c>
      <c r="W167">
        <v>61.177</v>
      </c>
      <c r="X167">
        <v>0.23136599999999999</v>
      </c>
      <c r="Y167">
        <f>Table514284[[#This Row],[CFNM]]/Table514284[[#This Row],[CAREA]]</f>
        <v>3.7819115026889189E-3</v>
      </c>
      <c r="Z167">
        <v>2.9134199999999999</v>
      </c>
      <c r="AA167">
        <f>(Table615285[[#This Row],[time]]-2)*2</f>
        <v>1.8268399999999998</v>
      </c>
      <c r="AB167">
        <v>89.536299999999997</v>
      </c>
      <c r="AC167">
        <v>81.159700000000001</v>
      </c>
      <c r="AD167">
        <f>Table615285[[#This Row],[CFNM]]/Table615285[[#This Row],[CAREA]]</f>
        <v>0.9064446487067257</v>
      </c>
      <c r="AE167">
        <v>2.9134199999999999</v>
      </c>
      <c r="AF167">
        <f>(Table716288[[#This Row],[time]]-2)*2</f>
        <v>1.8268399999999998</v>
      </c>
      <c r="AG167">
        <v>70.748999999999995</v>
      </c>
      <c r="AH167">
        <v>11.8287</v>
      </c>
      <c r="AI167">
        <f>Table716288[[#This Row],[CFNM]]/Table716288[[#This Row],[CAREA]]</f>
        <v>0.16719246915150746</v>
      </c>
      <c r="AJ167">
        <v>2.9134199999999999</v>
      </c>
      <c r="AK167">
        <f>(Table81719[[#This Row],[time]]-2)*2</f>
        <v>1.8268399999999998</v>
      </c>
      <c r="AL167">
        <v>73.947699999999998</v>
      </c>
      <c r="AM167">
        <v>71.204599999999999</v>
      </c>
      <c r="AN167">
        <f>Table81719[[#This Row],[CFNM]]/Table81719[[#This Row],[CAREA]]</f>
        <v>0.96290486384295926</v>
      </c>
    </row>
    <row r="168" spans="1:40" x14ac:dyDescent="0.25">
      <c r="A168">
        <v>2.9619599999999999</v>
      </c>
      <c r="B168">
        <f>(Table110280[[#This Row],[time]]-2)*2</f>
        <v>1.9239199999999999</v>
      </c>
      <c r="C168">
        <v>57.513199999999998</v>
      </c>
      <c r="D168">
        <v>5.0190400000000004</v>
      </c>
      <c r="E168">
        <f>Table110280[[#This Row],[CFNM]]/Table110280[[#This Row],[CAREA]]</f>
        <v>8.7267618564086172E-2</v>
      </c>
      <c r="F168">
        <v>2.9619599999999999</v>
      </c>
      <c r="G168">
        <f>(Table211281[[#This Row],[time]]-2)*2</f>
        <v>1.9239199999999999</v>
      </c>
      <c r="H168">
        <v>91.543300000000002</v>
      </c>
      <c r="I168">
        <v>57.786000000000001</v>
      </c>
      <c r="J168">
        <f>Table211281[[#This Row],[CFNM]]/Table211281[[#This Row],[CAREA]]</f>
        <v>0.63124226458954391</v>
      </c>
      <c r="K168">
        <v>2.9619599999999999</v>
      </c>
      <c r="L168">
        <f>(Table312282[[#This Row],[time]]-2)*2</f>
        <v>1.9239199999999999</v>
      </c>
      <c r="M168">
        <v>57.653799999999997</v>
      </c>
      <c r="N168">
        <v>0.50470899999999996</v>
      </c>
      <c r="O168">
        <f>Table312282[[#This Row],[CFNM]]/Table312282[[#This Row],[CAREA]]</f>
        <v>8.754132424922555E-3</v>
      </c>
      <c r="P168">
        <v>2.9619599999999999</v>
      </c>
      <c r="Q168">
        <f>(Table413283[[#This Row],[time]]-2)*2</f>
        <v>1.9239199999999999</v>
      </c>
      <c r="R168">
        <v>81.374799999999993</v>
      </c>
      <c r="S168">
        <v>62.623899999999999</v>
      </c>
      <c r="T168">
        <f>Table413283[[#This Row],[CFNM]]/Table413283[[#This Row],[CAREA]]</f>
        <v>0.76957362721628819</v>
      </c>
      <c r="U168">
        <v>2.9619599999999999</v>
      </c>
      <c r="V168">
        <f>(Table514284[[#This Row],[time]]-2)*2</f>
        <v>1.9239199999999999</v>
      </c>
      <c r="W168">
        <v>60.390700000000002</v>
      </c>
      <c r="X168">
        <v>0.13683699999999999</v>
      </c>
      <c r="Y168">
        <f>Table514284[[#This Row],[CFNM]]/Table514284[[#This Row],[CAREA]]</f>
        <v>2.2658621277779523E-3</v>
      </c>
      <c r="Z168">
        <v>2.9619599999999999</v>
      </c>
      <c r="AA168">
        <f>(Table615285[[#This Row],[time]]-2)*2</f>
        <v>1.9239199999999999</v>
      </c>
      <c r="AB168">
        <v>89.084900000000005</v>
      </c>
      <c r="AC168">
        <v>84.346199999999996</v>
      </c>
      <c r="AD168">
        <f>Table615285[[#This Row],[CFNM]]/Table615285[[#This Row],[CAREA]]</f>
        <v>0.94680692238527508</v>
      </c>
      <c r="AE168">
        <v>2.9619599999999999</v>
      </c>
      <c r="AF168">
        <f>(Table716288[[#This Row],[time]]-2)*2</f>
        <v>1.9239199999999999</v>
      </c>
      <c r="AG168">
        <v>70.5184</v>
      </c>
      <c r="AH168">
        <v>11.157999999999999</v>
      </c>
      <c r="AI168">
        <f>Table716288[[#This Row],[CFNM]]/Table716288[[#This Row],[CAREA]]</f>
        <v>0.15822820710623042</v>
      </c>
      <c r="AJ168">
        <v>2.9619599999999999</v>
      </c>
      <c r="AK168">
        <f>(Table81719[[#This Row],[time]]-2)*2</f>
        <v>1.9239199999999999</v>
      </c>
      <c r="AL168">
        <v>73.338200000000001</v>
      </c>
      <c r="AM168">
        <v>73.836500000000001</v>
      </c>
      <c r="AN168">
        <f>Table81719[[#This Row],[CFNM]]/Table81719[[#This Row],[CAREA]]</f>
        <v>1.0067945490890151</v>
      </c>
    </row>
    <row r="169" spans="1:40" x14ac:dyDescent="0.25">
      <c r="A169">
        <v>3</v>
      </c>
      <c r="B169">
        <f>(Table110280[[#This Row],[time]]-2)*2</f>
        <v>2</v>
      </c>
      <c r="C169">
        <v>56.665300000000002</v>
      </c>
      <c r="D169">
        <v>4.7977100000000004</v>
      </c>
      <c r="E169">
        <f>Table110280[[#This Row],[CFNM]]/Table110280[[#This Row],[CAREA]]</f>
        <v>8.4667512569420789E-2</v>
      </c>
      <c r="F169">
        <v>3</v>
      </c>
      <c r="G169">
        <f>(Table211281[[#This Row],[time]]-2)*2</f>
        <v>2</v>
      </c>
      <c r="H169">
        <v>90.618399999999994</v>
      </c>
      <c r="I169">
        <v>60.607199999999999</v>
      </c>
      <c r="J169">
        <f>Table211281[[#This Row],[CFNM]]/Table211281[[#This Row],[CAREA]]</f>
        <v>0.66881781183512401</v>
      </c>
      <c r="K169">
        <v>3</v>
      </c>
      <c r="L169">
        <f>(Table312282[[#This Row],[time]]-2)*2</f>
        <v>2</v>
      </c>
      <c r="M169">
        <v>54.110300000000002</v>
      </c>
      <c r="N169">
        <v>0.34525299999999998</v>
      </c>
      <c r="O169">
        <f>Table312282[[#This Row],[CFNM]]/Table312282[[#This Row],[CAREA]]</f>
        <v>6.3805412278253853E-3</v>
      </c>
      <c r="P169">
        <v>3</v>
      </c>
      <c r="Q169">
        <f>(Table413283[[#This Row],[time]]-2)*2</f>
        <v>2</v>
      </c>
      <c r="R169">
        <v>80.723200000000006</v>
      </c>
      <c r="S169">
        <v>65.722499999999997</v>
      </c>
      <c r="T169">
        <f>Table413283[[#This Row],[CFNM]]/Table413283[[#This Row],[CAREA]]</f>
        <v>0.81417114286846892</v>
      </c>
      <c r="U169">
        <v>3</v>
      </c>
      <c r="V169">
        <f>(Table514284[[#This Row],[time]]-2)*2</f>
        <v>2</v>
      </c>
      <c r="W169">
        <v>60.2181</v>
      </c>
      <c r="X169">
        <v>2.4085200000000001E-2</v>
      </c>
      <c r="Y169">
        <f>Table514284[[#This Row],[CFNM]]/Table514284[[#This Row],[CAREA]]</f>
        <v>3.9996612314237745E-4</v>
      </c>
      <c r="Z169">
        <v>3</v>
      </c>
      <c r="AA169">
        <f>(Table615285[[#This Row],[time]]-2)*2</f>
        <v>2</v>
      </c>
      <c r="AB169">
        <v>88.548500000000004</v>
      </c>
      <c r="AC169">
        <v>87.567800000000005</v>
      </c>
      <c r="AD169">
        <f>Table615285[[#This Row],[CFNM]]/Table615285[[#This Row],[CAREA]]</f>
        <v>0.98892471357504641</v>
      </c>
      <c r="AE169">
        <v>3</v>
      </c>
      <c r="AF169">
        <f>(Table716288[[#This Row],[time]]-2)*2</f>
        <v>2</v>
      </c>
      <c r="AG169">
        <v>69.361800000000002</v>
      </c>
      <c r="AH169">
        <v>10.4719</v>
      </c>
      <c r="AI169">
        <f>Table716288[[#This Row],[CFNM]]/Table716288[[#This Row],[CAREA]]</f>
        <v>0.15097503236651874</v>
      </c>
      <c r="AJ169">
        <v>3</v>
      </c>
      <c r="AK169">
        <f>(Table81719[[#This Row],[time]]-2)*2</f>
        <v>2</v>
      </c>
      <c r="AL169">
        <v>72.754599999999996</v>
      </c>
      <c r="AM169">
        <v>76.620599999999996</v>
      </c>
      <c r="AN169">
        <f>Table81719[[#This Row],[CFNM]]/Table81719[[#This Row],[CAREA]]</f>
        <v>1.0531375335717603</v>
      </c>
    </row>
    <row r="172" spans="1:40" x14ac:dyDescent="0.25">
      <c r="A172" s="1" t="s">
        <v>21</v>
      </c>
    </row>
    <row r="173" spans="1:40" x14ac:dyDescent="0.25">
      <c r="A173" t="s">
        <v>43</v>
      </c>
      <c r="F173" t="s">
        <v>1</v>
      </c>
    </row>
    <row r="174" spans="1:40" x14ac:dyDescent="0.25">
      <c r="F174" t="s">
        <v>2</v>
      </c>
      <c r="G174" t="s">
        <v>3</v>
      </c>
    </row>
    <row r="177" spans="1:40" x14ac:dyDescent="0.25">
      <c r="A177" t="s">
        <v>5</v>
      </c>
      <c r="F177" t="s">
        <v>6</v>
      </c>
      <c r="K177" t="s">
        <v>7</v>
      </c>
      <c r="P177" t="s">
        <v>19</v>
      </c>
      <c r="U177" t="s">
        <v>8</v>
      </c>
      <c r="Z177" t="s">
        <v>9</v>
      </c>
      <c r="AE177" t="s">
        <v>10</v>
      </c>
      <c r="AJ177" t="s">
        <v>11</v>
      </c>
    </row>
    <row r="178" spans="1:40" x14ac:dyDescent="0.25">
      <c r="A178" t="s">
        <v>12</v>
      </c>
      <c r="B178" t="s">
        <v>13</v>
      </c>
      <c r="C178" t="s">
        <v>17</v>
      </c>
      <c r="D178" t="s">
        <v>15</v>
      </c>
      <c r="E178" t="s">
        <v>16</v>
      </c>
      <c r="F178" t="s">
        <v>12</v>
      </c>
      <c r="G178" t="s">
        <v>13</v>
      </c>
      <c r="H178" t="s">
        <v>17</v>
      </c>
      <c r="I178" t="s">
        <v>15</v>
      </c>
      <c r="J178" t="s">
        <v>16</v>
      </c>
      <c r="K178" t="s">
        <v>12</v>
      </c>
      <c r="L178" t="s">
        <v>13</v>
      </c>
      <c r="M178" t="s">
        <v>17</v>
      </c>
      <c r="N178" t="s">
        <v>15</v>
      </c>
      <c r="O178" t="s">
        <v>16</v>
      </c>
      <c r="P178" t="s">
        <v>12</v>
      </c>
      <c r="Q178" t="s">
        <v>13</v>
      </c>
      <c r="R178" t="s">
        <v>17</v>
      </c>
      <c r="S178" t="s">
        <v>15</v>
      </c>
      <c r="T178" t="s">
        <v>16</v>
      </c>
      <c r="U178" t="s">
        <v>12</v>
      </c>
      <c r="V178" t="s">
        <v>13</v>
      </c>
      <c r="W178" t="s">
        <v>17</v>
      </c>
      <c r="X178" t="s">
        <v>15</v>
      </c>
      <c r="Y178" t="s">
        <v>16</v>
      </c>
      <c r="Z178" t="s">
        <v>12</v>
      </c>
      <c r="AA178" t="s">
        <v>13</v>
      </c>
      <c r="AB178" t="s">
        <v>17</v>
      </c>
      <c r="AC178" t="s">
        <v>15</v>
      </c>
      <c r="AD178" t="s">
        <v>16</v>
      </c>
      <c r="AE178" t="s">
        <v>12</v>
      </c>
      <c r="AF178" t="s">
        <v>13</v>
      </c>
      <c r="AG178" t="s">
        <v>17</v>
      </c>
      <c r="AH178" t="s">
        <v>15</v>
      </c>
      <c r="AI178" t="s">
        <v>16</v>
      </c>
      <c r="AJ178" t="s">
        <v>12</v>
      </c>
      <c r="AK178" t="s">
        <v>13</v>
      </c>
      <c r="AL178" t="s">
        <v>17</v>
      </c>
      <c r="AM178" t="s">
        <v>15</v>
      </c>
      <c r="AN178" t="s">
        <v>16</v>
      </c>
    </row>
    <row r="179" spans="1:40" x14ac:dyDescent="0.25">
      <c r="A179">
        <v>2</v>
      </c>
      <c r="B179">
        <f>-(Table1290[[#This Row],[time]]-2)*2</f>
        <v>0</v>
      </c>
      <c r="C179">
        <v>80.560199999999995</v>
      </c>
      <c r="D179">
        <v>3.9786999999999999</v>
      </c>
      <c r="E179" s="2">
        <f>Table1290[[#This Row],[CFNM]]/Table1290[[#This Row],[CAREA]]</f>
        <v>4.9387911152157023E-2</v>
      </c>
      <c r="F179">
        <v>2</v>
      </c>
      <c r="G179">
        <f>-(Table2291[[#This Row],[time]]-2)*2</f>
        <v>0</v>
      </c>
      <c r="H179">
        <v>87.831100000000006</v>
      </c>
      <c r="I179">
        <v>3.8477199999999998E-3</v>
      </c>
      <c r="J179" s="2">
        <f>Table2291[[#This Row],[CFNM]]/Table2291[[#This Row],[CAREA]]</f>
        <v>4.3808172731526752E-5</v>
      </c>
      <c r="K179">
        <v>2</v>
      </c>
      <c r="L179">
        <f>-(Table3292[[#This Row],[time]]-2)*2</f>
        <v>0</v>
      </c>
      <c r="M179">
        <v>85.165199999999999</v>
      </c>
      <c r="N179">
        <v>3.6992800000000001E-3</v>
      </c>
      <c r="O179">
        <f>Table3292[[#This Row],[CFNM]]/Table3292[[#This Row],[CAREA]]</f>
        <v>4.3436521020322855E-5</v>
      </c>
      <c r="P179">
        <v>2</v>
      </c>
      <c r="Q179">
        <f>-(Table4293[[#This Row],[time]]-2)*2</f>
        <v>0</v>
      </c>
      <c r="R179">
        <v>79.099999999999994</v>
      </c>
      <c r="S179">
        <v>4.5241600000000002E-3</v>
      </c>
      <c r="T179">
        <f>Table4293[[#This Row],[CFNM]]/Table4293[[#This Row],[CAREA]]</f>
        <v>5.7195448798988631E-5</v>
      </c>
      <c r="U179">
        <v>2</v>
      </c>
      <c r="V179">
        <f>-(Table5294[[#This Row],[time]]-2)*2</f>
        <v>0</v>
      </c>
      <c r="W179">
        <v>83.228300000000004</v>
      </c>
      <c r="X179">
        <v>3.5028600000000001</v>
      </c>
      <c r="Y179">
        <f>Table5294[[#This Row],[CFNM]]/Table5294[[#This Row],[CAREA]]</f>
        <v>4.2087366917262517E-2</v>
      </c>
      <c r="Z179">
        <v>2</v>
      </c>
      <c r="AA179">
        <f>-(Table6295[[#This Row],[time]]-2)*2</f>
        <v>0</v>
      </c>
      <c r="AB179">
        <v>84.265100000000004</v>
      </c>
      <c r="AC179">
        <v>6.2692600000000001</v>
      </c>
      <c r="AD179">
        <f>Table6295[[#This Row],[CFNM]]/Table6295[[#This Row],[CAREA]]</f>
        <v>7.4399247137901692E-2</v>
      </c>
      <c r="AE179">
        <v>2</v>
      </c>
      <c r="AF179">
        <f>-(Table7296[[#This Row],[time]]-2)*2</f>
        <v>0</v>
      </c>
      <c r="AG179">
        <v>78.459599999999995</v>
      </c>
      <c r="AH179">
        <v>14.705299999999999</v>
      </c>
      <c r="AI179">
        <f>Table7296[[#This Row],[CFNM]]/Table7296[[#This Row],[CAREA]]</f>
        <v>0.18742512069906042</v>
      </c>
      <c r="AJ179">
        <v>2</v>
      </c>
      <c r="AK179">
        <f>-(Table8297[[#This Row],[time]]-2)*2</f>
        <v>0</v>
      </c>
      <c r="AL179">
        <v>83.005899999999997</v>
      </c>
      <c r="AM179">
        <v>14.6465</v>
      </c>
      <c r="AN179">
        <f>Table8297[[#This Row],[CFNM]]/Table8297[[#This Row],[CAREA]]</f>
        <v>0.17645131249706347</v>
      </c>
    </row>
    <row r="180" spans="1:40" x14ac:dyDescent="0.25">
      <c r="A180">
        <v>2.0512600000000001</v>
      </c>
      <c r="B180">
        <f>-(Table1290[[#This Row],[time]]-2)*2</f>
        <v>-0.10252000000000017</v>
      </c>
      <c r="C180">
        <v>90.140299999999996</v>
      </c>
      <c r="D180">
        <v>10.5723</v>
      </c>
      <c r="E180">
        <f>Table1290[[#This Row],[CFNM]]/Table1290[[#This Row],[CAREA]]</f>
        <v>0.11728716234580981</v>
      </c>
      <c r="F180">
        <v>2.0512600000000001</v>
      </c>
      <c r="G180">
        <f>-(Table2291[[#This Row],[time]]-2)*2</f>
        <v>-0.10252000000000017</v>
      </c>
      <c r="H180">
        <v>94.363600000000005</v>
      </c>
      <c r="I180">
        <v>2.5727000000000002</v>
      </c>
      <c r="J180">
        <f>Table2291[[#This Row],[CFNM]]/Table2291[[#This Row],[CAREA]]</f>
        <v>2.7263690660381756E-2</v>
      </c>
      <c r="K180">
        <v>2.0512600000000001</v>
      </c>
      <c r="L180">
        <f>-(Table3292[[#This Row],[time]]-2)*2</f>
        <v>-0.10252000000000017</v>
      </c>
      <c r="M180">
        <v>89.386799999999994</v>
      </c>
      <c r="N180">
        <v>3.8188300000000002</v>
      </c>
      <c r="O180">
        <f>Table3292[[#This Row],[CFNM]]/Table3292[[#This Row],[CAREA]]</f>
        <v>4.2722527263533323E-2</v>
      </c>
      <c r="P180">
        <v>2.0512600000000001</v>
      </c>
      <c r="Q180">
        <f>-(Table4293[[#This Row],[time]]-2)*2</f>
        <v>-0.10252000000000017</v>
      </c>
      <c r="R180">
        <v>84.326899999999995</v>
      </c>
      <c r="S180">
        <v>5.0367899999999999</v>
      </c>
      <c r="T180">
        <f>Table4293[[#This Row],[CFNM]]/Table4293[[#This Row],[CAREA]]</f>
        <v>5.9729339036535198E-2</v>
      </c>
      <c r="U180">
        <v>2.0512600000000001</v>
      </c>
      <c r="V180">
        <f>-(Table5294[[#This Row],[time]]-2)*2</f>
        <v>-0.10252000000000017</v>
      </c>
      <c r="W180">
        <v>82.595100000000002</v>
      </c>
      <c r="X180">
        <v>9.8749000000000002</v>
      </c>
      <c r="Y180">
        <f>Table5294[[#This Row],[CFNM]]/Table5294[[#This Row],[CAREA]]</f>
        <v>0.11955793987778936</v>
      </c>
      <c r="Z180">
        <v>2.0512600000000001</v>
      </c>
      <c r="AA180">
        <f>-(Table6295[[#This Row],[time]]-2)*2</f>
        <v>-0.10252000000000017</v>
      </c>
      <c r="AB180">
        <v>86.810199999999995</v>
      </c>
      <c r="AC180">
        <v>12.3775</v>
      </c>
      <c r="AD180">
        <f>Table6295[[#This Row],[CFNM]]/Table6295[[#This Row],[CAREA]]</f>
        <v>0.14258117133700879</v>
      </c>
      <c r="AE180">
        <v>2.0512600000000001</v>
      </c>
      <c r="AF180">
        <f>-(Table7296[[#This Row],[time]]-2)*2</f>
        <v>-0.10252000000000017</v>
      </c>
      <c r="AG180">
        <v>79.655299999999997</v>
      </c>
      <c r="AH180">
        <v>20.536300000000001</v>
      </c>
      <c r="AI180">
        <f>Table7296[[#This Row],[CFNM]]/Table7296[[#This Row],[CAREA]]</f>
        <v>0.25781460869521555</v>
      </c>
      <c r="AJ180">
        <v>2.0512600000000001</v>
      </c>
      <c r="AK180">
        <f>-(Table8297[[#This Row],[time]]-2)*2</f>
        <v>-0.10252000000000017</v>
      </c>
      <c r="AL180">
        <v>82.987300000000005</v>
      </c>
      <c r="AM180">
        <v>18.310300000000002</v>
      </c>
      <c r="AN180">
        <f>Table8297[[#This Row],[CFNM]]/Table8297[[#This Row],[CAREA]]</f>
        <v>0.22063978464174638</v>
      </c>
    </row>
    <row r="181" spans="1:40" x14ac:dyDescent="0.25">
      <c r="A181">
        <v>2.1153300000000002</v>
      </c>
      <c r="B181">
        <f>-(Table1290[[#This Row],[time]]-2)*2</f>
        <v>-0.23066000000000031</v>
      </c>
      <c r="C181">
        <v>90.654499999999999</v>
      </c>
      <c r="D181">
        <v>11.3405</v>
      </c>
      <c r="E181">
        <f>Table1290[[#This Row],[CFNM]]/Table1290[[#This Row],[CAREA]]</f>
        <v>0.12509583087436366</v>
      </c>
      <c r="F181">
        <v>2.1153300000000002</v>
      </c>
      <c r="G181">
        <f>-(Table2291[[#This Row],[time]]-2)*2</f>
        <v>-0.23066000000000031</v>
      </c>
      <c r="H181">
        <v>92.807900000000004</v>
      </c>
      <c r="I181">
        <v>1.84474</v>
      </c>
      <c r="J181">
        <f>Table2291[[#This Row],[CFNM]]/Table2291[[#This Row],[CAREA]]</f>
        <v>1.9876971680212567E-2</v>
      </c>
      <c r="K181">
        <v>2.1153300000000002</v>
      </c>
      <c r="L181">
        <f>-(Table3292[[#This Row],[time]]-2)*2</f>
        <v>-0.23066000000000031</v>
      </c>
      <c r="M181">
        <v>90.041499999999999</v>
      </c>
      <c r="N181">
        <v>5.0777900000000002</v>
      </c>
      <c r="O181">
        <f>Table3292[[#This Row],[CFNM]]/Table3292[[#This Row],[CAREA]]</f>
        <v>5.6393885041897351E-2</v>
      </c>
      <c r="P181">
        <v>2.1153300000000002</v>
      </c>
      <c r="Q181">
        <f>-(Table4293[[#This Row],[time]]-2)*2</f>
        <v>-0.23066000000000031</v>
      </c>
      <c r="R181">
        <v>81.868300000000005</v>
      </c>
      <c r="S181">
        <v>4.3657300000000001</v>
      </c>
      <c r="T181">
        <f>Table4293[[#This Row],[CFNM]]/Table4293[[#This Row],[CAREA]]</f>
        <v>5.3326256927284432E-2</v>
      </c>
      <c r="U181">
        <v>2.1153300000000002</v>
      </c>
      <c r="V181">
        <f>-(Table5294[[#This Row],[time]]-2)*2</f>
        <v>-0.23066000000000031</v>
      </c>
      <c r="W181">
        <v>83.742099999999994</v>
      </c>
      <c r="X181">
        <v>10.4892</v>
      </c>
      <c r="Y181">
        <f>Table5294[[#This Row],[CFNM]]/Table5294[[#This Row],[CAREA]]</f>
        <v>0.12525599429677547</v>
      </c>
      <c r="Z181">
        <v>2.1153300000000002</v>
      </c>
      <c r="AA181">
        <f>-(Table6295[[#This Row],[time]]-2)*2</f>
        <v>-0.23066000000000031</v>
      </c>
      <c r="AB181">
        <v>83.865300000000005</v>
      </c>
      <c r="AC181">
        <v>8.5370699999999999</v>
      </c>
      <c r="AD181">
        <f>Table6295[[#This Row],[CFNM]]/Table6295[[#This Row],[CAREA]]</f>
        <v>0.10179502130201644</v>
      </c>
      <c r="AE181">
        <v>2.1153300000000002</v>
      </c>
      <c r="AF181">
        <f>-(Table7296[[#This Row],[time]]-2)*2</f>
        <v>-0.23066000000000031</v>
      </c>
      <c r="AG181">
        <v>80.233099999999993</v>
      </c>
      <c r="AH181">
        <v>21.8569</v>
      </c>
      <c r="AI181">
        <f>Table7296[[#This Row],[CFNM]]/Table7296[[#This Row],[CAREA]]</f>
        <v>0.27241749352823214</v>
      </c>
      <c r="AJ181">
        <v>2.1153300000000002</v>
      </c>
      <c r="AK181">
        <f>-(Table8297[[#This Row],[time]]-2)*2</f>
        <v>-0.23066000000000031</v>
      </c>
      <c r="AL181">
        <v>82.752700000000004</v>
      </c>
      <c r="AM181">
        <v>17.371400000000001</v>
      </c>
      <c r="AN181">
        <f>Table8297[[#This Row],[CFNM]]/Table8297[[#This Row],[CAREA]]</f>
        <v>0.20991943465288745</v>
      </c>
    </row>
    <row r="182" spans="1:40" x14ac:dyDescent="0.25">
      <c r="A182">
        <v>2.16533</v>
      </c>
      <c r="B182">
        <f>-(Table1290[[#This Row],[time]]-2)*2</f>
        <v>-0.33065999999999995</v>
      </c>
      <c r="C182">
        <v>91.581699999999998</v>
      </c>
      <c r="D182">
        <v>12.4191</v>
      </c>
      <c r="E182">
        <f>Table1290[[#This Row],[CFNM]]/Table1290[[#This Row],[CAREA]]</f>
        <v>0.13560678607188992</v>
      </c>
      <c r="F182">
        <v>2.16533</v>
      </c>
      <c r="G182">
        <f>-(Table2291[[#This Row],[time]]-2)*2</f>
        <v>-0.33065999999999995</v>
      </c>
      <c r="H182">
        <v>91.381100000000004</v>
      </c>
      <c r="I182">
        <v>1.7529699999999999</v>
      </c>
      <c r="J182">
        <f>Table2291[[#This Row],[CFNM]]/Table2291[[#This Row],[CAREA]]</f>
        <v>1.9183069584410781E-2</v>
      </c>
      <c r="K182">
        <v>2.16533</v>
      </c>
      <c r="L182">
        <f>-(Table3292[[#This Row],[time]]-2)*2</f>
        <v>-0.33065999999999995</v>
      </c>
      <c r="M182">
        <v>90.448899999999995</v>
      </c>
      <c r="N182">
        <v>6.6112500000000001</v>
      </c>
      <c r="O182">
        <f>Table3292[[#This Row],[CFNM]]/Table3292[[#This Row],[CAREA]]</f>
        <v>7.3093757911925961E-2</v>
      </c>
      <c r="P182">
        <v>2.16533</v>
      </c>
      <c r="Q182">
        <f>-(Table4293[[#This Row],[time]]-2)*2</f>
        <v>-0.33065999999999995</v>
      </c>
      <c r="R182">
        <v>81.313299999999998</v>
      </c>
      <c r="S182">
        <v>4.4963300000000004</v>
      </c>
      <c r="T182">
        <f>Table4293[[#This Row],[CFNM]]/Table4293[[#This Row],[CAREA]]</f>
        <v>5.5296366031141284E-2</v>
      </c>
      <c r="U182">
        <v>2.16533</v>
      </c>
      <c r="V182">
        <f>-(Table5294[[#This Row],[time]]-2)*2</f>
        <v>-0.33065999999999995</v>
      </c>
      <c r="W182">
        <v>83.561700000000002</v>
      </c>
      <c r="X182">
        <v>11.5472</v>
      </c>
      <c r="Y182">
        <f>Table5294[[#This Row],[CFNM]]/Table5294[[#This Row],[CAREA]]</f>
        <v>0.13818771039842415</v>
      </c>
      <c r="Z182">
        <v>2.16533</v>
      </c>
      <c r="AA182">
        <f>-(Table6295[[#This Row],[time]]-2)*2</f>
        <v>-0.33065999999999995</v>
      </c>
      <c r="AB182">
        <v>83.489900000000006</v>
      </c>
      <c r="AC182">
        <v>6.3114600000000003</v>
      </c>
      <c r="AD182">
        <f>Table6295[[#This Row],[CFNM]]/Table6295[[#This Row],[CAREA]]</f>
        <v>7.5595491191150069E-2</v>
      </c>
      <c r="AE182">
        <v>2.16533</v>
      </c>
      <c r="AF182">
        <f>-(Table7296[[#This Row],[time]]-2)*2</f>
        <v>-0.33065999999999995</v>
      </c>
      <c r="AG182">
        <v>80.519099999999995</v>
      </c>
      <c r="AH182">
        <v>23.132899999999999</v>
      </c>
      <c r="AI182">
        <f>Table7296[[#This Row],[CFNM]]/Table7296[[#This Row],[CAREA]]</f>
        <v>0.28729705125864546</v>
      </c>
      <c r="AJ182">
        <v>2.16533</v>
      </c>
      <c r="AK182">
        <f>-(Table8297[[#This Row],[time]]-2)*2</f>
        <v>-0.33065999999999995</v>
      </c>
      <c r="AL182">
        <v>82.688100000000006</v>
      </c>
      <c r="AM182">
        <v>16.6751</v>
      </c>
      <c r="AN182">
        <f>Table8297[[#This Row],[CFNM]]/Table8297[[#This Row],[CAREA]]</f>
        <v>0.20166263343818516</v>
      </c>
    </row>
    <row r="183" spans="1:40" x14ac:dyDescent="0.25">
      <c r="A183">
        <v>2.2246999999999999</v>
      </c>
      <c r="B183">
        <f>-(Table1290[[#This Row],[time]]-2)*2</f>
        <v>-0.4493999999999998</v>
      </c>
      <c r="C183">
        <v>94.174899999999994</v>
      </c>
      <c r="D183">
        <v>14.1584</v>
      </c>
      <c r="E183">
        <f>Table1290[[#This Row],[CFNM]]/Table1290[[#This Row],[CAREA]]</f>
        <v>0.15034154535868902</v>
      </c>
      <c r="F183">
        <v>2.2246999999999999</v>
      </c>
      <c r="G183">
        <f>-(Table2291[[#This Row],[time]]-2)*2</f>
        <v>-0.4493999999999998</v>
      </c>
      <c r="H183">
        <v>89.755899999999997</v>
      </c>
      <c r="I183">
        <v>1.5246</v>
      </c>
      <c r="J183">
        <f>Table2291[[#This Row],[CFNM]]/Table2291[[#This Row],[CAREA]]</f>
        <v>1.6986069996512764E-2</v>
      </c>
      <c r="K183">
        <v>2.2246999999999999</v>
      </c>
      <c r="L183">
        <f>-(Table3292[[#This Row],[time]]-2)*2</f>
        <v>-0.4493999999999998</v>
      </c>
      <c r="M183">
        <v>90.565899999999999</v>
      </c>
      <c r="N183">
        <v>9.0585100000000001</v>
      </c>
      <c r="O183">
        <f>Table3292[[#This Row],[CFNM]]/Table3292[[#This Row],[CAREA]]</f>
        <v>0.10002120003224171</v>
      </c>
      <c r="P183">
        <v>2.2246999999999999</v>
      </c>
      <c r="Q183">
        <f>-(Table4293[[#This Row],[time]]-2)*2</f>
        <v>-0.4493999999999998</v>
      </c>
      <c r="R183">
        <v>79.843100000000007</v>
      </c>
      <c r="S183">
        <v>4.7135499999999997</v>
      </c>
      <c r="T183">
        <f>Table4293[[#This Row],[CFNM]]/Table4293[[#This Row],[CAREA]]</f>
        <v>5.9035157703045085E-2</v>
      </c>
      <c r="U183">
        <v>2.2246999999999999</v>
      </c>
      <c r="V183">
        <f>-(Table5294[[#This Row],[time]]-2)*2</f>
        <v>-0.4493999999999998</v>
      </c>
      <c r="W183">
        <v>84.360799999999998</v>
      </c>
      <c r="X183">
        <v>13.7517</v>
      </c>
      <c r="Y183">
        <f>Table5294[[#This Row],[CFNM]]/Table5294[[#This Row],[CAREA]]</f>
        <v>0.16301054518212249</v>
      </c>
      <c r="Z183">
        <v>2.2246999999999999</v>
      </c>
      <c r="AA183">
        <f>-(Table6295[[#This Row],[time]]-2)*2</f>
        <v>-0.4493999999999998</v>
      </c>
      <c r="AB183">
        <v>82.029799999999994</v>
      </c>
      <c r="AC183">
        <v>4.77583</v>
      </c>
      <c r="AD183">
        <f>Table6295[[#This Row],[CFNM]]/Table6295[[#This Row],[CAREA]]</f>
        <v>5.822067102443259E-2</v>
      </c>
      <c r="AE183">
        <v>2.2246999999999999</v>
      </c>
      <c r="AF183">
        <f>-(Table7296[[#This Row],[time]]-2)*2</f>
        <v>-0.4493999999999998</v>
      </c>
      <c r="AG183">
        <v>80.2577</v>
      </c>
      <c r="AH183">
        <v>25.084</v>
      </c>
      <c r="AI183">
        <f>Table7296[[#This Row],[CFNM]]/Table7296[[#This Row],[CAREA]]</f>
        <v>0.31254322015208508</v>
      </c>
      <c r="AJ183">
        <v>2.2246999999999999</v>
      </c>
      <c r="AK183">
        <f>-(Table8297[[#This Row],[time]]-2)*2</f>
        <v>-0.4493999999999998</v>
      </c>
      <c r="AL183">
        <v>82.552199999999999</v>
      </c>
      <c r="AM183">
        <v>15.658899999999999</v>
      </c>
      <c r="AN183">
        <f>Table8297[[#This Row],[CFNM]]/Table8297[[#This Row],[CAREA]]</f>
        <v>0.18968482971986209</v>
      </c>
    </row>
    <row r="184" spans="1:40" x14ac:dyDescent="0.25">
      <c r="A184">
        <v>2.2668900000000001</v>
      </c>
      <c r="B184">
        <f>-(Table1290[[#This Row],[time]]-2)*2</f>
        <v>-0.53378000000000014</v>
      </c>
      <c r="C184">
        <v>95.912599999999998</v>
      </c>
      <c r="D184">
        <v>16.063500000000001</v>
      </c>
      <c r="E184">
        <f>Table1290[[#This Row],[CFNM]]/Table1290[[#This Row],[CAREA]]</f>
        <v>0.16748060213152394</v>
      </c>
      <c r="F184">
        <v>2.2668900000000001</v>
      </c>
      <c r="G184">
        <f>-(Table2291[[#This Row],[time]]-2)*2</f>
        <v>-0.53378000000000014</v>
      </c>
      <c r="H184">
        <v>88.999799999999993</v>
      </c>
      <c r="I184">
        <v>1.3022199999999999</v>
      </c>
      <c r="J184">
        <f>Table2291[[#This Row],[CFNM]]/Table2291[[#This Row],[CAREA]]</f>
        <v>1.463171827352421E-2</v>
      </c>
      <c r="K184">
        <v>2.2668900000000001</v>
      </c>
      <c r="L184">
        <f>-(Table3292[[#This Row],[time]]-2)*2</f>
        <v>-0.53378000000000014</v>
      </c>
      <c r="M184">
        <v>90.1584</v>
      </c>
      <c r="N184">
        <v>11.096299999999999</v>
      </c>
      <c r="O184">
        <f>Table3292[[#This Row],[CFNM]]/Table3292[[#This Row],[CAREA]]</f>
        <v>0.123075609150118</v>
      </c>
      <c r="P184">
        <v>2.2668900000000001</v>
      </c>
      <c r="Q184">
        <f>-(Table4293[[#This Row],[time]]-2)*2</f>
        <v>-0.53378000000000014</v>
      </c>
      <c r="R184">
        <v>78.709500000000006</v>
      </c>
      <c r="S184">
        <v>4.82402</v>
      </c>
      <c r="T184">
        <f>Table4293[[#This Row],[CFNM]]/Table4293[[#This Row],[CAREA]]</f>
        <v>6.1288916839771564E-2</v>
      </c>
      <c r="U184">
        <v>2.2668900000000001</v>
      </c>
      <c r="V184">
        <f>-(Table5294[[#This Row],[time]]-2)*2</f>
        <v>-0.53378000000000014</v>
      </c>
      <c r="W184">
        <v>84.7059</v>
      </c>
      <c r="X184">
        <v>15.890499999999999</v>
      </c>
      <c r="Y184">
        <f>Table5294[[#This Row],[CFNM]]/Table5294[[#This Row],[CAREA]]</f>
        <v>0.18759614147302608</v>
      </c>
      <c r="Z184">
        <v>2.2668900000000001</v>
      </c>
      <c r="AA184">
        <f>-(Table6295[[#This Row],[time]]-2)*2</f>
        <v>-0.53378000000000014</v>
      </c>
      <c r="AB184">
        <v>81.475499999999997</v>
      </c>
      <c r="AC184">
        <v>3.9538500000000001</v>
      </c>
      <c r="AD184">
        <f>Table6295[[#This Row],[CFNM]]/Table6295[[#This Row],[CAREA]]</f>
        <v>4.8528085129885677E-2</v>
      </c>
      <c r="AE184">
        <v>2.2668900000000001</v>
      </c>
      <c r="AF184">
        <f>-(Table7296[[#This Row],[time]]-2)*2</f>
        <v>-0.53378000000000014</v>
      </c>
      <c r="AG184">
        <v>79.401399999999995</v>
      </c>
      <c r="AH184">
        <v>27.0639</v>
      </c>
      <c r="AI184">
        <f>Table7296[[#This Row],[CFNM]]/Table7296[[#This Row],[CAREA]]</f>
        <v>0.34084915379325809</v>
      </c>
      <c r="AJ184">
        <v>2.2668900000000001</v>
      </c>
      <c r="AK184">
        <f>-(Table8297[[#This Row],[time]]-2)*2</f>
        <v>-0.53378000000000014</v>
      </c>
      <c r="AL184">
        <v>82.571299999999994</v>
      </c>
      <c r="AM184">
        <v>14.799899999999999</v>
      </c>
      <c r="AN184">
        <f>Table8297[[#This Row],[CFNM]]/Table8297[[#This Row],[CAREA]]</f>
        <v>0.17923782234262994</v>
      </c>
    </row>
    <row r="185" spans="1:40" x14ac:dyDescent="0.25">
      <c r="A185">
        <v>2.3262700000000001</v>
      </c>
      <c r="B185">
        <f>-(Table1290[[#This Row],[time]]-2)*2</f>
        <v>-0.65254000000000012</v>
      </c>
      <c r="C185">
        <v>97.935699999999997</v>
      </c>
      <c r="D185">
        <v>18.588000000000001</v>
      </c>
      <c r="E185">
        <f>Table1290[[#This Row],[CFNM]]/Table1290[[#This Row],[CAREA]]</f>
        <v>0.18979800011640291</v>
      </c>
      <c r="F185">
        <v>2.3262700000000001</v>
      </c>
      <c r="G185">
        <f>-(Table2291[[#This Row],[time]]-2)*2</f>
        <v>-0.65254000000000012</v>
      </c>
      <c r="H185">
        <v>87.854900000000001</v>
      </c>
      <c r="I185">
        <v>1.0221499999999999</v>
      </c>
      <c r="J185">
        <f>Table2291[[#This Row],[CFNM]]/Table2291[[#This Row],[CAREA]]</f>
        <v>1.1634524653718802E-2</v>
      </c>
      <c r="K185">
        <v>2.3262700000000001</v>
      </c>
      <c r="L185">
        <f>-(Table3292[[#This Row],[time]]-2)*2</f>
        <v>-0.65254000000000012</v>
      </c>
      <c r="M185">
        <v>89.491699999999994</v>
      </c>
      <c r="N185">
        <v>13.419700000000001</v>
      </c>
      <c r="O185">
        <f>Table3292[[#This Row],[CFNM]]/Table3292[[#This Row],[CAREA]]</f>
        <v>0.1499546885353614</v>
      </c>
      <c r="P185">
        <v>2.3262700000000001</v>
      </c>
      <c r="Q185">
        <f>-(Table4293[[#This Row],[time]]-2)*2</f>
        <v>-0.65254000000000012</v>
      </c>
      <c r="R185">
        <v>78.286799999999999</v>
      </c>
      <c r="S185">
        <v>4.94869</v>
      </c>
      <c r="T185">
        <f>Table4293[[#This Row],[CFNM]]/Table4293[[#This Row],[CAREA]]</f>
        <v>6.3212316763490137E-2</v>
      </c>
      <c r="U185">
        <v>2.3262700000000001</v>
      </c>
      <c r="V185">
        <f>-(Table5294[[#This Row],[time]]-2)*2</f>
        <v>-0.65254000000000012</v>
      </c>
      <c r="W185">
        <v>84.602999999999994</v>
      </c>
      <c r="X185">
        <v>18.427700000000002</v>
      </c>
      <c r="Y185">
        <f>Table5294[[#This Row],[CFNM]]/Table5294[[#This Row],[CAREA]]</f>
        <v>0.21781378910913327</v>
      </c>
      <c r="Z185">
        <v>2.3262700000000001</v>
      </c>
      <c r="AA185">
        <f>-(Table6295[[#This Row],[time]]-2)*2</f>
        <v>-0.65254000000000012</v>
      </c>
      <c r="AB185">
        <v>79.884399999999999</v>
      </c>
      <c r="AC185">
        <v>3.31107</v>
      </c>
      <c r="AD185">
        <f>Table6295[[#This Row],[CFNM]]/Table6295[[#This Row],[CAREA]]</f>
        <v>4.1448267746894259E-2</v>
      </c>
      <c r="AE185">
        <v>2.3262700000000001</v>
      </c>
      <c r="AF185">
        <f>-(Table7296[[#This Row],[time]]-2)*2</f>
        <v>-0.65254000000000012</v>
      </c>
      <c r="AG185">
        <v>78.091499999999996</v>
      </c>
      <c r="AH185">
        <v>29.675599999999999</v>
      </c>
      <c r="AI185">
        <f>Table7296[[#This Row],[CFNM]]/Table7296[[#This Row],[CAREA]]</f>
        <v>0.38001062855752549</v>
      </c>
      <c r="AJ185">
        <v>2.3262700000000001</v>
      </c>
      <c r="AK185">
        <f>-(Table8297[[#This Row],[time]]-2)*2</f>
        <v>-0.65254000000000012</v>
      </c>
      <c r="AL185">
        <v>82.346900000000005</v>
      </c>
      <c r="AM185">
        <v>14.0953</v>
      </c>
      <c r="AN185">
        <f>Table8297[[#This Row],[CFNM]]/Table8297[[#This Row],[CAREA]]</f>
        <v>0.17116977081104448</v>
      </c>
    </row>
    <row r="186" spans="1:40" x14ac:dyDescent="0.25">
      <c r="A186">
        <v>2.3684599999999998</v>
      </c>
      <c r="B186">
        <f>-(Table1290[[#This Row],[time]]-2)*2</f>
        <v>-0.73691999999999958</v>
      </c>
      <c r="C186">
        <v>99.192700000000002</v>
      </c>
      <c r="D186">
        <v>21.026199999999999</v>
      </c>
      <c r="E186">
        <f>Table1290[[#This Row],[CFNM]]/Table1290[[#This Row],[CAREA]]</f>
        <v>0.21197326012902157</v>
      </c>
      <c r="F186">
        <v>2.3684599999999998</v>
      </c>
      <c r="G186">
        <f>-(Table2291[[#This Row],[time]]-2)*2</f>
        <v>-0.73691999999999958</v>
      </c>
      <c r="H186">
        <v>86.356300000000005</v>
      </c>
      <c r="I186">
        <v>0.87992700000000001</v>
      </c>
      <c r="J186">
        <f>Table2291[[#This Row],[CFNM]]/Table2291[[#This Row],[CAREA]]</f>
        <v>1.0189493991752773E-2</v>
      </c>
      <c r="K186">
        <v>2.3684599999999998</v>
      </c>
      <c r="L186">
        <f>-(Table3292[[#This Row],[time]]-2)*2</f>
        <v>-0.73691999999999958</v>
      </c>
      <c r="M186">
        <v>88.746499999999997</v>
      </c>
      <c r="N186">
        <v>15.5594</v>
      </c>
      <c r="O186">
        <f>Table3292[[#This Row],[CFNM]]/Table3292[[#This Row],[CAREA]]</f>
        <v>0.17532409728834378</v>
      </c>
      <c r="P186">
        <v>2.3684599999999998</v>
      </c>
      <c r="Q186">
        <f>-(Table4293[[#This Row],[time]]-2)*2</f>
        <v>-0.73691999999999958</v>
      </c>
      <c r="R186">
        <v>76.851100000000002</v>
      </c>
      <c r="S186">
        <v>5.0676300000000003</v>
      </c>
      <c r="T186">
        <f>Table4293[[#This Row],[CFNM]]/Table4293[[#This Row],[CAREA]]</f>
        <v>6.5940890891607276E-2</v>
      </c>
      <c r="U186">
        <v>2.3684599999999998</v>
      </c>
      <c r="V186">
        <f>-(Table5294[[#This Row],[time]]-2)*2</f>
        <v>-0.73691999999999958</v>
      </c>
      <c r="W186">
        <v>84.444299999999998</v>
      </c>
      <c r="X186">
        <v>20.817599999999999</v>
      </c>
      <c r="Y186">
        <f>Table5294[[#This Row],[CFNM]]/Table5294[[#This Row],[CAREA]]</f>
        <v>0.24652463221318668</v>
      </c>
      <c r="Z186">
        <v>2.3684599999999998</v>
      </c>
      <c r="AA186">
        <f>-(Table6295[[#This Row],[time]]-2)*2</f>
        <v>-0.73691999999999958</v>
      </c>
      <c r="AB186">
        <v>79.111099999999993</v>
      </c>
      <c r="AC186">
        <v>2.9117799999999998</v>
      </c>
      <c r="AD186">
        <f>Table6295[[#This Row],[CFNM]]/Table6295[[#This Row],[CAREA]]</f>
        <v>3.6806213034580482E-2</v>
      </c>
      <c r="AE186">
        <v>2.3684599999999998</v>
      </c>
      <c r="AF186">
        <f>-(Table7296[[#This Row],[time]]-2)*2</f>
        <v>-0.73691999999999958</v>
      </c>
      <c r="AG186">
        <v>76.926199999999994</v>
      </c>
      <c r="AH186">
        <v>32.078000000000003</v>
      </c>
      <c r="AI186">
        <f>Table7296[[#This Row],[CFNM]]/Table7296[[#This Row],[CAREA]]</f>
        <v>0.41699706991896135</v>
      </c>
      <c r="AJ186">
        <v>2.3684599999999998</v>
      </c>
      <c r="AK186">
        <f>-(Table8297[[#This Row],[time]]-2)*2</f>
        <v>-0.73691999999999958</v>
      </c>
      <c r="AL186">
        <v>82.482600000000005</v>
      </c>
      <c r="AM186">
        <v>13.480399999999999</v>
      </c>
      <c r="AN186">
        <f>Table8297[[#This Row],[CFNM]]/Table8297[[#This Row],[CAREA]]</f>
        <v>0.16343325743853854</v>
      </c>
    </row>
    <row r="187" spans="1:40" x14ac:dyDescent="0.25">
      <c r="A187">
        <v>2.4278300000000002</v>
      </c>
      <c r="B187">
        <f>-(Table1290[[#This Row],[time]]-2)*2</f>
        <v>-0.85566000000000031</v>
      </c>
      <c r="C187">
        <v>100.254</v>
      </c>
      <c r="D187">
        <v>24.678999999999998</v>
      </c>
      <c r="E187">
        <f>Table1290[[#This Row],[CFNM]]/Table1290[[#This Row],[CAREA]]</f>
        <v>0.2461647415564466</v>
      </c>
      <c r="F187">
        <v>2.4278300000000002</v>
      </c>
      <c r="G187">
        <f>-(Table2291[[#This Row],[time]]-2)*2</f>
        <v>-0.85566000000000031</v>
      </c>
      <c r="H187">
        <v>85.231800000000007</v>
      </c>
      <c r="I187">
        <v>0.82355299999999998</v>
      </c>
      <c r="J187">
        <f>Table2291[[#This Row],[CFNM]]/Table2291[[#This Row],[CAREA]]</f>
        <v>9.6625085942101414E-3</v>
      </c>
      <c r="K187">
        <v>2.4278300000000002</v>
      </c>
      <c r="L187">
        <f>-(Table3292[[#This Row],[time]]-2)*2</f>
        <v>-0.85566000000000031</v>
      </c>
      <c r="M187">
        <v>87.3643</v>
      </c>
      <c r="N187">
        <v>18.915700000000001</v>
      </c>
      <c r="O187">
        <f>Table3292[[#This Row],[CFNM]]/Table3292[[#This Row],[CAREA]]</f>
        <v>0.21651521273563687</v>
      </c>
      <c r="P187">
        <v>2.4278300000000002</v>
      </c>
      <c r="Q187">
        <f>-(Table4293[[#This Row],[time]]-2)*2</f>
        <v>-0.85566000000000031</v>
      </c>
      <c r="R187">
        <v>75.437299999999993</v>
      </c>
      <c r="S187">
        <v>5.21007</v>
      </c>
      <c r="T187">
        <f>Table4293[[#This Row],[CFNM]]/Table4293[[#This Row],[CAREA]]</f>
        <v>6.90649055573304E-2</v>
      </c>
      <c r="U187">
        <v>2.4278300000000002</v>
      </c>
      <c r="V187">
        <f>-(Table5294[[#This Row],[time]]-2)*2</f>
        <v>-0.85566000000000031</v>
      </c>
      <c r="W187">
        <v>84.548400000000001</v>
      </c>
      <c r="X187">
        <v>24.144100000000002</v>
      </c>
      <c r="Y187">
        <f>Table5294[[#This Row],[CFNM]]/Table5294[[#This Row],[CAREA]]</f>
        <v>0.28556542761305953</v>
      </c>
      <c r="Z187">
        <v>2.4278300000000002</v>
      </c>
      <c r="AA187">
        <f>-(Table6295[[#This Row],[time]]-2)*2</f>
        <v>-0.85566000000000031</v>
      </c>
      <c r="AB187">
        <v>77.291399999999996</v>
      </c>
      <c r="AC187">
        <v>2.62575</v>
      </c>
      <c r="AD187">
        <f>Table6295[[#This Row],[CFNM]]/Table6295[[#This Row],[CAREA]]</f>
        <v>3.397208486325775E-2</v>
      </c>
      <c r="AE187">
        <v>2.4278300000000002</v>
      </c>
      <c r="AF187">
        <f>-(Table7296[[#This Row],[time]]-2)*2</f>
        <v>-0.85566000000000031</v>
      </c>
      <c r="AG187">
        <v>75.420599999999993</v>
      </c>
      <c r="AH187">
        <v>35.4529</v>
      </c>
      <c r="AI187">
        <f>Table7296[[#This Row],[CFNM]]/Table7296[[#This Row],[CAREA]]</f>
        <v>0.47006918534193581</v>
      </c>
      <c r="AJ187">
        <v>2.4278300000000002</v>
      </c>
      <c r="AK187">
        <f>-(Table8297[[#This Row],[time]]-2)*2</f>
        <v>-0.85566000000000031</v>
      </c>
      <c r="AL187">
        <v>82.570099999999996</v>
      </c>
      <c r="AM187">
        <v>12.532999999999999</v>
      </c>
      <c r="AN187">
        <f>Table8297[[#This Row],[CFNM]]/Table8297[[#This Row],[CAREA]]</f>
        <v>0.15178617925859361</v>
      </c>
    </row>
    <row r="188" spans="1:40" x14ac:dyDescent="0.25">
      <c r="A188">
        <v>2.4542000000000002</v>
      </c>
      <c r="B188">
        <f>-(Table1290[[#This Row],[time]]-2)*2</f>
        <v>-0.90840000000000032</v>
      </c>
      <c r="C188">
        <v>100.855</v>
      </c>
      <c r="D188">
        <v>27.744900000000001</v>
      </c>
      <c r="E188">
        <f>Table1290[[#This Row],[CFNM]]/Table1290[[#This Row],[CAREA]]</f>
        <v>0.27509692132269098</v>
      </c>
      <c r="F188">
        <v>2.4542000000000002</v>
      </c>
      <c r="G188">
        <f>-(Table2291[[#This Row],[time]]-2)*2</f>
        <v>-0.90840000000000032</v>
      </c>
      <c r="H188">
        <v>84.225200000000001</v>
      </c>
      <c r="I188">
        <v>0.75962099999999999</v>
      </c>
      <c r="J188">
        <f>Table2291[[#This Row],[CFNM]]/Table2291[[#This Row],[CAREA]]</f>
        <v>9.0189278268261747E-3</v>
      </c>
      <c r="K188">
        <v>2.4542000000000002</v>
      </c>
      <c r="L188">
        <f>-(Table3292[[#This Row],[time]]-2)*2</f>
        <v>-0.90840000000000032</v>
      </c>
      <c r="M188">
        <v>86.349500000000006</v>
      </c>
      <c r="N188">
        <v>21.860199999999999</v>
      </c>
      <c r="O188">
        <f>Table3292[[#This Row],[CFNM]]/Table3292[[#This Row],[CAREA]]</f>
        <v>0.2531595434831701</v>
      </c>
      <c r="P188">
        <v>2.4542000000000002</v>
      </c>
      <c r="Q188">
        <f>-(Table4293[[#This Row],[time]]-2)*2</f>
        <v>-0.90840000000000032</v>
      </c>
      <c r="R188">
        <v>74.420699999999997</v>
      </c>
      <c r="S188">
        <v>5.2331799999999999</v>
      </c>
      <c r="T188">
        <f>Table4293[[#This Row],[CFNM]]/Table4293[[#This Row],[CAREA]]</f>
        <v>7.0318876334138219E-2</v>
      </c>
      <c r="U188">
        <v>2.4542000000000002</v>
      </c>
      <c r="V188">
        <f>-(Table5294[[#This Row],[time]]-2)*2</f>
        <v>-0.90840000000000032</v>
      </c>
      <c r="W188">
        <v>84.1584</v>
      </c>
      <c r="X188">
        <v>26.733599999999999</v>
      </c>
      <c r="Y188">
        <f>Table5294[[#This Row],[CFNM]]/Table5294[[#This Row],[CAREA]]</f>
        <v>0.3176581303827069</v>
      </c>
      <c r="Z188">
        <v>2.4542000000000002</v>
      </c>
      <c r="AA188">
        <f>-(Table6295[[#This Row],[time]]-2)*2</f>
        <v>-0.90840000000000032</v>
      </c>
      <c r="AB188">
        <v>75.642499999999998</v>
      </c>
      <c r="AC188">
        <v>2.4251499999999999</v>
      </c>
      <c r="AD188">
        <f>Table6295[[#This Row],[CFNM]]/Table6295[[#This Row],[CAREA]]</f>
        <v>3.2060680173183066E-2</v>
      </c>
      <c r="AE188">
        <v>2.4542000000000002</v>
      </c>
      <c r="AF188">
        <f>-(Table7296[[#This Row],[time]]-2)*2</f>
        <v>-0.90840000000000032</v>
      </c>
      <c r="AG188">
        <v>74.377300000000005</v>
      </c>
      <c r="AH188">
        <v>37.946399999999997</v>
      </c>
      <c r="AI188">
        <f>Table7296[[#This Row],[CFNM]]/Table7296[[#This Row],[CAREA]]</f>
        <v>0.51018792023910509</v>
      </c>
      <c r="AJ188">
        <v>2.4542000000000002</v>
      </c>
      <c r="AK188">
        <f>-(Table8297[[#This Row],[time]]-2)*2</f>
        <v>-0.90840000000000032</v>
      </c>
      <c r="AL188">
        <v>82.0381</v>
      </c>
      <c r="AM188">
        <v>11.770799999999999</v>
      </c>
      <c r="AN188">
        <f>Table8297[[#This Row],[CFNM]]/Table8297[[#This Row],[CAREA]]</f>
        <v>0.14347967590668237</v>
      </c>
    </row>
    <row r="189" spans="1:40" x14ac:dyDescent="0.25">
      <c r="A189">
        <v>2.5061499999999999</v>
      </c>
      <c r="B189">
        <f>-(Table1290[[#This Row],[time]]-2)*2</f>
        <v>-1.0122999999999998</v>
      </c>
      <c r="C189">
        <v>100.999</v>
      </c>
      <c r="D189">
        <v>31.264600000000002</v>
      </c>
      <c r="E189">
        <f>Table1290[[#This Row],[CFNM]]/Table1290[[#This Row],[CAREA]]</f>
        <v>0.30955355993623701</v>
      </c>
      <c r="F189">
        <v>2.5061499999999999</v>
      </c>
      <c r="G189">
        <f>-(Table2291[[#This Row],[time]]-2)*2</f>
        <v>-1.0122999999999998</v>
      </c>
      <c r="H189">
        <v>82.898499999999999</v>
      </c>
      <c r="I189">
        <v>0.57060500000000003</v>
      </c>
      <c r="J189">
        <f>Table2291[[#This Row],[CFNM]]/Table2291[[#This Row],[CAREA]]</f>
        <v>6.8831764145310236E-3</v>
      </c>
      <c r="K189">
        <v>2.5061499999999999</v>
      </c>
      <c r="L189">
        <f>-(Table3292[[#This Row],[time]]-2)*2</f>
        <v>-1.0122999999999998</v>
      </c>
      <c r="M189">
        <v>85.361400000000003</v>
      </c>
      <c r="N189">
        <v>24.977900000000002</v>
      </c>
      <c r="O189">
        <f>Table3292[[#This Row],[CFNM]]/Table3292[[#This Row],[CAREA]]</f>
        <v>0.29261352320838224</v>
      </c>
      <c r="P189">
        <v>2.5061499999999999</v>
      </c>
      <c r="Q189">
        <f>-(Table4293[[#This Row],[time]]-2)*2</f>
        <v>-1.0122999999999998</v>
      </c>
      <c r="R189">
        <v>73.465000000000003</v>
      </c>
      <c r="S189">
        <v>5.2742100000000001</v>
      </c>
      <c r="T189">
        <f>Table4293[[#This Row],[CFNM]]/Table4293[[#This Row],[CAREA]]</f>
        <v>7.1792145919825759E-2</v>
      </c>
      <c r="U189">
        <v>2.5061499999999999</v>
      </c>
      <c r="V189">
        <f>-(Table5294[[#This Row],[time]]-2)*2</f>
        <v>-1.0122999999999998</v>
      </c>
      <c r="W189">
        <v>84.145499999999998</v>
      </c>
      <c r="X189">
        <v>29.371200000000002</v>
      </c>
      <c r="Y189">
        <f>Table5294[[#This Row],[CFNM]]/Table5294[[#This Row],[CAREA]]</f>
        <v>0.34905253400360092</v>
      </c>
      <c r="Z189">
        <v>2.5061499999999999</v>
      </c>
      <c r="AA189">
        <f>-(Table6295[[#This Row],[time]]-2)*2</f>
        <v>-1.0122999999999998</v>
      </c>
      <c r="AB189">
        <v>74.280900000000003</v>
      </c>
      <c r="AC189">
        <v>2.2110799999999999</v>
      </c>
      <c r="AD189">
        <f>Table6295[[#This Row],[CFNM]]/Table6295[[#This Row],[CAREA]]</f>
        <v>2.9766467557609019E-2</v>
      </c>
      <c r="AE189">
        <v>2.5061499999999999</v>
      </c>
      <c r="AF189">
        <f>-(Table7296[[#This Row],[time]]-2)*2</f>
        <v>-1.0122999999999998</v>
      </c>
      <c r="AG189">
        <v>73.356399999999994</v>
      </c>
      <c r="AH189">
        <v>40.503399999999999</v>
      </c>
      <c r="AI189">
        <f>Table7296[[#This Row],[CFNM]]/Table7296[[#This Row],[CAREA]]</f>
        <v>0.55214541607821543</v>
      </c>
      <c r="AJ189">
        <v>2.5061499999999999</v>
      </c>
      <c r="AK189">
        <f>-(Table8297[[#This Row],[time]]-2)*2</f>
        <v>-1.0122999999999998</v>
      </c>
      <c r="AL189">
        <v>81.476600000000005</v>
      </c>
      <c r="AM189">
        <v>10.9778</v>
      </c>
      <c r="AN189">
        <f>Table8297[[#This Row],[CFNM]]/Table8297[[#This Row],[CAREA]]</f>
        <v>0.13473561734289355</v>
      </c>
    </row>
    <row r="190" spans="1:40" x14ac:dyDescent="0.25">
      <c r="A190">
        <v>2.5507599999999999</v>
      </c>
      <c r="B190">
        <f>-(Table1290[[#This Row],[time]]-2)*2</f>
        <v>-1.1015199999999998</v>
      </c>
      <c r="C190">
        <v>101.11199999999999</v>
      </c>
      <c r="D190">
        <v>35.6081</v>
      </c>
      <c r="E190">
        <f>Table1290[[#This Row],[CFNM]]/Table1290[[#This Row],[CAREA]]</f>
        <v>0.35216492602262839</v>
      </c>
      <c r="F190">
        <v>2.5507599999999999</v>
      </c>
      <c r="G190">
        <f>-(Table2291[[#This Row],[time]]-2)*2</f>
        <v>-1.1015199999999998</v>
      </c>
      <c r="H190">
        <v>82.289100000000005</v>
      </c>
      <c r="I190">
        <v>0.429564</v>
      </c>
      <c r="J190">
        <f>Table2291[[#This Row],[CFNM]]/Table2291[[#This Row],[CAREA]]</f>
        <v>5.2201810446341011E-3</v>
      </c>
      <c r="K190">
        <v>2.5507599999999999</v>
      </c>
      <c r="L190">
        <f>-(Table3292[[#This Row],[time]]-2)*2</f>
        <v>-1.1015199999999998</v>
      </c>
      <c r="M190">
        <v>83.966099999999997</v>
      </c>
      <c r="N190">
        <v>29.322900000000001</v>
      </c>
      <c r="O190">
        <f>Table3292[[#This Row],[CFNM]]/Table3292[[#This Row],[CAREA]]</f>
        <v>0.34922307931415181</v>
      </c>
      <c r="P190">
        <v>2.5507599999999999</v>
      </c>
      <c r="Q190">
        <f>-(Table4293[[#This Row],[time]]-2)*2</f>
        <v>-1.1015199999999998</v>
      </c>
      <c r="R190">
        <v>72.433700000000002</v>
      </c>
      <c r="S190">
        <v>5.1449400000000001</v>
      </c>
      <c r="T190">
        <f>Table4293[[#This Row],[CFNM]]/Table4293[[#This Row],[CAREA]]</f>
        <v>7.1029645040913275E-2</v>
      </c>
      <c r="U190">
        <v>2.5507599999999999</v>
      </c>
      <c r="V190">
        <f>-(Table5294[[#This Row],[time]]-2)*2</f>
        <v>-1.1015199999999998</v>
      </c>
      <c r="W190">
        <v>83.731099999999998</v>
      </c>
      <c r="X190">
        <v>32.821800000000003</v>
      </c>
      <c r="Y190">
        <f>Table5294[[#This Row],[CFNM]]/Table5294[[#This Row],[CAREA]]</f>
        <v>0.39199055070338268</v>
      </c>
      <c r="Z190">
        <v>2.5507599999999999</v>
      </c>
      <c r="AA190">
        <f>-(Table6295[[#This Row],[time]]-2)*2</f>
        <v>-1.1015199999999998</v>
      </c>
      <c r="AB190">
        <v>72.928200000000004</v>
      </c>
      <c r="AC190">
        <v>1.8795900000000001</v>
      </c>
      <c r="AD190">
        <f>Table6295[[#This Row],[CFNM]]/Table6295[[#This Row],[CAREA]]</f>
        <v>2.5773157708540727E-2</v>
      </c>
      <c r="AE190">
        <v>2.5507599999999999</v>
      </c>
      <c r="AF190">
        <f>-(Table7296[[#This Row],[time]]-2)*2</f>
        <v>-1.1015199999999998</v>
      </c>
      <c r="AG190">
        <v>72.169399999999996</v>
      </c>
      <c r="AH190">
        <v>44.033099999999997</v>
      </c>
      <c r="AI190">
        <f>Table7296[[#This Row],[CFNM]]/Table7296[[#This Row],[CAREA]]</f>
        <v>0.61013532050980057</v>
      </c>
      <c r="AJ190">
        <v>2.5507599999999999</v>
      </c>
      <c r="AK190">
        <f>-(Table8297[[#This Row],[time]]-2)*2</f>
        <v>-1.1015199999999998</v>
      </c>
      <c r="AL190">
        <v>80.772999999999996</v>
      </c>
      <c r="AM190">
        <v>9.9932700000000008</v>
      </c>
      <c r="AN190">
        <f>Table8297[[#This Row],[CFNM]]/Table8297[[#This Row],[CAREA]]</f>
        <v>0.12372042638010228</v>
      </c>
    </row>
    <row r="191" spans="1:40" x14ac:dyDescent="0.25">
      <c r="A191">
        <v>2.60453</v>
      </c>
      <c r="B191">
        <f>-(Table1290[[#This Row],[time]]-2)*2</f>
        <v>-1.20906</v>
      </c>
      <c r="C191">
        <v>101.117</v>
      </c>
      <c r="D191">
        <v>38.5548</v>
      </c>
      <c r="E191">
        <f>Table1290[[#This Row],[CFNM]]/Table1290[[#This Row],[CAREA]]</f>
        <v>0.38128900184934283</v>
      </c>
      <c r="F191">
        <v>2.60453</v>
      </c>
      <c r="G191">
        <f>-(Table2291[[#This Row],[time]]-2)*2</f>
        <v>-1.20906</v>
      </c>
      <c r="H191">
        <v>81.664900000000003</v>
      </c>
      <c r="I191">
        <v>0.34990399999999999</v>
      </c>
      <c r="J191">
        <f>Table2291[[#This Row],[CFNM]]/Table2291[[#This Row],[CAREA]]</f>
        <v>4.2846314634561481E-3</v>
      </c>
      <c r="K191">
        <v>2.60453</v>
      </c>
      <c r="L191">
        <f>-(Table3292[[#This Row],[time]]-2)*2</f>
        <v>-1.20906</v>
      </c>
      <c r="M191">
        <v>83.184600000000003</v>
      </c>
      <c r="N191">
        <v>32.680900000000001</v>
      </c>
      <c r="O191">
        <f>Table3292[[#This Row],[CFNM]]/Table3292[[#This Row],[CAREA]]</f>
        <v>0.39287199794192673</v>
      </c>
      <c r="P191">
        <v>2.60453</v>
      </c>
      <c r="Q191">
        <f>-(Table4293[[#This Row],[time]]-2)*2</f>
        <v>-1.20906</v>
      </c>
      <c r="R191">
        <v>71.715999999999994</v>
      </c>
      <c r="S191">
        <v>4.8341900000000004</v>
      </c>
      <c r="T191">
        <f>Table4293[[#This Row],[CFNM]]/Table4293[[#This Row],[CAREA]]</f>
        <v>6.7407412571811043E-2</v>
      </c>
      <c r="U191">
        <v>2.60453</v>
      </c>
      <c r="V191">
        <f>-(Table5294[[#This Row],[time]]-2)*2</f>
        <v>-1.20906</v>
      </c>
      <c r="W191">
        <v>83.276899999999998</v>
      </c>
      <c r="X191">
        <v>35.302900000000001</v>
      </c>
      <c r="Y191">
        <f>Table5294[[#This Row],[CFNM]]/Table5294[[#This Row],[CAREA]]</f>
        <v>0.42392187989706631</v>
      </c>
      <c r="Z191">
        <v>2.60453</v>
      </c>
      <c r="AA191">
        <f>-(Table6295[[#This Row],[time]]-2)*2</f>
        <v>-1.20906</v>
      </c>
      <c r="AB191">
        <v>71.150599999999997</v>
      </c>
      <c r="AC191">
        <v>1.64354</v>
      </c>
      <c r="AD191">
        <f>Table6295[[#This Row],[CFNM]]/Table6295[[#This Row],[CAREA]]</f>
        <v>2.3099453834542507E-2</v>
      </c>
      <c r="AE191">
        <v>2.60453</v>
      </c>
      <c r="AF191">
        <f>-(Table7296[[#This Row],[time]]-2)*2</f>
        <v>-1.20906</v>
      </c>
      <c r="AG191">
        <v>71.321899999999999</v>
      </c>
      <c r="AH191">
        <v>46.641100000000002</v>
      </c>
      <c r="AI191">
        <f>Table7296[[#This Row],[CFNM]]/Table7296[[#This Row],[CAREA]]</f>
        <v>0.65395201193462316</v>
      </c>
      <c r="AJ191">
        <v>2.60453</v>
      </c>
      <c r="AK191">
        <f>-(Table8297[[#This Row],[time]]-2)*2</f>
        <v>-1.20906</v>
      </c>
      <c r="AL191">
        <v>80.793700000000001</v>
      </c>
      <c r="AM191">
        <v>9.2570700000000006</v>
      </c>
      <c r="AN191">
        <f>Table8297[[#This Row],[CFNM]]/Table8297[[#This Row],[CAREA]]</f>
        <v>0.11457663159380002</v>
      </c>
    </row>
    <row r="192" spans="1:40" x14ac:dyDescent="0.25">
      <c r="A192">
        <v>2.65273</v>
      </c>
      <c r="B192">
        <f>-(Table1290[[#This Row],[time]]-2)*2</f>
        <v>-1.3054600000000001</v>
      </c>
      <c r="C192">
        <v>100.735</v>
      </c>
      <c r="D192">
        <v>41.959600000000002</v>
      </c>
      <c r="E192">
        <f>Table1290[[#This Row],[CFNM]]/Table1290[[#This Row],[CAREA]]</f>
        <v>0.41653447163349383</v>
      </c>
      <c r="F192">
        <v>2.65273</v>
      </c>
      <c r="G192">
        <f>-(Table2291[[#This Row],[time]]-2)*2</f>
        <v>-1.3054600000000001</v>
      </c>
      <c r="H192">
        <v>79.427499999999995</v>
      </c>
      <c r="I192">
        <v>0.248394</v>
      </c>
      <c r="J192">
        <f>Table2291[[#This Row],[CFNM]]/Table2291[[#This Row],[CAREA]]</f>
        <v>3.1273047747946243E-3</v>
      </c>
      <c r="K192">
        <v>2.65273</v>
      </c>
      <c r="L192">
        <f>-(Table3292[[#This Row],[time]]-2)*2</f>
        <v>-1.3054600000000001</v>
      </c>
      <c r="M192">
        <v>82.268799999999999</v>
      </c>
      <c r="N192">
        <v>36.572699999999998</v>
      </c>
      <c r="O192">
        <f>Table3292[[#This Row],[CFNM]]/Table3292[[#This Row],[CAREA]]</f>
        <v>0.44455127581780696</v>
      </c>
      <c r="P192">
        <v>2.65273</v>
      </c>
      <c r="Q192">
        <f>-(Table4293[[#This Row],[time]]-2)*2</f>
        <v>-1.3054600000000001</v>
      </c>
      <c r="R192">
        <v>68.578000000000003</v>
      </c>
      <c r="S192">
        <v>4.4678399999999998</v>
      </c>
      <c r="T192">
        <f>Table4293[[#This Row],[CFNM]]/Table4293[[#This Row],[CAREA]]</f>
        <v>6.5149756481670498E-2</v>
      </c>
      <c r="U192">
        <v>2.65273</v>
      </c>
      <c r="V192">
        <f>-(Table5294[[#This Row],[time]]-2)*2</f>
        <v>-1.3054600000000001</v>
      </c>
      <c r="W192">
        <v>82.838300000000004</v>
      </c>
      <c r="X192">
        <v>38.238700000000001</v>
      </c>
      <c r="Y192">
        <f>Table5294[[#This Row],[CFNM]]/Table5294[[#This Row],[CAREA]]</f>
        <v>0.46160652741545877</v>
      </c>
      <c r="Z192">
        <v>2.65273</v>
      </c>
      <c r="AA192">
        <f>-(Table6295[[#This Row],[time]]-2)*2</f>
        <v>-1.3054600000000001</v>
      </c>
      <c r="AB192">
        <v>69.541300000000007</v>
      </c>
      <c r="AC192">
        <v>1.3742000000000001</v>
      </c>
      <c r="AD192">
        <f>Table6295[[#This Row],[CFNM]]/Table6295[[#This Row],[CAREA]]</f>
        <v>1.9760919050981214E-2</v>
      </c>
      <c r="AE192">
        <v>2.65273</v>
      </c>
      <c r="AF192">
        <f>-(Table7296[[#This Row],[time]]-2)*2</f>
        <v>-1.3054600000000001</v>
      </c>
      <c r="AG192">
        <v>70.365200000000002</v>
      </c>
      <c r="AH192">
        <v>49.6661</v>
      </c>
      <c r="AI192">
        <f>Table7296[[#This Row],[CFNM]]/Table7296[[#This Row],[CAREA]]</f>
        <v>0.70583328122424149</v>
      </c>
      <c r="AJ192">
        <v>2.65273</v>
      </c>
      <c r="AK192">
        <f>-(Table8297[[#This Row],[time]]-2)*2</f>
        <v>-1.3054600000000001</v>
      </c>
      <c r="AL192">
        <v>79.8279</v>
      </c>
      <c r="AM192">
        <v>8.3484800000000003</v>
      </c>
      <c r="AN192">
        <f>Table8297[[#This Row],[CFNM]]/Table8297[[#This Row],[CAREA]]</f>
        <v>0.10458097983286546</v>
      </c>
    </row>
    <row r="193" spans="1:40" x14ac:dyDescent="0.25">
      <c r="A193">
        <v>2.7006199999999998</v>
      </c>
      <c r="B193">
        <f>-(Table1290[[#This Row],[time]]-2)*2</f>
        <v>-1.4012399999999996</v>
      </c>
      <c r="C193">
        <v>100.286</v>
      </c>
      <c r="D193">
        <v>45.952199999999998</v>
      </c>
      <c r="E193">
        <f>Table1290[[#This Row],[CFNM]]/Table1290[[#This Row],[CAREA]]</f>
        <v>0.4582115150669086</v>
      </c>
      <c r="F193">
        <v>2.7006199999999998</v>
      </c>
      <c r="G193">
        <f>-(Table2291[[#This Row],[time]]-2)*2</f>
        <v>-1.4012399999999996</v>
      </c>
      <c r="H193">
        <v>77.890199999999993</v>
      </c>
      <c r="I193">
        <v>0.11804099999999999</v>
      </c>
      <c r="J193">
        <f>Table2291[[#This Row],[CFNM]]/Table2291[[#This Row],[CAREA]]</f>
        <v>1.5154794826563547E-3</v>
      </c>
      <c r="K193">
        <v>2.7006199999999998</v>
      </c>
      <c r="L193">
        <f>-(Table3292[[#This Row],[time]]-2)*2</f>
        <v>-1.4012399999999996</v>
      </c>
      <c r="M193">
        <v>81.230599999999995</v>
      </c>
      <c r="N193">
        <v>41.080100000000002</v>
      </c>
      <c r="O193">
        <f>Table3292[[#This Row],[CFNM]]/Table3292[[#This Row],[CAREA]]</f>
        <v>0.50572198161776483</v>
      </c>
      <c r="P193">
        <v>2.7006199999999998</v>
      </c>
      <c r="Q193">
        <f>-(Table4293[[#This Row],[time]]-2)*2</f>
        <v>-1.4012399999999996</v>
      </c>
      <c r="R193">
        <v>68.313100000000006</v>
      </c>
      <c r="S193">
        <v>4.0510799999999998</v>
      </c>
      <c r="T193">
        <f>Table4293[[#This Row],[CFNM]]/Table4293[[#This Row],[CAREA]]</f>
        <v>5.9301656636867595E-2</v>
      </c>
      <c r="U193">
        <v>2.7006199999999998</v>
      </c>
      <c r="V193">
        <f>-(Table5294[[#This Row],[time]]-2)*2</f>
        <v>-1.4012399999999996</v>
      </c>
      <c r="W193">
        <v>82.213999999999999</v>
      </c>
      <c r="X193">
        <v>41.706200000000003</v>
      </c>
      <c r="Y193">
        <f>Table5294[[#This Row],[CFNM]]/Table5294[[#This Row],[CAREA]]</f>
        <v>0.50728829639720729</v>
      </c>
      <c r="Z193">
        <v>2.7006199999999998</v>
      </c>
      <c r="AA193">
        <f>-(Table6295[[#This Row],[time]]-2)*2</f>
        <v>-1.4012399999999996</v>
      </c>
      <c r="AB193">
        <v>68.151700000000005</v>
      </c>
      <c r="AC193">
        <v>1.0757699999999999</v>
      </c>
      <c r="AD193">
        <f>Table6295[[#This Row],[CFNM]]/Table6295[[#This Row],[CAREA]]</f>
        <v>1.5784932730951683E-2</v>
      </c>
      <c r="AE193">
        <v>2.7006199999999998</v>
      </c>
      <c r="AF193">
        <f>-(Table7296[[#This Row],[time]]-2)*2</f>
        <v>-1.4012399999999996</v>
      </c>
      <c r="AG193">
        <v>69.225499999999997</v>
      </c>
      <c r="AH193">
        <v>53.2209</v>
      </c>
      <c r="AI193">
        <f>Table7296[[#This Row],[CFNM]]/Table7296[[#This Row],[CAREA]]</f>
        <v>0.76880484792453652</v>
      </c>
      <c r="AJ193">
        <v>2.7006199999999998</v>
      </c>
      <c r="AK193">
        <f>-(Table8297[[#This Row],[time]]-2)*2</f>
        <v>-1.4012399999999996</v>
      </c>
      <c r="AL193">
        <v>79.094499999999996</v>
      </c>
      <c r="AM193">
        <v>7.24214</v>
      </c>
      <c r="AN193">
        <f>Table8297[[#This Row],[CFNM]]/Table8297[[#This Row],[CAREA]]</f>
        <v>9.156313017972173E-2</v>
      </c>
    </row>
    <row r="194" spans="1:40" x14ac:dyDescent="0.25">
      <c r="A194">
        <v>2.75176</v>
      </c>
      <c r="B194">
        <f>-(Table1290[[#This Row],[time]]-2)*2</f>
        <v>-1.50352</v>
      </c>
      <c r="C194">
        <v>99.909000000000006</v>
      </c>
      <c r="D194">
        <v>48.0319</v>
      </c>
      <c r="E194">
        <f>Table1290[[#This Row],[CFNM]]/Table1290[[#This Row],[CAREA]]</f>
        <v>0.48075648840444801</v>
      </c>
      <c r="F194">
        <v>2.75176</v>
      </c>
      <c r="G194">
        <f>-(Table2291[[#This Row],[time]]-2)*2</f>
        <v>-1.50352</v>
      </c>
      <c r="H194">
        <v>77.843400000000003</v>
      </c>
      <c r="I194">
        <v>5.3655399999999999E-2</v>
      </c>
      <c r="J194">
        <f>Table2291[[#This Row],[CFNM]]/Table2291[[#This Row],[CAREA]]</f>
        <v>6.8927359288006428E-4</v>
      </c>
      <c r="K194">
        <v>2.75176</v>
      </c>
      <c r="L194">
        <f>-(Table3292[[#This Row],[time]]-2)*2</f>
        <v>-1.50352</v>
      </c>
      <c r="M194">
        <v>80.724699999999999</v>
      </c>
      <c r="N194">
        <v>43.4193</v>
      </c>
      <c r="O194">
        <f>Table3292[[#This Row],[CFNM]]/Table3292[[#This Row],[CAREA]]</f>
        <v>0.53786883072962799</v>
      </c>
      <c r="P194">
        <v>2.75176</v>
      </c>
      <c r="Q194">
        <f>-(Table4293[[#This Row],[time]]-2)*2</f>
        <v>-1.50352</v>
      </c>
      <c r="R194">
        <v>66.962900000000005</v>
      </c>
      <c r="S194">
        <v>3.84483</v>
      </c>
      <c r="T194">
        <f>Table4293[[#This Row],[CFNM]]/Table4293[[#This Row],[CAREA]]</f>
        <v>5.7417316155662312E-2</v>
      </c>
      <c r="U194">
        <v>2.75176</v>
      </c>
      <c r="V194">
        <f>-(Table5294[[#This Row],[time]]-2)*2</f>
        <v>-1.50352</v>
      </c>
      <c r="W194">
        <v>81.892700000000005</v>
      </c>
      <c r="X194">
        <v>43.523400000000002</v>
      </c>
      <c r="Y194">
        <f>Table5294[[#This Row],[CFNM]]/Table5294[[#This Row],[CAREA]]</f>
        <v>0.53146861686084357</v>
      </c>
      <c r="Z194">
        <v>2.75176</v>
      </c>
      <c r="AA194">
        <f>-(Table6295[[#This Row],[time]]-2)*2</f>
        <v>-1.50352</v>
      </c>
      <c r="AB194">
        <v>67.298299999999998</v>
      </c>
      <c r="AC194">
        <v>0.93276800000000004</v>
      </c>
      <c r="AD194">
        <f>Table6295[[#This Row],[CFNM]]/Table6295[[#This Row],[CAREA]]</f>
        <v>1.3860201520692204E-2</v>
      </c>
      <c r="AE194">
        <v>2.75176</v>
      </c>
      <c r="AF194">
        <f>-(Table7296[[#This Row],[time]]-2)*2</f>
        <v>-1.50352</v>
      </c>
      <c r="AG194">
        <v>68.713099999999997</v>
      </c>
      <c r="AH194">
        <v>55.067599999999999</v>
      </c>
      <c r="AI194">
        <f>Table7296[[#This Row],[CFNM]]/Table7296[[#This Row],[CAREA]]</f>
        <v>0.80141341316284664</v>
      </c>
      <c r="AJ194">
        <v>2.75176</v>
      </c>
      <c r="AK194">
        <f>-(Table8297[[#This Row],[time]]-2)*2</f>
        <v>-1.50352</v>
      </c>
      <c r="AL194">
        <v>78.547799999999995</v>
      </c>
      <c r="AM194">
        <v>6.6545800000000002</v>
      </c>
      <c r="AN194">
        <f>Table8297[[#This Row],[CFNM]]/Table8297[[#This Row],[CAREA]]</f>
        <v>8.4720132199756076E-2</v>
      </c>
    </row>
    <row r="195" spans="1:40" x14ac:dyDescent="0.25">
      <c r="A195">
        <v>2.80444</v>
      </c>
      <c r="B195">
        <f>-(Table1290[[#This Row],[time]]-2)*2</f>
        <v>-1.6088800000000001</v>
      </c>
      <c r="C195">
        <v>99.1173</v>
      </c>
      <c r="D195">
        <v>51.317</v>
      </c>
      <c r="E195">
        <f>Table1290[[#This Row],[CFNM]]/Table1290[[#This Row],[CAREA]]</f>
        <v>0.51774009179023239</v>
      </c>
      <c r="F195">
        <v>2.80444</v>
      </c>
      <c r="G195">
        <f>-(Table2291[[#This Row],[time]]-2)*2</f>
        <v>-1.6088800000000001</v>
      </c>
      <c r="H195">
        <v>74.152799999999999</v>
      </c>
      <c r="I195">
        <v>3.6705900000000001E-3</v>
      </c>
      <c r="J195">
        <f>Table2291[[#This Row],[CFNM]]/Table2291[[#This Row],[CAREA]]</f>
        <v>4.9500356021620222E-5</v>
      </c>
      <c r="K195">
        <v>2.80444</v>
      </c>
      <c r="L195">
        <f>-(Table3292[[#This Row],[time]]-2)*2</f>
        <v>-1.6088800000000001</v>
      </c>
      <c r="M195">
        <v>79.909000000000006</v>
      </c>
      <c r="N195">
        <v>47.101700000000001</v>
      </c>
      <c r="O195">
        <f>Table3292[[#This Row],[CFNM]]/Table3292[[#This Row],[CAREA]]</f>
        <v>0.58944173997922633</v>
      </c>
      <c r="P195">
        <v>2.80444</v>
      </c>
      <c r="Q195">
        <f>-(Table4293[[#This Row],[time]]-2)*2</f>
        <v>-1.6088800000000001</v>
      </c>
      <c r="R195">
        <v>65.668599999999998</v>
      </c>
      <c r="S195">
        <v>3.5135100000000001</v>
      </c>
      <c r="T195">
        <f>Table4293[[#This Row],[CFNM]]/Table4293[[#This Row],[CAREA]]</f>
        <v>5.3503653191936486E-2</v>
      </c>
      <c r="U195">
        <v>2.80444</v>
      </c>
      <c r="V195">
        <f>-(Table5294[[#This Row],[time]]-2)*2</f>
        <v>-1.6088800000000001</v>
      </c>
      <c r="W195">
        <v>81.311999999999998</v>
      </c>
      <c r="X195">
        <v>46.450099999999999</v>
      </c>
      <c r="Y195">
        <f>Table5294[[#This Row],[CFNM]]/Table5294[[#This Row],[CAREA]]</f>
        <v>0.57125762495080679</v>
      </c>
      <c r="Z195">
        <v>2.80444</v>
      </c>
      <c r="AA195">
        <f>-(Table6295[[#This Row],[time]]-2)*2</f>
        <v>-1.6088800000000001</v>
      </c>
      <c r="AB195">
        <v>63.419600000000003</v>
      </c>
      <c r="AC195">
        <v>0.72228800000000004</v>
      </c>
      <c r="AD195">
        <f>Table6295[[#This Row],[CFNM]]/Table6295[[#This Row],[CAREA]]</f>
        <v>1.1389034304852127E-2</v>
      </c>
      <c r="AE195">
        <v>2.80444</v>
      </c>
      <c r="AF195">
        <f>-(Table7296[[#This Row],[time]]-2)*2</f>
        <v>-1.6088800000000001</v>
      </c>
      <c r="AG195">
        <v>67.762699999999995</v>
      </c>
      <c r="AH195">
        <v>58.022500000000001</v>
      </c>
      <c r="AI195">
        <f>Table7296[[#This Row],[CFNM]]/Table7296[[#This Row],[CAREA]]</f>
        <v>0.85626015492298868</v>
      </c>
      <c r="AJ195">
        <v>2.80444</v>
      </c>
      <c r="AK195">
        <f>-(Table8297[[#This Row],[time]]-2)*2</f>
        <v>-1.6088800000000001</v>
      </c>
      <c r="AL195">
        <v>77.598100000000002</v>
      </c>
      <c r="AM195">
        <v>5.7633999999999999</v>
      </c>
      <c r="AN195">
        <f>Table8297[[#This Row],[CFNM]]/Table8297[[#This Row],[CAREA]]</f>
        <v>7.427243708286671E-2</v>
      </c>
    </row>
    <row r="196" spans="1:40" x14ac:dyDescent="0.25">
      <c r="A196">
        <v>2.8583699999999999</v>
      </c>
      <c r="B196">
        <f>-(Table1290[[#This Row],[time]]-2)*2</f>
        <v>-1.7167399999999997</v>
      </c>
      <c r="C196">
        <v>98.034599999999998</v>
      </c>
      <c r="D196">
        <v>55.182499999999997</v>
      </c>
      <c r="E196">
        <f>Table1290[[#This Row],[CFNM]]/Table1290[[#This Row],[CAREA]]</f>
        <v>0.56288800076707612</v>
      </c>
      <c r="F196">
        <v>2.8583699999999999</v>
      </c>
      <c r="G196">
        <f>-(Table2291[[#This Row],[time]]-2)*2</f>
        <v>-1.7167399999999997</v>
      </c>
      <c r="H196">
        <v>70.509900000000002</v>
      </c>
      <c r="I196">
        <v>3.2400699999999998E-3</v>
      </c>
      <c r="J196">
        <f>Table2291[[#This Row],[CFNM]]/Table2291[[#This Row],[CAREA]]</f>
        <v>4.5951986884111304E-5</v>
      </c>
      <c r="K196">
        <v>2.8583699999999999</v>
      </c>
      <c r="L196">
        <f>-(Table3292[[#This Row],[time]]-2)*2</f>
        <v>-1.7167399999999997</v>
      </c>
      <c r="M196">
        <v>79.095500000000001</v>
      </c>
      <c r="N196">
        <v>51.454999999999998</v>
      </c>
      <c r="O196">
        <f>Table3292[[#This Row],[CFNM]]/Table3292[[#This Row],[CAREA]]</f>
        <v>0.65054269838359957</v>
      </c>
      <c r="P196">
        <v>2.8583699999999999</v>
      </c>
      <c r="Q196">
        <f>-(Table4293[[#This Row],[time]]-2)*2</f>
        <v>-1.7167399999999997</v>
      </c>
      <c r="R196">
        <v>65.422799999999995</v>
      </c>
      <c r="S196">
        <v>3.1212499999999999</v>
      </c>
      <c r="T196">
        <f>Table4293[[#This Row],[CFNM]]/Table4293[[#This Row],[CAREA]]</f>
        <v>4.7708902706701639E-2</v>
      </c>
      <c r="U196">
        <v>2.8583699999999999</v>
      </c>
      <c r="V196">
        <f>-(Table5294[[#This Row],[time]]-2)*2</f>
        <v>-1.7167399999999997</v>
      </c>
      <c r="W196">
        <v>80.602999999999994</v>
      </c>
      <c r="X196">
        <v>49.980899999999998</v>
      </c>
      <c r="Y196">
        <f>Table5294[[#This Row],[CFNM]]/Table5294[[#This Row],[CAREA]]</f>
        <v>0.62008734166222101</v>
      </c>
      <c r="Z196">
        <v>2.8583699999999999</v>
      </c>
      <c r="AA196">
        <f>-(Table6295[[#This Row],[time]]-2)*2</f>
        <v>-1.7167399999999997</v>
      </c>
      <c r="AB196">
        <v>62.335000000000001</v>
      </c>
      <c r="AC196">
        <v>0.51163899999999995</v>
      </c>
      <c r="AD196">
        <f>Table6295[[#This Row],[CFNM]]/Table6295[[#This Row],[CAREA]]</f>
        <v>8.2078928370899161E-3</v>
      </c>
      <c r="AE196">
        <v>2.8583699999999999</v>
      </c>
      <c r="AF196">
        <f>-(Table7296[[#This Row],[time]]-2)*2</f>
        <v>-1.7167399999999997</v>
      </c>
      <c r="AG196">
        <v>66.744100000000003</v>
      </c>
      <c r="AH196">
        <v>61.548499999999997</v>
      </c>
      <c r="AI196">
        <f>Table7296[[#This Row],[CFNM]]/Table7296[[#This Row],[CAREA]]</f>
        <v>0.9221564153236016</v>
      </c>
      <c r="AJ196">
        <v>2.8583699999999999</v>
      </c>
      <c r="AK196">
        <f>-(Table8297[[#This Row],[time]]-2)*2</f>
        <v>-1.7167399999999997</v>
      </c>
      <c r="AL196">
        <v>74.751000000000005</v>
      </c>
      <c r="AM196">
        <v>4.7192299999999996</v>
      </c>
      <c r="AN196">
        <f>Table8297[[#This Row],[CFNM]]/Table8297[[#This Row],[CAREA]]</f>
        <v>6.3132667121510069E-2</v>
      </c>
    </row>
    <row r="197" spans="1:40" x14ac:dyDescent="0.25">
      <c r="A197">
        <v>2.9134199999999999</v>
      </c>
      <c r="B197">
        <f>-(Table1290[[#This Row],[time]]-2)*2</f>
        <v>-1.8268399999999998</v>
      </c>
      <c r="C197">
        <v>97.443399999999997</v>
      </c>
      <c r="D197">
        <v>57.104999999999997</v>
      </c>
      <c r="E197">
        <f>Table1290[[#This Row],[CFNM]]/Table1290[[#This Row],[CAREA]]</f>
        <v>0.58603250707590249</v>
      </c>
      <c r="F197">
        <v>2.9134199999999999</v>
      </c>
      <c r="G197">
        <f>-(Table2291[[#This Row],[time]]-2)*2</f>
        <v>-1.8268399999999998</v>
      </c>
      <c r="H197">
        <v>70.024900000000002</v>
      </c>
      <c r="I197">
        <v>3.1427899999999999E-3</v>
      </c>
      <c r="J197">
        <f>Table2291[[#This Row],[CFNM]]/Table2291[[#This Row],[CAREA]]</f>
        <v>4.4881035174630738E-5</v>
      </c>
      <c r="K197">
        <v>2.9134199999999999</v>
      </c>
      <c r="L197">
        <f>-(Table3292[[#This Row],[time]]-2)*2</f>
        <v>-1.8268399999999998</v>
      </c>
      <c r="M197">
        <v>78.725999999999999</v>
      </c>
      <c r="N197">
        <v>53.621400000000001</v>
      </c>
      <c r="O197">
        <f>Table3292[[#This Row],[CFNM]]/Table3292[[#This Row],[CAREA]]</f>
        <v>0.68111424434113255</v>
      </c>
      <c r="P197">
        <v>2.9134199999999999</v>
      </c>
      <c r="Q197">
        <f>-(Table4293[[#This Row],[time]]-2)*2</f>
        <v>-1.8268399999999998</v>
      </c>
      <c r="R197">
        <v>64.081000000000003</v>
      </c>
      <c r="S197">
        <v>2.94367</v>
      </c>
      <c r="T197">
        <f>Table4293[[#This Row],[CFNM]]/Table4293[[#This Row],[CAREA]]</f>
        <v>4.5936705107598196E-2</v>
      </c>
      <c r="U197">
        <v>2.9134199999999999</v>
      </c>
      <c r="V197">
        <f>-(Table5294[[#This Row],[time]]-2)*2</f>
        <v>-1.8268399999999998</v>
      </c>
      <c r="W197">
        <v>80.214799999999997</v>
      </c>
      <c r="X197">
        <v>51.777099999999997</v>
      </c>
      <c r="Y197">
        <f>Table5294[[#This Row],[CFNM]]/Table5294[[#This Row],[CAREA]]</f>
        <v>0.64548063449637727</v>
      </c>
      <c r="Z197">
        <v>2.9134199999999999</v>
      </c>
      <c r="AA197">
        <f>-(Table6295[[#This Row],[time]]-2)*2</f>
        <v>-1.8268399999999998</v>
      </c>
      <c r="AB197">
        <v>61.174900000000001</v>
      </c>
      <c r="AC197">
        <v>0.41369099999999998</v>
      </c>
      <c r="AD197">
        <f>Table6295[[#This Row],[CFNM]]/Table6295[[#This Row],[CAREA]]</f>
        <v>6.7624303431636171E-3</v>
      </c>
      <c r="AE197">
        <v>2.9134199999999999</v>
      </c>
      <c r="AF197">
        <f>-(Table7296[[#This Row],[time]]-2)*2</f>
        <v>-1.8268399999999998</v>
      </c>
      <c r="AG197">
        <v>66.307199999999995</v>
      </c>
      <c r="AH197">
        <v>63.290999999999997</v>
      </c>
      <c r="AI197">
        <f>Table7296[[#This Row],[CFNM]]/Table7296[[#This Row],[CAREA]]</f>
        <v>0.95451172723324162</v>
      </c>
      <c r="AJ197">
        <v>2.9134199999999999</v>
      </c>
      <c r="AK197">
        <f>-(Table8297[[#This Row],[time]]-2)*2</f>
        <v>-1.8268399999999998</v>
      </c>
      <c r="AL197">
        <v>74.098699999999994</v>
      </c>
      <c r="AM197">
        <v>4.1921900000000001</v>
      </c>
      <c r="AN197">
        <f>Table8297[[#This Row],[CFNM]]/Table8297[[#This Row],[CAREA]]</f>
        <v>5.657575638978822E-2</v>
      </c>
    </row>
    <row r="198" spans="1:40" x14ac:dyDescent="0.25">
      <c r="A198">
        <v>2.9619599999999999</v>
      </c>
      <c r="B198">
        <f>-(Table1290[[#This Row],[time]]-2)*2</f>
        <v>-1.9239199999999999</v>
      </c>
      <c r="C198">
        <v>96.0077</v>
      </c>
      <c r="D198">
        <v>61.913400000000003</v>
      </c>
      <c r="E198">
        <f>Table1290[[#This Row],[CFNM]]/Table1290[[#This Row],[CAREA]]</f>
        <v>0.64487952528807591</v>
      </c>
      <c r="F198">
        <v>2.9619599999999999</v>
      </c>
      <c r="G198">
        <f>-(Table2291[[#This Row],[time]]-2)*2</f>
        <v>-1.9239199999999999</v>
      </c>
      <c r="H198">
        <v>66.723100000000002</v>
      </c>
      <c r="I198">
        <v>2.9202799999999999E-3</v>
      </c>
      <c r="J198">
        <f>Table2291[[#This Row],[CFNM]]/Table2291[[#This Row],[CAREA]]</f>
        <v>4.3767151106588271E-5</v>
      </c>
      <c r="K198">
        <v>2.9619599999999999</v>
      </c>
      <c r="L198">
        <f>-(Table3292[[#This Row],[time]]-2)*2</f>
        <v>-1.9239199999999999</v>
      </c>
      <c r="M198">
        <v>77.794200000000004</v>
      </c>
      <c r="N198">
        <v>58.984299999999998</v>
      </c>
      <c r="O198">
        <f>Table3292[[#This Row],[CFNM]]/Table3292[[#This Row],[CAREA]]</f>
        <v>0.75820948091245866</v>
      </c>
      <c r="P198">
        <v>2.9619599999999999</v>
      </c>
      <c r="Q198">
        <f>-(Table4293[[#This Row],[time]]-2)*2</f>
        <v>-1.9239199999999999</v>
      </c>
      <c r="R198">
        <v>62.991500000000002</v>
      </c>
      <c r="S198">
        <v>2.58975</v>
      </c>
      <c r="T198">
        <f>Table4293[[#This Row],[CFNM]]/Table4293[[#This Row],[CAREA]]</f>
        <v>4.1112689807354962E-2</v>
      </c>
      <c r="U198">
        <v>2.9619599999999999</v>
      </c>
      <c r="V198">
        <f>-(Table5294[[#This Row],[time]]-2)*2</f>
        <v>-1.9239199999999999</v>
      </c>
      <c r="W198">
        <v>79.503299999999996</v>
      </c>
      <c r="X198">
        <v>56.248800000000003</v>
      </c>
      <c r="Y198">
        <f>Table5294[[#This Row],[CFNM]]/Table5294[[#This Row],[CAREA]]</f>
        <v>0.70750270743478583</v>
      </c>
      <c r="Z198">
        <v>2.9619599999999999</v>
      </c>
      <c r="AA198">
        <f>-(Table6295[[#This Row],[time]]-2)*2</f>
        <v>-1.9239199999999999</v>
      </c>
      <c r="AB198">
        <v>58.442999999999998</v>
      </c>
      <c r="AC198">
        <v>0.18936</v>
      </c>
      <c r="AD198">
        <f>Table6295[[#This Row],[CFNM]]/Table6295[[#This Row],[CAREA]]</f>
        <v>3.2400800780247423E-3</v>
      </c>
      <c r="AE198">
        <v>2.9619599999999999</v>
      </c>
      <c r="AF198">
        <f>-(Table7296[[#This Row],[time]]-2)*2</f>
        <v>-1.9239199999999999</v>
      </c>
      <c r="AG198">
        <v>65.281000000000006</v>
      </c>
      <c r="AH198">
        <v>67.688900000000004</v>
      </c>
      <c r="AI198">
        <f>Table7296[[#This Row],[CFNM]]/Table7296[[#This Row],[CAREA]]</f>
        <v>1.0368851580092215</v>
      </c>
      <c r="AJ198">
        <v>2.9619599999999999</v>
      </c>
      <c r="AK198">
        <f>-(Table8297[[#This Row],[time]]-2)*2</f>
        <v>-1.9239199999999999</v>
      </c>
      <c r="AL198">
        <v>71.787700000000001</v>
      </c>
      <c r="AM198">
        <v>3.0506199999999999</v>
      </c>
      <c r="AN198">
        <f>Table8297[[#This Row],[CFNM]]/Table8297[[#This Row],[CAREA]]</f>
        <v>4.2495023520742407E-2</v>
      </c>
    </row>
    <row r="199" spans="1:40" x14ac:dyDescent="0.25">
      <c r="A199">
        <v>3</v>
      </c>
      <c r="B199">
        <f>-(Table1290[[#This Row],[time]]-2)*2</f>
        <v>-2</v>
      </c>
      <c r="C199">
        <v>95.7667</v>
      </c>
      <c r="D199">
        <v>62.7149</v>
      </c>
      <c r="E199">
        <f>Table1290[[#This Row],[CFNM]]/Table1290[[#This Row],[CAREA]]</f>
        <v>0.65487168295451337</v>
      </c>
      <c r="F199">
        <v>3</v>
      </c>
      <c r="G199">
        <f>-(Table2291[[#This Row],[time]]-2)*2</f>
        <v>-2</v>
      </c>
      <c r="H199">
        <v>66.227500000000006</v>
      </c>
      <c r="I199">
        <v>2.8887100000000001E-3</v>
      </c>
      <c r="J199">
        <f>Table2291[[#This Row],[CFNM]]/Table2291[[#This Row],[CAREA]]</f>
        <v>4.3617983466082815E-5</v>
      </c>
      <c r="K199">
        <v>3</v>
      </c>
      <c r="L199">
        <f>-(Table3292[[#This Row],[time]]-2)*2</f>
        <v>-2</v>
      </c>
      <c r="M199">
        <v>77.6404</v>
      </c>
      <c r="N199">
        <v>59.880200000000002</v>
      </c>
      <c r="O199">
        <f>Table3292[[#This Row],[CFNM]]/Table3292[[#This Row],[CAREA]]</f>
        <v>0.77125053451553571</v>
      </c>
      <c r="P199">
        <v>3</v>
      </c>
      <c r="Q199">
        <f>-(Table4293[[#This Row],[time]]-2)*2</f>
        <v>-2</v>
      </c>
      <c r="R199">
        <v>62.948700000000002</v>
      </c>
      <c r="S199">
        <v>2.5408599999999999</v>
      </c>
      <c r="T199">
        <f>Table4293[[#This Row],[CFNM]]/Table4293[[#This Row],[CAREA]]</f>
        <v>4.0363978922519445E-2</v>
      </c>
      <c r="U199">
        <v>3</v>
      </c>
      <c r="V199">
        <f>-(Table5294[[#This Row],[time]]-2)*2</f>
        <v>-2</v>
      </c>
      <c r="W199">
        <v>79.323700000000002</v>
      </c>
      <c r="X199">
        <v>56.9908</v>
      </c>
      <c r="Y199">
        <f>Table5294[[#This Row],[CFNM]]/Table5294[[#This Row],[CAREA]]</f>
        <v>0.71845866998135488</v>
      </c>
      <c r="Z199">
        <v>3</v>
      </c>
      <c r="AA199">
        <f>-(Table6295[[#This Row],[time]]-2)*2</f>
        <v>-2</v>
      </c>
      <c r="AB199">
        <v>58.395600000000002</v>
      </c>
      <c r="AC199">
        <v>0.15581</v>
      </c>
      <c r="AD199">
        <f>Table6295[[#This Row],[CFNM]]/Table6295[[#This Row],[CAREA]]</f>
        <v>2.6681804793511838E-3</v>
      </c>
      <c r="AE199">
        <v>3</v>
      </c>
      <c r="AF199">
        <f>-(Table7296[[#This Row],[time]]-2)*2</f>
        <v>-2</v>
      </c>
      <c r="AG199">
        <v>65.126800000000003</v>
      </c>
      <c r="AH199">
        <v>68.434700000000007</v>
      </c>
      <c r="AI199">
        <f>Table7296[[#This Row],[CFNM]]/Table7296[[#This Row],[CAREA]]</f>
        <v>1.0507916863718163</v>
      </c>
      <c r="AJ199">
        <v>3</v>
      </c>
      <c r="AK199">
        <f>-(Table8297[[#This Row],[time]]-2)*2</f>
        <v>-2</v>
      </c>
      <c r="AL199">
        <v>71.148399999999995</v>
      </c>
      <c r="AM199">
        <v>2.9029400000000001</v>
      </c>
      <c r="AN199">
        <f>Table8297[[#This Row],[CFNM]]/Table8297[[#This Row],[CAREA]]</f>
        <v>4.080119862147287E-2</v>
      </c>
    </row>
    <row r="201" spans="1:40" x14ac:dyDescent="0.25">
      <c r="A201" t="s">
        <v>44</v>
      </c>
      <c r="E201" t="s">
        <v>1</v>
      </c>
    </row>
    <row r="202" spans="1:40" x14ac:dyDescent="0.25">
      <c r="A202" t="s">
        <v>45</v>
      </c>
      <c r="E202" t="s">
        <v>2</v>
      </c>
      <c r="F202" t="s">
        <v>3</v>
      </c>
    </row>
    <row r="204" spans="1:40" x14ac:dyDescent="0.25">
      <c r="A204" t="s">
        <v>5</v>
      </c>
      <c r="F204" t="s">
        <v>6</v>
      </c>
      <c r="K204" t="s">
        <v>7</v>
      </c>
      <c r="P204" t="s">
        <v>19</v>
      </c>
      <c r="U204" t="s">
        <v>8</v>
      </c>
      <c r="Z204" t="s">
        <v>9</v>
      </c>
      <c r="AE204" t="s">
        <v>10</v>
      </c>
      <c r="AJ204" t="s">
        <v>11</v>
      </c>
    </row>
    <row r="205" spans="1:40" x14ac:dyDescent="0.25">
      <c r="A205" t="s">
        <v>12</v>
      </c>
      <c r="B205" t="s">
        <v>13</v>
      </c>
      <c r="C205" t="s">
        <v>17</v>
      </c>
      <c r="D205" t="s">
        <v>15</v>
      </c>
      <c r="E205" t="s">
        <v>16</v>
      </c>
      <c r="F205" t="s">
        <v>12</v>
      </c>
      <c r="G205" t="s">
        <v>13</v>
      </c>
      <c r="H205" t="s">
        <v>17</v>
      </c>
      <c r="I205" t="s">
        <v>15</v>
      </c>
      <c r="J205" t="s">
        <v>16</v>
      </c>
      <c r="K205" t="s">
        <v>12</v>
      </c>
      <c r="L205" t="s">
        <v>13</v>
      </c>
      <c r="M205" t="s">
        <v>17</v>
      </c>
      <c r="N205" t="s">
        <v>15</v>
      </c>
      <c r="O205" t="s">
        <v>16</v>
      </c>
      <c r="P205" t="s">
        <v>12</v>
      </c>
      <c r="Q205" t="s">
        <v>13</v>
      </c>
      <c r="R205" t="s">
        <v>17</v>
      </c>
      <c r="S205" t="s">
        <v>15</v>
      </c>
      <c r="T205" t="s">
        <v>16</v>
      </c>
      <c r="U205" t="s">
        <v>12</v>
      </c>
      <c r="V205" t="s">
        <v>13</v>
      </c>
      <c r="W205" t="s">
        <v>17</v>
      </c>
      <c r="X205" t="s">
        <v>15</v>
      </c>
      <c r="Y205" t="s">
        <v>16</v>
      </c>
      <c r="Z205" t="s">
        <v>12</v>
      </c>
      <c r="AA205" t="s">
        <v>13</v>
      </c>
      <c r="AB205" t="s">
        <v>17</v>
      </c>
      <c r="AC205" t="s">
        <v>15</v>
      </c>
      <c r="AD205" t="s">
        <v>16</v>
      </c>
      <c r="AE205" t="s">
        <v>12</v>
      </c>
      <c r="AF205" t="s">
        <v>13</v>
      </c>
      <c r="AG205" t="s">
        <v>17</v>
      </c>
      <c r="AH205" t="s">
        <v>15</v>
      </c>
      <c r="AI205" t="s">
        <v>16</v>
      </c>
      <c r="AJ205" t="s">
        <v>12</v>
      </c>
      <c r="AK205" t="s">
        <v>13</v>
      </c>
      <c r="AL205" t="s">
        <v>17</v>
      </c>
      <c r="AM205" t="s">
        <v>15</v>
      </c>
      <c r="AN205" t="s">
        <v>16</v>
      </c>
    </row>
    <row r="206" spans="1:40" x14ac:dyDescent="0.25">
      <c r="A206">
        <v>2</v>
      </c>
      <c r="B206">
        <f>(Table110[[#This Row],[time]]-2)*2</f>
        <v>0</v>
      </c>
      <c r="C206">
        <v>80.560199999999995</v>
      </c>
      <c r="D206">
        <v>3.9786999999999999</v>
      </c>
      <c r="E206" s="2">
        <f>Table110[[#This Row],[CFNM]]/Table110[[#This Row],[CAREA]]</f>
        <v>4.9387911152157023E-2</v>
      </c>
      <c r="F206">
        <v>2</v>
      </c>
      <c r="G206">
        <f>(Table211[[#This Row],[time]]-2)*2</f>
        <v>0</v>
      </c>
      <c r="H206">
        <v>87.831100000000006</v>
      </c>
      <c r="I206">
        <v>3.8477199999999998E-3</v>
      </c>
      <c r="J206" s="2">
        <f>Table211[[#This Row],[CFNM]]/Table211[[#This Row],[CAREA]]</f>
        <v>4.3808172731526752E-5</v>
      </c>
      <c r="K206">
        <v>2</v>
      </c>
      <c r="L206">
        <f>(Table312[[#This Row],[time]]-2)*2</f>
        <v>0</v>
      </c>
      <c r="M206">
        <v>85.165199999999999</v>
      </c>
      <c r="N206">
        <v>3.6992800000000001E-3</v>
      </c>
      <c r="O206">
        <f>Table312[[#This Row],[CFNM]]/Table312[[#This Row],[CAREA]]</f>
        <v>4.3436521020322855E-5</v>
      </c>
      <c r="P206">
        <v>2</v>
      </c>
      <c r="Q206">
        <f>(Table413[[#This Row],[time]]-2)*2</f>
        <v>0</v>
      </c>
      <c r="R206">
        <v>79.099999999999994</v>
      </c>
      <c r="S206">
        <v>4.5241600000000002E-3</v>
      </c>
      <c r="T206">
        <f>Table413[[#This Row],[CFNM]]/Table413[[#This Row],[CAREA]]</f>
        <v>5.7195448798988631E-5</v>
      </c>
      <c r="U206">
        <v>2</v>
      </c>
      <c r="V206">
        <f>(Table514[[#This Row],[time]]-2)*2</f>
        <v>0</v>
      </c>
      <c r="W206">
        <v>83.228300000000004</v>
      </c>
      <c r="X206">
        <v>3.5028600000000001</v>
      </c>
      <c r="Y206">
        <f>Table514[[#This Row],[CFNM]]/Table514[[#This Row],[CAREA]]</f>
        <v>4.2087366917262517E-2</v>
      </c>
      <c r="Z206">
        <v>2</v>
      </c>
      <c r="AA206">
        <f>(Table615[[#This Row],[time]]-2)*2</f>
        <v>0</v>
      </c>
      <c r="AB206">
        <v>84.265100000000004</v>
      </c>
      <c r="AC206">
        <v>6.2692600000000001</v>
      </c>
      <c r="AD206">
        <f>Table615[[#This Row],[CFNM]]/Table615[[#This Row],[CAREA]]</f>
        <v>7.4399247137901692E-2</v>
      </c>
      <c r="AE206">
        <v>2</v>
      </c>
      <c r="AF206">
        <f>(Table716[[#This Row],[time]]-2)*2</f>
        <v>0</v>
      </c>
      <c r="AG206">
        <v>78.459599999999995</v>
      </c>
      <c r="AH206">
        <v>14.705299999999999</v>
      </c>
      <c r="AI206">
        <f>Table716[[#This Row],[CFNM]]/Table716[[#This Row],[CAREA]]</f>
        <v>0.18742512069906042</v>
      </c>
      <c r="AJ206">
        <v>2</v>
      </c>
      <c r="AK206">
        <f>(Table817[[#This Row],[time]]-2)*2</f>
        <v>0</v>
      </c>
      <c r="AL206">
        <v>83.005899999999997</v>
      </c>
      <c r="AM206">
        <v>14.6465</v>
      </c>
      <c r="AN206">
        <f>Table817[[#This Row],[CFNM]]/Table817[[#This Row],[CAREA]]</f>
        <v>0.17645131249706347</v>
      </c>
    </row>
    <row r="207" spans="1:40" x14ac:dyDescent="0.25">
      <c r="A207">
        <v>2.0512600000000001</v>
      </c>
      <c r="B207">
        <f>(Table110[[#This Row],[time]]-2)*2</f>
        <v>0.10252000000000017</v>
      </c>
      <c r="C207">
        <v>88.778999999999996</v>
      </c>
      <c r="D207">
        <v>9.6479099999999995</v>
      </c>
      <c r="E207">
        <f>Table110[[#This Row],[CFNM]]/Table110[[#This Row],[CAREA]]</f>
        <v>0.10867333491028283</v>
      </c>
      <c r="F207">
        <v>2.0512600000000001</v>
      </c>
      <c r="G207">
        <f>(Table211[[#This Row],[time]]-2)*2</f>
        <v>0.10252000000000017</v>
      </c>
      <c r="H207">
        <v>96.201300000000003</v>
      </c>
      <c r="I207">
        <v>3.88863</v>
      </c>
      <c r="J207">
        <f>Table211[[#This Row],[CFNM]]/Table211[[#This Row],[CAREA]]</f>
        <v>4.0421803031767761E-2</v>
      </c>
      <c r="K207">
        <v>2.0512600000000001</v>
      </c>
      <c r="L207">
        <f>(Table312[[#This Row],[time]]-2)*2</f>
        <v>0.10252000000000017</v>
      </c>
      <c r="M207">
        <v>86.738900000000001</v>
      </c>
      <c r="N207">
        <v>2.59531</v>
      </c>
      <c r="O207">
        <f>Table312[[#This Row],[CFNM]]/Table312[[#This Row],[CAREA]]</f>
        <v>2.9920946657151521E-2</v>
      </c>
      <c r="P207">
        <v>2.0512600000000001</v>
      </c>
      <c r="Q207">
        <f>(Table413[[#This Row],[time]]-2)*2</f>
        <v>0.10252000000000017</v>
      </c>
      <c r="R207">
        <v>87.936700000000002</v>
      </c>
      <c r="S207">
        <v>8.0667799999999996</v>
      </c>
      <c r="T207">
        <f>Table413[[#This Row],[CFNM]]/Table413[[#This Row],[CAREA]]</f>
        <v>9.1733940436700481E-2</v>
      </c>
      <c r="U207">
        <v>2.0512600000000001</v>
      </c>
      <c r="V207">
        <f>(Table514[[#This Row],[time]]-2)*2</f>
        <v>0.10252000000000017</v>
      </c>
      <c r="W207">
        <v>81.172700000000006</v>
      </c>
      <c r="X207">
        <v>7.0114999999999998</v>
      </c>
      <c r="Y207">
        <f>Table514[[#This Row],[CFNM]]/Table514[[#This Row],[CAREA]]</f>
        <v>8.6377562899841928E-2</v>
      </c>
      <c r="Z207">
        <v>2.0512600000000001</v>
      </c>
      <c r="AA207">
        <f>(Table615[[#This Row],[time]]-2)*2</f>
        <v>0.10252000000000017</v>
      </c>
      <c r="AB207">
        <v>89.614099999999993</v>
      </c>
      <c r="AC207">
        <v>19.003699999999998</v>
      </c>
      <c r="AD207">
        <f>Table615[[#This Row],[CFNM]]/Table615[[#This Row],[CAREA]]</f>
        <v>0.21206149478709266</v>
      </c>
      <c r="AE207">
        <v>2.0512600000000001</v>
      </c>
      <c r="AF207">
        <f>(Table716[[#This Row],[time]]-2)*2</f>
        <v>0.10252000000000017</v>
      </c>
      <c r="AG207">
        <v>78.351500000000001</v>
      </c>
      <c r="AH207">
        <v>19.404800000000002</v>
      </c>
      <c r="AI207">
        <f>Table716[[#This Row],[CFNM]]/Table716[[#This Row],[CAREA]]</f>
        <v>0.24766341422946594</v>
      </c>
      <c r="AJ207">
        <v>2.0512600000000001</v>
      </c>
      <c r="AK207">
        <f>(Table817[[#This Row],[time]]-2)*2</f>
        <v>0.10252000000000017</v>
      </c>
      <c r="AL207">
        <v>83.392200000000003</v>
      </c>
      <c r="AM207">
        <v>21.232099999999999</v>
      </c>
      <c r="AN207">
        <f>Table817[[#This Row],[CFNM]]/Table817[[#This Row],[CAREA]]</f>
        <v>0.25460534678303243</v>
      </c>
    </row>
    <row r="208" spans="1:40" x14ac:dyDescent="0.25">
      <c r="A208">
        <v>2.1153300000000002</v>
      </c>
      <c r="B208">
        <f>(Table110[[#This Row],[time]]-2)*2</f>
        <v>0.23066000000000031</v>
      </c>
      <c r="C208">
        <v>86.465699999999998</v>
      </c>
      <c r="D208">
        <v>9.8890100000000007</v>
      </c>
      <c r="E208">
        <f>Table110[[#This Row],[CFNM]]/Table110[[#This Row],[CAREA]]</f>
        <v>0.11436916603925025</v>
      </c>
      <c r="F208">
        <v>2.1153300000000002</v>
      </c>
      <c r="G208">
        <f>(Table211[[#This Row],[time]]-2)*2</f>
        <v>0.23066000000000031</v>
      </c>
      <c r="H208">
        <v>97.383799999999994</v>
      </c>
      <c r="I208">
        <v>5.3710199999999997</v>
      </c>
      <c r="J208">
        <f>Table211[[#This Row],[CFNM]]/Table211[[#This Row],[CAREA]]</f>
        <v>5.5153115815977607E-2</v>
      </c>
      <c r="K208">
        <v>2.1153300000000002</v>
      </c>
      <c r="L208">
        <f>(Table312[[#This Row],[time]]-2)*2</f>
        <v>0.23066000000000031</v>
      </c>
      <c r="M208">
        <v>85.143900000000002</v>
      </c>
      <c r="N208">
        <v>2.7648700000000002</v>
      </c>
      <c r="O208">
        <f>Table312[[#This Row],[CFNM]]/Table312[[#This Row],[CAREA]]</f>
        <v>3.2472907630493791E-2</v>
      </c>
      <c r="P208">
        <v>2.1153300000000002</v>
      </c>
      <c r="Q208">
        <f>(Table413[[#This Row],[time]]-2)*2</f>
        <v>0.23066000000000031</v>
      </c>
      <c r="R208">
        <v>88.998800000000003</v>
      </c>
      <c r="S208">
        <v>9.6808399999999999</v>
      </c>
      <c r="T208">
        <f>Table413[[#This Row],[CFNM]]/Table413[[#This Row],[CAREA]]</f>
        <v>0.1087749497746037</v>
      </c>
      <c r="U208">
        <v>2.1153300000000002</v>
      </c>
      <c r="V208">
        <f>(Table514[[#This Row],[time]]-2)*2</f>
        <v>0.23066000000000031</v>
      </c>
      <c r="W208">
        <v>79.354299999999995</v>
      </c>
      <c r="X208">
        <v>6.2889600000000003</v>
      </c>
      <c r="Y208">
        <f>Table514[[#This Row],[CFNM]]/Table514[[#This Row],[CAREA]]</f>
        <v>7.9251659960455842E-2</v>
      </c>
      <c r="Z208">
        <v>2.1153300000000002</v>
      </c>
      <c r="AA208">
        <f>(Table615[[#This Row],[time]]-2)*2</f>
        <v>0.23066000000000031</v>
      </c>
      <c r="AB208">
        <v>92.395099999999999</v>
      </c>
      <c r="AC208">
        <v>21.450600000000001</v>
      </c>
      <c r="AD208">
        <f>Table615[[#This Row],[CFNM]]/Table615[[#This Row],[CAREA]]</f>
        <v>0.23216166225265195</v>
      </c>
      <c r="AE208">
        <v>2.1153300000000002</v>
      </c>
      <c r="AF208">
        <f>(Table716[[#This Row],[time]]-2)*2</f>
        <v>0.23066000000000031</v>
      </c>
      <c r="AG208">
        <v>77.714200000000005</v>
      </c>
      <c r="AH208">
        <v>19.230399999999999</v>
      </c>
      <c r="AI208">
        <f>Table716[[#This Row],[CFNM]]/Table716[[#This Row],[CAREA]]</f>
        <v>0.2474502729230951</v>
      </c>
      <c r="AJ208">
        <v>2.1153300000000002</v>
      </c>
      <c r="AK208">
        <f>(Table817[[#This Row],[time]]-2)*2</f>
        <v>0.23066000000000031</v>
      </c>
      <c r="AL208">
        <v>83.421499999999995</v>
      </c>
      <c r="AM208">
        <v>23.077400000000001</v>
      </c>
      <c r="AN208">
        <f>Table817[[#This Row],[CFNM]]/Table817[[#This Row],[CAREA]]</f>
        <v>0.27663611898611273</v>
      </c>
    </row>
    <row r="209" spans="1:40" x14ac:dyDescent="0.25">
      <c r="A209">
        <v>2.16533</v>
      </c>
      <c r="B209">
        <f>(Table110[[#This Row],[time]]-2)*2</f>
        <v>0.33065999999999995</v>
      </c>
      <c r="C209">
        <v>85.035399999999996</v>
      </c>
      <c r="D209">
        <v>10.0101</v>
      </c>
      <c r="E209">
        <f>Table110[[#This Row],[CFNM]]/Table110[[#This Row],[CAREA]]</f>
        <v>0.11771685674436765</v>
      </c>
      <c r="F209">
        <v>2.16533</v>
      </c>
      <c r="G209">
        <f>(Table211[[#This Row],[time]]-2)*2</f>
        <v>0.33065999999999995</v>
      </c>
      <c r="H209">
        <v>99.246499999999997</v>
      </c>
      <c r="I209">
        <v>7.7132699999999996</v>
      </c>
      <c r="J209">
        <f>Table211[[#This Row],[CFNM]]/Table211[[#This Row],[CAREA]]</f>
        <v>7.7718307446610208E-2</v>
      </c>
      <c r="K209">
        <v>2.16533</v>
      </c>
      <c r="L209">
        <f>(Table312[[#This Row],[time]]-2)*2</f>
        <v>0.33065999999999995</v>
      </c>
      <c r="M209">
        <v>83.443100000000001</v>
      </c>
      <c r="N209">
        <v>2.87527</v>
      </c>
      <c r="O209">
        <f>Table312[[#This Row],[CFNM]]/Table312[[#This Row],[CAREA]]</f>
        <v>3.4457852117191233E-2</v>
      </c>
      <c r="P209">
        <v>2.16533</v>
      </c>
      <c r="Q209">
        <f>(Table413[[#This Row],[time]]-2)*2</f>
        <v>0.33065999999999995</v>
      </c>
      <c r="R209">
        <v>89.849500000000006</v>
      </c>
      <c r="S209">
        <v>12.0817</v>
      </c>
      <c r="T209">
        <f>Table413[[#This Row],[CFNM]]/Table413[[#This Row],[CAREA]]</f>
        <v>0.13446596809108563</v>
      </c>
      <c r="U209">
        <v>2.16533</v>
      </c>
      <c r="V209">
        <f>(Table514[[#This Row],[time]]-2)*2</f>
        <v>0.33065999999999995</v>
      </c>
      <c r="W209">
        <v>76.7072</v>
      </c>
      <c r="X209">
        <v>6.2227199999999998</v>
      </c>
      <c r="Y209">
        <f>Table514[[#This Row],[CFNM]]/Table514[[#This Row],[CAREA]]</f>
        <v>8.1123023653581414E-2</v>
      </c>
      <c r="Z209">
        <v>2.16533</v>
      </c>
      <c r="AA209">
        <f>(Table615[[#This Row],[time]]-2)*2</f>
        <v>0.33065999999999995</v>
      </c>
      <c r="AB209">
        <v>92.382800000000003</v>
      </c>
      <c r="AC209">
        <v>25.559799999999999</v>
      </c>
      <c r="AD209">
        <f>Table615[[#This Row],[CFNM]]/Table615[[#This Row],[CAREA]]</f>
        <v>0.27667271396840104</v>
      </c>
      <c r="AE209">
        <v>2.16533</v>
      </c>
      <c r="AF209">
        <f>(Table716[[#This Row],[time]]-2)*2</f>
        <v>0.33065999999999995</v>
      </c>
      <c r="AG209">
        <v>77.603999999999999</v>
      </c>
      <c r="AH209">
        <v>19.003599999999999</v>
      </c>
      <c r="AI209">
        <f>Table716[[#This Row],[CFNM]]/Table716[[#This Row],[CAREA]]</f>
        <v>0.24487912994175556</v>
      </c>
      <c r="AJ209">
        <v>2.16533</v>
      </c>
      <c r="AK209">
        <f>(Table817[[#This Row],[time]]-2)*2</f>
        <v>0.33065999999999995</v>
      </c>
      <c r="AL209">
        <v>83.0334</v>
      </c>
      <c r="AM209">
        <v>25.488800000000001</v>
      </c>
      <c r="AN209">
        <f>Table817[[#This Row],[CFNM]]/Table817[[#This Row],[CAREA]]</f>
        <v>0.30697044803657325</v>
      </c>
    </row>
    <row r="210" spans="1:40" x14ac:dyDescent="0.25">
      <c r="A210">
        <v>2.2246999999999999</v>
      </c>
      <c r="B210">
        <f>(Table110[[#This Row],[time]]-2)*2</f>
        <v>0.4493999999999998</v>
      </c>
      <c r="C210">
        <v>83.516499999999994</v>
      </c>
      <c r="D210">
        <v>10.069100000000001</v>
      </c>
      <c r="E210">
        <f>Table110[[#This Row],[CFNM]]/Table110[[#This Row],[CAREA]]</f>
        <v>0.12056419988864478</v>
      </c>
      <c r="F210">
        <v>2.2246999999999999</v>
      </c>
      <c r="G210">
        <f>(Table211[[#This Row],[time]]-2)*2</f>
        <v>0.4493999999999998</v>
      </c>
      <c r="H210">
        <v>100.81699999999999</v>
      </c>
      <c r="I210">
        <v>9.59206</v>
      </c>
      <c r="J210">
        <f>Table211[[#This Row],[CFNM]]/Table211[[#This Row],[CAREA]]</f>
        <v>9.5143279407242834E-2</v>
      </c>
      <c r="K210">
        <v>2.2246999999999999</v>
      </c>
      <c r="L210">
        <f>(Table312[[#This Row],[time]]-2)*2</f>
        <v>0.4493999999999998</v>
      </c>
      <c r="M210">
        <v>83.013099999999994</v>
      </c>
      <c r="N210">
        <v>2.9463400000000002</v>
      </c>
      <c r="O210">
        <f>Table312[[#This Row],[CFNM]]/Table312[[#This Row],[CAREA]]</f>
        <v>3.5492470465504848E-2</v>
      </c>
      <c r="P210">
        <v>2.2246999999999999</v>
      </c>
      <c r="Q210">
        <f>(Table413[[#This Row],[time]]-2)*2</f>
        <v>0.4493999999999998</v>
      </c>
      <c r="R210">
        <v>89.89</v>
      </c>
      <c r="S210">
        <v>13.902699999999999</v>
      </c>
      <c r="T210">
        <f>Table413[[#This Row],[CFNM]]/Table413[[#This Row],[CAREA]]</f>
        <v>0.15466347758371343</v>
      </c>
      <c r="U210">
        <v>2.2246999999999999</v>
      </c>
      <c r="V210">
        <f>(Table514[[#This Row],[time]]-2)*2</f>
        <v>0.4493999999999998</v>
      </c>
      <c r="W210">
        <v>75.580699999999993</v>
      </c>
      <c r="X210">
        <v>6.29732</v>
      </c>
      <c r="Y210">
        <f>Table514[[#This Row],[CFNM]]/Table514[[#This Row],[CAREA]]</f>
        <v>8.3319154228526607E-2</v>
      </c>
      <c r="Z210">
        <v>2.2246999999999999</v>
      </c>
      <c r="AA210">
        <f>(Table615[[#This Row],[time]]-2)*2</f>
        <v>0.4493999999999998</v>
      </c>
      <c r="AB210">
        <v>93.204400000000007</v>
      </c>
      <c r="AC210">
        <v>28.627300000000002</v>
      </c>
      <c r="AD210">
        <f>Table615[[#This Row],[CFNM]]/Table615[[#This Row],[CAREA]]</f>
        <v>0.30714537081940335</v>
      </c>
      <c r="AE210">
        <v>2.2246999999999999</v>
      </c>
      <c r="AF210">
        <f>(Table716[[#This Row],[time]]-2)*2</f>
        <v>0.4493999999999998</v>
      </c>
      <c r="AG210">
        <v>77.607799999999997</v>
      </c>
      <c r="AH210">
        <v>18.834700000000002</v>
      </c>
      <c r="AI210">
        <f>Table716[[#This Row],[CFNM]]/Table716[[#This Row],[CAREA]]</f>
        <v>0.24269081200600973</v>
      </c>
      <c r="AJ210">
        <v>2.2246999999999999</v>
      </c>
      <c r="AK210">
        <f>(Table817[[#This Row],[time]]-2)*2</f>
        <v>0.4493999999999998</v>
      </c>
      <c r="AL210">
        <v>82.452600000000004</v>
      </c>
      <c r="AM210">
        <v>27.331</v>
      </c>
      <c r="AN210">
        <f>Table817[[#This Row],[CFNM]]/Table817[[#This Row],[CAREA]]</f>
        <v>0.33147529610952231</v>
      </c>
    </row>
    <row r="211" spans="1:40" x14ac:dyDescent="0.25">
      <c r="A211">
        <v>2.2668900000000001</v>
      </c>
      <c r="B211">
        <f>(Table110[[#This Row],[time]]-2)*2</f>
        <v>0.53378000000000014</v>
      </c>
      <c r="C211">
        <v>79.184100000000001</v>
      </c>
      <c r="D211">
        <v>10.1287</v>
      </c>
      <c r="E211">
        <f>Table110[[#This Row],[CFNM]]/Table110[[#This Row],[CAREA]]</f>
        <v>0.12791330582781138</v>
      </c>
      <c r="F211">
        <v>2.2668900000000001</v>
      </c>
      <c r="G211">
        <f>(Table211[[#This Row],[time]]-2)*2</f>
        <v>0.53378000000000014</v>
      </c>
      <c r="H211">
        <v>104.556</v>
      </c>
      <c r="I211">
        <v>12.9358</v>
      </c>
      <c r="J211">
        <f>Table211[[#This Row],[CFNM]]/Table211[[#This Row],[CAREA]]</f>
        <v>0.12372125942078886</v>
      </c>
      <c r="K211">
        <v>2.2668900000000001</v>
      </c>
      <c r="L211">
        <f>(Table312[[#This Row],[time]]-2)*2</f>
        <v>0.53378000000000014</v>
      </c>
      <c r="M211">
        <v>82.3018</v>
      </c>
      <c r="N211">
        <v>3.1312000000000002</v>
      </c>
      <c r="O211">
        <f>Table312[[#This Row],[CFNM]]/Table312[[#This Row],[CAREA]]</f>
        <v>3.8045340442128851E-2</v>
      </c>
      <c r="P211">
        <v>2.2668900000000001</v>
      </c>
      <c r="Q211">
        <f>(Table413[[#This Row],[time]]-2)*2</f>
        <v>0.53378000000000014</v>
      </c>
      <c r="R211">
        <v>89.998900000000006</v>
      </c>
      <c r="S211">
        <v>16.869399999999999</v>
      </c>
      <c r="T211">
        <f>Table413[[#This Row],[CFNM]]/Table413[[#This Row],[CAREA]]</f>
        <v>0.1874400687119509</v>
      </c>
      <c r="U211">
        <v>2.2668900000000001</v>
      </c>
      <c r="V211">
        <f>(Table514[[#This Row],[time]]-2)*2</f>
        <v>0.53378000000000014</v>
      </c>
      <c r="W211">
        <v>72.9375</v>
      </c>
      <c r="X211">
        <v>6.24533</v>
      </c>
      <c r="Y211">
        <f>Table514[[#This Row],[CFNM]]/Table514[[#This Row],[CAREA]]</f>
        <v>8.5625775492716369E-2</v>
      </c>
      <c r="Z211">
        <v>2.2668900000000001</v>
      </c>
      <c r="AA211">
        <f>(Table615[[#This Row],[time]]-2)*2</f>
        <v>0.53378000000000014</v>
      </c>
      <c r="AB211">
        <v>94.648499999999999</v>
      </c>
      <c r="AC211">
        <v>33.457299999999996</v>
      </c>
      <c r="AD211">
        <f>Table615[[#This Row],[CFNM]]/Table615[[#This Row],[CAREA]]</f>
        <v>0.35349001833098248</v>
      </c>
      <c r="AE211">
        <v>2.2668900000000001</v>
      </c>
      <c r="AF211">
        <f>(Table716[[#This Row],[time]]-2)*2</f>
        <v>0.53378000000000014</v>
      </c>
      <c r="AG211">
        <v>77.318399999999997</v>
      </c>
      <c r="AH211">
        <v>18.569900000000001</v>
      </c>
      <c r="AI211">
        <f>Table716[[#This Row],[CFNM]]/Table716[[#This Row],[CAREA]]</f>
        <v>0.24017439574538532</v>
      </c>
      <c r="AJ211">
        <v>2.2668900000000001</v>
      </c>
      <c r="AK211">
        <f>(Table817[[#This Row],[time]]-2)*2</f>
        <v>0.53378000000000014</v>
      </c>
      <c r="AL211">
        <v>81.842299999999994</v>
      </c>
      <c r="AM211">
        <v>30.514500000000002</v>
      </c>
      <c r="AN211">
        <f>Table817[[#This Row],[CFNM]]/Table817[[#This Row],[CAREA]]</f>
        <v>0.37284509355186746</v>
      </c>
    </row>
    <row r="212" spans="1:40" x14ac:dyDescent="0.25">
      <c r="A212">
        <v>2.3262700000000001</v>
      </c>
      <c r="B212">
        <f>(Table110[[#This Row],[time]]-2)*2</f>
        <v>0.65254000000000012</v>
      </c>
      <c r="C212">
        <v>77.2376</v>
      </c>
      <c r="D212">
        <v>10.011100000000001</v>
      </c>
      <c r="E212">
        <f>Table110[[#This Row],[CFNM]]/Table110[[#This Row],[CAREA]]</f>
        <v>0.12961433291557481</v>
      </c>
      <c r="F212">
        <v>2.3262700000000001</v>
      </c>
      <c r="G212">
        <f>(Table211[[#This Row],[time]]-2)*2</f>
        <v>0.65254000000000012</v>
      </c>
      <c r="H212">
        <v>106.575</v>
      </c>
      <c r="I212">
        <v>15.5839</v>
      </c>
      <c r="J212">
        <f>Table211[[#This Row],[CFNM]]/Table211[[#This Row],[CAREA]]</f>
        <v>0.14622472437250761</v>
      </c>
      <c r="K212">
        <v>2.3262700000000001</v>
      </c>
      <c r="L212">
        <f>(Table312[[#This Row],[time]]-2)*2</f>
        <v>0.65254000000000012</v>
      </c>
      <c r="M212">
        <v>81.361699999999999</v>
      </c>
      <c r="N212">
        <v>3.2727400000000002</v>
      </c>
      <c r="O212">
        <f>Table312[[#This Row],[CFNM]]/Table312[[#This Row],[CAREA]]</f>
        <v>4.0224577411730585E-2</v>
      </c>
      <c r="P212">
        <v>2.3262700000000001</v>
      </c>
      <c r="Q212">
        <f>(Table413[[#This Row],[time]]-2)*2</f>
        <v>0.65254000000000012</v>
      </c>
      <c r="R212">
        <v>89.937799999999996</v>
      </c>
      <c r="S212">
        <v>19.299099999999999</v>
      </c>
      <c r="T212">
        <f>Table413[[#This Row],[CFNM]]/Table413[[#This Row],[CAREA]]</f>
        <v>0.21458274496374161</v>
      </c>
      <c r="U212">
        <v>2.3262700000000001</v>
      </c>
      <c r="V212">
        <f>(Table514[[#This Row],[time]]-2)*2</f>
        <v>0.65254000000000012</v>
      </c>
      <c r="W212">
        <v>71.867400000000004</v>
      </c>
      <c r="X212">
        <v>6.0812799999999996</v>
      </c>
      <c r="Y212">
        <f>Table514[[#This Row],[CFNM]]/Table514[[#This Row],[CAREA]]</f>
        <v>8.4618060483612867E-2</v>
      </c>
      <c r="Z212">
        <v>2.3262700000000001</v>
      </c>
      <c r="AA212">
        <f>(Table615[[#This Row],[time]]-2)*2</f>
        <v>0.65254000000000012</v>
      </c>
      <c r="AB212">
        <v>94.599599999999995</v>
      </c>
      <c r="AC212">
        <v>37.159300000000002</v>
      </c>
      <c r="AD212">
        <f>Table615[[#This Row],[CFNM]]/Table615[[#This Row],[CAREA]]</f>
        <v>0.39280610066004512</v>
      </c>
      <c r="AE212">
        <v>2.3262700000000001</v>
      </c>
      <c r="AF212">
        <f>(Table716[[#This Row],[time]]-2)*2</f>
        <v>0.65254000000000012</v>
      </c>
      <c r="AG212">
        <v>76.819999999999993</v>
      </c>
      <c r="AH212">
        <v>18.3202</v>
      </c>
      <c r="AI212">
        <f>Table716[[#This Row],[CFNM]]/Table716[[#This Row],[CAREA]]</f>
        <v>0.23848216610257747</v>
      </c>
      <c r="AJ212">
        <v>2.3262700000000001</v>
      </c>
      <c r="AK212">
        <f>(Table817[[#This Row],[time]]-2)*2</f>
        <v>0.65254000000000012</v>
      </c>
      <c r="AL212">
        <v>81.381399999999999</v>
      </c>
      <c r="AM212">
        <v>33.113799999999998</v>
      </c>
      <c r="AN212">
        <f>Table817[[#This Row],[CFNM]]/Table817[[#This Row],[CAREA]]</f>
        <v>0.40689641613439925</v>
      </c>
    </row>
    <row r="213" spans="1:40" x14ac:dyDescent="0.25">
      <c r="A213">
        <v>2.3684599999999998</v>
      </c>
      <c r="B213">
        <f>(Table110[[#This Row],[time]]-2)*2</f>
        <v>0.73691999999999958</v>
      </c>
      <c r="C213">
        <v>73.613399999999999</v>
      </c>
      <c r="D213">
        <v>9.8029299999999999</v>
      </c>
      <c r="E213">
        <f>Table110[[#This Row],[CFNM]]/Table110[[#This Row],[CAREA]]</f>
        <v>0.13316773848239588</v>
      </c>
      <c r="F213">
        <v>2.3684599999999998</v>
      </c>
      <c r="G213">
        <f>(Table211[[#This Row],[time]]-2)*2</f>
        <v>0.73691999999999958</v>
      </c>
      <c r="H213">
        <v>106.42100000000001</v>
      </c>
      <c r="I213">
        <v>18.412199999999999</v>
      </c>
      <c r="J213">
        <f>Table211[[#This Row],[CFNM]]/Table211[[#This Row],[CAREA]]</f>
        <v>0.17301284520912225</v>
      </c>
      <c r="K213">
        <v>2.3684599999999998</v>
      </c>
      <c r="L213">
        <f>(Table312[[#This Row],[time]]-2)*2</f>
        <v>0.73691999999999958</v>
      </c>
      <c r="M213">
        <v>80.698700000000002</v>
      </c>
      <c r="N213">
        <v>3.3764400000000001</v>
      </c>
      <c r="O213">
        <f>Table312[[#This Row],[CFNM]]/Table312[[#This Row],[CAREA]]</f>
        <v>4.1840079208215253E-2</v>
      </c>
      <c r="P213">
        <v>2.3684599999999998</v>
      </c>
      <c r="Q213">
        <f>(Table413[[#This Row],[time]]-2)*2</f>
        <v>0.73691999999999958</v>
      </c>
      <c r="R213">
        <v>89.522800000000004</v>
      </c>
      <c r="S213">
        <v>22.1008</v>
      </c>
      <c r="T213">
        <f>Table413[[#This Row],[CFNM]]/Table413[[#This Row],[CAREA]]</f>
        <v>0.24687342218965447</v>
      </c>
      <c r="U213">
        <v>2.3684599999999998</v>
      </c>
      <c r="V213">
        <f>(Table514[[#This Row],[time]]-2)*2</f>
        <v>0.73691999999999958</v>
      </c>
      <c r="W213">
        <v>70.927599999999998</v>
      </c>
      <c r="X213">
        <v>5.7994199999999996</v>
      </c>
      <c r="Y213">
        <f>Table514[[#This Row],[CFNM]]/Table514[[#This Row],[CAREA]]</f>
        <v>8.1765349454937145E-2</v>
      </c>
      <c r="Z213">
        <v>2.3684599999999998</v>
      </c>
      <c r="AA213">
        <f>(Table615[[#This Row],[time]]-2)*2</f>
        <v>0.73691999999999958</v>
      </c>
      <c r="AB213">
        <v>94.262799999999999</v>
      </c>
      <c r="AC213">
        <v>41.175699999999999</v>
      </c>
      <c r="AD213">
        <f>Table615[[#This Row],[CFNM]]/Table615[[#This Row],[CAREA]]</f>
        <v>0.43681812973940937</v>
      </c>
      <c r="AE213">
        <v>2.3684599999999998</v>
      </c>
      <c r="AF213">
        <f>(Table716[[#This Row],[time]]-2)*2</f>
        <v>0.73691999999999958</v>
      </c>
      <c r="AG213">
        <v>76.864099999999993</v>
      </c>
      <c r="AH213">
        <v>18.0486</v>
      </c>
      <c r="AI213">
        <f>Table716[[#This Row],[CFNM]]/Table716[[#This Row],[CAREA]]</f>
        <v>0.23481183023023755</v>
      </c>
      <c r="AJ213">
        <v>2.3684599999999998</v>
      </c>
      <c r="AK213">
        <f>(Table817[[#This Row],[time]]-2)*2</f>
        <v>0.73691999999999958</v>
      </c>
      <c r="AL213">
        <v>80.852400000000003</v>
      </c>
      <c r="AM213">
        <v>36.161999999999999</v>
      </c>
      <c r="AN213">
        <f>Table817[[#This Row],[CFNM]]/Table817[[#This Row],[CAREA]]</f>
        <v>0.44725945055434346</v>
      </c>
    </row>
    <row r="214" spans="1:40" x14ac:dyDescent="0.25">
      <c r="A214">
        <v>2.4278300000000002</v>
      </c>
      <c r="B214">
        <f>(Table110[[#This Row],[time]]-2)*2</f>
        <v>0.85566000000000031</v>
      </c>
      <c r="C214">
        <v>70.027100000000004</v>
      </c>
      <c r="D214">
        <v>9.6215200000000003</v>
      </c>
      <c r="E214">
        <f>Table110[[#This Row],[CFNM]]/Table110[[#This Row],[CAREA]]</f>
        <v>0.13739709341097947</v>
      </c>
      <c r="F214">
        <v>2.4278300000000002</v>
      </c>
      <c r="G214">
        <f>(Table211[[#This Row],[time]]-2)*2</f>
        <v>0.85566000000000031</v>
      </c>
      <c r="H214">
        <v>104.36499999999999</v>
      </c>
      <c r="I214">
        <v>21.229700000000001</v>
      </c>
      <c r="J214">
        <f>Table211[[#This Row],[CFNM]]/Table211[[#This Row],[CAREA]]</f>
        <v>0.20341781248502852</v>
      </c>
      <c r="K214">
        <v>2.4278300000000002</v>
      </c>
      <c r="L214">
        <f>(Table312[[#This Row],[time]]-2)*2</f>
        <v>0.85566000000000031</v>
      </c>
      <c r="M214">
        <v>79.885099999999994</v>
      </c>
      <c r="N214">
        <v>3.4186100000000001</v>
      </c>
      <c r="O214">
        <f>Table312[[#This Row],[CFNM]]/Table312[[#This Row],[CAREA]]</f>
        <v>4.2794088008902789E-2</v>
      </c>
      <c r="P214">
        <v>2.4278300000000002</v>
      </c>
      <c r="Q214">
        <f>(Table413[[#This Row],[time]]-2)*2</f>
        <v>0.85566000000000031</v>
      </c>
      <c r="R214">
        <v>89.206599999999995</v>
      </c>
      <c r="S214">
        <v>24.840299999999999</v>
      </c>
      <c r="T214">
        <f>Table413[[#This Row],[CFNM]]/Table413[[#This Row],[CAREA]]</f>
        <v>0.27845809614983646</v>
      </c>
      <c r="U214">
        <v>2.4278300000000002</v>
      </c>
      <c r="V214">
        <f>(Table514[[#This Row],[time]]-2)*2</f>
        <v>0.85566000000000031</v>
      </c>
      <c r="W214">
        <v>69.980099999999993</v>
      </c>
      <c r="X214">
        <v>5.4529899999999998</v>
      </c>
      <c r="Y214">
        <f>Table514[[#This Row],[CFNM]]/Table514[[#This Row],[CAREA]]</f>
        <v>7.7922009256917335E-2</v>
      </c>
      <c r="Z214">
        <v>2.4278300000000002</v>
      </c>
      <c r="AA214">
        <f>(Table615[[#This Row],[time]]-2)*2</f>
        <v>0.85566000000000031</v>
      </c>
      <c r="AB214">
        <v>94.488200000000006</v>
      </c>
      <c r="AC214">
        <v>44.869500000000002</v>
      </c>
      <c r="AD214">
        <f>Table615[[#This Row],[CFNM]]/Table615[[#This Row],[CAREA]]</f>
        <v>0.47486881959863769</v>
      </c>
      <c r="AE214">
        <v>2.4278300000000002</v>
      </c>
      <c r="AF214">
        <f>(Table716[[#This Row],[time]]-2)*2</f>
        <v>0.85566000000000031</v>
      </c>
      <c r="AG214">
        <v>76.627300000000005</v>
      </c>
      <c r="AH214">
        <v>17.708500000000001</v>
      </c>
      <c r="AI214">
        <f>Table716[[#This Row],[CFNM]]/Table716[[#This Row],[CAREA]]</f>
        <v>0.23109909914612678</v>
      </c>
      <c r="AJ214">
        <v>2.4278300000000002</v>
      </c>
      <c r="AK214">
        <f>(Table817[[#This Row],[time]]-2)*2</f>
        <v>0.85566000000000031</v>
      </c>
      <c r="AL214">
        <v>80.350999999999999</v>
      </c>
      <c r="AM214">
        <v>39.029200000000003</v>
      </c>
      <c r="AN214">
        <f>Table817[[#This Row],[CFNM]]/Table817[[#This Row],[CAREA]]</f>
        <v>0.48573384276486919</v>
      </c>
    </row>
    <row r="215" spans="1:40" x14ac:dyDescent="0.25">
      <c r="A215">
        <v>2.4542000000000002</v>
      </c>
      <c r="B215">
        <f>(Table110[[#This Row],[time]]-2)*2</f>
        <v>0.90840000000000032</v>
      </c>
      <c r="C215">
        <v>68.003399999999999</v>
      </c>
      <c r="D215">
        <v>9.1843699999999995</v>
      </c>
      <c r="E215">
        <f>Table110[[#This Row],[CFNM]]/Table110[[#This Row],[CAREA]]</f>
        <v>0.13505751183029083</v>
      </c>
      <c r="F215">
        <v>2.4542000000000002</v>
      </c>
      <c r="G215">
        <f>(Table211[[#This Row],[time]]-2)*2</f>
        <v>0.90840000000000032</v>
      </c>
      <c r="H215">
        <v>101.83</v>
      </c>
      <c r="I215">
        <v>25.257300000000001</v>
      </c>
      <c r="J215">
        <f>Table211[[#This Row],[CFNM]]/Table211[[#This Row],[CAREA]]</f>
        <v>0.24803397819895906</v>
      </c>
      <c r="K215">
        <v>2.4542000000000002</v>
      </c>
      <c r="L215">
        <f>(Table312[[#This Row],[time]]-2)*2</f>
        <v>0.90840000000000032</v>
      </c>
      <c r="M215">
        <v>79.187100000000001</v>
      </c>
      <c r="N215">
        <v>3.2873999999999999</v>
      </c>
      <c r="O215">
        <f>Table312[[#This Row],[CFNM]]/Table312[[#This Row],[CAREA]]</f>
        <v>4.1514337562557534E-2</v>
      </c>
      <c r="P215">
        <v>2.4542000000000002</v>
      </c>
      <c r="Q215">
        <f>(Table413[[#This Row],[time]]-2)*2</f>
        <v>0.90840000000000032</v>
      </c>
      <c r="R215">
        <v>88.525599999999997</v>
      </c>
      <c r="S215">
        <v>28.664400000000001</v>
      </c>
      <c r="T215">
        <f>Table413[[#This Row],[CFNM]]/Table413[[#This Row],[CAREA]]</f>
        <v>0.32379786186142767</v>
      </c>
      <c r="U215">
        <v>2.4542000000000002</v>
      </c>
      <c r="V215">
        <f>(Table514[[#This Row],[time]]-2)*2</f>
        <v>0.90840000000000032</v>
      </c>
      <c r="W215">
        <v>68.923100000000005</v>
      </c>
      <c r="X215">
        <v>4.9250999999999996</v>
      </c>
      <c r="Y215">
        <f>Table514[[#This Row],[CFNM]]/Table514[[#This Row],[CAREA]]</f>
        <v>7.145790018150662E-2</v>
      </c>
      <c r="Z215">
        <v>2.4542000000000002</v>
      </c>
      <c r="AA215">
        <f>(Table615[[#This Row],[time]]-2)*2</f>
        <v>0.90840000000000032</v>
      </c>
      <c r="AB215">
        <v>94.041399999999996</v>
      </c>
      <c r="AC215">
        <v>49.278300000000002</v>
      </c>
      <c r="AD215">
        <f>Table615[[#This Row],[CFNM]]/Table615[[#This Row],[CAREA]]</f>
        <v>0.52400644822386744</v>
      </c>
      <c r="AE215">
        <v>2.4542000000000002</v>
      </c>
      <c r="AF215">
        <f>(Table716[[#This Row],[time]]-2)*2</f>
        <v>0.90840000000000032</v>
      </c>
      <c r="AG215">
        <v>76.599000000000004</v>
      </c>
      <c r="AH215">
        <v>17.250399999999999</v>
      </c>
      <c r="AI215">
        <f>Table716[[#This Row],[CFNM]]/Table716[[#This Row],[CAREA]]</f>
        <v>0.22520398438621911</v>
      </c>
      <c r="AJ215">
        <v>2.4542000000000002</v>
      </c>
      <c r="AK215">
        <f>(Table817[[#This Row],[time]]-2)*2</f>
        <v>0.90840000000000032</v>
      </c>
      <c r="AL215">
        <v>79.763000000000005</v>
      </c>
      <c r="AM215">
        <v>42.6708</v>
      </c>
      <c r="AN215">
        <f>Table817[[#This Row],[CFNM]]/Table817[[#This Row],[CAREA]]</f>
        <v>0.53496984817521909</v>
      </c>
    </row>
    <row r="216" spans="1:40" x14ac:dyDescent="0.25">
      <c r="A216">
        <v>2.5061499999999999</v>
      </c>
      <c r="B216">
        <f>(Table110[[#This Row],[time]]-2)*2</f>
        <v>1.0122999999999998</v>
      </c>
      <c r="C216">
        <v>65.6447</v>
      </c>
      <c r="D216">
        <v>8.6695899999999995</v>
      </c>
      <c r="E216">
        <f>Table110[[#This Row],[CFNM]]/Table110[[#This Row],[CAREA]]</f>
        <v>0.13206839242162732</v>
      </c>
      <c r="F216">
        <v>2.5061499999999999</v>
      </c>
      <c r="G216">
        <f>(Table211[[#This Row],[time]]-2)*2</f>
        <v>1.0122999999999998</v>
      </c>
      <c r="H216">
        <v>99.970600000000005</v>
      </c>
      <c r="I216">
        <v>29.462700000000002</v>
      </c>
      <c r="J216">
        <f>Table211[[#This Row],[CFNM]]/Table211[[#This Row],[CAREA]]</f>
        <v>0.29471364581186871</v>
      </c>
      <c r="K216">
        <v>2.5061499999999999</v>
      </c>
      <c r="L216">
        <f>(Table312[[#This Row],[time]]-2)*2</f>
        <v>1.0122999999999998</v>
      </c>
      <c r="M216">
        <v>77.957599999999999</v>
      </c>
      <c r="N216">
        <v>3.0705</v>
      </c>
      <c r="O216">
        <f>Table312[[#This Row],[CFNM]]/Table312[[#This Row],[CAREA]]</f>
        <v>3.938679487311051E-2</v>
      </c>
      <c r="P216">
        <v>2.5061499999999999</v>
      </c>
      <c r="Q216">
        <f>(Table413[[#This Row],[time]]-2)*2</f>
        <v>1.0122999999999998</v>
      </c>
      <c r="R216">
        <v>87.780799999999999</v>
      </c>
      <c r="S216">
        <v>32.731999999999999</v>
      </c>
      <c r="T216">
        <f>Table413[[#This Row],[CFNM]]/Table413[[#This Row],[CAREA]]</f>
        <v>0.37288336401582123</v>
      </c>
      <c r="U216">
        <v>2.5061499999999999</v>
      </c>
      <c r="V216">
        <f>(Table514[[#This Row],[time]]-2)*2</f>
        <v>1.0122999999999998</v>
      </c>
      <c r="W216">
        <v>67.818200000000004</v>
      </c>
      <c r="X216">
        <v>4.2910500000000003</v>
      </c>
      <c r="Y216">
        <f>Table514[[#This Row],[CFNM]]/Table514[[#This Row],[CAREA]]</f>
        <v>6.3272838264654616E-2</v>
      </c>
      <c r="Z216">
        <v>2.5061499999999999</v>
      </c>
      <c r="AA216">
        <f>(Table615[[#This Row],[time]]-2)*2</f>
        <v>1.0122999999999998</v>
      </c>
      <c r="AB216">
        <v>93.871399999999994</v>
      </c>
      <c r="AC216">
        <v>53.553600000000003</v>
      </c>
      <c r="AD216">
        <f>Table615[[#This Row],[CFNM]]/Table615[[#This Row],[CAREA]]</f>
        <v>0.57049964099821682</v>
      </c>
      <c r="AE216">
        <v>2.5061499999999999</v>
      </c>
      <c r="AF216">
        <f>(Table716[[#This Row],[time]]-2)*2</f>
        <v>1.0122999999999998</v>
      </c>
      <c r="AG216">
        <v>75.709100000000007</v>
      </c>
      <c r="AH216">
        <v>16.810199999999998</v>
      </c>
      <c r="AI216">
        <f>Table716[[#This Row],[CFNM]]/Table716[[#This Row],[CAREA]]</f>
        <v>0.22203671685438073</v>
      </c>
      <c r="AJ216">
        <v>2.5061499999999999</v>
      </c>
      <c r="AK216">
        <f>(Table817[[#This Row],[time]]-2)*2</f>
        <v>1.0122999999999998</v>
      </c>
      <c r="AL216">
        <v>79.347499999999997</v>
      </c>
      <c r="AM216">
        <v>46.473100000000002</v>
      </c>
      <c r="AN216">
        <f>Table817[[#This Row],[CFNM]]/Table817[[#This Row],[CAREA]]</f>
        <v>0.58569079051009809</v>
      </c>
    </row>
    <row r="217" spans="1:40" x14ac:dyDescent="0.25">
      <c r="A217">
        <v>2.5507599999999999</v>
      </c>
      <c r="B217">
        <f>(Table110[[#This Row],[time]]-2)*2</f>
        <v>1.1015199999999998</v>
      </c>
      <c r="C217">
        <v>64.834900000000005</v>
      </c>
      <c r="D217">
        <v>8.2767499999999998</v>
      </c>
      <c r="E217">
        <f>Table110[[#This Row],[CFNM]]/Table110[[#This Row],[CAREA]]</f>
        <v>0.12765886891165096</v>
      </c>
      <c r="F217">
        <v>2.5507599999999999</v>
      </c>
      <c r="G217">
        <f>(Table211[[#This Row],[time]]-2)*2</f>
        <v>1.1015199999999998</v>
      </c>
      <c r="H217">
        <v>99.0929</v>
      </c>
      <c r="I217">
        <v>32.146299999999997</v>
      </c>
      <c r="J217">
        <f>Table211[[#This Row],[CFNM]]/Table211[[#This Row],[CAREA]]</f>
        <v>0.32440568395919384</v>
      </c>
      <c r="K217">
        <v>2.5507599999999999</v>
      </c>
      <c r="L217">
        <f>(Table312[[#This Row],[time]]-2)*2</f>
        <v>1.1015199999999998</v>
      </c>
      <c r="M217">
        <v>76.782700000000006</v>
      </c>
      <c r="N217">
        <v>2.9590100000000001</v>
      </c>
      <c r="O217">
        <f>Table312[[#This Row],[CFNM]]/Table312[[#This Row],[CAREA]]</f>
        <v>3.8537457005288954E-2</v>
      </c>
      <c r="P217">
        <v>2.5507599999999999</v>
      </c>
      <c r="Q217">
        <f>(Table413[[#This Row],[time]]-2)*2</f>
        <v>1.1015199999999998</v>
      </c>
      <c r="R217">
        <v>86.963700000000003</v>
      </c>
      <c r="S217">
        <v>35.331400000000002</v>
      </c>
      <c r="T217">
        <f>Table413[[#This Row],[CFNM]]/Table413[[#This Row],[CAREA]]</f>
        <v>0.40627756178727448</v>
      </c>
      <c r="U217">
        <v>2.5507599999999999</v>
      </c>
      <c r="V217">
        <f>(Table514[[#This Row],[time]]-2)*2</f>
        <v>1.1015199999999998</v>
      </c>
      <c r="W217">
        <v>67.285399999999996</v>
      </c>
      <c r="X217">
        <v>3.8149199999999999</v>
      </c>
      <c r="Y217">
        <f>Table514[[#This Row],[CFNM]]/Table514[[#This Row],[CAREA]]</f>
        <v>5.6697589670270221E-2</v>
      </c>
      <c r="Z217">
        <v>2.5507599999999999</v>
      </c>
      <c r="AA217">
        <f>(Table615[[#This Row],[time]]-2)*2</f>
        <v>1.1015199999999998</v>
      </c>
      <c r="AB217">
        <v>93.473399999999998</v>
      </c>
      <c r="AC217">
        <v>56.186199999999999</v>
      </c>
      <c r="AD217">
        <f>Table615[[#This Row],[CFNM]]/Table615[[#This Row],[CAREA]]</f>
        <v>0.60109293125102969</v>
      </c>
      <c r="AE217">
        <v>2.5507599999999999</v>
      </c>
      <c r="AF217">
        <f>(Table716[[#This Row],[time]]-2)*2</f>
        <v>1.1015199999999998</v>
      </c>
      <c r="AG217">
        <v>75.581599999999995</v>
      </c>
      <c r="AH217">
        <v>16.466100000000001</v>
      </c>
      <c r="AI217">
        <f>Table716[[#This Row],[CFNM]]/Table716[[#This Row],[CAREA]]</f>
        <v>0.21785857933676983</v>
      </c>
      <c r="AJ217">
        <v>2.5507599999999999</v>
      </c>
      <c r="AK217">
        <f>(Table817[[#This Row],[time]]-2)*2</f>
        <v>1.1015199999999998</v>
      </c>
      <c r="AL217">
        <v>78.907399999999996</v>
      </c>
      <c r="AM217">
        <v>48.918300000000002</v>
      </c>
      <c r="AN217">
        <f>Table817[[#This Row],[CFNM]]/Table817[[#This Row],[CAREA]]</f>
        <v>0.61994565782169997</v>
      </c>
    </row>
    <row r="218" spans="1:40" x14ac:dyDescent="0.25">
      <c r="A218">
        <v>2.60453</v>
      </c>
      <c r="B218">
        <f>(Table110[[#This Row],[time]]-2)*2</f>
        <v>1.20906</v>
      </c>
      <c r="C218">
        <v>63.640999999999998</v>
      </c>
      <c r="D218">
        <v>7.7711399999999999</v>
      </c>
      <c r="E218">
        <f>Table110[[#This Row],[CFNM]]/Table110[[#This Row],[CAREA]]</f>
        <v>0.12210901777156236</v>
      </c>
      <c r="F218">
        <v>2.60453</v>
      </c>
      <c r="G218">
        <f>(Table211[[#This Row],[time]]-2)*2</f>
        <v>1.20906</v>
      </c>
      <c r="H218">
        <v>98.102599999999995</v>
      </c>
      <c r="I218">
        <v>35.700899999999997</v>
      </c>
      <c r="J218">
        <f>Table211[[#This Row],[CFNM]]/Table211[[#This Row],[CAREA]]</f>
        <v>0.36391390238383081</v>
      </c>
      <c r="K218">
        <v>2.60453</v>
      </c>
      <c r="L218">
        <f>(Table312[[#This Row],[time]]-2)*2</f>
        <v>1.20906</v>
      </c>
      <c r="M218">
        <v>76.016300000000001</v>
      </c>
      <c r="N218">
        <v>2.5365700000000002</v>
      </c>
      <c r="O218">
        <f>Table312[[#This Row],[CFNM]]/Table312[[#This Row],[CAREA]]</f>
        <v>3.3368764330808001E-2</v>
      </c>
      <c r="P218">
        <v>2.60453</v>
      </c>
      <c r="Q218">
        <f>(Table413[[#This Row],[time]]-2)*2</f>
        <v>1.20906</v>
      </c>
      <c r="R218">
        <v>86.264099999999999</v>
      </c>
      <c r="S218">
        <v>39.093800000000002</v>
      </c>
      <c r="T218">
        <f>Table413[[#This Row],[CFNM]]/Table413[[#This Row],[CAREA]]</f>
        <v>0.45318736299341211</v>
      </c>
      <c r="U218">
        <v>2.60453</v>
      </c>
      <c r="V218">
        <f>(Table514[[#This Row],[time]]-2)*2</f>
        <v>1.20906</v>
      </c>
      <c r="W218">
        <v>66.388400000000004</v>
      </c>
      <c r="X218">
        <v>3.0918199999999998</v>
      </c>
      <c r="Y218">
        <f>Table514[[#This Row],[CFNM]]/Table514[[#This Row],[CAREA]]</f>
        <v>4.6571690235041055E-2</v>
      </c>
      <c r="Z218">
        <v>2.60453</v>
      </c>
      <c r="AA218">
        <f>(Table615[[#This Row],[time]]-2)*2</f>
        <v>1.20906</v>
      </c>
      <c r="AB218">
        <v>92.869600000000005</v>
      </c>
      <c r="AC218">
        <v>59.783200000000001</v>
      </c>
      <c r="AD218">
        <f>Table615[[#This Row],[CFNM]]/Table615[[#This Row],[CAREA]]</f>
        <v>0.64373271770310192</v>
      </c>
      <c r="AE218">
        <v>2.60453</v>
      </c>
      <c r="AF218">
        <f>(Table716[[#This Row],[time]]-2)*2</f>
        <v>1.20906</v>
      </c>
      <c r="AG218">
        <v>74.882900000000006</v>
      </c>
      <c r="AH218">
        <v>15.9049</v>
      </c>
      <c r="AI218">
        <f>Table716[[#This Row],[CFNM]]/Table716[[#This Row],[CAREA]]</f>
        <v>0.21239695578029161</v>
      </c>
      <c r="AJ218">
        <v>2.60453</v>
      </c>
      <c r="AK218">
        <f>(Table817[[#This Row],[time]]-2)*2</f>
        <v>1.20906</v>
      </c>
      <c r="AL218">
        <v>78.337100000000007</v>
      </c>
      <c r="AM218">
        <v>52.226599999999998</v>
      </c>
      <c r="AN218">
        <f>Table817[[#This Row],[CFNM]]/Table817[[#This Row],[CAREA]]</f>
        <v>0.66669049530809787</v>
      </c>
    </row>
    <row r="219" spans="1:40" x14ac:dyDescent="0.25">
      <c r="A219">
        <v>2.65273</v>
      </c>
      <c r="B219">
        <f>(Table110[[#This Row],[time]]-2)*2</f>
        <v>1.3054600000000001</v>
      </c>
      <c r="C219">
        <v>62.820999999999998</v>
      </c>
      <c r="D219">
        <v>7.2387899999999998</v>
      </c>
      <c r="E219">
        <f>Table110[[#This Row],[CFNM]]/Table110[[#This Row],[CAREA]]</f>
        <v>0.11522882475605291</v>
      </c>
      <c r="F219">
        <v>2.65273</v>
      </c>
      <c r="G219">
        <f>(Table211[[#This Row],[time]]-2)*2</f>
        <v>1.3054600000000001</v>
      </c>
      <c r="H219">
        <v>97.155799999999999</v>
      </c>
      <c r="I219">
        <v>39.290500000000002</v>
      </c>
      <c r="J219">
        <f>Table211[[#This Row],[CFNM]]/Table211[[#This Row],[CAREA]]</f>
        <v>0.40440714810644346</v>
      </c>
      <c r="K219">
        <v>2.65273</v>
      </c>
      <c r="L219">
        <f>(Table312[[#This Row],[time]]-2)*2</f>
        <v>1.3054600000000001</v>
      </c>
      <c r="M219">
        <v>75.201999999999998</v>
      </c>
      <c r="N219">
        <v>2.0901399999999999</v>
      </c>
      <c r="O219">
        <f>Table312[[#This Row],[CFNM]]/Table312[[#This Row],[CAREA]]</f>
        <v>2.7793675700114359E-2</v>
      </c>
      <c r="P219">
        <v>2.65273</v>
      </c>
      <c r="Q219">
        <f>(Table413[[#This Row],[time]]-2)*2</f>
        <v>1.3054600000000001</v>
      </c>
      <c r="R219">
        <v>85.598699999999994</v>
      </c>
      <c r="S219">
        <v>42.923900000000003</v>
      </c>
      <c r="T219">
        <f>Table413[[#This Row],[CFNM]]/Table413[[#This Row],[CAREA]]</f>
        <v>0.50145504546213915</v>
      </c>
      <c r="U219">
        <v>2.65273</v>
      </c>
      <c r="V219">
        <f>(Table514[[#This Row],[time]]-2)*2</f>
        <v>1.3054600000000001</v>
      </c>
      <c r="W219">
        <v>64.983400000000003</v>
      </c>
      <c r="X219">
        <v>2.2592400000000001</v>
      </c>
      <c r="Y219">
        <f>Table514[[#This Row],[CFNM]]/Table514[[#This Row],[CAREA]]</f>
        <v>3.4766417269641171E-2</v>
      </c>
      <c r="Z219">
        <v>2.65273</v>
      </c>
      <c r="AA219">
        <f>(Table615[[#This Row],[time]]-2)*2</f>
        <v>1.3054600000000001</v>
      </c>
      <c r="AB219">
        <v>92.377399999999994</v>
      </c>
      <c r="AC219">
        <v>63.505600000000001</v>
      </c>
      <c r="AD219">
        <f>Table615[[#This Row],[CFNM]]/Table615[[#This Row],[CAREA]]</f>
        <v>0.68745818782516077</v>
      </c>
      <c r="AE219">
        <v>2.65273</v>
      </c>
      <c r="AF219">
        <f>(Table716[[#This Row],[time]]-2)*2</f>
        <v>1.3054600000000001</v>
      </c>
      <c r="AG219">
        <v>74.377499999999998</v>
      </c>
      <c r="AH219">
        <v>15.2567</v>
      </c>
      <c r="AI219">
        <f>Table716[[#This Row],[CFNM]]/Table716[[#This Row],[CAREA]]</f>
        <v>0.20512520587543276</v>
      </c>
      <c r="AJ219">
        <v>2.65273</v>
      </c>
      <c r="AK219">
        <f>(Table817[[#This Row],[time]]-2)*2</f>
        <v>1.3054600000000001</v>
      </c>
      <c r="AL219">
        <v>77.495400000000004</v>
      </c>
      <c r="AM219">
        <v>55.712600000000002</v>
      </c>
      <c r="AN219">
        <f>Table817[[#This Row],[CFNM]]/Table817[[#This Row],[CAREA]]</f>
        <v>0.71891492914418142</v>
      </c>
    </row>
    <row r="220" spans="1:40" x14ac:dyDescent="0.25">
      <c r="A220">
        <v>2.7006199999999998</v>
      </c>
      <c r="B220">
        <f>(Table110[[#This Row],[time]]-2)*2</f>
        <v>1.4012399999999996</v>
      </c>
      <c r="C220">
        <v>61.719499999999996</v>
      </c>
      <c r="D220">
        <v>6.8164400000000001</v>
      </c>
      <c r="E220">
        <f>Table110[[#This Row],[CFNM]]/Table110[[#This Row],[CAREA]]</f>
        <v>0.110442242727177</v>
      </c>
      <c r="F220">
        <v>2.7006199999999998</v>
      </c>
      <c r="G220">
        <f>(Table211[[#This Row],[time]]-2)*2</f>
        <v>1.4012399999999996</v>
      </c>
      <c r="H220">
        <v>96.439099999999996</v>
      </c>
      <c r="I220">
        <v>42.296999999999997</v>
      </c>
      <c r="J220">
        <f>Table211[[#This Row],[CFNM]]/Table211[[#This Row],[CAREA]]</f>
        <v>0.43858766827977447</v>
      </c>
      <c r="K220">
        <v>2.7006199999999998</v>
      </c>
      <c r="L220">
        <f>(Table312[[#This Row],[time]]-2)*2</f>
        <v>1.4012399999999996</v>
      </c>
      <c r="M220">
        <v>72.473500000000001</v>
      </c>
      <c r="N220">
        <v>1.7411099999999999</v>
      </c>
      <c r="O220">
        <f>Table312[[#This Row],[CFNM]]/Table312[[#This Row],[CAREA]]</f>
        <v>2.4024091564502886E-2</v>
      </c>
      <c r="P220">
        <v>2.7006199999999998</v>
      </c>
      <c r="Q220">
        <f>(Table413[[#This Row],[time]]-2)*2</f>
        <v>1.4012399999999996</v>
      </c>
      <c r="R220">
        <v>85.029899999999998</v>
      </c>
      <c r="S220">
        <v>46.077300000000001</v>
      </c>
      <c r="T220">
        <f>Table413[[#This Row],[CFNM]]/Table413[[#This Row],[CAREA]]</f>
        <v>0.54189526272522959</v>
      </c>
      <c r="U220">
        <v>2.7006199999999998</v>
      </c>
      <c r="V220">
        <f>(Table514[[#This Row],[time]]-2)*2</f>
        <v>1.4012399999999996</v>
      </c>
      <c r="W220">
        <v>64.790199999999999</v>
      </c>
      <c r="X220">
        <v>1.5517000000000001</v>
      </c>
      <c r="Y220">
        <f>Table514[[#This Row],[CFNM]]/Table514[[#This Row],[CAREA]]</f>
        <v>2.3949609663189805E-2</v>
      </c>
      <c r="Z220">
        <v>2.7006199999999998</v>
      </c>
      <c r="AA220">
        <f>(Table615[[#This Row],[time]]-2)*2</f>
        <v>1.4012399999999996</v>
      </c>
      <c r="AB220">
        <v>91.744399999999999</v>
      </c>
      <c r="AC220">
        <v>66.597700000000003</v>
      </c>
      <c r="AD220">
        <f>Table615[[#This Row],[CFNM]]/Table615[[#This Row],[CAREA]]</f>
        <v>0.7259047963690427</v>
      </c>
      <c r="AE220">
        <v>2.7006199999999998</v>
      </c>
      <c r="AF220">
        <f>(Table716[[#This Row],[time]]-2)*2</f>
        <v>1.4012399999999996</v>
      </c>
      <c r="AG220">
        <v>73.728099999999998</v>
      </c>
      <c r="AH220">
        <v>14.683199999999999</v>
      </c>
      <c r="AI220">
        <f>Table716[[#This Row],[CFNM]]/Table716[[#This Row],[CAREA]]</f>
        <v>0.19915337571427991</v>
      </c>
      <c r="AJ220">
        <v>2.7006199999999998</v>
      </c>
      <c r="AK220">
        <f>(Table817[[#This Row],[time]]-2)*2</f>
        <v>1.4012399999999996</v>
      </c>
      <c r="AL220">
        <v>76.867000000000004</v>
      </c>
      <c r="AM220">
        <v>58.640099999999997</v>
      </c>
      <c r="AN220">
        <f>Table817[[#This Row],[CFNM]]/Table817[[#This Row],[CAREA]]</f>
        <v>0.7628774376520483</v>
      </c>
    </row>
    <row r="221" spans="1:40" x14ac:dyDescent="0.25">
      <c r="A221">
        <v>2.75176</v>
      </c>
      <c r="B221">
        <f>(Table110[[#This Row],[time]]-2)*2</f>
        <v>1.50352</v>
      </c>
      <c r="C221">
        <v>59.953499999999998</v>
      </c>
      <c r="D221">
        <v>6.2926700000000002</v>
      </c>
      <c r="E221">
        <f>Table110[[#This Row],[CFNM]]/Table110[[#This Row],[CAREA]]</f>
        <v>0.10495917669527217</v>
      </c>
      <c r="F221">
        <v>2.75176</v>
      </c>
      <c r="G221">
        <f>(Table211[[#This Row],[time]]-2)*2</f>
        <v>1.50352</v>
      </c>
      <c r="H221">
        <v>95.223299999999995</v>
      </c>
      <c r="I221">
        <v>46.3461</v>
      </c>
      <c r="J221">
        <f>Table211[[#This Row],[CFNM]]/Table211[[#This Row],[CAREA]]</f>
        <v>0.48670966034573476</v>
      </c>
      <c r="K221">
        <v>2.75176</v>
      </c>
      <c r="L221">
        <f>(Table312[[#This Row],[time]]-2)*2</f>
        <v>1.50352</v>
      </c>
      <c r="M221">
        <v>68.821200000000005</v>
      </c>
      <c r="N221">
        <v>1.34199</v>
      </c>
      <c r="O221">
        <f>Table312[[#This Row],[CFNM]]/Table312[[#This Row],[CAREA]]</f>
        <v>1.9499659988491916E-2</v>
      </c>
      <c r="P221">
        <v>2.75176</v>
      </c>
      <c r="Q221">
        <f>(Table413[[#This Row],[time]]-2)*2</f>
        <v>1.50352</v>
      </c>
      <c r="R221">
        <v>84.078400000000002</v>
      </c>
      <c r="S221">
        <v>50.323</v>
      </c>
      <c r="T221">
        <f>Table413[[#This Row],[CFNM]]/Table413[[#This Row],[CAREA]]</f>
        <v>0.59852471027041432</v>
      </c>
      <c r="U221">
        <v>2.75176</v>
      </c>
      <c r="V221">
        <f>(Table514[[#This Row],[time]]-2)*2</f>
        <v>1.50352</v>
      </c>
      <c r="W221">
        <v>63.331699999999998</v>
      </c>
      <c r="X221">
        <v>0.76169299999999995</v>
      </c>
      <c r="Y221">
        <f>Table514[[#This Row],[CFNM]]/Table514[[#This Row],[CAREA]]</f>
        <v>1.202704175002408E-2</v>
      </c>
      <c r="Z221">
        <v>2.75176</v>
      </c>
      <c r="AA221">
        <f>(Table615[[#This Row],[time]]-2)*2</f>
        <v>1.50352</v>
      </c>
      <c r="AB221">
        <v>91.089500000000001</v>
      </c>
      <c r="AC221">
        <v>70.911000000000001</v>
      </c>
      <c r="AD221">
        <f>Table615[[#This Row],[CFNM]]/Table615[[#This Row],[CAREA]]</f>
        <v>0.77847611415146645</v>
      </c>
      <c r="AE221">
        <v>2.75176</v>
      </c>
      <c r="AF221">
        <f>(Table716[[#This Row],[time]]-2)*2</f>
        <v>1.50352</v>
      </c>
      <c r="AG221">
        <v>73.126599999999996</v>
      </c>
      <c r="AH221">
        <v>13.8424</v>
      </c>
      <c r="AI221">
        <f>Table716[[#This Row],[CFNM]]/Table716[[#This Row],[CAREA]]</f>
        <v>0.18929363596830703</v>
      </c>
      <c r="AJ221">
        <v>2.75176</v>
      </c>
      <c r="AK221">
        <f>(Table817[[#This Row],[time]]-2)*2</f>
        <v>1.50352</v>
      </c>
      <c r="AL221">
        <v>75.944299999999998</v>
      </c>
      <c r="AM221">
        <v>62.648800000000001</v>
      </c>
      <c r="AN221">
        <f>Table817[[#This Row],[CFNM]]/Table817[[#This Row],[CAREA]]</f>
        <v>0.82493090330676566</v>
      </c>
    </row>
    <row r="222" spans="1:40" x14ac:dyDescent="0.25">
      <c r="A222">
        <v>2.80444</v>
      </c>
      <c r="B222">
        <f>(Table110[[#This Row],[time]]-2)*2</f>
        <v>1.6088800000000001</v>
      </c>
      <c r="C222">
        <v>59.897500000000001</v>
      </c>
      <c r="D222">
        <v>6.0362499999999999</v>
      </c>
      <c r="E222">
        <f>Table110[[#This Row],[CFNM]]/Table110[[#This Row],[CAREA]]</f>
        <v>0.10077632622396594</v>
      </c>
      <c r="F222">
        <v>2.80444</v>
      </c>
      <c r="G222">
        <f>(Table211[[#This Row],[time]]-2)*2</f>
        <v>1.6088800000000001</v>
      </c>
      <c r="H222">
        <v>94.649500000000003</v>
      </c>
      <c r="I222">
        <v>48.414200000000001</v>
      </c>
      <c r="J222">
        <f>Table211[[#This Row],[CFNM]]/Table211[[#This Row],[CAREA]]</f>
        <v>0.51151036191422039</v>
      </c>
      <c r="K222">
        <v>2.80444</v>
      </c>
      <c r="L222">
        <f>(Table312[[#This Row],[time]]-2)*2</f>
        <v>1.6088800000000001</v>
      </c>
      <c r="M222">
        <v>65.650400000000005</v>
      </c>
      <c r="N222">
        <v>1.17441</v>
      </c>
      <c r="O222">
        <f>Table312[[#This Row],[CFNM]]/Table312[[#This Row],[CAREA]]</f>
        <v>1.7888847592703164E-2</v>
      </c>
      <c r="P222">
        <v>2.80444</v>
      </c>
      <c r="Q222">
        <f>(Table413[[#This Row],[time]]-2)*2</f>
        <v>1.6088800000000001</v>
      </c>
      <c r="R222">
        <v>83.575100000000006</v>
      </c>
      <c r="S222">
        <v>52.527500000000003</v>
      </c>
      <c r="T222">
        <f>Table413[[#This Row],[CFNM]]/Table413[[#This Row],[CAREA]]</f>
        <v>0.62850657671962107</v>
      </c>
      <c r="U222">
        <v>2.80444</v>
      </c>
      <c r="V222">
        <f>(Table514[[#This Row],[time]]-2)*2</f>
        <v>1.6088800000000001</v>
      </c>
      <c r="W222">
        <v>62.614699999999999</v>
      </c>
      <c r="X222">
        <v>0.50047200000000003</v>
      </c>
      <c r="Y222">
        <f>Table514[[#This Row],[CFNM]]/Table514[[#This Row],[CAREA]]</f>
        <v>7.9928834602737055E-3</v>
      </c>
      <c r="Z222">
        <v>2.80444</v>
      </c>
      <c r="AA222">
        <f>(Table615[[#This Row],[time]]-2)*2</f>
        <v>1.6088800000000001</v>
      </c>
      <c r="AB222">
        <v>90.730099999999993</v>
      </c>
      <c r="AC222">
        <v>73.260999999999996</v>
      </c>
      <c r="AD222">
        <f>Table615[[#This Row],[CFNM]]/Table615[[#This Row],[CAREA]]</f>
        <v>0.80746080958799782</v>
      </c>
      <c r="AE222">
        <v>2.80444</v>
      </c>
      <c r="AF222">
        <f>(Table716[[#This Row],[time]]-2)*2</f>
        <v>1.6088800000000001</v>
      </c>
      <c r="AG222">
        <v>72.253399999999999</v>
      </c>
      <c r="AH222">
        <v>13.398</v>
      </c>
      <c r="AI222">
        <f>Table716[[#This Row],[CFNM]]/Table716[[#This Row],[CAREA]]</f>
        <v>0.18543072021524246</v>
      </c>
      <c r="AJ222">
        <v>2.80444</v>
      </c>
      <c r="AK222">
        <f>(Table817[[#This Row],[time]]-2)*2</f>
        <v>1.6088800000000001</v>
      </c>
      <c r="AL222">
        <v>75.481399999999994</v>
      </c>
      <c r="AM222">
        <v>64.694999999999993</v>
      </c>
      <c r="AN222">
        <f>Table817[[#This Row],[CFNM]]/Table817[[#This Row],[CAREA]]</f>
        <v>0.85709856997882916</v>
      </c>
    </row>
    <row r="223" spans="1:40" x14ac:dyDescent="0.25">
      <c r="A223">
        <v>2.8583699999999999</v>
      </c>
      <c r="B223">
        <f>(Table110[[#This Row],[time]]-2)*2</f>
        <v>1.7167399999999997</v>
      </c>
      <c r="C223">
        <v>59.413400000000003</v>
      </c>
      <c r="D223">
        <v>5.6322599999999996</v>
      </c>
      <c r="E223">
        <f>Table110[[#This Row],[CFNM]]/Table110[[#This Row],[CAREA]]</f>
        <v>9.4797806555423511E-2</v>
      </c>
      <c r="F223">
        <v>2.8583699999999999</v>
      </c>
      <c r="G223">
        <f>(Table211[[#This Row],[time]]-2)*2</f>
        <v>1.7167399999999997</v>
      </c>
      <c r="H223">
        <v>93.620500000000007</v>
      </c>
      <c r="I223">
        <v>51.834000000000003</v>
      </c>
      <c r="J223">
        <f>Table211[[#This Row],[CFNM]]/Table211[[#This Row],[CAREA]]</f>
        <v>0.55366079010473135</v>
      </c>
      <c r="K223">
        <v>2.8583699999999999</v>
      </c>
      <c r="L223">
        <f>(Table312[[#This Row],[time]]-2)*2</f>
        <v>1.7167399999999997</v>
      </c>
      <c r="M223">
        <v>64.386700000000005</v>
      </c>
      <c r="N223">
        <v>0.90710100000000005</v>
      </c>
      <c r="O223">
        <f>Table312[[#This Row],[CFNM]]/Table312[[#This Row],[CAREA]]</f>
        <v>1.4088328800823773E-2</v>
      </c>
      <c r="P223">
        <v>2.8583699999999999</v>
      </c>
      <c r="Q223">
        <f>(Table413[[#This Row],[time]]-2)*2</f>
        <v>1.7167399999999997</v>
      </c>
      <c r="R223">
        <v>82.796199999999999</v>
      </c>
      <c r="S223">
        <v>56.203899999999997</v>
      </c>
      <c r="T223">
        <f>Table413[[#This Row],[CFNM]]/Table413[[#This Row],[CAREA]]</f>
        <v>0.67882221647853402</v>
      </c>
      <c r="U223">
        <v>2.8583699999999999</v>
      </c>
      <c r="V223">
        <f>(Table514[[#This Row],[time]]-2)*2</f>
        <v>1.7167399999999997</v>
      </c>
      <c r="W223">
        <v>61.652500000000003</v>
      </c>
      <c r="X223">
        <v>0.34161999999999998</v>
      </c>
      <c r="Y223">
        <f>Table514[[#This Row],[CFNM]]/Table514[[#This Row],[CAREA]]</f>
        <v>5.5410567292486102E-3</v>
      </c>
      <c r="Z223">
        <v>2.8583699999999999</v>
      </c>
      <c r="AA223">
        <f>(Table615[[#This Row],[time]]-2)*2</f>
        <v>1.7167399999999997</v>
      </c>
      <c r="AB223">
        <v>90.103200000000001</v>
      </c>
      <c r="AC223">
        <v>77.290899999999993</v>
      </c>
      <c r="AD223">
        <f>Table615[[#This Row],[CFNM]]/Table615[[#This Row],[CAREA]]</f>
        <v>0.85780416233829648</v>
      </c>
      <c r="AE223">
        <v>2.8583699999999999</v>
      </c>
      <c r="AF223">
        <f>(Table716[[#This Row],[time]]-2)*2</f>
        <v>1.7167399999999997</v>
      </c>
      <c r="AG223">
        <v>71.042599999999993</v>
      </c>
      <c r="AH223">
        <v>12.617100000000001</v>
      </c>
      <c r="AI223">
        <f>Table716[[#This Row],[CFNM]]/Table716[[#This Row],[CAREA]]</f>
        <v>0.17759907435820202</v>
      </c>
      <c r="AJ223">
        <v>2.8583699999999999</v>
      </c>
      <c r="AK223">
        <f>(Table817[[#This Row],[time]]-2)*2</f>
        <v>1.7167399999999997</v>
      </c>
      <c r="AL223">
        <v>74.620900000000006</v>
      </c>
      <c r="AM223">
        <v>68.05</v>
      </c>
      <c r="AN223">
        <f>Table817[[#This Row],[CFNM]]/Table817[[#This Row],[CAREA]]</f>
        <v>0.91194290071548312</v>
      </c>
    </row>
    <row r="224" spans="1:40" x14ac:dyDescent="0.25">
      <c r="A224">
        <v>2.9134199999999999</v>
      </c>
      <c r="B224">
        <f>(Table110[[#This Row],[time]]-2)*2</f>
        <v>1.8268399999999998</v>
      </c>
      <c r="C224">
        <v>58.3553</v>
      </c>
      <c r="D224">
        <v>5.2792399999999997</v>
      </c>
      <c r="E224">
        <f>Table110[[#This Row],[CFNM]]/Table110[[#This Row],[CAREA]]</f>
        <v>9.0467189783961344E-2</v>
      </c>
      <c r="F224">
        <v>2.9134199999999999</v>
      </c>
      <c r="G224">
        <f>(Table211[[#This Row],[time]]-2)*2</f>
        <v>1.8268399999999998</v>
      </c>
      <c r="H224">
        <v>92.561499999999995</v>
      </c>
      <c r="I224">
        <v>55.079700000000003</v>
      </c>
      <c r="J224">
        <f>Table211[[#This Row],[CFNM]]/Table211[[#This Row],[CAREA]]</f>
        <v>0.59506058134321516</v>
      </c>
      <c r="K224">
        <v>2.9134199999999999</v>
      </c>
      <c r="L224">
        <f>(Table312[[#This Row],[time]]-2)*2</f>
        <v>1.8268399999999998</v>
      </c>
      <c r="M224">
        <v>59.255899999999997</v>
      </c>
      <c r="N224">
        <v>0.67885700000000004</v>
      </c>
      <c r="O224">
        <f>Table312[[#This Row],[CFNM]]/Table312[[#This Row],[CAREA]]</f>
        <v>1.145636130748162E-2</v>
      </c>
      <c r="P224">
        <v>2.9134199999999999</v>
      </c>
      <c r="Q224">
        <f>(Table413[[#This Row],[time]]-2)*2</f>
        <v>1.8268399999999998</v>
      </c>
      <c r="R224">
        <v>82.037800000000004</v>
      </c>
      <c r="S224">
        <v>59.691800000000001</v>
      </c>
      <c r="T224">
        <f>Table413[[#This Row],[CFNM]]/Table413[[#This Row],[CAREA]]</f>
        <v>0.72761336847160696</v>
      </c>
      <c r="U224">
        <v>2.9134199999999999</v>
      </c>
      <c r="V224">
        <f>(Table514[[#This Row],[time]]-2)*2</f>
        <v>1.8268399999999998</v>
      </c>
      <c r="W224">
        <v>61.177</v>
      </c>
      <c r="X224">
        <v>0.23136599999999999</v>
      </c>
      <c r="Y224">
        <f>Table514[[#This Row],[CFNM]]/Table514[[#This Row],[CAREA]]</f>
        <v>3.7819115026889189E-3</v>
      </c>
      <c r="Z224">
        <v>2.9134199999999999</v>
      </c>
      <c r="AA224">
        <f>(Table615[[#This Row],[time]]-2)*2</f>
        <v>1.8268399999999998</v>
      </c>
      <c r="AB224">
        <v>89.536299999999997</v>
      </c>
      <c r="AC224">
        <v>81.159700000000001</v>
      </c>
      <c r="AD224">
        <f>Table615[[#This Row],[CFNM]]/Table615[[#This Row],[CAREA]]</f>
        <v>0.9064446487067257</v>
      </c>
      <c r="AE224">
        <v>2.9134199999999999</v>
      </c>
      <c r="AF224">
        <f>(Table716[[#This Row],[time]]-2)*2</f>
        <v>1.8268399999999998</v>
      </c>
      <c r="AG224">
        <v>70.748999999999995</v>
      </c>
      <c r="AH224">
        <v>11.8287</v>
      </c>
      <c r="AI224">
        <f>Table716[[#This Row],[CFNM]]/Table716[[#This Row],[CAREA]]</f>
        <v>0.16719246915150746</v>
      </c>
      <c r="AJ224">
        <v>2.9134199999999999</v>
      </c>
      <c r="AK224">
        <f>(Table817[[#This Row],[time]]-2)*2</f>
        <v>1.8268399999999998</v>
      </c>
      <c r="AL224">
        <v>73.947699999999998</v>
      </c>
      <c r="AM224">
        <v>71.204599999999999</v>
      </c>
      <c r="AN224">
        <f>Table817[[#This Row],[CFNM]]/Table817[[#This Row],[CAREA]]</f>
        <v>0.96290486384295926</v>
      </c>
    </row>
    <row r="225" spans="1:40" x14ac:dyDescent="0.25">
      <c r="A225">
        <v>2.9619599999999999</v>
      </c>
      <c r="B225">
        <f>(Table110[[#This Row],[time]]-2)*2</f>
        <v>1.9239199999999999</v>
      </c>
      <c r="C225">
        <v>57.513199999999998</v>
      </c>
      <c r="D225">
        <v>5.0190400000000004</v>
      </c>
      <c r="E225">
        <f>Table110[[#This Row],[CFNM]]/Table110[[#This Row],[CAREA]]</f>
        <v>8.7267618564086172E-2</v>
      </c>
      <c r="F225">
        <v>2.9619599999999999</v>
      </c>
      <c r="G225">
        <f>(Table211[[#This Row],[time]]-2)*2</f>
        <v>1.9239199999999999</v>
      </c>
      <c r="H225">
        <v>91.543300000000002</v>
      </c>
      <c r="I225">
        <v>57.786000000000001</v>
      </c>
      <c r="J225">
        <f>Table211[[#This Row],[CFNM]]/Table211[[#This Row],[CAREA]]</f>
        <v>0.63124226458954391</v>
      </c>
      <c r="K225">
        <v>2.9619599999999999</v>
      </c>
      <c r="L225">
        <f>(Table312[[#This Row],[time]]-2)*2</f>
        <v>1.9239199999999999</v>
      </c>
      <c r="M225">
        <v>57.653799999999997</v>
      </c>
      <c r="N225">
        <v>0.50470899999999996</v>
      </c>
      <c r="O225">
        <f>Table312[[#This Row],[CFNM]]/Table312[[#This Row],[CAREA]]</f>
        <v>8.754132424922555E-3</v>
      </c>
      <c r="P225">
        <v>2.9619599999999999</v>
      </c>
      <c r="Q225">
        <f>(Table413[[#This Row],[time]]-2)*2</f>
        <v>1.9239199999999999</v>
      </c>
      <c r="R225">
        <v>81.374799999999993</v>
      </c>
      <c r="S225">
        <v>62.623899999999999</v>
      </c>
      <c r="T225">
        <f>Table413[[#This Row],[CFNM]]/Table413[[#This Row],[CAREA]]</f>
        <v>0.76957362721628819</v>
      </c>
      <c r="U225">
        <v>2.9619599999999999</v>
      </c>
      <c r="V225">
        <f>(Table514[[#This Row],[time]]-2)*2</f>
        <v>1.9239199999999999</v>
      </c>
      <c r="W225">
        <v>60.390700000000002</v>
      </c>
      <c r="X225">
        <v>0.13683699999999999</v>
      </c>
      <c r="Y225">
        <f>Table514[[#This Row],[CFNM]]/Table514[[#This Row],[CAREA]]</f>
        <v>2.2658621277779523E-3</v>
      </c>
      <c r="Z225">
        <v>2.9619599999999999</v>
      </c>
      <c r="AA225">
        <f>(Table615[[#This Row],[time]]-2)*2</f>
        <v>1.9239199999999999</v>
      </c>
      <c r="AB225">
        <v>89.084900000000005</v>
      </c>
      <c r="AC225">
        <v>84.346199999999996</v>
      </c>
      <c r="AD225">
        <f>Table615[[#This Row],[CFNM]]/Table615[[#This Row],[CAREA]]</f>
        <v>0.94680692238527508</v>
      </c>
      <c r="AE225">
        <v>2.9619599999999999</v>
      </c>
      <c r="AF225">
        <f>(Table716[[#This Row],[time]]-2)*2</f>
        <v>1.9239199999999999</v>
      </c>
      <c r="AG225">
        <v>70.5184</v>
      </c>
      <c r="AH225">
        <v>11.157999999999999</v>
      </c>
      <c r="AI225">
        <f>Table716[[#This Row],[CFNM]]/Table716[[#This Row],[CAREA]]</f>
        <v>0.15822820710623042</v>
      </c>
      <c r="AJ225">
        <v>2.9619599999999999</v>
      </c>
      <c r="AK225">
        <f>(Table817[[#This Row],[time]]-2)*2</f>
        <v>1.9239199999999999</v>
      </c>
      <c r="AL225">
        <v>73.338200000000001</v>
      </c>
      <c r="AM225">
        <v>73.836500000000001</v>
      </c>
      <c r="AN225">
        <f>Table817[[#This Row],[CFNM]]/Table817[[#This Row],[CAREA]]</f>
        <v>1.0067945490890151</v>
      </c>
    </row>
    <row r="226" spans="1:40" x14ac:dyDescent="0.25">
      <c r="A226">
        <v>3</v>
      </c>
      <c r="B226">
        <f>(Table110[[#This Row],[time]]-2)*2</f>
        <v>2</v>
      </c>
      <c r="C226">
        <v>56.665300000000002</v>
      </c>
      <c r="D226">
        <v>4.7977100000000004</v>
      </c>
      <c r="E226">
        <f>Table110[[#This Row],[CFNM]]/Table110[[#This Row],[CAREA]]</f>
        <v>8.4667512569420789E-2</v>
      </c>
      <c r="F226">
        <v>3</v>
      </c>
      <c r="G226">
        <f>(Table211[[#This Row],[time]]-2)*2</f>
        <v>2</v>
      </c>
      <c r="H226">
        <v>90.618399999999994</v>
      </c>
      <c r="I226">
        <v>60.607199999999999</v>
      </c>
      <c r="J226">
        <f>Table211[[#This Row],[CFNM]]/Table211[[#This Row],[CAREA]]</f>
        <v>0.66881781183512401</v>
      </c>
      <c r="K226">
        <v>3</v>
      </c>
      <c r="L226">
        <f>(Table312[[#This Row],[time]]-2)*2</f>
        <v>2</v>
      </c>
      <c r="M226">
        <v>54.110300000000002</v>
      </c>
      <c r="N226">
        <v>0.34525299999999998</v>
      </c>
      <c r="O226">
        <f>Table312[[#This Row],[CFNM]]/Table312[[#This Row],[CAREA]]</f>
        <v>6.3805412278253853E-3</v>
      </c>
      <c r="P226">
        <v>3</v>
      </c>
      <c r="Q226">
        <f>(Table413[[#This Row],[time]]-2)*2</f>
        <v>2</v>
      </c>
      <c r="R226">
        <v>80.723200000000006</v>
      </c>
      <c r="S226">
        <v>65.722499999999997</v>
      </c>
      <c r="T226">
        <f>Table413[[#This Row],[CFNM]]/Table413[[#This Row],[CAREA]]</f>
        <v>0.81417114286846892</v>
      </c>
      <c r="U226">
        <v>3</v>
      </c>
      <c r="V226">
        <f>(Table514[[#This Row],[time]]-2)*2</f>
        <v>2</v>
      </c>
      <c r="W226">
        <v>60.2181</v>
      </c>
      <c r="X226">
        <v>2.4085200000000001E-2</v>
      </c>
      <c r="Y226">
        <f>Table514[[#This Row],[CFNM]]/Table514[[#This Row],[CAREA]]</f>
        <v>3.9996612314237745E-4</v>
      </c>
      <c r="Z226">
        <v>3</v>
      </c>
      <c r="AA226">
        <f>(Table615[[#This Row],[time]]-2)*2</f>
        <v>2</v>
      </c>
      <c r="AB226">
        <v>88.548500000000004</v>
      </c>
      <c r="AC226">
        <v>87.567800000000005</v>
      </c>
      <c r="AD226">
        <f>Table615[[#This Row],[CFNM]]/Table615[[#This Row],[CAREA]]</f>
        <v>0.98892471357504641</v>
      </c>
      <c r="AE226">
        <v>3</v>
      </c>
      <c r="AF226">
        <f>(Table716[[#This Row],[time]]-2)*2</f>
        <v>2</v>
      </c>
      <c r="AG226">
        <v>69.361800000000002</v>
      </c>
      <c r="AH226">
        <v>10.4719</v>
      </c>
      <c r="AI226">
        <f>Table716[[#This Row],[CFNM]]/Table716[[#This Row],[CAREA]]</f>
        <v>0.15097503236651874</v>
      </c>
      <c r="AJ226">
        <v>3</v>
      </c>
      <c r="AK226">
        <f>(Table817[[#This Row],[time]]-2)*2</f>
        <v>2</v>
      </c>
      <c r="AL226">
        <v>72.754599999999996</v>
      </c>
      <c r="AM226">
        <v>76.620599999999996</v>
      </c>
      <c r="AN226">
        <f>Table817[[#This Row],[CFNM]]/Table817[[#This Row],[CAREA]]</f>
        <v>1.0531375335717603</v>
      </c>
    </row>
    <row r="229" spans="1:40" x14ac:dyDescent="0.25">
      <c r="A229" s="1" t="s">
        <v>22</v>
      </c>
    </row>
    <row r="230" spans="1:40" x14ac:dyDescent="0.25">
      <c r="A230" t="s">
        <v>46</v>
      </c>
      <c r="F230" t="s">
        <v>1</v>
      </c>
    </row>
    <row r="231" spans="1:40" x14ac:dyDescent="0.25">
      <c r="F231" t="s">
        <v>2</v>
      </c>
      <c r="G231" t="s">
        <v>3</v>
      </c>
    </row>
    <row r="234" spans="1:40" x14ac:dyDescent="0.25">
      <c r="A234" t="s">
        <v>5</v>
      </c>
      <c r="F234" t="s">
        <v>6</v>
      </c>
      <c r="K234" t="s">
        <v>7</v>
      </c>
      <c r="P234" t="s">
        <v>19</v>
      </c>
      <c r="U234" t="s">
        <v>8</v>
      </c>
      <c r="Z234" t="s">
        <v>9</v>
      </c>
      <c r="AE234" t="s">
        <v>10</v>
      </c>
      <c r="AJ234" t="s">
        <v>11</v>
      </c>
    </row>
    <row r="235" spans="1:40" x14ac:dyDescent="0.25">
      <c r="A235" t="s">
        <v>12</v>
      </c>
      <c r="B235" t="s">
        <v>13</v>
      </c>
      <c r="C235" t="s">
        <v>17</v>
      </c>
      <c r="D235" t="s">
        <v>15</v>
      </c>
      <c r="E235" t="s">
        <v>16</v>
      </c>
      <c r="F235" t="s">
        <v>12</v>
      </c>
      <c r="G235" t="s">
        <v>13</v>
      </c>
      <c r="H235" t="s">
        <v>17</v>
      </c>
      <c r="I235" t="s">
        <v>15</v>
      </c>
      <c r="J235" t="s">
        <v>16</v>
      </c>
      <c r="K235" t="s">
        <v>12</v>
      </c>
      <c r="L235" t="s">
        <v>13</v>
      </c>
      <c r="M235" t="s">
        <v>17</v>
      </c>
      <c r="N235" t="s">
        <v>15</v>
      </c>
      <c r="O235" t="s">
        <v>16</v>
      </c>
      <c r="P235" t="s">
        <v>12</v>
      </c>
      <c r="Q235" t="s">
        <v>13</v>
      </c>
      <c r="R235" t="s">
        <v>17</v>
      </c>
      <c r="S235" t="s">
        <v>15</v>
      </c>
      <c r="T235" t="s">
        <v>16</v>
      </c>
      <c r="U235" t="s">
        <v>12</v>
      </c>
      <c r="V235" t="s">
        <v>13</v>
      </c>
      <c r="W235" t="s">
        <v>17</v>
      </c>
      <c r="X235" t="s">
        <v>15</v>
      </c>
      <c r="Y235" t="s">
        <v>16</v>
      </c>
      <c r="Z235" t="s">
        <v>12</v>
      </c>
      <c r="AA235" t="s">
        <v>13</v>
      </c>
      <c r="AB235" t="s">
        <v>17</v>
      </c>
      <c r="AC235" t="s">
        <v>15</v>
      </c>
      <c r="AD235" t="s">
        <v>16</v>
      </c>
      <c r="AE235" t="s">
        <v>12</v>
      </c>
      <c r="AF235" t="s">
        <v>13</v>
      </c>
      <c r="AG235" t="s">
        <v>17</v>
      </c>
      <c r="AH235" t="s">
        <v>15</v>
      </c>
      <c r="AI235" t="s">
        <v>16</v>
      </c>
      <c r="AJ235" t="s">
        <v>12</v>
      </c>
      <c r="AK235" t="s">
        <v>13</v>
      </c>
      <c r="AL235" t="s">
        <v>17</v>
      </c>
      <c r="AM235" t="s">
        <v>15</v>
      </c>
      <c r="AN235" t="s">
        <v>16</v>
      </c>
    </row>
    <row r="236" spans="1:40" x14ac:dyDescent="0.25">
      <c r="A236">
        <v>2</v>
      </c>
      <c r="B236">
        <f>-(Table1306[[#This Row],[time]]-2)*2</f>
        <v>0</v>
      </c>
      <c r="C236">
        <v>91.084699999999998</v>
      </c>
      <c r="D236">
        <v>10.2044</v>
      </c>
      <c r="E236" s="2">
        <f>Table1306[[#This Row],[CFNM]]/Table1306[[#This Row],[CAREA]]</f>
        <v>0.11203198780914907</v>
      </c>
      <c r="F236">
        <v>2</v>
      </c>
      <c r="G236">
        <f>-(Table2307[[#This Row],[time]]-2)*2</f>
        <v>0</v>
      </c>
      <c r="H236">
        <v>95.836600000000004</v>
      </c>
      <c r="I236">
        <v>3.5649700000000002</v>
      </c>
      <c r="J236" s="2">
        <f>Table2307[[#This Row],[CFNM]]/Table2307[[#This Row],[CAREA]]</f>
        <v>3.7198418975631441E-2</v>
      </c>
      <c r="K236">
        <v>2</v>
      </c>
      <c r="L236">
        <f>-(Table3308[[#This Row],[time]]-2)*2</f>
        <v>0</v>
      </c>
      <c r="M236">
        <v>89.259799999999998</v>
      </c>
      <c r="N236">
        <v>3.64472</v>
      </c>
      <c r="O236">
        <f>Table3308[[#This Row],[CFNM]]/Table3308[[#This Row],[CAREA]]</f>
        <v>4.0832715287284979E-2</v>
      </c>
      <c r="P236">
        <v>2</v>
      </c>
      <c r="Q236">
        <f>-(Table4309[[#This Row],[time]]-2)*2</f>
        <v>0</v>
      </c>
      <c r="R236">
        <v>86.405299999999997</v>
      </c>
      <c r="S236">
        <v>6.4305199999999996</v>
      </c>
      <c r="T236">
        <f>Table4309[[#This Row],[CFNM]]/Table4309[[#This Row],[CAREA]]</f>
        <v>7.4422749530410753E-2</v>
      </c>
      <c r="U236">
        <v>2</v>
      </c>
      <c r="V236">
        <f>-(Table5310[[#This Row],[time]]-2)*2</f>
        <v>0</v>
      </c>
      <c r="W236">
        <v>82.680099999999996</v>
      </c>
      <c r="X236">
        <v>8.5651600000000006</v>
      </c>
      <c r="Y236">
        <f>Table5310[[#This Row],[CFNM]]/Table5310[[#This Row],[CAREA]]</f>
        <v>0.10359397243109286</v>
      </c>
      <c r="Z236">
        <v>2</v>
      </c>
      <c r="AA236">
        <f>-(Table6311[[#This Row],[time]]-2)*2</f>
        <v>0</v>
      </c>
      <c r="AB236">
        <v>88.826700000000002</v>
      </c>
      <c r="AC236">
        <v>15.1248</v>
      </c>
      <c r="AD236">
        <f>Table6311[[#This Row],[CFNM]]/Table6311[[#This Row],[CAREA]]</f>
        <v>0.17027312733671296</v>
      </c>
      <c r="AE236">
        <v>2</v>
      </c>
      <c r="AF236">
        <f>-(Table7312[[#This Row],[time]]-2)*2</f>
        <v>0</v>
      </c>
      <c r="AG236">
        <v>78.953400000000002</v>
      </c>
      <c r="AH236">
        <v>19.615500000000001</v>
      </c>
      <c r="AI236">
        <f>Table7312[[#This Row],[CFNM]]/Table7312[[#This Row],[CAREA]]</f>
        <v>0.2484440188769578</v>
      </c>
      <c r="AJ236">
        <v>2</v>
      </c>
      <c r="AK236">
        <f>-(Table8313[[#This Row],[time]]-2)*2</f>
        <v>0</v>
      </c>
      <c r="AL236">
        <v>83.136899999999997</v>
      </c>
      <c r="AM236">
        <v>19.233499999999999</v>
      </c>
      <c r="AN236">
        <f>Table8313[[#This Row],[CFNM]]/Table8313[[#This Row],[CAREA]]</f>
        <v>0.23134733193082735</v>
      </c>
    </row>
    <row r="237" spans="1:40" x14ac:dyDescent="0.25">
      <c r="A237">
        <v>2.0512600000000001</v>
      </c>
      <c r="B237">
        <f>-(Table1306[[#This Row],[time]]-2)*2</f>
        <v>-0.10252000000000017</v>
      </c>
      <c r="C237">
        <v>91.061400000000006</v>
      </c>
      <c r="D237">
        <v>10.827</v>
      </c>
      <c r="E237">
        <f>Table1306[[#This Row],[CFNM]]/Table1306[[#This Row],[CAREA]]</f>
        <v>0.11889779862817834</v>
      </c>
      <c r="F237">
        <v>2.0512600000000001</v>
      </c>
      <c r="G237">
        <f>-(Table2307[[#This Row],[time]]-2)*2</f>
        <v>-0.10252000000000017</v>
      </c>
      <c r="H237">
        <v>95.846800000000002</v>
      </c>
      <c r="I237">
        <v>3.1419999999999999</v>
      </c>
      <c r="J237">
        <f>Table2307[[#This Row],[CFNM]]/Table2307[[#This Row],[CAREA]]</f>
        <v>3.2781480445878211E-2</v>
      </c>
      <c r="K237">
        <v>2.0512600000000001</v>
      </c>
      <c r="L237">
        <f>-(Table3308[[#This Row],[time]]-2)*2</f>
        <v>-0.10252000000000017</v>
      </c>
      <c r="M237">
        <v>89.255600000000001</v>
      </c>
      <c r="N237">
        <v>4.3827699999999998</v>
      </c>
      <c r="O237">
        <f>Table3308[[#This Row],[CFNM]]/Table3308[[#This Row],[CAREA]]</f>
        <v>4.9103585657370517E-2</v>
      </c>
      <c r="P237">
        <v>2.0512600000000001</v>
      </c>
      <c r="Q237">
        <f>-(Table4309[[#This Row],[time]]-2)*2</f>
        <v>-0.10252000000000017</v>
      </c>
      <c r="R237">
        <v>86.383099999999999</v>
      </c>
      <c r="S237">
        <v>5.7953799999999998</v>
      </c>
      <c r="T237">
        <f>Table4309[[#This Row],[CFNM]]/Table4309[[#This Row],[CAREA]]</f>
        <v>6.7089280194852927E-2</v>
      </c>
      <c r="U237">
        <v>2.0512600000000001</v>
      </c>
      <c r="V237">
        <f>-(Table5310[[#This Row],[time]]-2)*2</f>
        <v>-0.10252000000000017</v>
      </c>
      <c r="W237">
        <v>82.627300000000005</v>
      </c>
      <c r="X237">
        <v>9.4861199999999997</v>
      </c>
      <c r="Y237">
        <f>Table5310[[#This Row],[CFNM]]/Table5310[[#This Row],[CAREA]]</f>
        <v>0.11480612339989324</v>
      </c>
      <c r="Z237">
        <v>2.0512600000000001</v>
      </c>
      <c r="AA237">
        <f>-(Table6311[[#This Row],[time]]-2)*2</f>
        <v>-0.10252000000000017</v>
      </c>
      <c r="AB237">
        <v>88.825699999999998</v>
      </c>
      <c r="AC237">
        <v>14.1693</v>
      </c>
      <c r="AD237">
        <f>Table6311[[#This Row],[CFNM]]/Table6311[[#This Row],[CAREA]]</f>
        <v>0.15951802237415522</v>
      </c>
      <c r="AE237">
        <v>2.0512600000000001</v>
      </c>
      <c r="AF237">
        <f>-(Table7312[[#This Row],[time]]-2)*2</f>
        <v>-0.10252000000000017</v>
      </c>
      <c r="AG237">
        <v>79.305300000000003</v>
      </c>
      <c r="AH237">
        <v>20.395499999999998</v>
      </c>
      <c r="AI237">
        <f>Table7312[[#This Row],[CFNM]]/Table7312[[#This Row],[CAREA]]</f>
        <v>0.25717701086812605</v>
      </c>
      <c r="AJ237">
        <v>2.0512600000000001</v>
      </c>
      <c r="AK237">
        <f>-(Table8313[[#This Row],[time]]-2)*2</f>
        <v>-0.10252000000000017</v>
      </c>
      <c r="AL237">
        <v>83.058300000000003</v>
      </c>
      <c r="AM237">
        <v>18.1525</v>
      </c>
      <c r="AN237">
        <f>Table8313[[#This Row],[CFNM]]/Table8313[[#This Row],[CAREA]]</f>
        <v>0.21855130673274073</v>
      </c>
    </row>
    <row r="238" spans="1:40" x14ac:dyDescent="0.25">
      <c r="A238">
        <v>2.1153300000000002</v>
      </c>
      <c r="B238">
        <f>-(Table1306[[#This Row],[time]]-2)*2</f>
        <v>-0.23066000000000031</v>
      </c>
      <c r="C238">
        <v>90.9876</v>
      </c>
      <c r="D238">
        <v>11.729799999999999</v>
      </c>
      <c r="E238">
        <f>Table1306[[#This Row],[CFNM]]/Table1306[[#This Row],[CAREA]]</f>
        <v>0.12891646773846105</v>
      </c>
      <c r="F238">
        <v>2.1153300000000002</v>
      </c>
      <c r="G238">
        <f>-(Table2307[[#This Row],[time]]-2)*2</f>
        <v>-0.23066000000000031</v>
      </c>
      <c r="H238">
        <v>95.851200000000006</v>
      </c>
      <c r="I238">
        <v>2.4535200000000001</v>
      </c>
      <c r="J238">
        <f>Table2307[[#This Row],[CFNM]]/Table2307[[#This Row],[CAREA]]</f>
        <v>2.5597175622214433E-2</v>
      </c>
      <c r="K238">
        <v>2.1153300000000002</v>
      </c>
      <c r="L238">
        <f>-(Table3308[[#This Row],[time]]-2)*2</f>
        <v>-0.23066000000000031</v>
      </c>
      <c r="M238">
        <v>89.397900000000007</v>
      </c>
      <c r="N238">
        <v>5.3850699999999998</v>
      </c>
      <c r="O238">
        <f>Table3308[[#This Row],[CFNM]]/Table3308[[#This Row],[CAREA]]</f>
        <v>6.023709729199455E-2</v>
      </c>
      <c r="P238">
        <v>2.1153300000000002</v>
      </c>
      <c r="Q238">
        <f>-(Table4309[[#This Row],[time]]-2)*2</f>
        <v>-0.23066000000000031</v>
      </c>
      <c r="R238">
        <v>86.180199999999999</v>
      </c>
      <c r="S238">
        <v>4.7399800000000001</v>
      </c>
      <c r="T238">
        <f>Table4309[[#This Row],[CFNM]]/Table4309[[#This Row],[CAREA]]</f>
        <v>5.5000800647944659E-2</v>
      </c>
      <c r="U238">
        <v>2.1153300000000002</v>
      </c>
      <c r="V238">
        <f>-(Table5310[[#This Row],[time]]-2)*2</f>
        <v>-0.23066000000000031</v>
      </c>
      <c r="W238">
        <v>82.830699999999993</v>
      </c>
      <c r="X238">
        <v>10.7744</v>
      </c>
      <c r="Y238">
        <f>Table5310[[#This Row],[CFNM]]/Table5310[[#This Row],[CAREA]]</f>
        <v>0.13007737469319952</v>
      </c>
      <c r="Z238">
        <v>2.1153300000000002</v>
      </c>
      <c r="AA238">
        <f>-(Table6311[[#This Row],[time]]-2)*2</f>
        <v>-0.23066000000000031</v>
      </c>
      <c r="AB238">
        <v>88.860500000000002</v>
      </c>
      <c r="AC238">
        <v>12.4742</v>
      </c>
      <c r="AD238">
        <f>Table6311[[#This Row],[CFNM]]/Table6311[[#This Row],[CAREA]]</f>
        <v>0.14037958372955361</v>
      </c>
      <c r="AE238">
        <v>2.1153300000000002</v>
      </c>
      <c r="AF238">
        <f>-(Table7312[[#This Row],[time]]-2)*2</f>
        <v>-0.23066000000000031</v>
      </c>
      <c r="AG238">
        <v>79.792900000000003</v>
      </c>
      <c r="AH238">
        <v>21.231400000000001</v>
      </c>
      <c r="AI238">
        <f>Table7312[[#This Row],[CFNM]]/Table7312[[#This Row],[CAREA]]</f>
        <v>0.26608131801200358</v>
      </c>
      <c r="AJ238">
        <v>2.1153300000000002</v>
      </c>
      <c r="AK238">
        <f>-(Table8313[[#This Row],[time]]-2)*2</f>
        <v>-0.23066000000000031</v>
      </c>
      <c r="AL238">
        <v>82.800399999999996</v>
      </c>
      <c r="AM238">
        <v>17.208400000000001</v>
      </c>
      <c r="AN238">
        <f>Table8313[[#This Row],[CFNM]]/Table8313[[#This Row],[CAREA]]</f>
        <v>0.20782991386515043</v>
      </c>
    </row>
    <row r="239" spans="1:40" x14ac:dyDescent="0.25">
      <c r="A239">
        <v>2.16533</v>
      </c>
      <c r="B239">
        <f>-(Table1306[[#This Row],[time]]-2)*2</f>
        <v>-0.33065999999999995</v>
      </c>
      <c r="C239">
        <v>90.906199999999998</v>
      </c>
      <c r="D239">
        <v>12.582700000000001</v>
      </c>
      <c r="E239">
        <f>Table1306[[#This Row],[CFNM]]/Table1306[[#This Row],[CAREA]]</f>
        <v>0.1384141015684299</v>
      </c>
      <c r="F239">
        <v>2.16533</v>
      </c>
      <c r="G239">
        <f>-(Table2307[[#This Row],[time]]-2)*2</f>
        <v>-0.33065999999999995</v>
      </c>
      <c r="H239">
        <v>95.742500000000007</v>
      </c>
      <c r="I239">
        <v>1.8020700000000001</v>
      </c>
      <c r="J239">
        <f>Table2307[[#This Row],[CFNM]]/Table2307[[#This Row],[CAREA]]</f>
        <v>1.8822048724443166E-2</v>
      </c>
      <c r="K239">
        <v>2.16533</v>
      </c>
      <c r="L239">
        <f>-(Table3308[[#This Row],[time]]-2)*2</f>
        <v>-0.33065999999999995</v>
      </c>
      <c r="M239">
        <v>89.578900000000004</v>
      </c>
      <c r="N239">
        <v>6.2847799999999996</v>
      </c>
      <c r="O239">
        <f>Table3308[[#This Row],[CFNM]]/Table3308[[#This Row],[CAREA]]</f>
        <v>7.0159155783337368E-2</v>
      </c>
      <c r="P239">
        <v>2.16533</v>
      </c>
      <c r="Q239">
        <f>-(Table4309[[#This Row],[time]]-2)*2</f>
        <v>-0.33065999999999995</v>
      </c>
      <c r="R239">
        <v>85.7958</v>
      </c>
      <c r="S239">
        <v>3.76505</v>
      </c>
      <c r="T239">
        <f>Table4309[[#This Row],[CFNM]]/Table4309[[#This Row],[CAREA]]</f>
        <v>4.3883849792180969E-2</v>
      </c>
      <c r="U239">
        <v>2.16533</v>
      </c>
      <c r="V239">
        <f>-(Table5310[[#This Row],[time]]-2)*2</f>
        <v>-0.33065999999999995</v>
      </c>
      <c r="W239">
        <v>82.5214</v>
      </c>
      <c r="X239">
        <v>11.9886</v>
      </c>
      <c r="Y239">
        <f>Table5310[[#This Row],[CFNM]]/Table5310[[#This Row],[CAREA]]</f>
        <v>0.14527867922744889</v>
      </c>
      <c r="Z239">
        <v>2.16533</v>
      </c>
      <c r="AA239">
        <f>-(Table6311[[#This Row],[time]]-2)*2</f>
        <v>-0.33065999999999995</v>
      </c>
      <c r="AB239">
        <v>87.495599999999996</v>
      </c>
      <c r="AC239">
        <v>10.898400000000001</v>
      </c>
      <c r="AD239">
        <f>Table6311[[#This Row],[CFNM]]/Table6311[[#This Row],[CAREA]]</f>
        <v>0.12455940641586549</v>
      </c>
      <c r="AE239">
        <v>2.16533</v>
      </c>
      <c r="AF239">
        <f>-(Table7312[[#This Row],[time]]-2)*2</f>
        <v>-0.33065999999999995</v>
      </c>
      <c r="AG239">
        <v>80.253799999999998</v>
      </c>
      <c r="AH239">
        <v>22.457699999999999</v>
      </c>
      <c r="AI239">
        <f>Table7312[[#This Row],[CFNM]]/Table7312[[#This Row],[CAREA]]</f>
        <v>0.27983347829012456</v>
      </c>
      <c r="AJ239">
        <v>2.16533</v>
      </c>
      <c r="AK239">
        <f>-(Table8313[[#This Row],[time]]-2)*2</f>
        <v>-0.33065999999999995</v>
      </c>
      <c r="AL239">
        <v>82.675200000000004</v>
      </c>
      <c r="AM239">
        <v>16.302399999999999</v>
      </c>
      <c r="AN239">
        <f>Table8313[[#This Row],[CFNM]]/Table8313[[#This Row],[CAREA]]</f>
        <v>0.19718609691902769</v>
      </c>
    </row>
    <row r="240" spans="1:40" x14ac:dyDescent="0.25">
      <c r="A240">
        <v>2.2246999999999999</v>
      </c>
      <c r="B240">
        <f>-(Table1306[[#This Row],[time]]-2)*2</f>
        <v>-0.4493999999999998</v>
      </c>
      <c r="C240">
        <v>90.779200000000003</v>
      </c>
      <c r="D240">
        <v>13.767300000000001</v>
      </c>
      <c r="E240">
        <f>Table1306[[#This Row],[CFNM]]/Table1306[[#This Row],[CAREA]]</f>
        <v>0.15165698750374534</v>
      </c>
      <c r="F240">
        <v>2.2246999999999999</v>
      </c>
      <c r="G240">
        <f>-(Table2307[[#This Row],[time]]-2)*2</f>
        <v>-0.4493999999999998</v>
      </c>
      <c r="H240">
        <v>95.391099999999994</v>
      </c>
      <c r="I240">
        <v>0.91352100000000003</v>
      </c>
      <c r="J240">
        <f>Table2307[[#This Row],[CFNM]]/Table2307[[#This Row],[CAREA]]</f>
        <v>9.5765852369875185E-3</v>
      </c>
      <c r="K240">
        <v>2.2246999999999999</v>
      </c>
      <c r="L240">
        <f>-(Table3308[[#This Row],[time]]-2)*2</f>
        <v>-0.4493999999999998</v>
      </c>
      <c r="M240">
        <v>90.121399999999994</v>
      </c>
      <c r="N240">
        <v>8.0923999999999996</v>
      </c>
      <c r="O240">
        <f>Table3308[[#This Row],[CFNM]]/Table3308[[#This Row],[CAREA]]</f>
        <v>8.9794432842809815E-2</v>
      </c>
      <c r="P240">
        <v>2.2246999999999999</v>
      </c>
      <c r="Q240">
        <f>-(Table4309[[#This Row],[time]]-2)*2</f>
        <v>-0.4493999999999998</v>
      </c>
      <c r="R240">
        <v>84.393699999999995</v>
      </c>
      <c r="S240">
        <v>2.72058</v>
      </c>
      <c r="T240">
        <f>Table4309[[#This Row],[CFNM]]/Table4309[[#This Row],[CAREA]]</f>
        <v>3.2236766488493808E-2</v>
      </c>
      <c r="U240">
        <v>2.2246999999999999</v>
      </c>
      <c r="V240">
        <f>-(Table5310[[#This Row],[time]]-2)*2</f>
        <v>-0.4493999999999998</v>
      </c>
      <c r="W240">
        <v>83.629199999999997</v>
      </c>
      <c r="X240">
        <v>14.137</v>
      </c>
      <c r="Y240">
        <f>Table5310[[#This Row],[CFNM]]/Table5310[[#This Row],[CAREA]]</f>
        <v>0.16904382679733873</v>
      </c>
      <c r="Z240">
        <v>2.2246999999999999</v>
      </c>
      <c r="AA240">
        <f>-(Table6311[[#This Row],[time]]-2)*2</f>
        <v>-0.4493999999999998</v>
      </c>
      <c r="AB240">
        <v>85.801299999999998</v>
      </c>
      <c r="AC240">
        <v>8.1788100000000004</v>
      </c>
      <c r="AD240">
        <f>Table6311[[#This Row],[CFNM]]/Table6311[[#This Row],[CAREA]]</f>
        <v>9.5322681591071476E-2</v>
      </c>
      <c r="AE240">
        <v>2.2246999999999999</v>
      </c>
      <c r="AF240">
        <f>-(Table7312[[#This Row],[time]]-2)*2</f>
        <v>-0.4493999999999998</v>
      </c>
      <c r="AG240">
        <v>80.406400000000005</v>
      </c>
      <c r="AH240">
        <v>24.889800000000001</v>
      </c>
      <c r="AI240">
        <f>Table7312[[#This Row],[CFNM]]/Table7312[[#This Row],[CAREA]]</f>
        <v>0.30954998607076051</v>
      </c>
      <c r="AJ240">
        <v>2.2246999999999999</v>
      </c>
      <c r="AK240">
        <f>-(Table8313[[#This Row],[time]]-2)*2</f>
        <v>-0.4493999999999998</v>
      </c>
      <c r="AL240">
        <v>82.507999999999996</v>
      </c>
      <c r="AM240">
        <v>15.0289</v>
      </c>
      <c r="AN240">
        <f>Table8313[[#This Row],[CFNM]]/Table8313[[#This Row],[CAREA]]</f>
        <v>0.18215082173849809</v>
      </c>
    </row>
    <row r="241" spans="1:40" x14ac:dyDescent="0.25">
      <c r="A241">
        <v>2.2668900000000001</v>
      </c>
      <c r="B241">
        <f>-(Table1306[[#This Row],[time]]-2)*2</f>
        <v>-0.53378000000000014</v>
      </c>
      <c r="C241">
        <v>90.729299999999995</v>
      </c>
      <c r="D241">
        <v>14.507999999999999</v>
      </c>
      <c r="E241">
        <f>Table1306[[#This Row],[CFNM]]/Table1306[[#This Row],[CAREA]]</f>
        <v>0.15990424262063083</v>
      </c>
      <c r="F241">
        <v>2.2668900000000001</v>
      </c>
      <c r="G241">
        <f>-(Table2307[[#This Row],[time]]-2)*2</f>
        <v>-0.53378000000000014</v>
      </c>
      <c r="H241">
        <v>95.198300000000003</v>
      </c>
      <c r="I241">
        <v>0.43846200000000002</v>
      </c>
      <c r="J241">
        <f>Table2307[[#This Row],[CFNM]]/Table2307[[#This Row],[CAREA]]</f>
        <v>4.6057755233024121E-3</v>
      </c>
      <c r="K241">
        <v>2.2668900000000001</v>
      </c>
      <c r="L241">
        <f>-(Table3308[[#This Row],[time]]-2)*2</f>
        <v>-0.53378000000000014</v>
      </c>
      <c r="M241">
        <v>90.252300000000005</v>
      </c>
      <c r="N241">
        <v>9.3051499999999994</v>
      </c>
      <c r="O241">
        <f>Table3308[[#This Row],[CFNM]]/Table3308[[#This Row],[CAREA]]</f>
        <v>0.10310152760649866</v>
      </c>
      <c r="P241">
        <v>2.2668900000000001</v>
      </c>
      <c r="Q241">
        <f>-(Table4309[[#This Row],[time]]-2)*2</f>
        <v>-0.53378000000000014</v>
      </c>
      <c r="R241">
        <v>83.471000000000004</v>
      </c>
      <c r="S241">
        <v>2.3840499999999998</v>
      </c>
      <c r="T241">
        <f>Table4309[[#This Row],[CFNM]]/Table4309[[#This Row],[CAREA]]</f>
        <v>2.8561416539876122E-2</v>
      </c>
      <c r="U241">
        <v>2.2668900000000001</v>
      </c>
      <c r="V241">
        <f>-(Table5310[[#This Row],[time]]-2)*2</f>
        <v>-0.53378000000000014</v>
      </c>
      <c r="W241">
        <v>83.393199999999993</v>
      </c>
      <c r="X241">
        <v>15.6075</v>
      </c>
      <c r="Y241">
        <f>Table5310[[#This Row],[CFNM]]/Table5310[[#This Row],[CAREA]]</f>
        <v>0.18715554745470855</v>
      </c>
      <c r="Z241">
        <v>2.2668900000000001</v>
      </c>
      <c r="AA241">
        <f>-(Table6311[[#This Row],[time]]-2)*2</f>
        <v>-0.53378000000000014</v>
      </c>
      <c r="AB241">
        <v>83.419600000000003</v>
      </c>
      <c r="AC241">
        <v>6.6364700000000001</v>
      </c>
      <c r="AD241">
        <f>Table6311[[#This Row],[CFNM]]/Table6311[[#This Row],[CAREA]]</f>
        <v>7.9555284369620574E-2</v>
      </c>
      <c r="AE241">
        <v>2.2668900000000001</v>
      </c>
      <c r="AF241">
        <f>-(Table7312[[#This Row],[time]]-2)*2</f>
        <v>-0.53378000000000014</v>
      </c>
      <c r="AG241">
        <v>79.963800000000006</v>
      </c>
      <c r="AH241">
        <v>26.754300000000001</v>
      </c>
      <c r="AI241">
        <f>Table7312[[#This Row],[CFNM]]/Table7312[[#This Row],[CAREA]]</f>
        <v>0.3345801475167513</v>
      </c>
      <c r="AJ241">
        <v>2.2668900000000001</v>
      </c>
      <c r="AK241">
        <f>-(Table8313[[#This Row],[time]]-2)*2</f>
        <v>-0.53378000000000014</v>
      </c>
      <c r="AL241">
        <v>82.387900000000002</v>
      </c>
      <c r="AM241">
        <v>14.285399999999999</v>
      </c>
      <c r="AN241">
        <f>Table8313[[#This Row],[CFNM]]/Table8313[[#This Row],[CAREA]]</f>
        <v>0.1733919665387757</v>
      </c>
    </row>
    <row r="242" spans="1:40" x14ac:dyDescent="0.25">
      <c r="A242">
        <v>2.3262700000000001</v>
      </c>
      <c r="B242">
        <f>-(Table1306[[#This Row],[time]]-2)*2</f>
        <v>-0.65254000000000012</v>
      </c>
      <c r="C242">
        <v>90.698499999999996</v>
      </c>
      <c r="D242">
        <v>14.914899999999999</v>
      </c>
      <c r="E242">
        <f>Table1306[[#This Row],[CFNM]]/Table1306[[#This Row],[CAREA]]</f>
        <v>0.16444483646366809</v>
      </c>
      <c r="F242">
        <v>2.3262700000000001</v>
      </c>
      <c r="G242">
        <f>-(Table2307[[#This Row],[time]]-2)*2</f>
        <v>-0.65254000000000012</v>
      </c>
      <c r="H242">
        <v>94.639300000000006</v>
      </c>
      <c r="I242">
        <v>0.24449499999999999</v>
      </c>
      <c r="J242">
        <f>Table2307[[#This Row],[CFNM]]/Table2307[[#This Row],[CAREA]]</f>
        <v>2.5834404945936835E-3</v>
      </c>
      <c r="K242">
        <v>2.3262700000000001</v>
      </c>
      <c r="L242">
        <f>-(Table3308[[#This Row],[time]]-2)*2</f>
        <v>-0.65254000000000012</v>
      </c>
      <c r="M242">
        <v>90.321100000000001</v>
      </c>
      <c r="N242">
        <v>10.0121</v>
      </c>
      <c r="O242">
        <f>Table3308[[#This Row],[CFNM]]/Table3308[[#This Row],[CAREA]]</f>
        <v>0.11085006714931506</v>
      </c>
      <c r="P242">
        <v>2.3262700000000001</v>
      </c>
      <c r="Q242">
        <f>-(Table4309[[#This Row],[time]]-2)*2</f>
        <v>-0.65254000000000012</v>
      </c>
      <c r="R242">
        <v>82.539100000000005</v>
      </c>
      <c r="S242">
        <v>2.21746</v>
      </c>
      <c r="T242">
        <f>Table4309[[#This Row],[CFNM]]/Table4309[[#This Row],[CAREA]]</f>
        <v>2.6865570378160168E-2</v>
      </c>
      <c r="U242">
        <v>2.3262700000000001</v>
      </c>
      <c r="V242">
        <f>-(Table5310[[#This Row],[time]]-2)*2</f>
        <v>-0.65254000000000012</v>
      </c>
      <c r="W242">
        <v>83.439800000000005</v>
      </c>
      <c r="X242">
        <v>16.4864</v>
      </c>
      <c r="Y242">
        <f>Table5310[[#This Row],[CFNM]]/Table5310[[#This Row],[CAREA]]</f>
        <v>0.19758436621372533</v>
      </c>
      <c r="Z242">
        <v>2.3262700000000001</v>
      </c>
      <c r="AA242">
        <f>-(Table6311[[#This Row],[time]]-2)*2</f>
        <v>-0.65254000000000012</v>
      </c>
      <c r="AB242">
        <v>83.218800000000002</v>
      </c>
      <c r="AC242">
        <v>5.7827500000000001</v>
      </c>
      <c r="AD242">
        <f>Table6311[[#This Row],[CFNM]]/Table6311[[#This Row],[CAREA]]</f>
        <v>6.9488505001273751E-2</v>
      </c>
      <c r="AE242">
        <v>2.3262700000000001</v>
      </c>
      <c r="AF242">
        <f>-(Table7312[[#This Row],[time]]-2)*2</f>
        <v>-0.65254000000000012</v>
      </c>
      <c r="AG242">
        <v>79.426000000000002</v>
      </c>
      <c r="AH242">
        <v>28.1342</v>
      </c>
      <c r="AI242">
        <f>Table7312[[#This Row],[CFNM]]/Table7312[[#This Row],[CAREA]]</f>
        <v>0.35421902147911261</v>
      </c>
      <c r="AJ242">
        <v>2.3262700000000001</v>
      </c>
      <c r="AK242">
        <f>-(Table8313[[#This Row],[time]]-2)*2</f>
        <v>-0.65254000000000012</v>
      </c>
      <c r="AL242">
        <v>82.327200000000005</v>
      </c>
      <c r="AM242">
        <v>13.904</v>
      </c>
      <c r="AN242">
        <f>Table8313[[#This Row],[CFNM]]/Table8313[[#This Row],[CAREA]]</f>
        <v>0.16888707498858213</v>
      </c>
    </row>
    <row r="243" spans="1:40" x14ac:dyDescent="0.25">
      <c r="A243">
        <v>2.3684599999999998</v>
      </c>
      <c r="B243">
        <f>-(Table1306[[#This Row],[time]]-2)*2</f>
        <v>-0.73691999999999958</v>
      </c>
      <c r="C243">
        <v>90.695599999999999</v>
      </c>
      <c r="D243">
        <v>15.382400000000001</v>
      </c>
      <c r="E243">
        <f>Table1306[[#This Row],[CFNM]]/Table1306[[#This Row],[CAREA]]</f>
        <v>0.16960469967672082</v>
      </c>
      <c r="F243">
        <v>2.3684599999999998</v>
      </c>
      <c r="G243">
        <f>-(Table2307[[#This Row],[time]]-2)*2</f>
        <v>-0.73691999999999958</v>
      </c>
      <c r="H243">
        <v>94.562899999999999</v>
      </c>
      <c r="I243">
        <v>0.115855</v>
      </c>
      <c r="J243">
        <f>Table2307[[#This Row],[CFNM]]/Table2307[[#This Row],[CAREA]]</f>
        <v>1.2251633568767456E-3</v>
      </c>
      <c r="K243">
        <v>2.3684599999999998</v>
      </c>
      <c r="L243">
        <f>-(Table3308[[#This Row],[time]]-2)*2</f>
        <v>-0.73691999999999958</v>
      </c>
      <c r="M243">
        <v>90.3035</v>
      </c>
      <c r="N243">
        <v>10.921900000000001</v>
      </c>
      <c r="O243">
        <f>Table3308[[#This Row],[CFNM]]/Table3308[[#This Row],[CAREA]]</f>
        <v>0.12094658568051073</v>
      </c>
      <c r="P243">
        <v>2.3684599999999998</v>
      </c>
      <c r="Q243">
        <f>-(Table4309[[#This Row],[time]]-2)*2</f>
        <v>-0.73691999999999958</v>
      </c>
      <c r="R243">
        <v>81.783199999999994</v>
      </c>
      <c r="S243">
        <v>2.06942</v>
      </c>
      <c r="T243">
        <f>Table4309[[#This Row],[CFNM]]/Table4309[[#This Row],[CAREA]]</f>
        <v>2.5303729861389627E-2</v>
      </c>
      <c r="U243">
        <v>2.3684599999999998</v>
      </c>
      <c r="V243">
        <f>-(Table5310[[#This Row],[time]]-2)*2</f>
        <v>-0.73691999999999958</v>
      </c>
      <c r="W243">
        <v>84.143000000000001</v>
      </c>
      <c r="X243">
        <v>17.678100000000001</v>
      </c>
      <c r="Y243">
        <f>Table5310[[#This Row],[CFNM]]/Table5310[[#This Row],[CAREA]]</f>
        <v>0.21009590815635287</v>
      </c>
      <c r="Z243">
        <v>2.3684599999999998</v>
      </c>
      <c r="AA243">
        <f>-(Table6311[[#This Row],[time]]-2)*2</f>
        <v>-0.73691999999999958</v>
      </c>
      <c r="AB243">
        <v>82.993200000000002</v>
      </c>
      <c r="AC243">
        <v>4.9705899999999996</v>
      </c>
      <c r="AD243">
        <f>Table6311[[#This Row],[CFNM]]/Table6311[[#This Row],[CAREA]]</f>
        <v>5.9891533282244808E-2</v>
      </c>
      <c r="AE243">
        <v>2.3684599999999998</v>
      </c>
      <c r="AF243">
        <f>-(Table7312[[#This Row],[time]]-2)*2</f>
        <v>-0.73691999999999958</v>
      </c>
      <c r="AG243">
        <v>78.487799999999993</v>
      </c>
      <c r="AH243">
        <v>30.064299999999999</v>
      </c>
      <c r="AI243">
        <f>Table7312[[#This Row],[CFNM]]/Table7312[[#This Row],[CAREA]]</f>
        <v>0.3830442438187846</v>
      </c>
      <c r="AJ243">
        <v>2.3684599999999998</v>
      </c>
      <c r="AK243">
        <f>-(Table8313[[#This Row],[time]]-2)*2</f>
        <v>-0.73691999999999958</v>
      </c>
      <c r="AL243">
        <v>82.409300000000002</v>
      </c>
      <c r="AM243">
        <v>13.4975</v>
      </c>
      <c r="AN243">
        <f>Table8313[[#This Row],[CFNM]]/Table8313[[#This Row],[CAREA]]</f>
        <v>0.16378612608043025</v>
      </c>
    </row>
    <row r="244" spans="1:40" x14ac:dyDescent="0.25">
      <c r="A244">
        <v>2.4278300000000002</v>
      </c>
      <c r="B244">
        <f>-(Table1306[[#This Row],[time]]-2)*2</f>
        <v>-0.85566000000000031</v>
      </c>
      <c r="C244">
        <v>90.872</v>
      </c>
      <c r="D244">
        <v>16.247</v>
      </c>
      <c r="E244">
        <f>Table1306[[#This Row],[CFNM]]/Table1306[[#This Row],[CAREA]]</f>
        <v>0.17878994629808961</v>
      </c>
      <c r="F244">
        <v>2.4278300000000002</v>
      </c>
      <c r="G244">
        <f>-(Table2307[[#This Row],[time]]-2)*2</f>
        <v>-0.85566000000000031</v>
      </c>
      <c r="H244">
        <v>94.244299999999996</v>
      </c>
      <c r="I244">
        <v>5.2232900000000002E-3</v>
      </c>
      <c r="J244">
        <f>Table2307[[#This Row],[CFNM]]/Table2307[[#This Row],[CAREA]]</f>
        <v>5.5422874380731786E-5</v>
      </c>
      <c r="K244">
        <v>2.4278300000000002</v>
      </c>
      <c r="L244">
        <f>-(Table3308[[#This Row],[time]]-2)*2</f>
        <v>-0.85566000000000031</v>
      </c>
      <c r="M244">
        <v>90.026899999999998</v>
      </c>
      <c r="N244">
        <v>12.7425</v>
      </c>
      <c r="O244">
        <f>Table3308[[#This Row],[CFNM]]/Table3308[[#This Row],[CAREA]]</f>
        <v>0.14154102829265475</v>
      </c>
      <c r="P244">
        <v>2.4278300000000002</v>
      </c>
      <c r="Q244">
        <f>-(Table4309[[#This Row],[time]]-2)*2</f>
        <v>-0.85566000000000031</v>
      </c>
      <c r="R244">
        <v>81.307299999999998</v>
      </c>
      <c r="S244">
        <v>2.3458600000000001</v>
      </c>
      <c r="T244">
        <f>Table4309[[#This Row],[CFNM]]/Table4309[[#This Row],[CAREA]]</f>
        <v>2.8851775916799601E-2</v>
      </c>
      <c r="U244">
        <v>2.4278300000000002</v>
      </c>
      <c r="V244">
        <f>-(Table5310[[#This Row],[time]]-2)*2</f>
        <v>-0.85566000000000031</v>
      </c>
      <c r="W244">
        <v>84.031199999999998</v>
      </c>
      <c r="X244">
        <v>20.085699999999999</v>
      </c>
      <c r="Y244">
        <f>Table5310[[#This Row],[CFNM]]/Table5310[[#This Row],[CAREA]]</f>
        <v>0.23902669484667599</v>
      </c>
      <c r="Z244">
        <v>2.4278300000000002</v>
      </c>
      <c r="AA244">
        <f>-(Table6311[[#This Row],[time]]-2)*2</f>
        <v>-0.85566000000000031</v>
      </c>
      <c r="AB244">
        <v>80.754400000000004</v>
      </c>
      <c r="AC244">
        <v>3.5349400000000002</v>
      </c>
      <c r="AD244">
        <f>Table6311[[#This Row],[CFNM]]/Table6311[[#This Row],[CAREA]]</f>
        <v>4.3773961542652784E-2</v>
      </c>
      <c r="AE244">
        <v>2.4278300000000002</v>
      </c>
      <c r="AF244">
        <f>-(Table7312[[#This Row],[time]]-2)*2</f>
        <v>-0.85566000000000031</v>
      </c>
      <c r="AG244">
        <v>76.774000000000001</v>
      </c>
      <c r="AH244">
        <v>34.130499999999998</v>
      </c>
      <c r="AI244">
        <f>Table7312[[#This Row],[CFNM]]/Table7312[[#This Row],[CAREA]]</f>
        <v>0.44455805350769789</v>
      </c>
      <c r="AJ244">
        <v>2.4278300000000002</v>
      </c>
      <c r="AK244">
        <f>-(Table8313[[#This Row],[time]]-2)*2</f>
        <v>-0.85566000000000031</v>
      </c>
      <c r="AL244">
        <v>82.231300000000005</v>
      </c>
      <c r="AM244">
        <v>12.6143</v>
      </c>
      <c r="AN244">
        <f>Table8313[[#This Row],[CFNM]]/Table8313[[#This Row],[CAREA]]</f>
        <v>0.15340022594802707</v>
      </c>
    </row>
    <row r="245" spans="1:40" x14ac:dyDescent="0.25">
      <c r="A245">
        <v>2.4542000000000002</v>
      </c>
      <c r="B245">
        <f>-(Table1306[[#This Row],[time]]-2)*2</f>
        <v>-0.90840000000000032</v>
      </c>
      <c r="C245">
        <v>90.988</v>
      </c>
      <c r="D245">
        <v>16.616399999999999</v>
      </c>
      <c r="E245">
        <f>Table1306[[#This Row],[CFNM]]/Table1306[[#This Row],[CAREA]]</f>
        <v>0.18262188420451048</v>
      </c>
      <c r="F245">
        <v>2.4542000000000002</v>
      </c>
      <c r="G245">
        <f>-(Table2307[[#This Row],[time]]-2)*2</f>
        <v>-0.90840000000000032</v>
      </c>
      <c r="H245">
        <v>93.212000000000003</v>
      </c>
      <c r="I245">
        <v>5.0550100000000004E-3</v>
      </c>
      <c r="J245">
        <f>Table2307[[#This Row],[CFNM]]/Table2307[[#This Row],[CAREA]]</f>
        <v>5.4231322147363001E-5</v>
      </c>
      <c r="K245">
        <v>2.4542000000000002</v>
      </c>
      <c r="L245">
        <f>-(Table3308[[#This Row],[time]]-2)*2</f>
        <v>-0.90840000000000032</v>
      </c>
      <c r="M245">
        <v>89.959000000000003</v>
      </c>
      <c r="N245">
        <v>13.514200000000001</v>
      </c>
      <c r="O245">
        <f>Table3308[[#This Row],[CFNM]]/Table3308[[#This Row],[CAREA]]</f>
        <v>0.15022621416423038</v>
      </c>
      <c r="P245">
        <v>2.4542000000000002</v>
      </c>
      <c r="Q245">
        <f>-(Table4309[[#This Row],[time]]-2)*2</f>
        <v>-0.90840000000000032</v>
      </c>
      <c r="R245">
        <v>80.289599999999993</v>
      </c>
      <c r="S245">
        <v>2.5339100000000001</v>
      </c>
      <c r="T245">
        <f>Table4309[[#This Row],[CFNM]]/Table4309[[#This Row],[CAREA]]</f>
        <v>3.1559629142504139E-2</v>
      </c>
      <c r="U245">
        <v>2.4542000000000002</v>
      </c>
      <c r="V245">
        <f>-(Table5310[[#This Row],[time]]-2)*2</f>
        <v>-0.90840000000000032</v>
      </c>
      <c r="W245">
        <v>83.981899999999996</v>
      </c>
      <c r="X245">
        <v>21.108899999999998</v>
      </c>
      <c r="Y245">
        <f>Table5310[[#This Row],[CFNM]]/Table5310[[#This Row],[CAREA]]</f>
        <v>0.25135058863874238</v>
      </c>
      <c r="Z245">
        <v>2.4542000000000002</v>
      </c>
      <c r="AA245">
        <f>-(Table6311[[#This Row],[time]]-2)*2</f>
        <v>-0.90840000000000032</v>
      </c>
      <c r="AB245">
        <v>80.217699999999994</v>
      </c>
      <c r="AC245">
        <v>3.0457200000000002</v>
      </c>
      <c r="AD245">
        <f>Table6311[[#This Row],[CFNM]]/Table6311[[#This Row],[CAREA]]</f>
        <v>3.7968179092644147E-2</v>
      </c>
      <c r="AE245">
        <v>2.4542000000000002</v>
      </c>
      <c r="AF245">
        <f>-(Table7312[[#This Row],[time]]-2)*2</f>
        <v>-0.90840000000000032</v>
      </c>
      <c r="AG245">
        <v>76.049899999999994</v>
      </c>
      <c r="AH245">
        <v>35.858699999999999</v>
      </c>
      <c r="AI245">
        <f>Table7312[[#This Row],[CFNM]]/Table7312[[#This Row],[CAREA]]</f>
        <v>0.47151541290652588</v>
      </c>
      <c r="AJ245">
        <v>2.4542000000000002</v>
      </c>
      <c r="AK245">
        <f>-(Table8313[[#This Row],[time]]-2)*2</f>
        <v>-0.90840000000000032</v>
      </c>
      <c r="AL245">
        <v>82.325599999999994</v>
      </c>
      <c r="AM245">
        <v>12.2105</v>
      </c>
      <c r="AN245">
        <f>Table8313[[#This Row],[CFNM]]/Table8313[[#This Row],[CAREA]]</f>
        <v>0.14831959924980809</v>
      </c>
    </row>
    <row r="246" spans="1:40" x14ac:dyDescent="0.25">
      <c r="A246">
        <v>2.5061499999999999</v>
      </c>
      <c r="B246">
        <f>-(Table1306[[#This Row],[time]]-2)*2</f>
        <v>-1.0122999999999998</v>
      </c>
      <c r="C246">
        <v>91.287899999999993</v>
      </c>
      <c r="D246">
        <v>17.373899999999999</v>
      </c>
      <c r="E246">
        <f>Table1306[[#This Row],[CFNM]]/Table1306[[#This Row],[CAREA]]</f>
        <v>0.19031985619123673</v>
      </c>
      <c r="F246">
        <v>2.5061499999999999</v>
      </c>
      <c r="G246">
        <f>-(Table2307[[#This Row],[time]]-2)*2</f>
        <v>-1.0122999999999998</v>
      </c>
      <c r="H246">
        <v>93.000600000000006</v>
      </c>
      <c r="I246">
        <v>4.7794999999999999E-3</v>
      </c>
      <c r="J246">
        <f>Table2307[[#This Row],[CFNM]]/Table2307[[#This Row],[CAREA]]</f>
        <v>5.1392141556075975E-5</v>
      </c>
      <c r="K246">
        <v>2.5061499999999999</v>
      </c>
      <c r="L246">
        <f>-(Table3308[[#This Row],[time]]-2)*2</f>
        <v>-1.0122999999999998</v>
      </c>
      <c r="M246">
        <v>89.692300000000003</v>
      </c>
      <c r="N246">
        <v>15.0215</v>
      </c>
      <c r="O246">
        <f>Table3308[[#This Row],[CFNM]]/Table3308[[#This Row],[CAREA]]</f>
        <v>0.16747814472368308</v>
      </c>
      <c r="P246">
        <v>2.5061499999999999</v>
      </c>
      <c r="Q246">
        <f>-(Table4309[[#This Row],[time]]-2)*2</f>
        <v>-1.0122999999999998</v>
      </c>
      <c r="R246">
        <v>79.285600000000002</v>
      </c>
      <c r="S246">
        <v>2.9605100000000002</v>
      </c>
      <c r="T246">
        <f>Table4309[[#This Row],[CFNM]]/Table4309[[#This Row],[CAREA]]</f>
        <v>3.7339819588929138E-2</v>
      </c>
      <c r="U246">
        <v>2.5061499999999999</v>
      </c>
      <c r="V246">
        <f>-(Table5310[[#This Row],[time]]-2)*2</f>
        <v>-1.0122999999999998</v>
      </c>
      <c r="W246">
        <v>84.407799999999995</v>
      </c>
      <c r="X246">
        <v>23.067900000000002</v>
      </c>
      <c r="Y246">
        <f>Table5310[[#This Row],[CFNM]]/Table5310[[#This Row],[CAREA]]</f>
        <v>0.27329109395103302</v>
      </c>
      <c r="Z246">
        <v>2.5061499999999999</v>
      </c>
      <c r="AA246">
        <f>-(Table6311[[#This Row],[time]]-2)*2</f>
        <v>-1.0122999999999998</v>
      </c>
      <c r="AB246">
        <v>79.479799999999997</v>
      </c>
      <c r="AC246">
        <v>2.51336</v>
      </c>
      <c r="AD246">
        <f>Table6311[[#This Row],[CFNM]]/Table6311[[#This Row],[CAREA]]</f>
        <v>3.1622626126386832E-2</v>
      </c>
      <c r="AE246">
        <v>2.5061499999999999</v>
      </c>
      <c r="AF246">
        <f>-(Table7312[[#This Row],[time]]-2)*2</f>
        <v>-1.0122999999999998</v>
      </c>
      <c r="AG246">
        <v>74.633399999999995</v>
      </c>
      <c r="AH246">
        <v>38.956400000000002</v>
      </c>
      <c r="AI246">
        <f>Table7312[[#This Row],[CFNM]]/Table7312[[#This Row],[CAREA]]</f>
        <v>0.52197005630187032</v>
      </c>
      <c r="AJ246">
        <v>2.5061499999999999</v>
      </c>
      <c r="AK246">
        <f>-(Table8313[[#This Row],[time]]-2)*2</f>
        <v>-1.0122999999999998</v>
      </c>
      <c r="AL246">
        <v>81.812299999999993</v>
      </c>
      <c r="AM246">
        <v>11.4061</v>
      </c>
      <c r="AN246">
        <f>Table8313[[#This Row],[CFNM]]/Table8313[[#This Row],[CAREA]]</f>
        <v>0.13941791148763696</v>
      </c>
    </row>
    <row r="247" spans="1:40" x14ac:dyDescent="0.25">
      <c r="A247">
        <v>2.5507599999999999</v>
      </c>
      <c r="B247">
        <f>-(Table1306[[#This Row],[time]]-2)*2</f>
        <v>-1.1015199999999998</v>
      </c>
      <c r="C247">
        <v>91.521199999999993</v>
      </c>
      <c r="D247">
        <v>18.015699999999999</v>
      </c>
      <c r="E247">
        <f>Table1306[[#This Row],[CFNM]]/Table1306[[#This Row],[CAREA]]</f>
        <v>0.19684728784150557</v>
      </c>
      <c r="F247">
        <v>2.5507599999999999</v>
      </c>
      <c r="G247">
        <f>-(Table2307[[#This Row],[time]]-2)*2</f>
        <v>-1.1015199999999998</v>
      </c>
      <c r="H247">
        <v>92.357600000000005</v>
      </c>
      <c r="I247">
        <v>4.67944E-3</v>
      </c>
      <c r="J247">
        <f>Table2307[[#This Row],[CFNM]]/Table2307[[#This Row],[CAREA]]</f>
        <v>5.0666539624243157E-5</v>
      </c>
      <c r="K247">
        <v>2.5507599999999999</v>
      </c>
      <c r="L247">
        <f>-(Table3308[[#This Row],[time]]-2)*2</f>
        <v>-1.1015199999999998</v>
      </c>
      <c r="M247">
        <v>89.486199999999997</v>
      </c>
      <c r="N247">
        <v>16.130299999999998</v>
      </c>
      <c r="O247">
        <f>Table3308[[#This Row],[CFNM]]/Table3308[[#This Row],[CAREA]]</f>
        <v>0.18025460909056368</v>
      </c>
      <c r="P247">
        <v>2.5507599999999999</v>
      </c>
      <c r="Q247">
        <f>-(Table4309[[#This Row],[time]]-2)*2</f>
        <v>-1.1015199999999998</v>
      </c>
      <c r="R247">
        <v>79.053200000000004</v>
      </c>
      <c r="S247">
        <v>3.13348</v>
      </c>
      <c r="T247">
        <f>Table4309[[#This Row],[CFNM]]/Table4309[[#This Row],[CAREA]]</f>
        <v>3.9637611127696287E-2</v>
      </c>
      <c r="U247">
        <v>2.5507599999999999</v>
      </c>
      <c r="V247">
        <f>-(Table5310[[#This Row],[time]]-2)*2</f>
        <v>-1.1015199999999998</v>
      </c>
      <c r="W247">
        <v>84.203100000000006</v>
      </c>
      <c r="X247">
        <v>24.4559</v>
      </c>
      <c r="Y247">
        <f>Table5310[[#This Row],[CFNM]]/Table5310[[#This Row],[CAREA]]</f>
        <v>0.29043942562684744</v>
      </c>
      <c r="Z247">
        <v>2.5507599999999999</v>
      </c>
      <c r="AA247">
        <f>-(Table6311[[#This Row],[time]]-2)*2</f>
        <v>-1.1015199999999998</v>
      </c>
      <c r="AB247">
        <v>78.206999999999994</v>
      </c>
      <c r="AC247">
        <v>2.3159100000000001</v>
      </c>
      <c r="AD247">
        <f>Table6311[[#This Row],[CFNM]]/Table6311[[#This Row],[CAREA]]</f>
        <v>2.9612566650044119E-2</v>
      </c>
      <c r="AE247">
        <v>2.5507599999999999</v>
      </c>
      <c r="AF247">
        <f>-(Table7312[[#This Row],[time]]-2)*2</f>
        <v>-1.1015199999999998</v>
      </c>
      <c r="AG247">
        <v>73.870800000000003</v>
      </c>
      <c r="AH247">
        <v>40.9163</v>
      </c>
      <c r="AI247">
        <f>Table7312[[#This Row],[CFNM]]/Table7312[[#This Row],[CAREA]]</f>
        <v>0.55389003503414069</v>
      </c>
      <c r="AJ247">
        <v>2.5507599999999999</v>
      </c>
      <c r="AK247">
        <f>-(Table8313[[#This Row],[time]]-2)*2</f>
        <v>-1.1015199999999998</v>
      </c>
      <c r="AL247">
        <v>81.227900000000005</v>
      </c>
      <c r="AM247">
        <v>10.862399999999999</v>
      </c>
      <c r="AN247">
        <f>Table8313[[#This Row],[CFNM]]/Table8313[[#This Row],[CAREA]]</f>
        <v>0.1337274507896917</v>
      </c>
    </row>
    <row r="248" spans="1:40" x14ac:dyDescent="0.25">
      <c r="A248">
        <v>2.60453</v>
      </c>
      <c r="B248">
        <f>-(Table1306[[#This Row],[time]]-2)*2</f>
        <v>-1.20906</v>
      </c>
      <c r="C248">
        <v>92.0261</v>
      </c>
      <c r="D248">
        <v>19.063800000000001</v>
      </c>
      <c r="E248">
        <f>Table1306[[#This Row],[CFNM]]/Table1306[[#This Row],[CAREA]]</f>
        <v>0.20715644800768479</v>
      </c>
      <c r="F248">
        <v>2.60453</v>
      </c>
      <c r="G248">
        <f>-(Table2307[[#This Row],[time]]-2)*2</f>
        <v>-1.20906</v>
      </c>
      <c r="H248">
        <v>91.663200000000003</v>
      </c>
      <c r="I248">
        <v>4.6385899999999997E-3</v>
      </c>
      <c r="J248">
        <f>Table2307[[#This Row],[CFNM]]/Table2307[[#This Row],[CAREA]]</f>
        <v>5.0604713778266519E-5</v>
      </c>
      <c r="K248">
        <v>2.60453</v>
      </c>
      <c r="L248">
        <f>-(Table3308[[#This Row],[time]]-2)*2</f>
        <v>-1.20906</v>
      </c>
      <c r="M248">
        <v>89.211100000000002</v>
      </c>
      <c r="N248">
        <v>17.729500000000002</v>
      </c>
      <c r="O248">
        <f>Table3308[[#This Row],[CFNM]]/Table3308[[#This Row],[CAREA]]</f>
        <v>0.1987364801016914</v>
      </c>
      <c r="P248">
        <v>2.60453</v>
      </c>
      <c r="Q248">
        <f>-(Table4309[[#This Row],[time]]-2)*2</f>
        <v>-1.20906</v>
      </c>
      <c r="R248">
        <v>78.127600000000001</v>
      </c>
      <c r="S248">
        <v>3.3536899999999998</v>
      </c>
      <c r="T248">
        <f>Table4309[[#This Row],[CFNM]]/Table4309[[#This Row],[CAREA]]</f>
        <v>4.2925803429261875E-2</v>
      </c>
      <c r="U248">
        <v>2.60453</v>
      </c>
      <c r="V248">
        <f>-(Table5310[[#This Row],[time]]-2)*2</f>
        <v>-1.20906</v>
      </c>
      <c r="W248">
        <v>84.295599999999993</v>
      </c>
      <c r="X248">
        <v>26.500900000000001</v>
      </c>
      <c r="Y248">
        <f>Table5310[[#This Row],[CFNM]]/Table5310[[#This Row],[CAREA]]</f>
        <v>0.3143805845144943</v>
      </c>
      <c r="Z248">
        <v>2.60453</v>
      </c>
      <c r="AA248">
        <f>-(Table6311[[#This Row],[time]]-2)*2</f>
        <v>-1.20906</v>
      </c>
      <c r="AB248">
        <v>75.784999999999997</v>
      </c>
      <c r="AC248">
        <v>2.0383800000000001</v>
      </c>
      <c r="AD248">
        <f>Table6311[[#This Row],[CFNM]]/Table6311[[#This Row],[CAREA]]</f>
        <v>2.6896879329682658E-2</v>
      </c>
      <c r="AE248">
        <v>2.60453</v>
      </c>
      <c r="AF248">
        <f>-(Table7312[[#This Row],[time]]-2)*2</f>
        <v>-1.20906</v>
      </c>
      <c r="AG248">
        <v>72.865099999999998</v>
      </c>
      <c r="AH248">
        <v>43.611800000000002</v>
      </c>
      <c r="AI248">
        <f>Table7312[[#This Row],[CFNM]]/Table7312[[#This Row],[CAREA]]</f>
        <v>0.59852796469091518</v>
      </c>
      <c r="AJ248">
        <v>2.60453</v>
      </c>
      <c r="AK248">
        <f>-(Table8313[[#This Row],[time]]-2)*2</f>
        <v>-1.20906</v>
      </c>
      <c r="AL248">
        <v>81.263199999999998</v>
      </c>
      <c r="AM248">
        <v>10.1462</v>
      </c>
      <c r="AN248">
        <f>Table8313[[#This Row],[CFNM]]/Table8313[[#This Row],[CAREA]]</f>
        <v>0.12485602339066146</v>
      </c>
    </row>
    <row r="249" spans="1:40" x14ac:dyDescent="0.25">
      <c r="A249">
        <v>2.65273</v>
      </c>
      <c r="B249">
        <f>-(Table1306[[#This Row],[time]]-2)*2</f>
        <v>-1.3054600000000001</v>
      </c>
      <c r="C249">
        <v>92.742199999999997</v>
      </c>
      <c r="D249">
        <v>20.636600000000001</v>
      </c>
      <c r="E249">
        <f>Table1306[[#This Row],[CFNM]]/Table1306[[#This Row],[CAREA]]</f>
        <v>0.22251574795508411</v>
      </c>
      <c r="F249">
        <v>2.65273</v>
      </c>
      <c r="G249">
        <f>-(Table2307[[#This Row],[time]]-2)*2</f>
        <v>-1.3054600000000001</v>
      </c>
      <c r="H249">
        <v>91.135599999999997</v>
      </c>
      <c r="I249">
        <v>4.6337399999999999E-3</v>
      </c>
      <c r="J249">
        <f>Table2307[[#This Row],[CFNM]]/Table2307[[#This Row],[CAREA]]</f>
        <v>5.0844455953546142E-5</v>
      </c>
      <c r="K249">
        <v>2.65273</v>
      </c>
      <c r="L249">
        <f>-(Table3308[[#This Row],[time]]-2)*2</f>
        <v>-1.3054600000000001</v>
      </c>
      <c r="M249">
        <v>88.837000000000003</v>
      </c>
      <c r="N249">
        <v>20.168500000000002</v>
      </c>
      <c r="O249">
        <f>Table3308[[#This Row],[CFNM]]/Table3308[[#This Row],[CAREA]]</f>
        <v>0.22702815268412938</v>
      </c>
      <c r="P249">
        <v>2.65273</v>
      </c>
      <c r="Q249">
        <f>-(Table4309[[#This Row],[time]]-2)*2</f>
        <v>-1.3054600000000001</v>
      </c>
      <c r="R249">
        <v>77.250600000000006</v>
      </c>
      <c r="S249">
        <v>3.6880099999999998</v>
      </c>
      <c r="T249">
        <f>Table4309[[#This Row],[CFNM]]/Table4309[[#This Row],[CAREA]]</f>
        <v>4.7740858970674656E-2</v>
      </c>
      <c r="U249">
        <v>2.65273</v>
      </c>
      <c r="V249">
        <f>-(Table5310[[#This Row],[time]]-2)*2</f>
        <v>-1.3054600000000001</v>
      </c>
      <c r="W249">
        <v>84.671899999999994</v>
      </c>
      <c r="X249">
        <v>29.435099999999998</v>
      </c>
      <c r="Y249">
        <f>Table5310[[#This Row],[CFNM]]/Table5310[[#This Row],[CAREA]]</f>
        <v>0.34763717360777308</v>
      </c>
      <c r="Z249">
        <v>2.65273</v>
      </c>
      <c r="AA249">
        <f>-(Table6311[[#This Row],[time]]-2)*2</f>
        <v>-1.3054600000000001</v>
      </c>
      <c r="AB249">
        <v>74.616900000000001</v>
      </c>
      <c r="AC249">
        <v>1.7004999999999999</v>
      </c>
      <c r="AD249">
        <f>Table6311[[#This Row],[CFNM]]/Table6311[[#This Row],[CAREA]]</f>
        <v>2.2789743342325933E-2</v>
      </c>
      <c r="AE249">
        <v>2.65273</v>
      </c>
      <c r="AF249">
        <f>-(Table7312[[#This Row],[time]]-2)*2</f>
        <v>-1.3054600000000001</v>
      </c>
      <c r="AG249">
        <v>71.469399999999993</v>
      </c>
      <c r="AH249">
        <v>47.539000000000001</v>
      </c>
      <c r="AI249">
        <f>Table7312[[#This Row],[CFNM]]/Table7312[[#This Row],[CAREA]]</f>
        <v>0.66516579123373087</v>
      </c>
      <c r="AJ249">
        <v>2.65273</v>
      </c>
      <c r="AK249">
        <f>-(Table8313[[#This Row],[time]]-2)*2</f>
        <v>-1.3054600000000001</v>
      </c>
      <c r="AL249">
        <v>80.504099999999994</v>
      </c>
      <c r="AM249">
        <v>9.1226900000000004</v>
      </c>
      <c r="AN249">
        <f>Table8313[[#This Row],[CFNM]]/Table8313[[#This Row],[CAREA]]</f>
        <v>0.1133195700591647</v>
      </c>
    </row>
    <row r="250" spans="1:40" x14ac:dyDescent="0.25">
      <c r="A250">
        <v>2.7006199999999998</v>
      </c>
      <c r="B250">
        <f>-(Table1306[[#This Row],[time]]-2)*2</f>
        <v>-1.4012399999999996</v>
      </c>
      <c r="C250">
        <v>93.1601</v>
      </c>
      <c r="D250">
        <v>21.627600000000001</v>
      </c>
      <c r="E250">
        <f>Table1306[[#This Row],[CFNM]]/Table1306[[#This Row],[CAREA]]</f>
        <v>0.23215518231517571</v>
      </c>
      <c r="F250">
        <v>2.7006199999999998</v>
      </c>
      <c r="G250">
        <f>-(Table2307[[#This Row],[time]]-2)*2</f>
        <v>-1.4012399999999996</v>
      </c>
      <c r="H250">
        <v>90.483699999999999</v>
      </c>
      <c r="I250">
        <v>4.6414400000000001E-3</v>
      </c>
      <c r="J250">
        <f>Table2307[[#This Row],[CFNM]]/Table2307[[#This Row],[CAREA]]</f>
        <v>5.1295868758682509E-5</v>
      </c>
      <c r="K250">
        <v>2.7006199999999998</v>
      </c>
      <c r="L250">
        <f>-(Table3308[[#This Row],[time]]-2)*2</f>
        <v>-1.4012399999999996</v>
      </c>
      <c r="M250">
        <v>88.602400000000003</v>
      </c>
      <c r="N250">
        <v>21.744</v>
      </c>
      <c r="O250">
        <f>Table3308[[#This Row],[CFNM]]/Table3308[[#This Row],[CAREA]]</f>
        <v>0.24541095952254113</v>
      </c>
      <c r="P250">
        <v>2.7006199999999998</v>
      </c>
      <c r="Q250">
        <f>-(Table4309[[#This Row],[time]]-2)*2</f>
        <v>-1.4012399999999996</v>
      </c>
      <c r="R250">
        <v>75.829599999999999</v>
      </c>
      <c r="S250">
        <v>3.8567399999999998</v>
      </c>
      <c r="T250">
        <f>Table4309[[#This Row],[CFNM]]/Table4309[[#This Row],[CAREA]]</f>
        <v>5.0860613797250674E-2</v>
      </c>
      <c r="U250">
        <v>2.7006199999999998</v>
      </c>
      <c r="V250">
        <f>-(Table5310[[#This Row],[time]]-2)*2</f>
        <v>-1.4012399999999996</v>
      </c>
      <c r="W250">
        <v>84.394800000000004</v>
      </c>
      <c r="X250">
        <v>31.146599999999999</v>
      </c>
      <c r="Y250">
        <f>Table5310[[#This Row],[CFNM]]/Table5310[[#This Row],[CAREA]]</f>
        <v>0.36905828321176182</v>
      </c>
      <c r="Z250">
        <v>2.7006199999999998</v>
      </c>
      <c r="AA250">
        <f>-(Table6311[[#This Row],[time]]-2)*2</f>
        <v>-1.4012399999999996</v>
      </c>
      <c r="AB250">
        <v>73.919200000000004</v>
      </c>
      <c r="AC250">
        <v>1.5979000000000001</v>
      </c>
      <c r="AD250">
        <f>Table6311[[#This Row],[CFNM]]/Table6311[[#This Row],[CAREA]]</f>
        <v>2.1616846502667778E-2</v>
      </c>
      <c r="AE250">
        <v>2.7006199999999998</v>
      </c>
      <c r="AF250">
        <f>-(Table7312[[#This Row],[time]]-2)*2</f>
        <v>-1.4012399999999996</v>
      </c>
      <c r="AG250">
        <v>70.758099999999999</v>
      </c>
      <c r="AH250">
        <v>49.790100000000002</v>
      </c>
      <c r="AI250">
        <f>Table7312[[#This Row],[CFNM]]/Table7312[[#This Row],[CAREA]]</f>
        <v>0.70366643536217055</v>
      </c>
      <c r="AJ250">
        <v>2.7006199999999998</v>
      </c>
      <c r="AK250">
        <f>-(Table8313[[#This Row],[time]]-2)*2</f>
        <v>-1.4012399999999996</v>
      </c>
      <c r="AL250">
        <v>79.549499999999995</v>
      </c>
      <c r="AM250">
        <v>8.5128900000000005</v>
      </c>
      <c r="AN250">
        <f>Table8313[[#This Row],[CFNM]]/Table8313[[#This Row],[CAREA]]</f>
        <v>0.10701374615805255</v>
      </c>
    </row>
    <row r="251" spans="1:40" x14ac:dyDescent="0.25">
      <c r="A251">
        <v>2.75176</v>
      </c>
      <c r="B251">
        <f>-(Table1306[[#This Row],[time]]-2)*2</f>
        <v>-1.50352</v>
      </c>
      <c r="C251">
        <v>93.981999999999999</v>
      </c>
      <c r="D251">
        <v>22.9253</v>
      </c>
      <c r="E251">
        <f>Table1306[[#This Row],[CFNM]]/Table1306[[#This Row],[CAREA]]</f>
        <v>0.2439328807644017</v>
      </c>
      <c r="F251">
        <v>2.75176</v>
      </c>
      <c r="G251">
        <f>-(Table2307[[#This Row],[time]]-2)*2</f>
        <v>-1.50352</v>
      </c>
      <c r="H251">
        <v>89.8887</v>
      </c>
      <c r="I251">
        <v>4.64175E-3</v>
      </c>
      <c r="J251">
        <f>Table2307[[#This Row],[CFNM]]/Table2307[[#This Row],[CAREA]]</f>
        <v>5.1638860056937082E-5</v>
      </c>
      <c r="K251">
        <v>2.75176</v>
      </c>
      <c r="L251">
        <f>-(Table3308[[#This Row],[time]]-2)*2</f>
        <v>-1.50352</v>
      </c>
      <c r="M251">
        <v>88.090500000000006</v>
      </c>
      <c r="N251">
        <v>23.9055</v>
      </c>
      <c r="O251">
        <f>Table3308[[#This Row],[CFNM]]/Table3308[[#This Row],[CAREA]]</f>
        <v>0.27137432526776439</v>
      </c>
      <c r="P251">
        <v>2.75176</v>
      </c>
      <c r="Q251">
        <f>-(Table4309[[#This Row],[time]]-2)*2</f>
        <v>-1.50352</v>
      </c>
      <c r="R251">
        <v>75.311000000000007</v>
      </c>
      <c r="S251">
        <v>4.0126799999999996</v>
      </c>
      <c r="T251">
        <f>Table4309[[#This Row],[CFNM]]/Table4309[[#This Row],[CAREA]]</f>
        <v>5.3281459547742022E-2</v>
      </c>
      <c r="U251">
        <v>2.75176</v>
      </c>
      <c r="V251">
        <f>-(Table5310[[#This Row],[time]]-2)*2</f>
        <v>-1.50352</v>
      </c>
      <c r="W251">
        <v>83.915099999999995</v>
      </c>
      <c r="X251">
        <v>33.2714</v>
      </c>
      <c r="Y251">
        <f>Table5310[[#This Row],[CFNM]]/Table5310[[#This Row],[CAREA]]</f>
        <v>0.3964888321648905</v>
      </c>
      <c r="Z251">
        <v>2.75176</v>
      </c>
      <c r="AA251">
        <f>-(Table6311[[#This Row],[time]]-2)*2</f>
        <v>-1.50352</v>
      </c>
      <c r="AB251">
        <v>72.646699999999996</v>
      </c>
      <c r="AC251">
        <v>1.4316899999999999</v>
      </c>
      <c r="AD251">
        <f>Table6311[[#This Row],[CFNM]]/Table6311[[#This Row],[CAREA]]</f>
        <v>1.9707571025249598E-2</v>
      </c>
      <c r="AE251">
        <v>2.75176</v>
      </c>
      <c r="AF251">
        <f>-(Table7312[[#This Row],[time]]-2)*2</f>
        <v>-1.50352</v>
      </c>
      <c r="AG251">
        <v>69.896799999999999</v>
      </c>
      <c r="AH251">
        <v>52.561700000000002</v>
      </c>
      <c r="AI251">
        <f>Table7312[[#This Row],[CFNM]]/Table7312[[#This Row],[CAREA]]</f>
        <v>0.75199007679893792</v>
      </c>
      <c r="AJ251">
        <v>2.75176</v>
      </c>
      <c r="AK251">
        <f>-(Table8313[[#This Row],[time]]-2)*2</f>
        <v>-1.50352</v>
      </c>
      <c r="AL251">
        <v>79.490099999999998</v>
      </c>
      <c r="AM251">
        <v>7.7805900000000001</v>
      </c>
      <c r="AN251">
        <f>Table8313[[#This Row],[CFNM]]/Table8313[[#This Row],[CAREA]]</f>
        <v>9.7881245589073365E-2</v>
      </c>
    </row>
    <row r="252" spans="1:40" x14ac:dyDescent="0.25">
      <c r="A252">
        <v>2.80444</v>
      </c>
      <c r="B252">
        <f>-(Table1306[[#This Row],[time]]-2)*2</f>
        <v>-1.6088800000000001</v>
      </c>
      <c r="C252">
        <v>94.919899999999998</v>
      </c>
      <c r="D252">
        <v>24.586300000000001</v>
      </c>
      <c r="E252">
        <f>Table1306[[#This Row],[CFNM]]/Table1306[[#This Row],[CAREA]]</f>
        <v>0.25902155396286763</v>
      </c>
      <c r="F252">
        <v>2.80444</v>
      </c>
      <c r="G252">
        <f>-(Table2307[[#This Row],[time]]-2)*2</f>
        <v>-1.6088800000000001</v>
      </c>
      <c r="H252">
        <v>88.725800000000007</v>
      </c>
      <c r="I252">
        <v>4.6351300000000003E-3</v>
      </c>
      <c r="J252">
        <f>Table2307[[#This Row],[CFNM]]/Table2307[[#This Row],[CAREA]]</f>
        <v>5.2241061788115745E-5</v>
      </c>
      <c r="K252">
        <v>2.80444</v>
      </c>
      <c r="L252">
        <f>-(Table3308[[#This Row],[time]]-2)*2</f>
        <v>-1.6088800000000001</v>
      </c>
      <c r="M252">
        <v>87.395700000000005</v>
      </c>
      <c r="N252">
        <v>26.533999999999999</v>
      </c>
      <c r="O252">
        <f>Table3308[[#This Row],[CFNM]]/Table3308[[#This Row],[CAREA]]</f>
        <v>0.30360761456227248</v>
      </c>
      <c r="P252">
        <v>2.80444</v>
      </c>
      <c r="Q252">
        <f>-(Table4309[[#This Row],[time]]-2)*2</f>
        <v>-1.6088800000000001</v>
      </c>
      <c r="R252">
        <v>74.372799999999998</v>
      </c>
      <c r="S252">
        <v>4.2246499999999996</v>
      </c>
      <c r="T252">
        <f>Table4309[[#This Row],[CFNM]]/Table4309[[#This Row],[CAREA]]</f>
        <v>5.6803697050534598E-2</v>
      </c>
      <c r="U252">
        <v>2.80444</v>
      </c>
      <c r="V252">
        <f>-(Table5310[[#This Row],[time]]-2)*2</f>
        <v>-1.6088800000000001</v>
      </c>
      <c r="W252">
        <v>83.470600000000005</v>
      </c>
      <c r="X252">
        <v>35.856000000000002</v>
      </c>
      <c r="Y252">
        <f>Table5310[[#This Row],[CFNM]]/Table5310[[#This Row],[CAREA]]</f>
        <v>0.42956442148493001</v>
      </c>
      <c r="Z252">
        <v>2.80444</v>
      </c>
      <c r="AA252">
        <f>-(Table6311[[#This Row],[time]]-2)*2</f>
        <v>-1.6088800000000001</v>
      </c>
      <c r="AB252">
        <v>71.010000000000005</v>
      </c>
      <c r="AC252">
        <v>1.1783300000000001</v>
      </c>
      <c r="AD252">
        <f>Table6311[[#This Row],[CFNM]]/Table6311[[#This Row],[CAREA]]</f>
        <v>1.6593860019715533E-2</v>
      </c>
      <c r="AE252">
        <v>2.80444</v>
      </c>
      <c r="AF252">
        <f>-(Table7312[[#This Row],[time]]-2)*2</f>
        <v>-1.6088800000000001</v>
      </c>
      <c r="AG252">
        <v>68.903400000000005</v>
      </c>
      <c r="AH252">
        <v>55.875799999999998</v>
      </c>
      <c r="AI252">
        <f>Table7312[[#This Row],[CFNM]]/Table7312[[#This Row],[CAREA]]</f>
        <v>0.81092950420443688</v>
      </c>
      <c r="AJ252">
        <v>2.80444</v>
      </c>
      <c r="AK252">
        <f>-(Table8313[[#This Row],[time]]-2)*2</f>
        <v>-1.6088800000000001</v>
      </c>
      <c r="AL252">
        <v>78.238799999999998</v>
      </c>
      <c r="AM252">
        <v>6.8786199999999997</v>
      </c>
      <c r="AN252">
        <f>Table8313[[#This Row],[CFNM]]/Table8313[[#This Row],[CAREA]]</f>
        <v>8.7918270730123677E-2</v>
      </c>
    </row>
    <row r="253" spans="1:40" x14ac:dyDescent="0.25">
      <c r="A253">
        <v>2.8583699999999999</v>
      </c>
      <c r="B253">
        <f>-(Table1306[[#This Row],[time]]-2)*2</f>
        <v>-1.7167399999999997</v>
      </c>
      <c r="C253">
        <v>95.787099999999995</v>
      </c>
      <c r="D253">
        <v>25.817</v>
      </c>
      <c r="E253">
        <f>Table1306[[#This Row],[CFNM]]/Table1306[[#This Row],[CAREA]]</f>
        <v>0.26952481075217855</v>
      </c>
      <c r="F253">
        <v>2.8583699999999999</v>
      </c>
      <c r="G253">
        <f>-(Table2307[[#This Row],[time]]-2)*2</f>
        <v>-1.7167399999999997</v>
      </c>
      <c r="H253">
        <v>88.257099999999994</v>
      </c>
      <c r="I253">
        <v>4.5963899999999997E-3</v>
      </c>
      <c r="J253">
        <f>Table2307[[#This Row],[CFNM]]/Table2307[[#This Row],[CAREA]]</f>
        <v>5.2079549407356463E-5</v>
      </c>
      <c r="K253">
        <v>2.8583699999999999</v>
      </c>
      <c r="L253">
        <f>-(Table3308[[#This Row],[time]]-2)*2</f>
        <v>-1.7167399999999997</v>
      </c>
      <c r="M253">
        <v>86.924499999999995</v>
      </c>
      <c r="N253">
        <v>28.398900000000001</v>
      </c>
      <c r="O253">
        <f>Table3308[[#This Row],[CFNM]]/Table3308[[#This Row],[CAREA]]</f>
        <v>0.3267076600958303</v>
      </c>
      <c r="P253">
        <v>2.8583699999999999</v>
      </c>
      <c r="Q253">
        <f>-(Table4309[[#This Row],[time]]-2)*2</f>
        <v>-1.7167399999999997</v>
      </c>
      <c r="R253">
        <v>73.342299999999994</v>
      </c>
      <c r="S253">
        <v>4.3609099999999996</v>
      </c>
      <c r="T253">
        <f>Table4309[[#This Row],[CFNM]]/Table4309[[#This Row],[CAREA]]</f>
        <v>5.9459684247698805E-2</v>
      </c>
      <c r="U253">
        <v>2.8583699999999999</v>
      </c>
      <c r="V253">
        <f>-(Table5310[[#This Row],[time]]-2)*2</f>
        <v>-1.7167399999999997</v>
      </c>
      <c r="W253">
        <v>83.254199999999997</v>
      </c>
      <c r="X253">
        <v>37.706699999999998</v>
      </c>
      <c r="Y253">
        <f>Table5310[[#This Row],[CFNM]]/Table5310[[#This Row],[CAREA]]</f>
        <v>0.4529104837954121</v>
      </c>
      <c r="Z253">
        <v>2.8583699999999999</v>
      </c>
      <c r="AA253">
        <f>-(Table6311[[#This Row],[time]]-2)*2</f>
        <v>-1.7167399999999997</v>
      </c>
      <c r="AB253">
        <v>69.987499999999997</v>
      </c>
      <c r="AC253">
        <v>0.99640200000000001</v>
      </c>
      <c r="AD253">
        <f>Table6311[[#This Row],[CFNM]]/Table6311[[#This Row],[CAREA]]</f>
        <v>1.4236856581532417E-2</v>
      </c>
      <c r="AE253">
        <v>2.8583699999999999</v>
      </c>
      <c r="AF253">
        <f>-(Table7312[[#This Row],[time]]-2)*2</f>
        <v>-1.7167399999999997</v>
      </c>
      <c r="AG253">
        <v>68.240499999999997</v>
      </c>
      <c r="AH253">
        <v>58.180300000000003</v>
      </c>
      <c r="AI253">
        <f>Table7312[[#This Row],[CFNM]]/Table7312[[#This Row],[CAREA]]</f>
        <v>0.85257728181944747</v>
      </c>
      <c r="AJ253">
        <v>2.8583699999999999</v>
      </c>
      <c r="AK253">
        <f>-(Table8313[[#This Row],[time]]-2)*2</f>
        <v>-1.7167399999999997</v>
      </c>
      <c r="AL253">
        <v>78.280799999999999</v>
      </c>
      <c r="AM253">
        <v>6.2418800000000001</v>
      </c>
      <c r="AN253">
        <f>Table8313[[#This Row],[CFNM]]/Table8313[[#This Row],[CAREA]]</f>
        <v>7.9737049187029257E-2</v>
      </c>
    </row>
    <row r="254" spans="1:40" x14ac:dyDescent="0.25">
      <c r="A254">
        <v>2.9134199999999999</v>
      </c>
      <c r="B254">
        <f>-(Table1306[[#This Row],[time]]-2)*2</f>
        <v>-1.8268399999999998</v>
      </c>
      <c r="C254">
        <v>96.894300000000001</v>
      </c>
      <c r="D254">
        <v>27.632200000000001</v>
      </c>
      <c r="E254">
        <f>Table1306[[#This Row],[CFNM]]/Table1306[[#This Row],[CAREA]]</f>
        <v>0.28517879792722584</v>
      </c>
      <c r="F254">
        <v>2.9134199999999999</v>
      </c>
      <c r="G254">
        <f>-(Table2307[[#This Row],[time]]-2)*2</f>
        <v>-1.8268399999999998</v>
      </c>
      <c r="H254">
        <v>87.330299999999994</v>
      </c>
      <c r="I254">
        <v>4.4903E-3</v>
      </c>
      <c r="J254">
        <f>Table2307[[#This Row],[CFNM]]/Table2307[[#This Row],[CAREA]]</f>
        <v>5.1417434727694746E-5</v>
      </c>
      <c r="K254">
        <v>2.9134199999999999</v>
      </c>
      <c r="L254">
        <f>-(Table3308[[#This Row],[time]]-2)*2</f>
        <v>-1.8268399999999998</v>
      </c>
      <c r="M254">
        <v>86.219099999999997</v>
      </c>
      <c r="N254">
        <v>30.966799999999999</v>
      </c>
      <c r="O254">
        <f>Table3308[[#This Row],[CFNM]]/Table3308[[#This Row],[CAREA]]</f>
        <v>0.35916403673895925</v>
      </c>
      <c r="P254">
        <v>2.9134199999999999</v>
      </c>
      <c r="Q254">
        <f>-(Table4309[[#This Row],[time]]-2)*2</f>
        <v>-1.8268399999999998</v>
      </c>
      <c r="R254">
        <v>73.165999999999997</v>
      </c>
      <c r="S254">
        <v>4.5037599999999998</v>
      </c>
      <c r="T254">
        <f>Table4309[[#This Row],[CFNM]]/Table4309[[#This Row],[CAREA]]</f>
        <v>6.155536724708198E-2</v>
      </c>
      <c r="U254">
        <v>2.9134199999999999</v>
      </c>
      <c r="V254">
        <f>-(Table5310[[#This Row],[time]]-2)*2</f>
        <v>-1.8268399999999998</v>
      </c>
      <c r="W254">
        <v>82.835800000000006</v>
      </c>
      <c r="X254">
        <v>40.324300000000001</v>
      </c>
      <c r="Y254">
        <f>Table5310[[#This Row],[CFNM]]/Table5310[[#This Row],[CAREA]]</f>
        <v>0.48679797865174235</v>
      </c>
      <c r="Z254">
        <v>2.9134199999999999</v>
      </c>
      <c r="AA254">
        <f>-(Table6311[[#This Row],[time]]-2)*2</f>
        <v>-1.8268399999999998</v>
      </c>
      <c r="AB254">
        <v>69.227099999999993</v>
      </c>
      <c r="AC254">
        <v>0.74510200000000004</v>
      </c>
      <c r="AD254">
        <f>Table6311[[#This Row],[CFNM]]/Table6311[[#This Row],[CAREA]]</f>
        <v>1.0763154891653704E-2</v>
      </c>
      <c r="AE254">
        <v>2.9134199999999999</v>
      </c>
      <c r="AF254">
        <f>-(Table7312[[#This Row],[time]]-2)*2</f>
        <v>-1.8268399999999998</v>
      </c>
      <c r="AG254">
        <v>67.360200000000006</v>
      </c>
      <c r="AH254">
        <v>61.420299999999997</v>
      </c>
      <c r="AI254">
        <f>Table7312[[#This Row],[CFNM]]/Table7312[[#This Row],[CAREA]]</f>
        <v>0.91181884851885819</v>
      </c>
      <c r="AJ254">
        <v>2.9134199999999999</v>
      </c>
      <c r="AK254">
        <f>-(Table8313[[#This Row],[time]]-2)*2</f>
        <v>-1.8268399999999998</v>
      </c>
      <c r="AL254">
        <v>77.3733</v>
      </c>
      <c r="AM254">
        <v>5.3981899999999996</v>
      </c>
      <c r="AN254">
        <f>Table8313[[#This Row],[CFNM]]/Table8313[[#This Row],[CAREA]]</f>
        <v>6.9768124146184787E-2</v>
      </c>
    </row>
    <row r="255" spans="1:40" x14ac:dyDescent="0.25">
      <c r="A255">
        <v>2.9619599999999999</v>
      </c>
      <c r="B255">
        <f>-(Table1306[[#This Row],[time]]-2)*2</f>
        <v>-1.9239199999999999</v>
      </c>
      <c r="C255">
        <v>97.708600000000004</v>
      </c>
      <c r="D255">
        <v>29.033300000000001</v>
      </c>
      <c r="E255">
        <f>Table1306[[#This Row],[CFNM]]/Table1306[[#This Row],[CAREA]]</f>
        <v>0.29714170502903531</v>
      </c>
      <c r="F255">
        <v>2.9619599999999999</v>
      </c>
      <c r="G255">
        <f>-(Table2307[[#This Row],[time]]-2)*2</f>
        <v>-1.9239199999999999</v>
      </c>
      <c r="H255">
        <v>85.616100000000003</v>
      </c>
      <c r="I255">
        <v>4.3761599999999996E-3</v>
      </c>
      <c r="J255">
        <f>Table2307[[#This Row],[CFNM]]/Table2307[[#This Row],[CAREA]]</f>
        <v>5.111375080154316E-5</v>
      </c>
      <c r="K255">
        <v>2.9619599999999999</v>
      </c>
      <c r="L255">
        <f>-(Table3308[[#This Row],[time]]-2)*2</f>
        <v>-1.9239199999999999</v>
      </c>
      <c r="M255">
        <v>85.655799999999999</v>
      </c>
      <c r="N255">
        <v>32.794400000000003</v>
      </c>
      <c r="O255">
        <f>Table3308[[#This Row],[CFNM]]/Table3308[[#This Row],[CAREA]]</f>
        <v>0.38286257322913336</v>
      </c>
      <c r="P255">
        <v>2.9619599999999999</v>
      </c>
      <c r="Q255">
        <f>-(Table4309[[#This Row],[time]]-2)*2</f>
        <v>-1.9239199999999999</v>
      </c>
      <c r="R255">
        <v>72.180700000000002</v>
      </c>
      <c r="S255">
        <v>4.5860099999999999</v>
      </c>
      <c r="T255">
        <f>Table4309[[#This Row],[CFNM]]/Table4309[[#This Row],[CAREA]]</f>
        <v>6.3535127811173903E-2</v>
      </c>
      <c r="U255">
        <v>2.9619599999999999</v>
      </c>
      <c r="V255">
        <f>-(Table5310[[#This Row],[time]]-2)*2</f>
        <v>-1.9239199999999999</v>
      </c>
      <c r="W255">
        <v>82.517200000000003</v>
      </c>
      <c r="X255">
        <v>42.224899999999998</v>
      </c>
      <c r="Y255">
        <f>Table5310[[#This Row],[CFNM]]/Table5310[[#This Row],[CAREA]]</f>
        <v>0.51171028585555489</v>
      </c>
      <c r="Z255">
        <v>2.9619599999999999</v>
      </c>
      <c r="AA255">
        <f>-(Table6311[[#This Row],[time]]-2)*2</f>
        <v>-1.9239199999999999</v>
      </c>
      <c r="AB255">
        <v>68.904399999999995</v>
      </c>
      <c r="AC255">
        <v>0.59394800000000003</v>
      </c>
      <c r="AD255">
        <f>Table6311[[#This Row],[CFNM]]/Table6311[[#This Row],[CAREA]]</f>
        <v>8.6198849420356331E-3</v>
      </c>
      <c r="AE255">
        <v>2.9619599999999999</v>
      </c>
      <c r="AF255">
        <f>-(Table7312[[#This Row],[time]]-2)*2</f>
        <v>-1.9239199999999999</v>
      </c>
      <c r="AG255">
        <v>66.723100000000002</v>
      </c>
      <c r="AH255">
        <v>63.718400000000003</v>
      </c>
      <c r="AI255">
        <f>Table7312[[#This Row],[CFNM]]/Table7312[[#This Row],[CAREA]]</f>
        <v>0.95496761990974643</v>
      </c>
      <c r="AJ255">
        <v>2.9619599999999999</v>
      </c>
      <c r="AK255">
        <f>-(Table8313[[#This Row],[time]]-2)*2</f>
        <v>-1.9239199999999999</v>
      </c>
      <c r="AL255">
        <v>77.399500000000003</v>
      </c>
      <c r="AM255">
        <v>4.7895899999999996</v>
      </c>
      <c r="AN255">
        <f>Table8313[[#This Row],[CFNM]]/Table8313[[#This Row],[CAREA]]</f>
        <v>6.1881407502632435E-2</v>
      </c>
    </row>
    <row r="256" spans="1:40" x14ac:dyDescent="0.25">
      <c r="A256">
        <v>3</v>
      </c>
      <c r="B256">
        <f>-(Table1306[[#This Row],[time]]-2)*2</f>
        <v>-2</v>
      </c>
      <c r="C256">
        <v>98.374099999999999</v>
      </c>
      <c r="D256">
        <v>30.322199999999999</v>
      </c>
      <c r="E256">
        <f>Table1306[[#This Row],[CFNM]]/Table1306[[#This Row],[CAREA]]</f>
        <v>0.3082335696082607</v>
      </c>
      <c r="F256">
        <v>3</v>
      </c>
      <c r="G256">
        <f>-(Table2307[[#This Row],[time]]-2)*2</f>
        <v>-2</v>
      </c>
      <c r="H256">
        <v>84.837199999999996</v>
      </c>
      <c r="I256">
        <v>4.2750899999999996E-3</v>
      </c>
      <c r="J256">
        <f>Table2307[[#This Row],[CFNM]]/Table2307[[#This Row],[CAREA]]</f>
        <v>5.0391691380667912E-5</v>
      </c>
      <c r="K256">
        <v>3</v>
      </c>
      <c r="L256">
        <f>-(Table3308[[#This Row],[time]]-2)*2</f>
        <v>-2</v>
      </c>
      <c r="M256">
        <v>85.247799999999998</v>
      </c>
      <c r="N256">
        <v>34.567</v>
      </c>
      <c r="O256">
        <f>Table3308[[#This Row],[CFNM]]/Table3308[[#This Row],[CAREA]]</f>
        <v>0.40548847008368544</v>
      </c>
      <c r="P256">
        <v>3</v>
      </c>
      <c r="Q256">
        <f>-(Table4309[[#This Row],[time]]-2)*2</f>
        <v>-2</v>
      </c>
      <c r="R256">
        <v>71.110699999999994</v>
      </c>
      <c r="S256">
        <v>4.57714</v>
      </c>
      <c r="T256">
        <f>Table4309[[#This Row],[CFNM]]/Table4309[[#This Row],[CAREA]]</f>
        <v>6.4366403368269473E-2</v>
      </c>
      <c r="U256">
        <v>3</v>
      </c>
      <c r="V256">
        <f>-(Table5310[[#This Row],[time]]-2)*2</f>
        <v>-2</v>
      </c>
      <c r="W256">
        <v>82.194999999999993</v>
      </c>
      <c r="X256">
        <v>43.8767</v>
      </c>
      <c r="Y256">
        <f>Table5310[[#This Row],[CFNM]]/Table5310[[#This Row],[CAREA]]</f>
        <v>0.53381227568586898</v>
      </c>
      <c r="Z256">
        <v>3</v>
      </c>
      <c r="AA256">
        <f>-(Table6311[[#This Row],[time]]-2)*2</f>
        <v>-2</v>
      </c>
      <c r="AB256">
        <v>65.854399999999998</v>
      </c>
      <c r="AC256">
        <v>0.47965200000000002</v>
      </c>
      <c r="AD256">
        <f>Table6311[[#This Row],[CFNM]]/Table6311[[#This Row],[CAREA]]</f>
        <v>7.2835224373770015E-3</v>
      </c>
      <c r="AE256">
        <v>3</v>
      </c>
      <c r="AF256">
        <f>-(Table7312[[#This Row],[time]]-2)*2</f>
        <v>-2</v>
      </c>
      <c r="AG256">
        <v>66.210800000000006</v>
      </c>
      <c r="AH256">
        <v>65.674700000000001</v>
      </c>
      <c r="AI256">
        <f>Table7312[[#This Row],[CFNM]]/Table7312[[#This Row],[CAREA]]</f>
        <v>0.99190313362774651</v>
      </c>
      <c r="AJ256">
        <v>3</v>
      </c>
      <c r="AK256">
        <f>-(Table8313[[#This Row],[time]]-2)*2</f>
        <v>-2</v>
      </c>
      <c r="AL256">
        <v>75.776799999999994</v>
      </c>
      <c r="AM256">
        <v>4.2463300000000004</v>
      </c>
      <c r="AN256">
        <f>Table8313[[#This Row],[CFNM]]/Table8313[[#This Row],[CAREA]]</f>
        <v>5.6037335965625372E-2</v>
      </c>
    </row>
    <row r="258" spans="1:40" x14ac:dyDescent="0.25">
      <c r="A258" t="s">
        <v>47</v>
      </c>
      <c r="E258" t="s">
        <v>1</v>
      </c>
    </row>
    <row r="259" spans="1:40" x14ac:dyDescent="0.25">
      <c r="A259" t="s">
        <v>48</v>
      </c>
      <c r="E259" t="s">
        <v>2</v>
      </c>
      <c r="F259" t="s">
        <v>3</v>
      </c>
    </row>
    <row r="261" spans="1:40" x14ac:dyDescent="0.25">
      <c r="A261" t="s">
        <v>5</v>
      </c>
      <c r="F261" t="s">
        <v>6</v>
      </c>
      <c r="K261" t="s">
        <v>7</v>
      </c>
      <c r="P261" t="s">
        <v>19</v>
      </c>
      <c r="U261" t="s">
        <v>8</v>
      </c>
      <c r="Z261" t="s">
        <v>9</v>
      </c>
      <c r="AE261" t="s">
        <v>10</v>
      </c>
      <c r="AJ261" t="s">
        <v>11</v>
      </c>
    </row>
    <row r="262" spans="1:40" x14ac:dyDescent="0.25">
      <c r="A262" t="s">
        <v>12</v>
      </c>
      <c r="B262" t="s">
        <v>13</v>
      </c>
      <c r="C262" t="s">
        <v>17</v>
      </c>
      <c r="D262" t="s">
        <v>15</v>
      </c>
      <c r="E262" t="s">
        <v>16</v>
      </c>
      <c r="F262" t="s">
        <v>12</v>
      </c>
      <c r="G262" t="s">
        <v>13</v>
      </c>
      <c r="H262" t="s">
        <v>17</v>
      </c>
      <c r="I262" t="s">
        <v>15</v>
      </c>
      <c r="J262" t="s">
        <v>16</v>
      </c>
      <c r="K262" t="s">
        <v>12</v>
      </c>
      <c r="L262" t="s">
        <v>13</v>
      </c>
      <c r="M262" t="s">
        <v>17</v>
      </c>
      <c r="N262" t="s">
        <v>15</v>
      </c>
      <c r="O262" t="s">
        <v>16</v>
      </c>
      <c r="P262" t="s">
        <v>12</v>
      </c>
      <c r="Q262" t="s">
        <v>13</v>
      </c>
      <c r="R262" t="s">
        <v>17</v>
      </c>
      <c r="S262" t="s">
        <v>15</v>
      </c>
      <c r="T262" t="s">
        <v>16</v>
      </c>
      <c r="U262" t="s">
        <v>12</v>
      </c>
      <c r="V262" t="s">
        <v>13</v>
      </c>
      <c r="W262" t="s">
        <v>17</v>
      </c>
      <c r="X262" t="s">
        <v>15</v>
      </c>
      <c r="Y262" t="s">
        <v>16</v>
      </c>
      <c r="Z262" t="s">
        <v>12</v>
      </c>
      <c r="AA262" t="s">
        <v>13</v>
      </c>
      <c r="AB262" t="s">
        <v>17</v>
      </c>
      <c r="AC262" t="s">
        <v>15</v>
      </c>
      <c r="AD262" t="s">
        <v>16</v>
      </c>
      <c r="AE262" t="s">
        <v>12</v>
      </c>
      <c r="AF262" t="s">
        <v>13</v>
      </c>
      <c r="AG262" t="s">
        <v>17</v>
      </c>
      <c r="AH262" t="s">
        <v>15</v>
      </c>
      <c r="AI262" t="s">
        <v>16</v>
      </c>
      <c r="AJ262" t="s">
        <v>12</v>
      </c>
      <c r="AK262" t="s">
        <v>13</v>
      </c>
      <c r="AL262" t="s">
        <v>17</v>
      </c>
      <c r="AM262" t="s">
        <v>15</v>
      </c>
      <c r="AN262" t="s">
        <v>16</v>
      </c>
    </row>
    <row r="263" spans="1:40" x14ac:dyDescent="0.25">
      <c r="A263">
        <v>2</v>
      </c>
      <c r="B263">
        <f>(Table110314[[#This Row],[time]]-2)*2</f>
        <v>0</v>
      </c>
      <c r="C263">
        <v>91.084699999999998</v>
      </c>
      <c r="D263">
        <v>10.2044</v>
      </c>
      <c r="E263" s="2">
        <f>Table110314[[#This Row],[CFNM]]/Table110314[[#This Row],[CAREA]]</f>
        <v>0.11203198780914907</v>
      </c>
      <c r="F263">
        <v>2</v>
      </c>
      <c r="G263">
        <f>(Table211315[[#This Row],[time]]-2)*2</f>
        <v>0</v>
      </c>
      <c r="H263">
        <v>95.836600000000004</v>
      </c>
      <c r="I263">
        <v>3.5649700000000002</v>
      </c>
      <c r="J263" s="2">
        <f>Table211315[[#This Row],[CFNM]]/Table211315[[#This Row],[CAREA]]</f>
        <v>3.7198418975631441E-2</v>
      </c>
      <c r="K263">
        <v>2</v>
      </c>
      <c r="L263">
        <f>(Table312316[[#This Row],[time]]-2)*2</f>
        <v>0</v>
      </c>
      <c r="M263">
        <v>89.259799999999998</v>
      </c>
      <c r="N263">
        <v>3.64472</v>
      </c>
      <c r="O263">
        <f>Table312316[[#This Row],[CFNM]]/Table312316[[#This Row],[CAREA]]</f>
        <v>4.0832715287284979E-2</v>
      </c>
      <c r="P263">
        <v>2</v>
      </c>
      <c r="Q263">
        <f>(Table413317[[#This Row],[time]]-2)*2</f>
        <v>0</v>
      </c>
      <c r="R263">
        <v>86.405299999999997</v>
      </c>
      <c r="S263">
        <v>6.4305199999999996</v>
      </c>
      <c r="T263">
        <f>Table413317[[#This Row],[CFNM]]/Table413317[[#This Row],[CAREA]]</f>
        <v>7.4422749530410753E-2</v>
      </c>
      <c r="U263">
        <v>2</v>
      </c>
      <c r="V263">
        <f>(Table514318[[#This Row],[time]]-2)*2</f>
        <v>0</v>
      </c>
      <c r="W263">
        <v>82.680099999999996</v>
      </c>
      <c r="X263">
        <v>8.5651600000000006</v>
      </c>
      <c r="Y263">
        <f>Table514318[[#This Row],[CFNM]]/Table514318[[#This Row],[CAREA]]</f>
        <v>0.10359397243109286</v>
      </c>
      <c r="Z263">
        <v>2</v>
      </c>
      <c r="AA263">
        <f>(Table615319[[#This Row],[time]]-2)*2</f>
        <v>0</v>
      </c>
      <c r="AB263">
        <v>88.826700000000002</v>
      </c>
      <c r="AC263">
        <v>15.1248</v>
      </c>
      <c r="AD263">
        <f>Table615319[[#This Row],[CFNM]]/Table615319[[#This Row],[CAREA]]</f>
        <v>0.17027312733671296</v>
      </c>
      <c r="AE263">
        <v>2</v>
      </c>
      <c r="AF263">
        <f>(Table716320[[#This Row],[time]]-2)*2</f>
        <v>0</v>
      </c>
      <c r="AG263">
        <v>78.953400000000002</v>
      </c>
      <c r="AH263">
        <v>19.615500000000001</v>
      </c>
      <c r="AI263">
        <f>Table716320[[#This Row],[CFNM]]/Table716320[[#This Row],[CAREA]]</f>
        <v>0.2484440188769578</v>
      </c>
      <c r="AJ263">
        <v>2</v>
      </c>
      <c r="AK263">
        <f>(Table817321[[#This Row],[time]]-2)*2</f>
        <v>0</v>
      </c>
      <c r="AL263">
        <v>83.136899999999997</v>
      </c>
      <c r="AM263">
        <v>19.233499999999999</v>
      </c>
      <c r="AN263">
        <f>Table817321[[#This Row],[CFNM]]/Table817321[[#This Row],[CAREA]]</f>
        <v>0.23134733193082735</v>
      </c>
    </row>
    <row r="264" spans="1:40" x14ac:dyDescent="0.25">
      <c r="A264">
        <v>2.0512600000000001</v>
      </c>
      <c r="B264">
        <f>(Table110314[[#This Row],[time]]-2)*2</f>
        <v>0.10252000000000017</v>
      </c>
      <c r="C264">
        <v>91.045599999999993</v>
      </c>
      <c r="D264">
        <v>9.7544799999999992</v>
      </c>
      <c r="E264">
        <f>Table110314[[#This Row],[CFNM]]/Table110314[[#This Row],[CAREA]]</f>
        <v>0.10713840097709279</v>
      </c>
      <c r="F264">
        <v>2.0512600000000001</v>
      </c>
      <c r="G264">
        <f>(Table211315[[#This Row],[time]]-2)*2</f>
        <v>0.10252000000000017</v>
      </c>
      <c r="H264">
        <v>96.001300000000001</v>
      </c>
      <c r="I264">
        <v>4.1340599999999998</v>
      </c>
      <c r="J264">
        <f>Table211315[[#This Row],[CFNM]]/Table211315[[#This Row],[CAREA]]</f>
        <v>4.3062541861412292E-2</v>
      </c>
      <c r="K264">
        <v>2.0512600000000001</v>
      </c>
      <c r="L264">
        <f>(Table312316[[#This Row],[time]]-2)*2</f>
        <v>0.10252000000000017</v>
      </c>
      <c r="M264">
        <v>89.208200000000005</v>
      </c>
      <c r="N264">
        <v>3.0983499999999999</v>
      </c>
      <c r="O264">
        <f>Table312316[[#This Row],[CFNM]]/Table312316[[#This Row],[CAREA]]</f>
        <v>3.473167264892689E-2</v>
      </c>
      <c r="P264">
        <v>2.0512600000000001</v>
      </c>
      <c r="Q264">
        <f>(Table413317[[#This Row],[time]]-2)*2</f>
        <v>0.10252000000000017</v>
      </c>
      <c r="R264">
        <v>86.541499999999999</v>
      </c>
      <c r="S264">
        <v>7.3627000000000002</v>
      </c>
      <c r="T264">
        <f>Table413317[[#This Row],[CFNM]]/Table413317[[#This Row],[CAREA]]</f>
        <v>8.5077101737316779E-2</v>
      </c>
      <c r="U264">
        <v>2.0512600000000001</v>
      </c>
      <c r="V264">
        <f>(Table514318[[#This Row],[time]]-2)*2</f>
        <v>0.10252000000000017</v>
      </c>
      <c r="W264">
        <v>82.6233</v>
      </c>
      <c r="X264">
        <v>7.8643099999999997</v>
      </c>
      <c r="Y264">
        <f>Table514318[[#This Row],[CFNM]]/Table514318[[#This Row],[CAREA]]</f>
        <v>9.5182714803209265E-2</v>
      </c>
      <c r="Z264">
        <v>2.0512600000000001</v>
      </c>
      <c r="AA264">
        <f>(Table615319[[#This Row],[time]]-2)*2</f>
        <v>0.10252000000000017</v>
      </c>
      <c r="AB264">
        <v>88.848799999999997</v>
      </c>
      <c r="AC264">
        <v>16.465299999999999</v>
      </c>
      <c r="AD264">
        <f>Table615319[[#This Row],[CFNM]]/Table615319[[#This Row],[CAREA]]</f>
        <v>0.1853182035097829</v>
      </c>
      <c r="AE264">
        <v>2.0512600000000001</v>
      </c>
      <c r="AF264">
        <f>(Table716320[[#This Row],[time]]-2)*2</f>
        <v>0.10252000000000017</v>
      </c>
      <c r="AG264">
        <v>78.6541</v>
      </c>
      <c r="AH264">
        <v>19.041499999999999</v>
      </c>
      <c r="AI264">
        <f>Table716320[[#This Row],[CFNM]]/Table716320[[#This Row],[CAREA]]</f>
        <v>0.24209163921524751</v>
      </c>
      <c r="AJ264">
        <v>2.0512600000000001</v>
      </c>
      <c r="AK264">
        <f>(Table817321[[#This Row],[time]]-2)*2</f>
        <v>0.10252000000000017</v>
      </c>
      <c r="AL264">
        <v>83.353099999999998</v>
      </c>
      <c r="AM264">
        <v>20.5762</v>
      </c>
      <c r="AN264">
        <f>Table817321[[#This Row],[CFNM]]/Table817321[[#This Row],[CAREA]]</f>
        <v>0.24685584579337783</v>
      </c>
    </row>
    <row r="265" spans="1:40" x14ac:dyDescent="0.25">
      <c r="A265">
        <v>2.1153300000000002</v>
      </c>
      <c r="B265">
        <f>(Table110314[[#This Row],[time]]-2)*2</f>
        <v>0.23066000000000031</v>
      </c>
      <c r="C265">
        <v>90.982299999999995</v>
      </c>
      <c r="D265">
        <v>8.8311499999999992</v>
      </c>
      <c r="E265">
        <f>Table110314[[#This Row],[CFNM]]/Table110314[[#This Row],[CAREA]]</f>
        <v>9.7064483971058102E-2</v>
      </c>
      <c r="F265">
        <v>2.1153300000000002</v>
      </c>
      <c r="G265">
        <f>(Table211315[[#This Row],[time]]-2)*2</f>
        <v>0.23066000000000031</v>
      </c>
      <c r="H265">
        <v>95.790599999999998</v>
      </c>
      <c r="I265">
        <v>5.1693300000000004</v>
      </c>
      <c r="J265">
        <f>Table211315[[#This Row],[CFNM]]/Table211315[[#This Row],[CAREA]]</f>
        <v>5.3964898434710716E-2</v>
      </c>
      <c r="K265">
        <v>2.1153300000000002</v>
      </c>
      <c r="L265">
        <f>(Table312316[[#This Row],[time]]-2)*2</f>
        <v>0.23066000000000031</v>
      </c>
      <c r="M265">
        <v>88.986599999999996</v>
      </c>
      <c r="N265">
        <v>2.2825500000000001</v>
      </c>
      <c r="O265">
        <f>Table312316[[#This Row],[CFNM]]/Table312316[[#This Row],[CAREA]]</f>
        <v>2.5650491197551094E-2</v>
      </c>
      <c r="P265">
        <v>2.1153300000000002</v>
      </c>
      <c r="Q265">
        <f>(Table413317[[#This Row],[time]]-2)*2</f>
        <v>0.23066000000000031</v>
      </c>
      <c r="R265">
        <v>86.921000000000006</v>
      </c>
      <c r="S265">
        <v>8.8899699999999999</v>
      </c>
      <c r="T265">
        <f>Table413317[[#This Row],[CFNM]]/Table413317[[#This Row],[CAREA]]</f>
        <v>0.10227643492366631</v>
      </c>
      <c r="U265">
        <v>2.1153300000000002</v>
      </c>
      <c r="V265">
        <f>(Table514318[[#This Row],[time]]-2)*2</f>
        <v>0.23066000000000031</v>
      </c>
      <c r="W265">
        <v>82.627600000000001</v>
      </c>
      <c r="X265">
        <v>6.9785500000000003</v>
      </c>
      <c r="Y265">
        <f>Table514318[[#This Row],[CFNM]]/Table514318[[#This Row],[CAREA]]</f>
        <v>8.4457856696793815E-2</v>
      </c>
      <c r="Z265">
        <v>2.1153300000000002</v>
      </c>
      <c r="AA265">
        <f>(Table615319[[#This Row],[time]]-2)*2</f>
        <v>0.23066000000000031</v>
      </c>
      <c r="AB265">
        <v>89.545699999999997</v>
      </c>
      <c r="AC265">
        <v>19.285</v>
      </c>
      <c r="AD265">
        <f>Table615319[[#This Row],[CFNM]]/Table615319[[#This Row],[CAREA]]</f>
        <v>0.21536489189318975</v>
      </c>
      <c r="AE265">
        <v>2.1153300000000002</v>
      </c>
      <c r="AF265">
        <f>(Table716320[[#This Row],[time]]-2)*2</f>
        <v>0.23066000000000031</v>
      </c>
      <c r="AG265">
        <v>77.864599999999996</v>
      </c>
      <c r="AH265">
        <v>18.564</v>
      </c>
      <c r="AI265">
        <f>Table716320[[#This Row],[CFNM]]/Table716320[[#This Row],[CAREA]]</f>
        <v>0.23841386201174861</v>
      </c>
      <c r="AJ265">
        <v>2.1153300000000002</v>
      </c>
      <c r="AK265">
        <f>(Table817321[[#This Row],[time]]-2)*2</f>
        <v>0.23066000000000031</v>
      </c>
      <c r="AL265">
        <v>83.526799999999994</v>
      </c>
      <c r="AM265">
        <v>22.751000000000001</v>
      </c>
      <c r="AN265">
        <f>Table817321[[#This Row],[CFNM]]/Table817321[[#This Row],[CAREA]]</f>
        <v>0.27237964341983656</v>
      </c>
    </row>
    <row r="266" spans="1:40" x14ac:dyDescent="0.25">
      <c r="A266">
        <v>2.16533</v>
      </c>
      <c r="B266">
        <f>(Table110314[[#This Row],[time]]-2)*2</f>
        <v>0.33065999999999995</v>
      </c>
      <c r="C266">
        <v>90.898799999999994</v>
      </c>
      <c r="D266">
        <v>7.9313700000000003</v>
      </c>
      <c r="E266">
        <f>Table110314[[#This Row],[CFNM]]/Table110314[[#This Row],[CAREA]]</f>
        <v>8.7254947260029844E-2</v>
      </c>
      <c r="F266">
        <v>2.16533</v>
      </c>
      <c r="G266">
        <f>(Table211315[[#This Row],[time]]-2)*2</f>
        <v>0.33065999999999995</v>
      </c>
      <c r="H266">
        <v>95.3964</v>
      </c>
      <c r="I266">
        <v>6.2431200000000002</v>
      </c>
      <c r="J266">
        <f>Table211315[[#This Row],[CFNM]]/Table211315[[#This Row],[CAREA]]</f>
        <v>6.5443979018076151E-2</v>
      </c>
      <c r="K266">
        <v>2.16533</v>
      </c>
      <c r="L266">
        <f>(Table312316[[#This Row],[time]]-2)*2</f>
        <v>0.33065999999999995</v>
      </c>
      <c r="M266">
        <v>87.757300000000001</v>
      </c>
      <c r="N266">
        <v>1.6614</v>
      </c>
      <c r="O266">
        <f>Table312316[[#This Row],[CFNM]]/Table312316[[#This Row],[CAREA]]</f>
        <v>1.8931758383633042E-2</v>
      </c>
      <c r="P266">
        <v>2.16533</v>
      </c>
      <c r="Q266">
        <f>(Table413317[[#This Row],[time]]-2)*2</f>
        <v>0.33065999999999995</v>
      </c>
      <c r="R266">
        <v>87.633399999999995</v>
      </c>
      <c r="S266">
        <v>10.388</v>
      </c>
      <c r="T266">
        <f>Table413317[[#This Row],[CFNM]]/Table413317[[#This Row],[CAREA]]</f>
        <v>0.11853927840298334</v>
      </c>
      <c r="U266">
        <v>2.16533</v>
      </c>
      <c r="V266">
        <f>(Table514318[[#This Row],[time]]-2)*2</f>
        <v>0.33065999999999995</v>
      </c>
      <c r="W266">
        <v>82.002399999999994</v>
      </c>
      <c r="X266">
        <v>6.1351300000000002</v>
      </c>
      <c r="Y266">
        <f>Table514318[[#This Row],[CFNM]]/Table514318[[#This Row],[CAREA]]</f>
        <v>7.4816468786279428E-2</v>
      </c>
      <c r="Z266">
        <v>2.16533</v>
      </c>
      <c r="AA266">
        <f>(Table615319[[#This Row],[time]]-2)*2</f>
        <v>0.33065999999999995</v>
      </c>
      <c r="AB266">
        <v>89.487799999999993</v>
      </c>
      <c r="AC266">
        <v>22.215199999999999</v>
      </c>
      <c r="AD266">
        <f>Table615319[[#This Row],[CFNM]]/Table615319[[#This Row],[CAREA]]</f>
        <v>0.24824836458154073</v>
      </c>
      <c r="AE266">
        <v>2.16533</v>
      </c>
      <c r="AF266">
        <f>(Table716320[[#This Row],[time]]-2)*2</f>
        <v>0.33065999999999995</v>
      </c>
      <c r="AG266">
        <v>77.633700000000005</v>
      </c>
      <c r="AH266">
        <v>18.173200000000001</v>
      </c>
      <c r="AI266">
        <f>Table716320[[#This Row],[CFNM]]/Table716320[[#This Row],[CAREA]]</f>
        <v>0.2340890618378359</v>
      </c>
      <c r="AJ266">
        <v>2.16533</v>
      </c>
      <c r="AK266">
        <f>(Table817321[[#This Row],[time]]-2)*2</f>
        <v>0.33065999999999995</v>
      </c>
      <c r="AL266">
        <v>83.622799999999998</v>
      </c>
      <c r="AM266">
        <v>25.006799999999998</v>
      </c>
      <c r="AN266">
        <f>Table817321[[#This Row],[CFNM]]/Table817321[[#This Row],[CAREA]]</f>
        <v>0.29904284477439164</v>
      </c>
    </row>
    <row r="267" spans="1:40" x14ac:dyDescent="0.25">
      <c r="A267">
        <v>2.2246999999999999</v>
      </c>
      <c r="B267">
        <f>(Table110314[[#This Row],[time]]-2)*2</f>
        <v>0.4493999999999998</v>
      </c>
      <c r="C267">
        <v>90.822599999999994</v>
      </c>
      <c r="D267">
        <v>7.5381799999999997</v>
      </c>
      <c r="E267">
        <f>Table110314[[#This Row],[CFNM]]/Table110314[[#This Row],[CAREA]]</f>
        <v>8.2998945196459908E-2</v>
      </c>
      <c r="F267">
        <v>2.2246999999999999</v>
      </c>
      <c r="G267">
        <f>(Table211315[[#This Row],[time]]-2)*2</f>
        <v>0.4493999999999998</v>
      </c>
      <c r="H267">
        <v>95.361599999999996</v>
      </c>
      <c r="I267">
        <v>6.7226499999999998</v>
      </c>
      <c r="J267">
        <f>Table211315[[#This Row],[CFNM]]/Table211315[[#This Row],[CAREA]]</f>
        <v>7.0496405261656681E-2</v>
      </c>
      <c r="K267">
        <v>2.2246999999999999</v>
      </c>
      <c r="L267">
        <f>(Table312316[[#This Row],[time]]-2)*2</f>
        <v>0.4493999999999998</v>
      </c>
      <c r="M267">
        <v>87.617599999999996</v>
      </c>
      <c r="N267">
        <v>1.44838</v>
      </c>
      <c r="O267">
        <f>Table312316[[#This Row],[CFNM]]/Table312316[[#This Row],[CAREA]]</f>
        <v>1.6530697028907436E-2</v>
      </c>
      <c r="P267">
        <v>2.2246999999999999</v>
      </c>
      <c r="Q267">
        <f>(Table413317[[#This Row],[time]]-2)*2</f>
        <v>0.4493999999999998</v>
      </c>
      <c r="R267">
        <v>87.934100000000001</v>
      </c>
      <c r="S267">
        <v>11.054</v>
      </c>
      <c r="T267">
        <f>Table413317[[#This Row],[CFNM]]/Table413317[[#This Row],[CAREA]]</f>
        <v>0.12570777434465127</v>
      </c>
      <c r="U267">
        <v>2.2246999999999999</v>
      </c>
      <c r="V267">
        <f>(Table514318[[#This Row],[time]]-2)*2</f>
        <v>0.4493999999999998</v>
      </c>
      <c r="W267">
        <v>81.505899999999997</v>
      </c>
      <c r="X267">
        <v>5.8368200000000003</v>
      </c>
      <c r="Y267">
        <f>Table514318[[#This Row],[CFNM]]/Table514318[[#This Row],[CAREA]]</f>
        <v>7.1612239113978265E-2</v>
      </c>
      <c r="Z267">
        <v>2.2246999999999999</v>
      </c>
      <c r="AA267">
        <f>(Table615319[[#This Row],[time]]-2)*2</f>
        <v>0.4493999999999998</v>
      </c>
      <c r="AB267">
        <v>89.358500000000006</v>
      </c>
      <c r="AC267">
        <v>23.635400000000001</v>
      </c>
      <c r="AD267">
        <f>Table615319[[#This Row],[CFNM]]/Table615319[[#This Row],[CAREA]]</f>
        <v>0.26450085889982483</v>
      </c>
      <c r="AE267">
        <v>2.2246999999999999</v>
      </c>
      <c r="AF267">
        <f>(Table716320[[#This Row],[time]]-2)*2</f>
        <v>0.4493999999999998</v>
      </c>
      <c r="AG267">
        <v>77.523200000000003</v>
      </c>
      <c r="AH267">
        <v>18.010300000000001</v>
      </c>
      <c r="AI267">
        <f>Table716320[[#This Row],[CFNM]]/Table716320[[#This Row],[CAREA]]</f>
        <v>0.23232142120036325</v>
      </c>
      <c r="AJ267">
        <v>2.2246999999999999</v>
      </c>
      <c r="AK267">
        <f>(Table817321[[#This Row],[time]]-2)*2</f>
        <v>0.4493999999999998</v>
      </c>
      <c r="AL267">
        <v>83.461600000000004</v>
      </c>
      <c r="AM267">
        <v>26.104700000000001</v>
      </c>
      <c r="AN267">
        <f>Table817321[[#This Row],[CFNM]]/Table817321[[#This Row],[CAREA]]</f>
        <v>0.31277497675577748</v>
      </c>
    </row>
    <row r="268" spans="1:40" x14ac:dyDescent="0.25">
      <c r="A268">
        <v>2.2668900000000001</v>
      </c>
      <c r="B268">
        <f>(Table110314[[#This Row],[time]]-2)*2</f>
        <v>0.53378000000000014</v>
      </c>
      <c r="C268">
        <v>90.710800000000006</v>
      </c>
      <c r="D268">
        <v>6.6832399999999996</v>
      </c>
      <c r="E268">
        <f>Table110314[[#This Row],[CFNM]]/Table110314[[#This Row],[CAREA]]</f>
        <v>7.3676342839000417E-2</v>
      </c>
      <c r="F268">
        <v>2.2668900000000001</v>
      </c>
      <c r="G268">
        <f>(Table211315[[#This Row],[time]]-2)*2</f>
        <v>0.53378000000000014</v>
      </c>
      <c r="H268">
        <v>95.220600000000005</v>
      </c>
      <c r="I268">
        <v>7.7285500000000003</v>
      </c>
      <c r="J268">
        <f>Table211315[[#This Row],[CFNM]]/Table211315[[#This Row],[CAREA]]</f>
        <v>8.1164684952625799E-2</v>
      </c>
      <c r="K268">
        <v>2.2668900000000001</v>
      </c>
      <c r="L268">
        <f>(Table312316[[#This Row],[time]]-2)*2</f>
        <v>0.53378000000000014</v>
      </c>
      <c r="M268">
        <v>87.235100000000003</v>
      </c>
      <c r="N268">
        <v>1.02854</v>
      </c>
      <c r="O268">
        <f>Table312316[[#This Row],[CFNM]]/Table312316[[#This Row],[CAREA]]</f>
        <v>1.1790437564695862E-2</v>
      </c>
      <c r="P268">
        <v>2.2668900000000001</v>
      </c>
      <c r="Q268">
        <f>(Table413317[[#This Row],[time]]-2)*2</f>
        <v>0.53378000000000014</v>
      </c>
      <c r="R268">
        <v>88.625500000000002</v>
      </c>
      <c r="S268">
        <v>12.5466</v>
      </c>
      <c r="T268">
        <f>Table413317[[#This Row],[CFNM]]/Table413317[[#This Row],[CAREA]]</f>
        <v>0.14156873586044647</v>
      </c>
      <c r="U268">
        <v>2.2668900000000001</v>
      </c>
      <c r="V268">
        <f>(Table514318[[#This Row],[time]]-2)*2</f>
        <v>0.53378000000000014</v>
      </c>
      <c r="W268">
        <v>81.128</v>
      </c>
      <c r="X268">
        <v>5.1140999999999996</v>
      </c>
      <c r="Y268">
        <f>Table514318[[#This Row],[CFNM]]/Table514318[[#This Row],[CAREA]]</f>
        <v>6.3037422344936395E-2</v>
      </c>
      <c r="Z268">
        <v>2.2668900000000001</v>
      </c>
      <c r="AA268">
        <f>(Table615319[[#This Row],[time]]-2)*2</f>
        <v>0.53378000000000014</v>
      </c>
      <c r="AB268">
        <v>92.524100000000004</v>
      </c>
      <c r="AC268">
        <v>26.804099999999998</v>
      </c>
      <c r="AD268">
        <f>Table615319[[#This Row],[CFNM]]/Table615319[[#This Row],[CAREA]]</f>
        <v>0.28969857583051334</v>
      </c>
      <c r="AE268">
        <v>2.2668900000000001</v>
      </c>
      <c r="AF268">
        <f>(Table716320[[#This Row],[time]]-2)*2</f>
        <v>0.53378000000000014</v>
      </c>
      <c r="AG268">
        <v>77.534599999999998</v>
      </c>
      <c r="AH268">
        <v>17.665500000000002</v>
      </c>
      <c r="AI268">
        <f>Table716320[[#This Row],[CFNM]]/Table716320[[#This Row],[CAREA]]</f>
        <v>0.22784021585201963</v>
      </c>
      <c r="AJ268">
        <v>2.2668900000000001</v>
      </c>
      <c r="AK268">
        <f>(Table817321[[#This Row],[time]]-2)*2</f>
        <v>0.53378000000000014</v>
      </c>
      <c r="AL268">
        <v>82.904700000000005</v>
      </c>
      <c r="AM268">
        <v>28.813400000000001</v>
      </c>
      <c r="AN268">
        <f>Table817321[[#This Row],[CFNM]]/Table817321[[#This Row],[CAREA]]</f>
        <v>0.3475484502084924</v>
      </c>
    </row>
    <row r="269" spans="1:40" x14ac:dyDescent="0.25">
      <c r="A269">
        <v>2.3262700000000001</v>
      </c>
      <c r="B269">
        <f>(Table110314[[#This Row],[time]]-2)*2</f>
        <v>0.65254000000000012</v>
      </c>
      <c r="C269">
        <v>90.598600000000005</v>
      </c>
      <c r="D269">
        <v>6.05253</v>
      </c>
      <c r="E269">
        <f>Table110314[[#This Row],[CFNM]]/Table110314[[#This Row],[CAREA]]</f>
        <v>6.6805999209700803E-2</v>
      </c>
      <c r="F269">
        <v>2.3262700000000001</v>
      </c>
      <c r="G269">
        <f>(Table211315[[#This Row],[time]]-2)*2</f>
        <v>0.65254000000000012</v>
      </c>
      <c r="H269">
        <v>95.179599999999994</v>
      </c>
      <c r="I269">
        <v>8.4048200000000008</v>
      </c>
      <c r="J269">
        <f>Table211315[[#This Row],[CFNM]]/Table211315[[#This Row],[CAREA]]</f>
        <v>8.8304846836927256E-2</v>
      </c>
      <c r="K269">
        <v>2.3262700000000001</v>
      </c>
      <c r="L269">
        <f>(Table312316[[#This Row],[time]]-2)*2</f>
        <v>0.65254000000000012</v>
      </c>
      <c r="M269">
        <v>86.220600000000005</v>
      </c>
      <c r="N269">
        <v>0.94566799999999995</v>
      </c>
      <c r="O269">
        <f>Table312316[[#This Row],[CFNM]]/Table312316[[#This Row],[CAREA]]</f>
        <v>1.0968005325873399E-2</v>
      </c>
      <c r="P269">
        <v>2.3262700000000001</v>
      </c>
      <c r="Q269">
        <f>(Table413317[[#This Row],[time]]-2)*2</f>
        <v>0.65254000000000012</v>
      </c>
      <c r="R269">
        <v>89.225899999999996</v>
      </c>
      <c r="S269">
        <v>13.691700000000001</v>
      </c>
      <c r="T269">
        <f>Table413317[[#This Row],[CFNM]]/Table413317[[#This Row],[CAREA]]</f>
        <v>0.15344983911622076</v>
      </c>
      <c r="U269">
        <v>2.3262700000000001</v>
      </c>
      <c r="V269">
        <f>(Table514318[[#This Row],[time]]-2)*2</f>
        <v>0.65254000000000012</v>
      </c>
      <c r="W269">
        <v>80.084900000000005</v>
      </c>
      <c r="X269">
        <v>4.7473099999999997</v>
      </c>
      <c r="Y269">
        <f>Table514318[[#This Row],[CFNM]]/Table514318[[#This Row],[CAREA]]</f>
        <v>5.927846572824589E-2</v>
      </c>
      <c r="Z269">
        <v>2.3262700000000001</v>
      </c>
      <c r="AA269">
        <f>(Table615319[[#This Row],[time]]-2)*2</f>
        <v>0.65254000000000012</v>
      </c>
      <c r="AB269">
        <v>92.561400000000006</v>
      </c>
      <c r="AC269">
        <v>29.309100000000001</v>
      </c>
      <c r="AD269">
        <f>Table615319[[#This Row],[CFNM]]/Table615319[[#This Row],[CAREA]]</f>
        <v>0.31664495135121118</v>
      </c>
      <c r="AE269">
        <v>2.3262700000000001</v>
      </c>
      <c r="AF269">
        <f>(Table716320[[#This Row],[time]]-2)*2</f>
        <v>0.65254000000000012</v>
      </c>
      <c r="AG269">
        <v>77.426599999999993</v>
      </c>
      <c r="AH269">
        <v>17.407900000000001</v>
      </c>
      <c r="AI269">
        <f>Table716320[[#This Row],[CFNM]]/Table716320[[#This Row],[CAREA]]</f>
        <v>0.22483100123213473</v>
      </c>
      <c r="AJ269">
        <v>2.3262700000000001</v>
      </c>
      <c r="AK269">
        <f>(Table817321[[#This Row],[time]]-2)*2</f>
        <v>0.65254000000000012</v>
      </c>
      <c r="AL269">
        <v>82.434100000000001</v>
      </c>
      <c r="AM269">
        <v>31.023099999999999</v>
      </c>
      <c r="AN269">
        <f>Table817321[[#This Row],[CFNM]]/Table817321[[#This Row],[CAREA]]</f>
        <v>0.37633819014218628</v>
      </c>
    </row>
    <row r="270" spans="1:40" x14ac:dyDescent="0.25">
      <c r="A270">
        <v>2.3684599999999998</v>
      </c>
      <c r="B270">
        <f>(Table110314[[#This Row],[time]]-2)*2</f>
        <v>0.73691999999999958</v>
      </c>
      <c r="C270">
        <v>90.387100000000004</v>
      </c>
      <c r="D270">
        <v>5.4286899999999996</v>
      </c>
      <c r="E270">
        <f>Table110314[[#This Row],[CFNM]]/Table110314[[#This Row],[CAREA]]</f>
        <v>6.0060451104195174E-2</v>
      </c>
      <c r="F270">
        <v>2.3684599999999998</v>
      </c>
      <c r="G270">
        <f>(Table211315[[#This Row],[time]]-2)*2</f>
        <v>0.73691999999999958</v>
      </c>
      <c r="H270">
        <v>95.321700000000007</v>
      </c>
      <c r="I270">
        <v>9.03064</v>
      </c>
      <c r="J270">
        <f>Table211315[[#This Row],[CFNM]]/Table211315[[#This Row],[CAREA]]</f>
        <v>9.4738553760581268E-2</v>
      </c>
      <c r="K270">
        <v>2.3684599999999998</v>
      </c>
      <c r="L270">
        <f>(Table312316[[#This Row],[time]]-2)*2</f>
        <v>0.73691999999999958</v>
      </c>
      <c r="M270">
        <v>85.304599999999994</v>
      </c>
      <c r="N270">
        <v>1.1125499999999999</v>
      </c>
      <c r="O270">
        <f>Table312316[[#This Row],[CFNM]]/Table312316[[#This Row],[CAREA]]</f>
        <v>1.3042086827674005E-2</v>
      </c>
      <c r="P270">
        <v>2.3684599999999998</v>
      </c>
      <c r="Q270">
        <f>(Table413317[[#This Row],[time]]-2)*2</f>
        <v>0.73691999999999958</v>
      </c>
      <c r="R270">
        <v>89.945499999999996</v>
      </c>
      <c r="S270">
        <v>14.9757</v>
      </c>
      <c r="T270">
        <f>Table413317[[#This Row],[CFNM]]/Table413317[[#This Row],[CAREA]]</f>
        <v>0.16649749014681112</v>
      </c>
      <c r="U270">
        <v>2.3684599999999998</v>
      </c>
      <c r="V270">
        <f>(Table514318[[#This Row],[time]]-2)*2</f>
        <v>0.73691999999999958</v>
      </c>
      <c r="W270">
        <v>78.364000000000004</v>
      </c>
      <c r="X270">
        <v>4.4515500000000001</v>
      </c>
      <c r="Y270">
        <f>Table514318[[#This Row],[CFNM]]/Table514318[[#This Row],[CAREA]]</f>
        <v>5.6806058904599048E-2</v>
      </c>
      <c r="Z270">
        <v>2.3684599999999998</v>
      </c>
      <c r="AA270">
        <f>(Table615319[[#This Row],[time]]-2)*2</f>
        <v>0.73691999999999958</v>
      </c>
      <c r="AB270">
        <v>92.508200000000002</v>
      </c>
      <c r="AC270">
        <v>31.852499999999999</v>
      </c>
      <c r="AD270">
        <f>Table615319[[#This Row],[CFNM]]/Table615319[[#This Row],[CAREA]]</f>
        <v>0.34432082777526746</v>
      </c>
      <c r="AE270">
        <v>2.3684599999999998</v>
      </c>
      <c r="AF270">
        <f>(Table716320[[#This Row],[time]]-2)*2</f>
        <v>0.73691999999999958</v>
      </c>
      <c r="AG270">
        <v>77.020899999999997</v>
      </c>
      <c r="AH270">
        <v>17.241900000000001</v>
      </c>
      <c r="AI270">
        <f>Table716320[[#This Row],[CFNM]]/Table716320[[#This Row],[CAREA]]</f>
        <v>0.22386001721610629</v>
      </c>
      <c r="AJ270">
        <v>2.3684599999999998</v>
      </c>
      <c r="AK270">
        <f>(Table817321[[#This Row],[time]]-2)*2</f>
        <v>0.73691999999999958</v>
      </c>
      <c r="AL270">
        <v>82.078599999999994</v>
      </c>
      <c r="AM270">
        <v>33.605800000000002</v>
      </c>
      <c r="AN270">
        <f>Table817321[[#This Row],[CFNM]]/Table817321[[#This Row],[CAREA]]</f>
        <v>0.40943437144395745</v>
      </c>
    </row>
    <row r="271" spans="1:40" x14ac:dyDescent="0.25">
      <c r="A271">
        <v>2.4278300000000002</v>
      </c>
      <c r="B271">
        <f>(Table110314[[#This Row],[time]]-2)*2</f>
        <v>0.85566000000000031</v>
      </c>
      <c r="C271">
        <v>89.930800000000005</v>
      </c>
      <c r="D271">
        <v>4.9017099999999996</v>
      </c>
      <c r="E271">
        <f>Table110314[[#This Row],[CFNM]]/Table110314[[#This Row],[CAREA]]</f>
        <v>5.4505353004754759E-2</v>
      </c>
      <c r="F271">
        <v>2.4278300000000002</v>
      </c>
      <c r="G271">
        <f>(Table211315[[#This Row],[time]]-2)*2</f>
        <v>0.85566000000000031</v>
      </c>
      <c r="H271">
        <v>95.425899999999999</v>
      </c>
      <c r="I271">
        <v>9.6114300000000004</v>
      </c>
      <c r="J271">
        <f>Table211315[[#This Row],[CFNM]]/Table211315[[#This Row],[CAREA]]</f>
        <v>0.10072139744031756</v>
      </c>
      <c r="K271">
        <v>2.4278300000000002</v>
      </c>
      <c r="L271">
        <f>(Table312316[[#This Row],[time]]-2)*2</f>
        <v>0.85566000000000031</v>
      </c>
      <c r="M271">
        <v>84.517600000000002</v>
      </c>
      <c r="N271">
        <v>1.38693</v>
      </c>
      <c r="O271">
        <f>Table312316[[#This Row],[CFNM]]/Table312316[[#This Row],[CAREA]]</f>
        <v>1.6409954849640786E-2</v>
      </c>
      <c r="P271">
        <v>2.4278300000000002</v>
      </c>
      <c r="Q271">
        <f>(Table413317[[#This Row],[time]]-2)*2</f>
        <v>0.85566000000000031</v>
      </c>
      <c r="R271">
        <v>90.441500000000005</v>
      </c>
      <c r="S271">
        <v>16.573599999999999</v>
      </c>
      <c r="T271">
        <f>Table413317[[#This Row],[CFNM]]/Table413317[[#This Row],[CAREA]]</f>
        <v>0.183252157471957</v>
      </c>
      <c r="U271">
        <v>2.4278300000000002</v>
      </c>
      <c r="V271">
        <f>(Table514318[[#This Row],[time]]-2)*2</f>
        <v>0.85566000000000031</v>
      </c>
      <c r="W271">
        <v>76.605999999999995</v>
      </c>
      <c r="X271">
        <v>4.3319299999999998</v>
      </c>
      <c r="Y271">
        <f>Table514318[[#This Row],[CFNM]]/Table514318[[#This Row],[CAREA]]</f>
        <v>5.6548181604574053E-2</v>
      </c>
      <c r="Z271">
        <v>2.4278300000000002</v>
      </c>
      <c r="AA271">
        <f>(Table615319[[#This Row],[time]]-2)*2</f>
        <v>0.85566000000000031</v>
      </c>
      <c r="AB271">
        <v>93.683499999999995</v>
      </c>
      <c r="AC271">
        <v>34.6432</v>
      </c>
      <c r="AD271">
        <f>Table615319[[#This Row],[CFNM]]/Table615319[[#This Row],[CAREA]]</f>
        <v>0.36978977087747578</v>
      </c>
      <c r="AE271">
        <v>2.4278300000000002</v>
      </c>
      <c r="AF271">
        <f>(Table716320[[#This Row],[time]]-2)*2</f>
        <v>0.85566000000000031</v>
      </c>
      <c r="AG271">
        <v>76.578400000000002</v>
      </c>
      <c r="AH271">
        <v>17.052</v>
      </c>
      <c r="AI271">
        <f>Table716320[[#This Row],[CFNM]]/Table716320[[#This Row],[CAREA]]</f>
        <v>0.22267375656843183</v>
      </c>
      <c r="AJ271">
        <v>2.4278300000000002</v>
      </c>
      <c r="AK271">
        <f>(Table817321[[#This Row],[time]]-2)*2</f>
        <v>0.85566000000000031</v>
      </c>
      <c r="AL271">
        <v>81.565200000000004</v>
      </c>
      <c r="AM271">
        <v>36.707000000000001</v>
      </c>
      <c r="AN271">
        <f>Table817321[[#This Row],[CFNM]]/Table817321[[#This Row],[CAREA]]</f>
        <v>0.45003261194725203</v>
      </c>
    </row>
    <row r="272" spans="1:40" x14ac:dyDescent="0.25">
      <c r="A272">
        <v>2.4542000000000002</v>
      </c>
      <c r="B272">
        <f>(Table110314[[#This Row],[time]]-2)*2</f>
        <v>0.90840000000000032</v>
      </c>
      <c r="C272">
        <v>89.540300000000002</v>
      </c>
      <c r="D272">
        <v>4.7654800000000002</v>
      </c>
      <c r="E272">
        <f>Table110314[[#This Row],[CFNM]]/Table110314[[#This Row],[CAREA]]</f>
        <v>5.3221621995905757E-2</v>
      </c>
      <c r="F272">
        <v>2.4542000000000002</v>
      </c>
      <c r="G272">
        <f>(Table211315[[#This Row],[time]]-2)*2</f>
        <v>0.90840000000000032</v>
      </c>
      <c r="H272">
        <v>95.561899999999994</v>
      </c>
      <c r="I272">
        <v>10.072900000000001</v>
      </c>
      <c r="J272">
        <f>Table211315[[#This Row],[CFNM]]/Table211315[[#This Row],[CAREA]]</f>
        <v>0.10540707122817777</v>
      </c>
      <c r="K272">
        <v>2.4542000000000002</v>
      </c>
      <c r="L272">
        <f>(Table312316[[#This Row],[time]]-2)*2</f>
        <v>0.90840000000000032</v>
      </c>
      <c r="M272">
        <v>83.938699999999997</v>
      </c>
      <c r="N272">
        <v>1.6385000000000001</v>
      </c>
      <c r="O272">
        <f>Table312316[[#This Row],[CFNM]]/Table312316[[#This Row],[CAREA]]</f>
        <v>1.9520197477444851E-2</v>
      </c>
      <c r="P272">
        <v>2.4542000000000002</v>
      </c>
      <c r="Q272">
        <f>(Table413317[[#This Row],[time]]-2)*2</f>
        <v>0.90840000000000032</v>
      </c>
      <c r="R272">
        <v>90.669399999999996</v>
      </c>
      <c r="S272">
        <v>18.091200000000001</v>
      </c>
      <c r="T272">
        <f>Table413317[[#This Row],[CFNM]]/Table413317[[#This Row],[CAREA]]</f>
        <v>0.19952927889673916</v>
      </c>
      <c r="U272">
        <v>2.4542000000000002</v>
      </c>
      <c r="V272">
        <f>(Table514318[[#This Row],[time]]-2)*2</f>
        <v>0.90840000000000032</v>
      </c>
      <c r="W272">
        <v>74.294300000000007</v>
      </c>
      <c r="X272">
        <v>4.3680599999999998</v>
      </c>
      <c r="Y272">
        <f>Table514318[[#This Row],[CFNM]]/Table514318[[#This Row],[CAREA]]</f>
        <v>5.8794012461252064E-2</v>
      </c>
      <c r="Z272">
        <v>2.4542000000000002</v>
      </c>
      <c r="AA272">
        <f>(Table615319[[#This Row],[time]]-2)*2</f>
        <v>0.90840000000000032</v>
      </c>
      <c r="AB272">
        <v>94.573099999999997</v>
      </c>
      <c r="AC272">
        <v>37.031999999999996</v>
      </c>
      <c r="AD272">
        <f>Table615319[[#This Row],[CFNM]]/Table615319[[#This Row],[CAREA]]</f>
        <v>0.39157011877584641</v>
      </c>
      <c r="AE272">
        <v>2.4542000000000002</v>
      </c>
      <c r="AF272">
        <f>(Table716320[[#This Row],[time]]-2)*2</f>
        <v>0.90840000000000032</v>
      </c>
      <c r="AG272">
        <v>76.422499999999999</v>
      </c>
      <c r="AH272">
        <v>16.885200000000001</v>
      </c>
      <c r="AI272">
        <f>Table716320[[#This Row],[CFNM]]/Table716320[[#This Row],[CAREA]]</f>
        <v>0.22094540220484807</v>
      </c>
      <c r="AJ272">
        <v>2.4542000000000002</v>
      </c>
      <c r="AK272">
        <f>(Table817321[[#This Row],[time]]-2)*2</f>
        <v>0.90840000000000032</v>
      </c>
      <c r="AL272">
        <v>81.042900000000003</v>
      </c>
      <c r="AM272">
        <v>39.543599999999998</v>
      </c>
      <c r="AN272">
        <f>Table817321[[#This Row],[CFNM]]/Table817321[[#This Row],[CAREA]]</f>
        <v>0.48793416819980523</v>
      </c>
    </row>
    <row r="273" spans="1:40" x14ac:dyDescent="0.25">
      <c r="A273">
        <v>2.5061499999999999</v>
      </c>
      <c r="B273">
        <f>(Table110314[[#This Row],[time]]-2)*2</f>
        <v>1.0122999999999998</v>
      </c>
      <c r="C273">
        <v>88.980400000000003</v>
      </c>
      <c r="D273">
        <v>4.7248599999999996</v>
      </c>
      <c r="E273">
        <f>Table110314[[#This Row],[CFNM]]/Table110314[[#This Row],[CAREA]]</f>
        <v>5.310000854120682E-2</v>
      </c>
      <c r="F273">
        <v>2.5061499999999999</v>
      </c>
      <c r="G273">
        <f>(Table211315[[#This Row],[time]]-2)*2</f>
        <v>1.0122999999999998</v>
      </c>
      <c r="H273">
        <v>96.436300000000003</v>
      </c>
      <c r="I273">
        <v>10.845599999999999</v>
      </c>
      <c r="J273">
        <f>Table211315[[#This Row],[CFNM]]/Table211315[[#This Row],[CAREA]]</f>
        <v>0.11246387511756464</v>
      </c>
      <c r="K273">
        <v>2.5061499999999999</v>
      </c>
      <c r="L273">
        <f>(Table312316[[#This Row],[time]]-2)*2</f>
        <v>1.0122999999999998</v>
      </c>
      <c r="M273">
        <v>83.426900000000003</v>
      </c>
      <c r="N273">
        <v>1.88045</v>
      </c>
      <c r="O273">
        <f>Table312316[[#This Row],[CFNM]]/Table312316[[#This Row],[CAREA]]</f>
        <v>2.2540091984719554E-2</v>
      </c>
      <c r="P273">
        <v>2.5061499999999999</v>
      </c>
      <c r="Q273">
        <f>(Table413317[[#This Row],[time]]-2)*2</f>
        <v>1.0122999999999998</v>
      </c>
      <c r="R273">
        <v>90.673900000000003</v>
      </c>
      <c r="S273">
        <v>20.2623</v>
      </c>
      <c r="T273">
        <f>Table413317[[#This Row],[CFNM]]/Table413317[[#This Row],[CAREA]]</f>
        <v>0.22346342221962437</v>
      </c>
      <c r="U273">
        <v>2.5061499999999999</v>
      </c>
      <c r="V273">
        <f>(Table514318[[#This Row],[time]]-2)*2</f>
        <v>1.0122999999999998</v>
      </c>
      <c r="W273">
        <v>73.265299999999996</v>
      </c>
      <c r="X273">
        <v>4.2825899999999999</v>
      </c>
      <c r="Y273">
        <f>Table514318[[#This Row],[CFNM]]/Table514318[[#This Row],[CAREA]]</f>
        <v>5.8453183157647616E-2</v>
      </c>
      <c r="Z273">
        <v>2.5061499999999999</v>
      </c>
      <c r="AA273">
        <f>(Table615319[[#This Row],[time]]-2)*2</f>
        <v>1.0122999999999998</v>
      </c>
      <c r="AB273">
        <v>94.653199999999998</v>
      </c>
      <c r="AC273">
        <v>40.347900000000003</v>
      </c>
      <c r="AD273">
        <f>Table615319[[#This Row],[CFNM]]/Table615319[[#This Row],[CAREA]]</f>
        <v>0.42627084979694296</v>
      </c>
      <c r="AE273">
        <v>2.5061499999999999</v>
      </c>
      <c r="AF273">
        <f>(Table716320[[#This Row],[time]]-2)*2</f>
        <v>1.0122999999999998</v>
      </c>
      <c r="AG273">
        <v>76.302400000000006</v>
      </c>
      <c r="AH273">
        <v>16.535699999999999</v>
      </c>
      <c r="AI273">
        <f>Table716320[[#This Row],[CFNM]]/Table716320[[#This Row],[CAREA]]</f>
        <v>0.21671271152676713</v>
      </c>
      <c r="AJ273">
        <v>2.5061499999999999</v>
      </c>
      <c r="AK273">
        <f>(Table817321[[#This Row],[time]]-2)*2</f>
        <v>1.0122999999999998</v>
      </c>
      <c r="AL273">
        <v>80.543000000000006</v>
      </c>
      <c r="AM273">
        <v>43.403700000000001</v>
      </c>
      <c r="AN273">
        <f>Table817321[[#This Row],[CFNM]]/Table817321[[#This Row],[CAREA]]</f>
        <v>0.53888854400754871</v>
      </c>
    </row>
    <row r="274" spans="1:40" x14ac:dyDescent="0.25">
      <c r="A274">
        <v>2.5507599999999999</v>
      </c>
      <c r="B274">
        <f>(Table110314[[#This Row],[time]]-2)*2</f>
        <v>1.1015199999999998</v>
      </c>
      <c r="C274">
        <v>88.372</v>
      </c>
      <c r="D274">
        <v>4.7793400000000004</v>
      </c>
      <c r="E274">
        <f>Table110314[[#This Row],[CFNM]]/Table110314[[#This Row],[CAREA]]</f>
        <v>5.4082062191644416E-2</v>
      </c>
      <c r="F274">
        <v>2.5507599999999999</v>
      </c>
      <c r="G274">
        <f>(Table211315[[#This Row],[time]]-2)*2</f>
        <v>1.1015199999999998</v>
      </c>
      <c r="H274">
        <v>96.785799999999995</v>
      </c>
      <c r="I274">
        <v>11.5441</v>
      </c>
      <c r="J274">
        <f>Table211315[[#This Row],[CFNM]]/Table211315[[#This Row],[CAREA]]</f>
        <v>0.11927472831758379</v>
      </c>
      <c r="K274">
        <v>2.5507599999999999</v>
      </c>
      <c r="L274">
        <f>(Table312316[[#This Row],[time]]-2)*2</f>
        <v>1.1015199999999998</v>
      </c>
      <c r="M274">
        <v>82.332300000000004</v>
      </c>
      <c r="N274">
        <v>2.1321099999999999</v>
      </c>
      <c r="O274">
        <f>Table312316[[#This Row],[CFNM]]/Table312316[[#This Row],[CAREA]]</f>
        <v>2.5896397890014002E-2</v>
      </c>
      <c r="P274">
        <v>2.5507599999999999</v>
      </c>
      <c r="Q274">
        <f>(Table413317[[#This Row],[time]]-2)*2</f>
        <v>1.1015199999999998</v>
      </c>
      <c r="R274">
        <v>90.685400000000001</v>
      </c>
      <c r="S274">
        <v>22.011399999999998</v>
      </c>
      <c r="T274">
        <f>Table413317[[#This Row],[CFNM]]/Table413317[[#This Row],[CAREA]]</f>
        <v>0.24272264333619301</v>
      </c>
      <c r="U274">
        <v>2.5507599999999999</v>
      </c>
      <c r="V274">
        <f>(Table514318[[#This Row],[time]]-2)*2</f>
        <v>1.1015199999999998</v>
      </c>
      <c r="W274">
        <v>71.590800000000002</v>
      </c>
      <c r="X274">
        <v>4.1189600000000004</v>
      </c>
      <c r="Y274">
        <f>Table514318[[#This Row],[CFNM]]/Table514318[[#This Row],[CAREA]]</f>
        <v>5.7534767037105333E-2</v>
      </c>
      <c r="Z274">
        <v>2.5507599999999999</v>
      </c>
      <c r="AA274">
        <f>(Table615319[[#This Row],[time]]-2)*2</f>
        <v>1.1015199999999998</v>
      </c>
      <c r="AB274">
        <v>94.384900000000002</v>
      </c>
      <c r="AC274">
        <v>42.891500000000001</v>
      </c>
      <c r="AD274">
        <f>Table615319[[#This Row],[CFNM]]/Table615319[[#This Row],[CAREA]]</f>
        <v>0.45443180000190708</v>
      </c>
      <c r="AE274">
        <v>2.5507599999999999</v>
      </c>
      <c r="AF274">
        <f>(Table716320[[#This Row],[time]]-2)*2</f>
        <v>1.1015199999999998</v>
      </c>
      <c r="AG274">
        <v>75.479500000000002</v>
      </c>
      <c r="AH274">
        <v>16.2897</v>
      </c>
      <c r="AI274">
        <f>Table716320[[#This Row],[CFNM]]/Table716320[[#This Row],[CAREA]]</f>
        <v>0.21581621499877449</v>
      </c>
      <c r="AJ274">
        <v>2.5507599999999999</v>
      </c>
      <c r="AK274">
        <f>(Table817321[[#This Row],[time]]-2)*2</f>
        <v>1.1015199999999998</v>
      </c>
      <c r="AL274">
        <v>80.052800000000005</v>
      </c>
      <c r="AM274">
        <v>46.384700000000002</v>
      </c>
      <c r="AN274">
        <f>Table817321[[#This Row],[CFNM]]/Table817321[[#This Row],[CAREA]]</f>
        <v>0.57942632862310872</v>
      </c>
    </row>
    <row r="275" spans="1:40" x14ac:dyDescent="0.25">
      <c r="A275">
        <v>2.60453</v>
      </c>
      <c r="B275">
        <f>(Table110314[[#This Row],[time]]-2)*2</f>
        <v>1.20906</v>
      </c>
      <c r="C275">
        <v>87.751199999999997</v>
      </c>
      <c r="D275">
        <v>4.8894599999999997</v>
      </c>
      <c r="E275">
        <f>Table110314[[#This Row],[CFNM]]/Table110314[[#This Row],[CAREA]]</f>
        <v>5.5719579903180806E-2</v>
      </c>
      <c r="F275">
        <v>2.60453</v>
      </c>
      <c r="G275">
        <f>(Table211315[[#This Row],[time]]-2)*2</f>
        <v>1.20906</v>
      </c>
      <c r="H275">
        <v>97.127499999999998</v>
      </c>
      <c r="I275">
        <v>12.853899999999999</v>
      </c>
      <c r="J275">
        <f>Table211315[[#This Row],[CFNM]]/Table211315[[#This Row],[CAREA]]</f>
        <v>0.13234048029651746</v>
      </c>
      <c r="K275">
        <v>2.60453</v>
      </c>
      <c r="L275">
        <f>(Table312316[[#This Row],[time]]-2)*2</f>
        <v>1.20906</v>
      </c>
      <c r="M275">
        <v>81.771699999999996</v>
      </c>
      <c r="N275">
        <v>2.4194300000000002</v>
      </c>
      <c r="O275">
        <f>Table312316[[#This Row],[CFNM]]/Table312316[[#This Row],[CAREA]]</f>
        <v>2.9587620166879255E-2</v>
      </c>
      <c r="P275">
        <v>2.60453</v>
      </c>
      <c r="Q275">
        <f>(Table413317[[#This Row],[time]]-2)*2</f>
        <v>1.20906</v>
      </c>
      <c r="R275">
        <v>90.548900000000003</v>
      </c>
      <c r="S275">
        <v>24.287400000000002</v>
      </c>
      <c r="T275">
        <f>Table413317[[#This Row],[CFNM]]/Table413317[[#This Row],[CAREA]]</f>
        <v>0.26822413082875662</v>
      </c>
      <c r="U275">
        <v>2.60453</v>
      </c>
      <c r="V275">
        <f>(Table514318[[#This Row],[time]]-2)*2</f>
        <v>1.20906</v>
      </c>
      <c r="W275">
        <v>70.444500000000005</v>
      </c>
      <c r="X275">
        <v>3.84131</v>
      </c>
      <c r="Y275">
        <f>Table514318[[#This Row],[CFNM]]/Table514318[[#This Row],[CAREA]]</f>
        <v>5.4529594219562917E-2</v>
      </c>
      <c r="Z275">
        <v>2.60453</v>
      </c>
      <c r="AA275">
        <f>(Table615319[[#This Row],[time]]-2)*2</f>
        <v>1.20906</v>
      </c>
      <c r="AB275">
        <v>94.594300000000004</v>
      </c>
      <c r="AC275">
        <v>46.407699999999998</v>
      </c>
      <c r="AD275">
        <f>Table615319[[#This Row],[CFNM]]/Table615319[[#This Row],[CAREA]]</f>
        <v>0.4905972135741794</v>
      </c>
      <c r="AE275">
        <v>2.60453</v>
      </c>
      <c r="AF275">
        <f>(Table716320[[#This Row],[time]]-2)*2</f>
        <v>1.20906</v>
      </c>
      <c r="AG275">
        <v>75.350700000000003</v>
      </c>
      <c r="AH275">
        <v>15.901</v>
      </c>
      <c r="AI275">
        <f>Table716320[[#This Row],[CFNM]]/Table716320[[#This Row],[CAREA]]</f>
        <v>0.21102657307762235</v>
      </c>
      <c r="AJ275">
        <v>2.60453</v>
      </c>
      <c r="AK275">
        <f>(Table817321[[#This Row],[time]]-2)*2</f>
        <v>1.20906</v>
      </c>
      <c r="AL275">
        <v>79.3673</v>
      </c>
      <c r="AM275">
        <v>50.357500000000002</v>
      </c>
      <c r="AN275">
        <f>Table817321[[#This Row],[CFNM]]/Table817321[[#This Row],[CAREA]]</f>
        <v>0.63448674706081731</v>
      </c>
    </row>
    <row r="276" spans="1:40" x14ac:dyDescent="0.25">
      <c r="A276">
        <v>2.65273</v>
      </c>
      <c r="B276">
        <f>(Table110314[[#This Row],[time]]-2)*2</f>
        <v>1.3054600000000001</v>
      </c>
      <c r="C276">
        <v>87.133799999999994</v>
      </c>
      <c r="D276">
        <v>4.9851799999999997</v>
      </c>
      <c r="E276">
        <f>Table110314[[#This Row],[CFNM]]/Table110314[[#This Row],[CAREA]]</f>
        <v>5.7212929999609793E-2</v>
      </c>
      <c r="F276">
        <v>2.65273</v>
      </c>
      <c r="G276">
        <f>(Table211315[[#This Row],[time]]-2)*2</f>
        <v>1.3054600000000001</v>
      </c>
      <c r="H276">
        <v>97.755300000000005</v>
      </c>
      <c r="I276">
        <v>13.995200000000001</v>
      </c>
      <c r="J276">
        <f>Table211315[[#This Row],[CFNM]]/Table211315[[#This Row],[CAREA]]</f>
        <v>0.14316563910089786</v>
      </c>
      <c r="K276">
        <v>2.65273</v>
      </c>
      <c r="L276">
        <f>(Table312316[[#This Row],[time]]-2)*2</f>
        <v>1.3054600000000001</v>
      </c>
      <c r="M276">
        <v>81.702799999999996</v>
      </c>
      <c r="N276">
        <v>2.6245099999999999</v>
      </c>
      <c r="O276">
        <f>Table312316[[#This Row],[CFNM]]/Table312316[[#This Row],[CAREA]]</f>
        <v>3.2122644511571208E-2</v>
      </c>
      <c r="P276">
        <v>2.65273</v>
      </c>
      <c r="Q276">
        <f>(Table413317[[#This Row],[time]]-2)*2</f>
        <v>1.3054600000000001</v>
      </c>
      <c r="R276">
        <v>90.243700000000004</v>
      </c>
      <c r="S276">
        <v>26.038</v>
      </c>
      <c r="T276">
        <f>Table413317[[#This Row],[CFNM]]/Table413317[[#This Row],[CAREA]]</f>
        <v>0.28852983643179525</v>
      </c>
      <c r="U276">
        <v>2.65273</v>
      </c>
      <c r="V276">
        <f>(Table514318[[#This Row],[time]]-2)*2</f>
        <v>1.3054600000000001</v>
      </c>
      <c r="W276">
        <v>69.677000000000007</v>
      </c>
      <c r="X276">
        <v>3.6218599999999999</v>
      </c>
      <c r="Y276">
        <f>Table514318[[#This Row],[CFNM]]/Table514318[[#This Row],[CAREA]]</f>
        <v>5.1980710995019871E-2</v>
      </c>
      <c r="Z276">
        <v>2.65273</v>
      </c>
      <c r="AA276">
        <f>(Table615319[[#This Row],[time]]-2)*2</f>
        <v>1.3054600000000001</v>
      </c>
      <c r="AB276">
        <v>94.417199999999994</v>
      </c>
      <c r="AC276">
        <v>49.066899999999997</v>
      </c>
      <c r="AD276">
        <f>Table615319[[#This Row],[CFNM]]/Table615319[[#This Row],[CAREA]]</f>
        <v>0.5196817952661168</v>
      </c>
      <c r="AE276">
        <v>2.65273</v>
      </c>
      <c r="AF276">
        <f>(Table716320[[#This Row],[time]]-2)*2</f>
        <v>1.3054600000000001</v>
      </c>
      <c r="AG276">
        <v>74.701899999999995</v>
      </c>
      <c r="AH276">
        <v>15.549899999999999</v>
      </c>
      <c r="AI276">
        <f>Table716320[[#This Row],[CFNM]]/Table716320[[#This Row],[CAREA]]</f>
        <v>0.20815936408578631</v>
      </c>
      <c r="AJ276">
        <v>2.65273</v>
      </c>
      <c r="AK276">
        <f>(Table817321[[#This Row],[time]]-2)*2</f>
        <v>1.3054600000000001</v>
      </c>
      <c r="AL276">
        <v>78.860799999999998</v>
      </c>
      <c r="AM276">
        <v>53.299500000000002</v>
      </c>
      <c r="AN276">
        <f>Table817321[[#This Row],[CFNM]]/Table817321[[#This Row],[CAREA]]</f>
        <v>0.67586811191365037</v>
      </c>
    </row>
    <row r="277" spans="1:40" x14ac:dyDescent="0.25">
      <c r="A277">
        <v>2.7006199999999998</v>
      </c>
      <c r="B277">
        <f>(Table110314[[#This Row],[time]]-2)*2</f>
        <v>1.4012399999999996</v>
      </c>
      <c r="C277">
        <v>85.704899999999995</v>
      </c>
      <c r="D277">
        <v>5.0611899999999999</v>
      </c>
      <c r="E277">
        <f>Table110314[[#This Row],[CFNM]]/Table110314[[#This Row],[CAREA]]</f>
        <v>5.9053683044960094E-2</v>
      </c>
      <c r="F277">
        <v>2.7006199999999998</v>
      </c>
      <c r="G277">
        <f>(Table211315[[#This Row],[time]]-2)*2</f>
        <v>1.4012399999999996</v>
      </c>
      <c r="H277">
        <v>97.847999999999999</v>
      </c>
      <c r="I277">
        <v>15.026</v>
      </c>
      <c r="J277">
        <f>Table211315[[#This Row],[CFNM]]/Table211315[[#This Row],[CAREA]]</f>
        <v>0.15356471261548524</v>
      </c>
      <c r="K277">
        <v>2.7006199999999998</v>
      </c>
      <c r="L277">
        <f>(Table312316[[#This Row],[time]]-2)*2</f>
        <v>1.4012399999999996</v>
      </c>
      <c r="M277">
        <v>81.079899999999995</v>
      </c>
      <c r="N277">
        <v>2.7482899999999999</v>
      </c>
      <c r="O277">
        <f>Table312316[[#This Row],[CFNM]]/Table312316[[#This Row],[CAREA]]</f>
        <v>3.3896070419425779E-2</v>
      </c>
      <c r="P277">
        <v>2.7006199999999998</v>
      </c>
      <c r="Q277">
        <f>(Table413317[[#This Row],[time]]-2)*2</f>
        <v>1.4012399999999996</v>
      </c>
      <c r="R277">
        <v>90.2547</v>
      </c>
      <c r="S277">
        <v>27.495699999999999</v>
      </c>
      <c r="T277">
        <f>Table413317[[#This Row],[CFNM]]/Table413317[[#This Row],[CAREA]]</f>
        <v>0.30464563064305794</v>
      </c>
      <c r="U277">
        <v>2.7006199999999998</v>
      </c>
      <c r="V277">
        <f>(Table514318[[#This Row],[time]]-2)*2</f>
        <v>1.4012399999999996</v>
      </c>
      <c r="W277">
        <v>68.532300000000006</v>
      </c>
      <c r="X277">
        <v>3.40699</v>
      </c>
      <c r="Y277">
        <f>Table514318[[#This Row],[CFNM]]/Table514318[[#This Row],[CAREA]]</f>
        <v>4.9713638678404191E-2</v>
      </c>
      <c r="Z277">
        <v>2.7006199999999998</v>
      </c>
      <c r="AA277">
        <f>(Table615319[[#This Row],[time]]-2)*2</f>
        <v>1.4012399999999996</v>
      </c>
      <c r="AB277">
        <v>94.155600000000007</v>
      </c>
      <c r="AC277">
        <v>51.229199999999999</v>
      </c>
      <c r="AD277">
        <f>Table615319[[#This Row],[CFNM]]/Table615319[[#This Row],[CAREA]]</f>
        <v>0.5440908453666059</v>
      </c>
      <c r="AE277">
        <v>2.7006199999999998</v>
      </c>
      <c r="AF277">
        <f>(Table716320[[#This Row],[time]]-2)*2</f>
        <v>1.4012399999999996</v>
      </c>
      <c r="AG277">
        <v>74.3767</v>
      </c>
      <c r="AH277">
        <v>15.2242</v>
      </c>
      <c r="AI277">
        <f>Table716320[[#This Row],[CFNM]]/Table716320[[#This Row],[CAREA]]</f>
        <v>0.20469044741162218</v>
      </c>
      <c r="AJ277">
        <v>2.7006199999999998</v>
      </c>
      <c r="AK277">
        <f>(Table817321[[#This Row],[time]]-2)*2</f>
        <v>1.4012399999999996</v>
      </c>
      <c r="AL277">
        <v>78.530100000000004</v>
      </c>
      <c r="AM277">
        <v>55.731000000000002</v>
      </c>
      <c r="AN277">
        <f>Table817321[[#This Row],[CFNM]]/Table817321[[#This Row],[CAREA]]</f>
        <v>0.70967692642693692</v>
      </c>
    </row>
    <row r="278" spans="1:40" x14ac:dyDescent="0.25">
      <c r="A278">
        <v>2.75176</v>
      </c>
      <c r="B278">
        <f>(Table110314[[#This Row],[time]]-2)*2</f>
        <v>1.50352</v>
      </c>
      <c r="C278">
        <v>84.652199999999993</v>
      </c>
      <c r="D278">
        <v>5.2323899999999997</v>
      </c>
      <c r="E278">
        <f>Table110314[[#This Row],[CFNM]]/Table110314[[#This Row],[CAREA]]</f>
        <v>6.1810443201712417E-2</v>
      </c>
      <c r="F278">
        <v>2.75176</v>
      </c>
      <c r="G278">
        <f>(Table211315[[#This Row],[time]]-2)*2</f>
        <v>1.50352</v>
      </c>
      <c r="H278">
        <v>98.712000000000003</v>
      </c>
      <c r="I278">
        <v>17.117899999999999</v>
      </c>
      <c r="J278">
        <f>Table211315[[#This Row],[CFNM]]/Table211315[[#This Row],[CAREA]]</f>
        <v>0.17341255369154712</v>
      </c>
      <c r="K278">
        <v>2.75176</v>
      </c>
      <c r="L278">
        <f>(Table312316[[#This Row],[time]]-2)*2</f>
        <v>1.50352</v>
      </c>
      <c r="M278">
        <v>79.524000000000001</v>
      </c>
      <c r="N278">
        <v>2.9137300000000002</v>
      </c>
      <c r="O278">
        <f>Table312316[[#This Row],[CFNM]]/Table312316[[#This Row],[CAREA]]</f>
        <v>3.6639630803279512E-2</v>
      </c>
      <c r="P278">
        <v>2.75176</v>
      </c>
      <c r="Q278">
        <f>(Table413317[[#This Row],[time]]-2)*2</f>
        <v>1.50352</v>
      </c>
      <c r="R278">
        <v>89.910600000000002</v>
      </c>
      <c r="S278">
        <v>30.378499999999999</v>
      </c>
      <c r="T278">
        <f>Table413317[[#This Row],[CFNM]]/Table413317[[#This Row],[CAREA]]</f>
        <v>0.33787451090305259</v>
      </c>
      <c r="U278">
        <v>2.75176</v>
      </c>
      <c r="V278">
        <f>(Table514318[[#This Row],[time]]-2)*2</f>
        <v>1.50352</v>
      </c>
      <c r="W278">
        <v>67.855599999999995</v>
      </c>
      <c r="X278">
        <v>2.9177900000000001</v>
      </c>
      <c r="Y278">
        <f>Table514318[[#This Row],[CFNM]]/Table514318[[#This Row],[CAREA]]</f>
        <v>4.2999988210258258E-2</v>
      </c>
      <c r="Z278">
        <v>2.75176</v>
      </c>
      <c r="AA278">
        <f>(Table615319[[#This Row],[time]]-2)*2</f>
        <v>1.50352</v>
      </c>
      <c r="AB278">
        <v>94.074100000000001</v>
      </c>
      <c r="AC278">
        <v>55.217599999999997</v>
      </c>
      <c r="AD278">
        <f>Table615319[[#This Row],[CFNM]]/Table615319[[#This Row],[CAREA]]</f>
        <v>0.58695857839724219</v>
      </c>
      <c r="AE278">
        <v>2.75176</v>
      </c>
      <c r="AF278">
        <f>(Table716320[[#This Row],[time]]-2)*2</f>
        <v>1.50352</v>
      </c>
      <c r="AG278">
        <v>73.5578</v>
      </c>
      <c r="AH278">
        <v>14.512</v>
      </c>
      <c r="AI278">
        <f>Table716320[[#This Row],[CFNM]]/Table716320[[#This Row],[CAREA]]</f>
        <v>0.19728703142290824</v>
      </c>
      <c r="AJ278">
        <v>2.75176</v>
      </c>
      <c r="AK278">
        <f>(Table817321[[#This Row],[time]]-2)*2</f>
        <v>1.50352</v>
      </c>
      <c r="AL278">
        <v>77.449700000000007</v>
      </c>
      <c r="AM278">
        <v>60.101700000000001</v>
      </c>
      <c r="AN278">
        <f>Table817321[[#This Row],[CFNM]]/Table817321[[#This Row],[CAREA]]</f>
        <v>0.77600946162477058</v>
      </c>
    </row>
    <row r="279" spans="1:40" x14ac:dyDescent="0.25">
      <c r="A279">
        <v>2.80444</v>
      </c>
      <c r="B279">
        <f>(Table110314[[#This Row],[time]]-2)*2</f>
        <v>1.6088800000000001</v>
      </c>
      <c r="C279">
        <v>83.910799999999995</v>
      </c>
      <c r="D279">
        <v>5.4084199999999996</v>
      </c>
      <c r="E279">
        <f>Table110314[[#This Row],[CFNM]]/Table110314[[#This Row],[CAREA]]</f>
        <v>6.4454396811852582E-2</v>
      </c>
      <c r="F279">
        <v>2.80444</v>
      </c>
      <c r="G279">
        <f>(Table211315[[#This Row],[time]]-2)*2</f>
        <v>1.6088800000000001</v>
      </c>
      <c r="H279">
        <v>99.263300000000001</v>
      </c>
      <c r="I279">
        <v>18.697800000000001</v>
      </c>
      <c r="J279">
        <f>Table211315[[#This Row],[CFNM]]/Table211315[[#This Row],[CAREA]]</f>
        <v>0.18836569003851375</v>
      </c>
      <c r="K279">
        <v>2.80444</v>
      </c>
      <c r="L279">
        <f>(Table312316[[#This Row],[time]]-2)*2</f>
        <v>1.6088800000000001</v>
      </c>
      <c r="M279">
        <v>79.444500000000005</v>
      </c>
      <c r="N279">
        <v>2.8359800000000002</v>
      </c>
      <c r="O279">
        <f>Table312316[[#This Row],[CFNM]]/Table312316[[#This Row],[CAREA]]</f>
        <v>3.5697625386275952E-2</v>
      </c>
      <c r="P279">
        <v>2.80444</v>
      </c>
      <c r="Q279">
        <f>(Table413317[[#This Row],[time]]-2)*2</f>
        <v>1.6088800000000001</v>
      </c>
      <c r="R279">
        <v>89.809200000000004</v>
      </c>
      <c r="S279">
        <v>32.802799999999998</v>
      </c>
      <c r="T279">
        <f>Table413317[[#This Row],[CFNM]]/Table413317[[#This Row],[CAREA]]</f>
        <v>0.36524988531241787</v>
      </c>
      <c r="U279">
        <v>2.80444</v>
      </c>
      <c r="V279">
        <f>(Table514318[[#This Row],[time]]-2)*2</f>
        <v>1.6088800000000001</v>
      </c>
      <c r="W279">
        <v>67.1023</v>
      </c>
      <c r="X279">
        <v>2.52373</v>
      </c>
      <c r="Y279">
        <f>Table514318[[#This Row],[CFNM]]/Table514318[[#This Row],[CAREA]]</f>
        <v>3.7610186238027608E-2</v>
      </c>
      <c r="Z279">
        <v>2.80444</v>
      </c>
      <c r="AA279">
        <f>(Table615319[[#This Row],[time]]-2)*2</f>
        <v>1.6088800000000001</v>
      </c>
      <c r="AB279">
        <v>93.706999999999994</v>
      </c>
      <c r="AC279">
        <v>57.994799999999998</v>
      </c>
      <c r="AD279">
        <f>Table615319[[#This Row],[CFNM]]/Table615319[[#This Row],[CAREA]]</f>
        <v>0.61889506653718507</v>
      </c>
      <c r="AE279">
        <v>2.80444</v>
      </c>
      <c r="AF279">
        <f>(Table716320[[#This Row],[time]]-2)*2</f>
        <v>1.6088800000000001</v>
      </c>
      <c r="AG279">
        <v>73.05</v>
      </c>
      <c r="AH279">
        <v>13.9679</v>
      </c>
      <c r="AI279">
        <f>Table716320[[#This Row],[CFNM]]/Table716320[[#This Row],[CAREA]]</f>
        <v>0.1912101300479124</v>
      </c>
      <c r="AJ279">
        <v>2.80444</v>
      </c>
      <c r="AK279">
        <f>(Table817321[[#This Row],[time]]-2)*2</f>
        <v>1.6088800000000001</v>
      </c>
      <c r="AL279">
        <v>76.7089</v>
      </c>
      <c r="AM279">
        <v>63.087600000000002</v>
      </c>
      <c r="AN279">
        <f>Table817321[[#This Row],[CFNM]]/Table817321[[#This Row],[CAREA]]</f>
        <v>0.82242868819654569</v>
      </c>
    </row>
    <row r="280" spans="1:40" x14ac:dyDescent="0.25">
      <c r="A280">
        <v>2.8583699999999999</v>
      </c>
      <c r="B280">
        <f>(Table110314[[#This Row],[time]]-2)*2</f>
        <v>1.7167399999999997</v>
      </c>
      <c r="C280">
        <v>82.652699999999996</v>
      </c>
      <c r="D280">
        <v>5.4855200000000002</v>
      </c>
      <c r="E280">
        <f>Table110314[[#This Row],[CFNM]]/Table110314[[#This Row],[CAREA]]</f>
        <v>6.6368309807181142E-2</v>
      </c>
      <c r="F280">
        <v>2.8583699999999999</v>
      </c>
      <c r="G280">
        <f>(Table211315[[#This Row],[time]]-2)*2</f>
        <v>1.7167399999999997</v>
      </c>
      <c r="H280">
        <v>99.306799999999996</v>
      </c>
      <c r="I280">
        <v>20.0655</v>
      </c>
      <c r="J280">
        <f>Table211315[[#This Row],[CFNM]]/Table211315[[#This Row],[CAREA]]</f>
        <v>0.20205564976416521</v>
      </c>
      <c r="K280">
        <v>2.8583699999999999</v>
      </c>
      <c r="L280">
        <f>(Table312316[[#This Row],[time]]-2)*2</f>
        <v>1.7167399999999997</v>
      </c>
      <c r="M280">
        <v>79.359399999999994</v>
      </c>
      <c r="N280">
        <v>2.6739099999999998</v>
      </c>
      <c r="O280">
        <f>Table312316[[#This Row],[CFNM]]/Table312316[[#This Row],[CAREA]]</f>
        <v>3.3693677119534672E-2</v>
      </c>
      <c r="P280">
        <v>2.8583699999999999</v>
      </c>
      <c r="Q280">
        <f>(Table413317[[#This Row],[time]]-2)*2</f>
        <v>1.7167399999999997</v>
      </c>
      <c r="R280">
        <v>89.685299999999998</v>
      </c>
      <c r="S280">
        <v>34.784599999999998</v>
      </c>
      <c r="T280">
        <f>Table413317[[#This Row],[CFNM]]/Table413317[[#This Row],[CAREA]]</f>
        <v>0.38785174381977872</v>
      </c>
      <c r="U280">
        <v>2.8583699999999999</v>
      </c>
      <c r="V280">
        <f>(Table514318[[#This Row],[time]]-2)*2</f>
        <v>1.7167399999999997</v>
      </c>
      <c r="W280">
        <v>66.204700000000003</v>
      </c>
      <c r="X280">
        <v>2.1270899999999999</v>
      </c>
      <c r="Y280">
        <f>Table514318[[#This Row],[CFNM]]/Table514318[[#This Row],[CAREA]]</f>
        <v>3.2128987821106354E-2</v>
      </c>
      <c r="Z280">
        <v>2.8583699999999999</v>
      </c>
      <c r="AA280">
        <f>(Table615319[[#This Row],[time]]-2)*2</f>
        <v>1.7167399999999997</v>
      </c>
      <c r="AB280">
        <v>93.291899999999998</v>
      </c>
      <c r="AC280">
        <v>60.3459</v>
      </c>
      <c r="AD280">
        <f>Table615319[[#This Row],[CFNM]]/Table615319[[#This Row],[CAREA]]</f>
        <v>0.64685036964623943</v>
      </c>
      <c r="AE280">
        <v>2.8583699999999999</v>
      </c>
      <c r="AF280">
        <f>(Table716320[[#This Row],[time]]-2)*2</f>
        <v>1.7167399999999997</v>
      </c>
      <c r="AG280">
        <v>72.205100000000002</v>
      </c>
      <c r="AH280">
        <v>13.536</v>
      </c>
      <c r="AI280">
        <f>Table716320[[#This Row],[CFNM]]/Table716320[[#This Row],[CAREA]]</f>
        <v>0.18746598231980843</v>
      </c>
      <c r="AJ280">
        <v>2.8583699999999999</v>
      </c>
      <c r="AK280">
        <f>(Table817321[[#This Row],[time]]-2)*2</f>
        <v>1.7167399999999997</v>
      </c>
      <c r="AL280">
        <v>76.112799999999993</v>
      </c>
      <c r="AM280">
        <v>65.6036</v>
      </c>
      <c r="AN280">
        <f>Table817321[[#This Row],[CFNM]]/Table817321[[#This Row],[CAREA]]</f>
        <v>0.86192598354021932</v>
      </c>
    </row>
    <row r="281" spans="1:40" x14ac:dyDescent="0.25">
      <c r="A281">
        <v>2.9134199999999999</v>
      </c>
      <c r="B281">
        <f>(Table110314[[#This Row],[time]]-2)*2</f>
        <v>1.8268399999999998</v>
      </c>
      <c r="C281">
        <v>81.001499999999993</v>
      </c>
      <c r="D281">
        <v>5.4781300000000002</v>
      </c>
      <c r="E281">
        <f>Table110314[[#This Row],[CFNM]]/Table110314[[#This Row],[CAREA]]</f>
        <v>6.7629982160824192E-2</v>
      </c>
      <c r="F281">
        <v>2.9134199999999999</v>
      </c>
      <c r="G281">
        <f>(Table211315[[#This Row],[time]]-2)*2</f>
        <v>1.8268399999999998</v>
      </c>
      <c r="H281">
        <v>101.104</v>
      </c>
      <c r="I281">
        <v>22.063400000000001</v>
      </c>
      <c r="J281">
        <f>Table211315[[#This Row],[CFNM]]/Table211315[[#This Row],[CAREA]]</f>
        <v>0.21822479822756766</v>
      </c>
      <c r="K281">
        <v>2.9134199999999999</v>
      </c>
      <c r="L281">
        <f>(Table312316[[#This Row],[time]]-2)*2</f>
        <v>1.8268399999999998</v>
      </c>
      <c r="M281">
        <v>78.356999999999999</v>
      </c>
      <c r="N281">
        <v>2.3954300000000002</v>
      </c>
      <c r="O281">
        <f>Table312316[[#This Row],[CFNM]]/Table312316[[#This Row],[CAREA]]</f>
        <v>3.0570721186364974E-2</v>
      </c>
      <c r="P281">
        <v>2.9134199999999999</v>
      </c>
      <c r="Q281">
        <f>(Table413317[[#This Row],[time]]-2)*2</f>
        <v>1.8268399999999998</v>
      </c>
      <c r="R281">
        <v>89.255600000000001</v>
      </c>
      <c r="S281">
        <v>37.611499999999999</v>
      </c>
      <c r="T281">
        <f>Table413317[[#This Row],[CFNM]]/Table413317[[#This Row],[CAREA]]</f>
        <v>0.42139092673176809</v>
      </c>
      <c r="U281">
        <v>2.9134199999999999</v>
      </c>
      <c r="V281">
        <f>(Table514318[[#This Row],[time]]-2)*2</f>
        <v>1.8268399999999998</v>
      </c>
      <c r="W281">
        <v>64.980199999999996</v>
      </c>
      <c r="X281">
        <v>1.55803</v>
      </c>
      <c r="Y281">
        <f>Table514318[[#This Row],[CFNM]]/Table514318[[#This Row],[CAREA]]</f>
        <v>2.3976996069571963E-2</v>
      </c>
      <c r="Z281">
        <v>2.9134199999999999</v>
      </c>
      <c r="AA281">
        <f>(Table615319[[#This Row],[time]]-2)*2</f>
        <v>1.8268399999999998</v>
      </c>
      <c r="AB281">
        <v>92.9</v>
      </c>
      <c r="AC281">
        <v>63.698500000000003</v>
      </c>
      <c r="AD281">
        <f>Table615319[[#This Row],[CFNM]]/Table615319[[#This Row],[CAREA]]</f>
        <v>0.68566738428417651</v>
      </c>
      <c r="AE281">
        <v>2.9134199999999999</v>
      </c>
      <c r="AF281">
        <f>(Table716320[[#This Row],[time]]-2)*2</f>
        <v>1.8268399999999998</v>
      </c>
      <c r="AG281">
        <v>70.959299999999999</v>
      </c>
      <c r="AH281">
        <v>12.895899999999999</v>
      </c>
      <c r="AI281">
        <f>Table716320[[#This Row],[CFNM]]/Table716320[[#This Row],[CAREA]]</f>
        <v>0.18173657293688072</v>
      </c>
      <c r="AJ281">
        <v>2.9134199999999999</v>
      </c>
      <c r="AK281">
        <f>(Table817321[[#This Row],[time]]-2)*2</f>
        <v>1.8268399999999998</v>
      </c>
      <c r="AL281">
        <v>75.302099999999996</v>
      </c>
      <c r="AM281">
        <v>69.188599999999994</v>
      </c>
      <c r="AN281">
        <f>Table817321[[#This Row],[CFNM]]/Table817321[[#This Row],[CAREA]]</f>
        <v>0.91881368514291095</v>
      </c>
    </row>
    <row r="282" spans="1:40" x14ac:dyDescent="0.25">
      <c r="A282">
        <v>2.9619599999999999</v>
      </c>
      <c r="B282">
        <f>(Table110314[[#This Row],[time]]-2)*2</f>
        <v>1.9239199999999999</v>
      </c>
      <c r="C282">
        <v>80.111999999999995</v>
      </c>
      <c r="D282">
        <v>5.4515900000000004</v>
      </c>
      <c r="E282">
        <f>Table110314[[#This Row],[CFNM]]/Table110314[[#This Row],[CAREA]]</f>
        <v>6.8049605552226888E-2</v>
      </c>
      <c r="F282">
        <v>2.9619599999999999</v>
      </c>
      <c r="G282">
        <f>(Table211315[[#This Row],[time]]-2)*2</f>
        <v>1.9239199999999999</v>
      </c>
      <c r="H282">
        <v>101.726</v>
      </c>
      <c r="I282">
        <v>23.3127</v>
      </c>
      <c r="J282">
        <f>Table211315[[#This Row],[CFNM]]/Table211315[[#This Row],[CAREA]]</f>
        <v>0.22917149991152705</v>
      </c>
      <c r="K282">
        <v>2.9619599999999999</v>
      </c>
      <c r="L282">
        <f>(Table312316[[#This Row],[time]]-2)*2</f>
        <v>1.9239199999999999</v>
      </c>
      <c r="M282">
        <v>76.948499999999996</v>
      </c>
      <c r="N282">
        <v>2.2339199999999999</v>
      </c>
      <c r="O282">
        <f>Table312316[[#This Row],[CFNM]]/Table312316[[#This Row],[CAREA]]</f>
        <v>2.9031365133823272E-2</v>
      </c>
      <c r="P282">
        <v>2.9619599999999999</v>
      </c>
      <c r="Q282">
        <f>(Table413317[[#This Row],[time]]-2)*2</f>
        <v>1.9239199999999999</v>
      </c>
      <c r="R282">
        <v>88.9392</v>
      </c>
      <c r="S282">
        <v>39.348500000000001</v>
      </c>
      <c r="T282">
        <f>Table413317[[#This Row],[CFNM]]/Table413317[[#This Row],[CAREA]]</f>
        <v>0.44242021515822044</v>
      </c>
      <c r="U282">
        <v>2.9619599999999999</v>
      </c>
      <c r="V282">
        <f>(Table514318[[#This Row],[time]]-2)*2</f>
        <v>1.9239199999999999</v>
      </c>
      <c r="W282">
        <v>64.4773</v>
      </c>
      <c r="X282">
        <v>1.21505</v>
      </c>
      <c r="Y282">
        <f>Table514318[[#This Row],[CFNM]]/Table514318[[#This Row],[CAREA]]</f>
        <v>1.8844616632520281E-2</v>
      </c>
      <c r="Z282">
        <v>2.9619599999999999</v>
      </c>
      <c r="AA282">
        <f>(Table615319[[#This Row],[time]]-2)*2</f>
        <v>1.9239199999999999</v>
      </c>
      <c r="AB282">
        <v>92.555800000000005</v>
      </c>
      <c r="AC282">
        <v>65.722300000000004</v>
      </c>
      <c r="AD282">
        <f>Table615319[[#This Row],[CFNM]]/Table615319[[#This Row],[CAREA]]</f>
        <v>0.71008299858031587</v>
      </c>
      <c r="AE282">
        <v>2.9619599999999999</v>
      </c>
      <c r="AF282">
        <f>(Table716320[[#This Row],[time]]-2)*2</f>
        <v>1.9239199999999999</v>
      </c>
      <c r="AG282">
        <v>70.743099999999998</v>
      </c>
      <c r="AH282">
        <v>12.484999999999999</v>
      </c>
      <c r="AI282">
        <f>Table716320[[#This Row],[CFNM]]/Table716320[[#This Row],[CAREA]]</f>
        <v>0.17648364292772015</v>
      </c>
      <c r="AJ282">
        <v>2.9619599999999999</v>
      </c>
      <c r="AK282">
        <f>(Table817321[[#This Row],[time]]-2)*2</f>
        <v>1.9239199999999999</v>
      </c>
      <c r="AL282">
        <v>74.842500000000001</v>
      </c>
      <c r="AM282">
        <v>71.353700000000003</v>
      </c>
      <c r="AN282">
        <f>Table817321[[#This Row],[CFNM]]/Table817321[[#This Row],[CAREA]]</f>
        <v>0.95338477469352312</v>
      </c>
    </row>
    <row r="283" spans="1:40" x14ac:dyDescent="0.25">
      <c r="A283">
        <v>3</v>
      </c>
      <c r="B283">
        <f>(Table110314[[#This Row],[time]]-2)*2</f>
        <v>2</v>
      </c>
      <c r="C283">
        <v>77.818299999999994</v>
      </c>
      <c r="D283">
        <v>5.3538899999999998</v>
      </c>
      <c r="E283">
        <f>Table110314[[#This Row],[CFNM]]/Table110314[[#This Row],[CAREA]]</f>
        <v>6.8799883831952124E-2</v>
      </c>
      <c r="F283">
        <v>3</v>
      </c>
      <c r="G283">
        <f>(Table211315[[#This Row],[time]]-2)*2</f>
        <v>2</v>
      </c>
      <c r="H283">
        <v>103.021</v>
      </c>
      <c r="I283">
        <v>25.006499999999999</v>
      </c>
      <c r="J283">
        <f>Table211315[[#This Row],[CFNM]]/Table211315[[#This Row],[CAREA]]</f>
        <v>0.24273206433639744</v>
      </c>
      <c r="K283">
        <v>3</v>
      </c>
      <c r="L283">
        <f>(Table312316[[#This Row],[time]]-2)*2</f>
        <v>2</v>
      </c>
      <c r="M283">
        <v>76.883899999999997</v>
      </c>
      <c r="N283">
        <v>2.0015700000000001</v>
      </c>
      <c r="O283">
        <f>Table312316[[#This Row],[CFNM]]/Table312316[[#This Row],[CAREA]]</f>
        <v>2.6033668947595012E-2</v>
      </c>
      <c r="P283">
        <v>3</v>
      </c>
      <c r="Q283">
        <f>(Table413317[[#This Row],[time]]-2)*2</f>
        <v>2</v>
      </c>
      <c r="R283">
        <v>88.500100000000003</v>
      </c>
      <c r="S283">
        <v>41.641300000000001</v>
      </c>
      <c r="T283">
        <f>Table413317[[#This Row],[CFNM]]/Table413317[[#This Row],[CAREA]]</f>
        <v>0.47052263217781676</v>
      </c>
      <c r="U283">
        <v>3</v>
      </c>
      <c r="V283">
        <f>(Table514318[[#This Row],[time]]-2)*2</f>
        <v>2</v>
      </c>
      <c r="W283">
        <v>63.840899999999998</v>
      </c>
      <c r="X283">
        <v>0.77421899999999999</v>
      </c>
      <c r="Y283">
        <f>Table514318[[#This Row],[CFNM]]/Table514318[[#This Row],[CAREA]]</f>
        <v>1.2127319633651781E-2</v>
      </c>
      <c r="Z283">
        <v>3</v>
      </c>
      <c r="AA283">
        <f>(Table615319[[#This Row],[time]]-2)*2</f>
        <v>2</v>
      </c>
      <c r="AB283">
        <v>92.162800000000004</v>
      </c>
      <c r="AC283">
        <v>68.410200000000003</v>
      </c>
      <c r="AD283">
        <f>Table615319[[#This Row],[CFNM]]/Table615319[[#This Row],[CAREA]]</f>
        <v>0.7422756253065228</v>
      </c>
      <c r="AE283">
        <v>3</v>
      </c>
      <c r="AF283">
        <f>(Table716320[[#This Row],[time]]-2)*2</f>
        <v>2</v>
      </c>
      <c r="AG283">
        <v>70.4619</v>
      </c>
      <c r="AH283">
        <v>11.934699999999999</v>
      </c>
      <c r="AI283">
        <f>Table716320[[#This Row],[CFNM]]/Table716320[[#This Row],[CAREA]]</f>
        <v>0.16937806105143347</v>
      </c>
      <c r="AJ283">
        <v>3</v>
      </c>
      <c r="AK283">
        <f>(Table817321[[#This Row],[time]]-2)*2</f>
        <v>2</v>
      </c>
      <c r="AL283">
        <v>74.289599999999993</v>
      </c>
      <c r="AM283">
        <v>74.139600000000002</v>
      </c>
      <c r="AN283">
        <f>Table817321[[#This Row],[CFNM]]/Table817321[[#This Row],[CAREA]]</f>
        <v>0.99798087484654663</v>
      </c>
    </row>
    <row r="286" spans="1:40" x14ac:dyDescent="0.25">
      <c r="A286" s="1" t="s">
        <v>23</v>
      </c>
    </row>
    <row r="287" spans="1:40" x14ac:dyDescent="0.25">
      <c r="A287" t="s">
        <v>49</v>
      </c>
      <c r="F287" t="s">
        <v>1</v>
      </c>
    </row>
    <row r="288" spans="1:40" x14ac:dyDescent="0.25">
      <c r="F288" t="s">
        <v>2</v>
      </c>
      <c r="G288" t="s">
        <v>3</v>
      </c>
    </row>
    <row r="291" spans="1:40" x14ac:dyDescent="0.25">
      <c r="A291" t="s">
        <v>5</v>
      </c>
      <c r="F291" t="s">
        <v>6</v>
      </c>
      <c r="K291" t="s">
        <v>7</v>
      </c>
      <c r="P291" t="s">
        <v>19</v>
      </c>
      <c r="U291" t="s">
        <v>8</v>
      </c>
      <c r="Z291" t="s">
        <v>9</v>
      </c>
      <c r="AE291" t="s">
        <v>10</v>
      </c>
      <c r="AJ291" t="s">
        <v>11</v>
      </c>
    </row>
    <row r="292" spans="1:40" x14ac:dyDescent="0.25">
      <c r="A292" t="s">
        <v>12</v>
      </c>
      <c r="B292" t="s">
        <v>13</v>
      </c>
      <c r="C292" t="s">
        <v>17</v>
      </c>
      <c r="D292" t="s">
        <v>15</v>
      </c>
      <c r="E292" t="s">
        <v>16</v>
      </c>
      <c r="F292" t="s">
        <v>12</v>
      </c>
      <c r="G292" t="s">
        <v>13</v>
      </c>
      <c r="H292" t="s">
        <v>17</v>
      </c>
      <c r="I292" t="s">
        <v>15</v>
      </c>
      <c r="J292" t="s">
        <v>16</v>
      </c>
      <c r="K292" t="s">
        <v>12</v>
      </c>
      <c r="L292" t="s">
        <v>13</v>
      </c>
      <c r="M292" t="s">
        <v>17</v>
      </c>
      <c r="N292" t="s">
        <v>15</v>
      </c>
      <c r="O292" t="s">
        <v>16</v>
      </c>
      <c r="P292" t="s">
        <v>12</v>
      </c>
      <c r="Q292" t="s">
        <v>13</v>
      </c>
      <c r="R292" t="s">
        <v>17</v>
      </c>
      <c r="S292" t="s">
        <v>15</v>
      </c>
      <c r="T292" t="s">
        <v>16</v>
      </c>
      <c r="U292" t="s">
        <v>12</v>
      </c>
      <c r="V292" t="s">
        <v>13</v>
      </c>
      <c r="W292" t="s">
        <v>17</v>
      </c>
      <c r="X292" t="s">
        <v>15</v>
      </c>
      <c r="Y292" t="s">
        <v>16</v>
      </c>
      <c r="Z292" t="s">
        <v>12</v>
      </c>
      <c r="AA292" t="s">
        <v>13</v>
      </c>
      <c r="AB292" t="s">
        <v>17</v>
      </c>
      <c r="AC292" t="s">
        <v>15</v>
      </c>
      <c r="AD292" t="s">
        <v>16</v>
      </c>
      <c r="AE292" t="s">
        <v>12</v>
      </c>
      <c r="AF292" t="s">
        <v>13</v>
      </c>
      <c r="AG292" t="s">
        <v>17</v>
      </c>
      <c r="AH292" t="s">
        <v>15</v>
      </c>
      <c r="AI292" t="s">
        <v>16</v>
      </c>
      <c r="AJ292" t="s">
        <v>12</v>
      </c>
      <c r="AK292" t="s">
        <v>13</v>
      </c>
      <c r="AL292" t="s">
        <v>17</v>
      </c>
      <c r="AM292" t="s">
        <v>15</v>
      </c>
      <c r="AN292" t="s">
        <v>16</v>
      </c>
    </row>
    <row r="293" spans="1:40" x14ac:dyDescent="0.25">
      <c r="A293">
        <v>2</v>
      </c>
      <c r="B293">
        <f>-(Table1322[[#This Row],[time]]-2)*2</f>
        <v>0</v>
      </c>
      <c r="C293">
        <v>80.561099999999996</v>
      </c>
      <c r="D293">
        <v>3.98237</v>
      </c>
      <c r="E293" s="2">
        <f>Table1322[[#This Row],[CFNM]]/Table1322[[#This Row],[CAREA]]</f>
        <v>4.9432914893168048E-2</v>
      </c>
      <c r="F293">
        <v>2</v>
      </c>
      <c r="G293">
        <f>-(Table2323[[#This Row],[time]]-2)*2</f>
        <v>0</v>
      </c>
      <c r="H293">
        <v>87.831800000000001</v>
      </c>
      <c r="I293">
        <v>3.8491799999999998E-3</v>
      </c>
      <c r="J293" s="2">
        <f>Table2323[[#This Row],[CFNM]]/Table2323[[#This Row],[CAREA]]</f>
        <v>4.38244462711683E-5</v>
      </c>
      <c r="K293">
        <v>2</v>
      </c>
      <c r="L293">
        <f>-(Table3324[[#This Row],[time]]-2)*2</f>
        <v>0</v>
      </c>
      <c r="M293">
        <v>85.166700000000006</v>
      </c>
      <c r="N293">
        <v>3.70054E-3</v>
      </c>
      <c r="O293">
        <f>Table3324[[#This Row],[CFNM]]/Table3324[[#This Row],[CAREA]]</f>
        <v>4.3450550508590793E-5</v>
      </c>
      <c r="P293">
        <v>2</v>
      </c>
      <c r="Q293">
        <f>-(Table4325[[#This Row],[time]]-2)*2</f>
        <v>0</v>
      </c>
      <c r="R293">
        <v>79.101699999999994</v>
      </c>
      <c r="S293">
        <v>4.5258399999999997E-3</v>
      </c>
      <c r="T293">
        <f>Table4325[[#This Row],[CFNM]]/Table4325[[#This Row],[CAREA]]</f>
        <v>5.7215458074858061E-5</v>
      </c>
      <c r="U293">
        <v>2</v>
      </c>
      <c r="V293">
        <f>-(Table5326[[#This Row],[time]]-2)*2</f>
        <v>0</v>
      </c>
      <c r="W293">
        <v>83.227699999999999</v>
      </c>
      <c r="X293">
        <v>3.5063499999999999</v>
      </c>
      <c r="Y293">
        <f>Table5326[[#This Row],[CFNM]]/Table5326[[#This Row],[CAREA]]</f>
        <v>4.2129603485378066E-2</v>
      </c>
      <c r="Z293">
        <v>2</v>
      </c>
      <c r="AA293">
        <f>-(Table6327[[#This Row],[time]]-2)*2</f>
        <v>0</v>
      </c>
      <c r="AB293">
        <v>84.265900000000002</v>
      </c>
      <c r="AC293">
        <v>6.2742399999999998</v>
      </c>
      <c r="AD293">
        <f>Table6327[[#This Row],[CFNM]]/Table6327[[#This Row],[CAREA]]</f>
        <v>7.4457639448460164E-2</v>
      </c>
      <c r="AE293">
        <v>2</v>
      </c>
      <c r="AF293">
        <f>-(Table7328[[#This Row],[time]]-2)*2</f>
        <v>0</v>
      </c>
      <c r="AG293">
        <v>78.459999999999994</v>
      </c>
      <c r="AH293">
        <v>14.707599999999999</v>
      </c>
      <c r="AI293">
        <f>Table7328[[#This Row],[CFNM]]/Table7328[[#This Row],[CAREA]]</f>
        <v>0.1874534794799898</v>
      </c>
      <c r="AJ293">
        <v>2</v>
      </c>
      <c r="AK293">
        <f>-(Table8329[[#This Row],[time]]-2)*2</f>
        <v>0</v>
      </c>
      <c r="AL293">
        <v>83.006</v>
      </c>
      <c r="AM293">
        <v>14.6488</v>
      </c>
      <c r="AN293">
        <f>Table8329[[#This Row],[CFNM]]/Table8329[[#This Row],[CAREA]]</f>
        <v>0.17647880876081246</v>
      </c>
    </row>
    <row r="294" spans="1:40" x14ac:dyDescent="0.25">
      <c r="A294">
        <v>2.0512600000000001</v>
      </c>
      <c r="B294">
        <f>-(Table1322[[#This Row],[time]]-2)*2</f>
        <v>-0.10252000000000017</v>
      </c>
      <c r="C294">
        <v>91.135999999999996</v>
      </c>
      <c r="D294">
        <v>11.307700000000001</v>
      </c>
      <c r="E294">
        <f>Table1322[[#This Row],[CFNM]]/Table1322[[#This Row],[CAREA]]</f>
        <v>0.1240750087780899</v>
      </c>
      <c r="F294">
        <v>2.0512600000000001</v>
      </c>
      <c r="G294">
        <f>-(Table2323[[#This Row],[time]]-2)*2</f>
        <v>-0.10252000000000017</v>
      </c>
      <c r="H294">
        <v>94.513499999999993</v>
      </c>
      <c r="I294">
        <v>2.4047900000000002</v>
      </c>
      <c r="J294">
        <f>Table2323[[#This Row],[CFNM]]/Table2323[[#This Row],[CAREA]]</f>
        <v>2.5443878387743552E-2</v>
      </c>
      <c r="K294">
        <v>2.0512600000000001</v>
      </c>
      <c r="L294">
        <f>-(Table3324[[#This Row],[time]]-2)*2</f>
        <v>-0.10252000000000017</v>
      </c>
      <c r="M294">
        <v>90.134600000000006</v>
      </c>
      <c r="N294">
        <v>4.84138</v>
      </c>
      <c r="O294">
        <f>Table3324[[#This Row],[CFNM]]/Table3324[[#This Row],[CAREA]]</f>
        <v>5.3712780663585348E-2</v>
      </c>
      <c r="P294">
        <v>2.0512600000000001</v>
      </c>
      <c r="Q294">
        <f>-(Table4325[[#This Row],[time]]-2)*2</f>
        <v>-0.10252000000000017</v>
      </c>
      <c r="R294">
        <v>84.268299999999996</v>
      </c>
      <c r="S294">
        <v>5.0015900000000002</v>
      </c>
      <c r="T294">
        <f>Table4325[[#This Row],[CFNM]]/Table4325[[#This Row],[CAREA]]</f>
        <v>5.9353161271794977E-2</v>
      </c>
      <c r="U294">
        <v>2.0512600000000001</v>
      </c>
      <c r="V294">
        <f>-(Table5326[[#This Row],[time]]-2)*2</f>
        <v>-0.10252000000000017</v>
      </c>
      <c r="W294">
        <v>82.762500000000003</v>
      </c>
      <c r="X294">
        <v>9.8971999999999998</v>
      </c>
      <c r="Y294">
        <f>Table5326[[#This Row],[CFNM]]/Table5326[[#This Row],[CAREA]]</f>
        <v>0.1195855610934904</v>
      </c>
      <c r="Z294">
        <v>2.0512600000000001</v>
      </c>
      <c r="AA294">
        <f>-(Table6327[[#This Row],[time]]-2)*2</f>
        <v>-0.10252000000000017</v>
      </c>
      <c r="AB294">
        <v>86.912400000000005</v>
      </c>
      <c r="AC294">
        <v>10.855600000000001</v>
      </c>
      <c r="AD294">
        <f>Table6327[[#This Row],[CFNM]]/Table6327[[#This Row],[CAREA]]</f>
        <v>0.12490277566837414</v>
      </c>
      <c r="AE294">
        <v>2.0512600000000001</v>
      </c>
      <c r="AF294">
        <f>-(Table7328[[#This Row],[time]]-2)*2</f>
        <v>-0.10252000000000017</v>
      </c>
      <c r="AG294">
        <v>79.772099999999995</v>
      </c>
      <c r="AH294">
        <v>20.752800000000001</v>
      </c>
      <c r="AI294">
        <f>Table7328[[#This Row],[CFNM]]/Table7328[[#This Row],[CAREA]]</f>
        <v>0.26015110546168402</v>
      </c>
      <c r="AJ294">
        <v>2.0512600000000001</v>
      </c>
      <c r="AK294">
        <f>-(Table8329[[#This Row],[time]]-2)*2</f>
        <v>-0.10252000000000017</v>
      </c>
      <c r="AL294">
        <v>82.911100000000005</v>
      </c>
      <c r="AM294">
        <v>17.9285</v>
      </c>
      <c r="AN294">
        <f>Table8329[[#This Row],[CFNM]]/Table8329[[#This Row],[CAREA]]</f>
        <v>0.21623763283806388</v>
      </c>
    </row>
    <row r="295" spans="1:40" x14ac:dyDescent="0.25">
      <c r="A295">
        <v>2.1153300000000002</v>
      </c>
      <c r="B295">
        <f>-(Table1322[[#This Row],[time]]-2)*2</f>
        <v>-0.23066000000000031</v>
      </c>
      <c r="C295">
        <v>91.001300000000001</v>
      </c>
      <c r="D295">
        <v>11.767300000000001</v>
      </c>
      <c r="E295">
        <f>Table1322[[#This Row],[CFNM]]/Table1322[[#This Row],[CAREA]]</f>
        <v>0.12930914173753563</v>
      </c>
      <c r="F295">
        <v>2.1153300000000002</v>
      </c>
      <c r="G295">
        <f>-(Table2323[[#This Row],[time]]-2)*2</f>
        <v>-0.23066000000000031</v>
      </c>
      <c r="H295">
        <v>93.805899999999994</v>
      </c>
      <c r="I295">
        <v>1.9753000000000001</v>
      </c>
      <c r="J295">
        <f>Table2323[[#This Row],[CFNM]]/Table2323[[#This Row],[CAREA]]</f>
        <v>2.1057310894090884E-2</v>
      </c>
      <c r="K295">
        <v>2.1153300000000002</v>
      </c>
      <c r="L295">
        <f>-(Table3324[[#This Row],[time]]-2)*2</f>
        <v>-0.23066000000000031</v>
      </c>
      <c r="M295">
        <v>90.279600000000002</v>
      </c>
      <c r="N295">
        <v>5.83223</v>
      </c>
      <c r="O295">
        <f>Table3324[[#This Row],[CFNM]]/Table3324[[#This Row],[CAREA]]</f>
        <v>6.4601859113243745E-2</v>
      </c>
      <c r="P295">
        <v>2.1153300000000002</v>
      </c>
      <c r="Q295">
        <f>-(Table4325[[#This Row],[time]]-2)*2</f>
        <v>-0.23066000000000031</v>
      </c>
      <c r="R295">
        <v>82.399600000000007</v>
      </c>
      <c r="S295">
        <v>4.7114799999999999</v>
      </c>
      <c r="T295">
        <f>Table4325[[#This Row],[CFNM]]/Table4325[[#This Row],[CAREA]]</f>
        <v>5.7178432905014093E-2</v>
      </c>
      <c r="U295">
        <v>2.1153300000000002</v>
      </c>
      <c r="V295">
        <f>-(Table5326[[#This Row],[time]]-2)*2</f>
        <v>-0.23066000000000031</v>
      </c>
      <c r="W295">
        <v>83.623599999999996</v>
      </c>
      <c r="X295">
        <v>10.712400000000001</v>
      </c>
      <c r="Y295">
        <f>Table5326[[#This Row],[CFNM]]/Table5326[[#This Row],[CAREA]]</f>
        <v>0.12810259304789559</v>
      </c>
      <c r="Z295">
        <v>2.1153300000000002</v>
      </c>
      <c r="AA295">
        <f>-(Table6327[[#This Row],[time]]-2)*2</f>
        <v>-0.23066000000000031</v>
      </c>
      <c r="AB295">
        <v>85.007000000000005</v>
      </c>
      <c r="AC295">
        <v>8.2824500000000008</v>
      </c>
      <c r="AD295">
        <f>Table6327[[#This Row],[CFNM]]/Table6327[[#This Row],[CAREA]]</f>
        <v>9.7432564377051306E-2</v>
      </c>
      <c r="AE295">
        <v>2.1153300000000002</v>
      </c>
      <c r="AF295">
        <f>-(Table7328[[#This Row],[time]]-2)*2</f>
        <v>-0.23066000000000031</v>
      </c>
      <c r="AG295">
        <v>80.262100000000004</v>
      </c>
      <c r="AH295">
        <v>21.869199999999999</v>
      </c>
      <c r="AI295">
        <f>Table7328[[#This Row],[CFNM]]/Table7328[[#This Row],[CAREA]]</f>
        <v>0.27247231258589044</v>
      </c>
      <c r="AJ295">
        <v>2.1153300000000002</v>
      </c>
      <c r="AK295">
        <f>-(Table8329[[#This Row],[time]]-2)*2</f>
        <v>-0.23066000000000031</v>
      </c>
      <c r="AL295">
        <v>82.734499999999997</v>
      </c>
      <c r="AM295">
        <v>17.1614</v>
      </c>
      <c r="AN295">
        <f>Table8329[[#This Row],[CFNM]]/Table8329[[#This Row],[CAREA]]</f>
        <v>0.20742737310311904</v>
      </c>
    </row>
    <row r="296" spans="1:40" x14ac:dyDescent="0.25">
      <c r="A296">
        <v>2.16533</v>
      </c>
      <c r="B296">
        <f>-(Table1322[[#This Row],[time]]-2)*2</f>
        <v>-0.33065999999999995</v>
      </c>
      <c r="C296">
        <v>91.431399999999996</v>
      </c>
      <c r="D296">
        <v>12.335900000000001</v>
      </c>
      <c r="E296">
        <f>Table1322[[#This Row],[CFNM]]/Table1322[[#This Row],[CAREA]]</f>
        <v>0.13491973217078598</v>
      </c>
      <c r="F296">
        <v>2.16533</v>
      </c>
      <c r="G296">
        <f>-(Table2323[[#This Row],[time]]-2)*2</f>
        <v>-0.33065999999999995</v>
      </c>
      <c r="H296">
        <v>92.870400000000004</v>
      </c>
      <c r="I296">
        <v>1.56227</v>
      </c>
      <c r="J296">
        <f>Table2323[[#This Row],[CFNM]]/Table2323[[#This Row],[CAREA]]</f>
        <v>1.682204448349528E-2</v>
      </c>
      <c r="K296">
        <v>2.16533</v>
      </c>
      <c r="L296">
        <f>-(Table3324[[#This Row],[time]]-2)*2</f>
        <v>-0.33065999999999995</v>
      </c>
      <c r="M296">
        <v>90.4559</v>
      </c>
      <c r="N296">
        <v>6.9296499999999996</v>
      </c>
      <c r="O296">
        <f>Table3324[[#This Row],[CFNM]]/Table3324[[#This Row],[CAREA]]</f>
        <v>7.6608048783993077E-2</v>
      </c>
      <c r="P296">
        <v>2.16533</v>
      </c>
      <c r="Q296">
        <f>-(Table4325[[#This Row],[time]]-2)*2</f>
        <v>-0.33065999999999995</v>
      </c>
      <c r="R296">
        <v>81.6845</v>
      </c>
      <c r="S296">
        <v>4.5807599999999997</v>
      </c>
      <c r="T296">
        <f>Table4325[[#This Row],[CFNM]]/Table4325[[#This Row],[CAREA]]</f>
        <v>5.6078693020095612E-2</v>
      </c>
      <c r="U296">
        <v>2.16533</v>
      </c>
      <c r="V296">
        <f>-(Table5326[[#This Row],[time]]-2)*2</f>
        <v>-0.33065999999999995</v>
      </c>
      <c r="W296">
        <v>83.413200000000003</v>
      </c>
      <c r="X296">
        <v>11.595800000000001</v>
      </c>
      <c r="Y296">
        <f>Table5326[[#This Row],[CFNM]]/Table5326[[#This Row],[CAREA]]</f>
        <v>0.13901636671414117</v>
      </c>
      <c r="Z296">
        <v>2.16533</v>
      </c>
      <c r="AA296">
        <f>-(Table6327[[#This Row],[time]]-2)*2</f>
        <v>-0.33065999999999995</v>
      </c>
      <c r="AB296">
        <v>83.855699999999999</v>
      </c>
      <c r="AC296">
        <v>6.2398199999999999</v>
      </c>
      <c r="AD296">
        <f>Table6327[[#This Row],[CFNM]]/Table6327[[#This Row],[CAREA]]</f>
        <v>7.4411399582854837E-2</v>
      </c>
      <c r="AE296">
        <v>2.16533</v>
      </c>
      <c r="AF296">
        <f>-(Table7328[[#This Row],[time]]-2)*2</f>
        <v>-0.33065999999999995</v>
      </c>
      <c r="AG296">
        <v>80.5227</v>
      </c>
      <c r="AH296">
        <v>23.096399999999999</v>
      </c>
      <c r="AI296">
        <f>Table7328[[#This Row],[CFNM]]/Table7328[[#This Row],[CAREA]]</f>
        <v>0.28683091848633985</v>
      </c>
      <c r="AJ296">
        <v>2.16533</v>
      </c>
      <c r="AK296">
        <f>-(Table8329[[#This Row],[time]]-2)*2</f>
        <v>-0.33065999999999995</v>
      </c>
      <c r="AL296">
        <v>82.653999999999996</v>
      </c>
      <c r="AM296">
        <v>16.514600000000002</v>
      </c>
      <c r="AN296">
        <f>Table8329[[#This Row],[CFNM]]/Table8329[[#This Row],[CAREA]]</f>
        <v>0.19980400222614758</v>
      </c>
    </row>
    <row r="297" spans="1:40" x14ac:dyDescent="0.25">
      <c r="A297">
        <v>2.2246999999999999</v>
      </c>
      <c r="B297">
        <f>-(Table1322[[#This Row],[time]]-2)*2</f>
        <v>-0.4493999999999998</v>
      </c>
      <c r="C297">
        <v>93.315200000000004</v>
      </c>
      <c r="D297">
        <v>14.2141</v>
      </c>
      <c r="E297">
        <f>Table1322[[#This Row],[CFNM]]/Table1322[[#This Row],[CAREA]]</f>
        <v>0.15232352285586914</v>
      </c>
      <c r="F297">
        <v>2.2246999999999999</v>
      </c>
      <c r="G297">
        <f>-(Table2323[[#This Row],[time]]-2)*2</f>
        <v>-0.4493999999999998</v>
      </c>
      <c r="H297">
        <v>90.460300000000004</v>
      </c>
      <c r="I297">
        <v>1.4453400000000001</v>
      </c>
      <c r="J297">
        <f>Table2323[[#This Row],[CFNM]]/Table2323[[#This Row],[CAREA]]</f>
        <v>1.597761670036469E-2</v>
      </c>
      <c r="K297">
        <v>2.2246999999999999</v>
      </c>
      <c r="L297">
        <f>-(Table3324[[#This Row],[time]]-2)*2</f>
        <v>-0.4493999999999998</v>
      </c>
      <c r="M297">
        <v>90.450199999999995</v>
      </c>
      <c r="N297">
        <v>9.4230499999999999</v>
      </c>
      <c r="O297">
        <f>Table3324[[#This Row],[CFNM]]/Table3324[[#This Row],[CAREA]]</f>
        <v>0.10417942691116217</v>
      </c>
      <c r="P297">
        <v>2.2246999999999999</v>
      </c>
      <c r="Q297">
        <f>-(Table4325[[#This Row],[time]]-2)*2</f>
        <v>-0.4493999999999998</v>
      </c>
      <c r="R297">
        <v>79.988600000000005</v>
      </c>
      <c r="S297">
        <v>4.79148</v>
      </c>
      <c r="T297">
        <f>Table4325[[#This Row],[CFNM]]/Table4325[[#This Row],[CAREA]]</f>
        <v>5.9902036040135713E-2</v>
      </c>
      <c r="U297">
        <v>2.2246999999999999</v>
      </c>
      <c r="V297">
        <f>-(Table5326[[#This Row],[time]]-2)*2</f>
        <v>-0.4493999999999998</v>
      </c>
      <c r="W297">
        <v>84.204099999999997</v>
      </c>
      <c r="X297">
        <v>13.9368</v>
      </c>
      <c r="Y297">
        <f>Table5326[[#This Row],[CFNM]]/Table5326[[#This Row],[CAREA]]</f>
        <v>0.16551213064446982</v>
      </c>
      <c r="Z297">
        <v>2.2246999999999999</v>
      </c>
      <c r="AA297">
        <f>-(Table6327[[#This Row],[time]]-2)*2</f>
        <v>-0.4493999999999998</v>
      </c>
      <c r="AB297">
        <v>80.689300000000003</v>
      </c>
      <c r="AC297">
        <v>3.7610100000000002</v>
      </c>
      <c r="AD297">
        <f>Table6327[[#This Row],[CFNM]]/Table6327[[#This Row],[CAREA]]</f>
        <v>4.6611012860441225E-2</v>
      </c>
      <c r="AE297">
        <v>2.2246999999999999</v>
      </c>
      <c r="AF297">
        <f>-(Table7328[[#This Row],[time]]-2)*2</f>
        <v>-0.4493999999999998</v>
      </c>
      <c r="AG297">
        <v>79.993600000000001</v>
      </c>
      <c r="AH297">
        <v>25.732399999999998</v>
      </c>
      <c r="AI297">
        <f>Table7328[[#This Row],[CFNM]]/Table7328[[#This Row],[CAREA]]</f>
        <v>0.32168073445875667</v>
      </c>
      <c r="AJ297">
        <v>2.2246999999999999</v>
      </c>
      <c r="AK297">
        <f>-(Table8329[[#This Row],[time]]-2)*2</f>
        <v>-0.4493999999999998</v>
      </c>
      <c r="AL297">
        <v>82.501800000000003</v>
      </c>
      <c r="AM297">
        <v>15.2926</v>
      </c>
      <c r="AN297">
        <f>Table8329[[#This Row],[CFNM]]/Table8329[[#This Row],[CAREA]]</f>
        <v>0.18536080424911941</v>
      </c>
    </row>
    <row r="298" spans="1:40" x14ac:dyDescent="0.25">
      <c r="A298">
        <v>2.2668900000000001</v>
      </c>
      <c r="B298">
        <f>-(Table1322[[#This Row],[time]]-2)*2</f>
        <v>-0.53378000000000014</v>
      </c>
      <c r="C298">
        <v>94.642899999999997</v>
      </c>
      <c r="D298">
        <v>15.169</v>
      </c>
      <c r="E298">
        <f>Table1322[[#This Row],[CFNM]]/Table1322[[#This Row],[CAREA]]</f>
        <v>0.16027615383721336</v>
      </c>
      <c r="F298">
        <v>2.2668900000000001</v>
      </c>
      <c r="G298">
        <f>-(Table2323[[#This Row],[time]]-2)*2</f>
        <v>-0.53378000000000014</v>
      </c>
      <c r="H298">
        <v>89.664100000000005</v>
      </c>
      <c r="I298">
        <v>1.32687</v>
      </c>
      <c r="J298">
        <f>Table2323[[#This Row],[CFNM]]/Table2323[[#This Row],[CAREA]]</f>
        <v>1.4798230283915189E-2</v>
      </c>
      <c r="K298">
        <v>2.2668900000000001</v>
      </c>
      <c r="L298">
        <f>-(Table3324[[#This Row],[time]]-2)*2</f>
        <v>-0.53378000000000014</v>
      </c>
      <c r="M298">
        <v>90.241200000000006</v>
      </c>
      <c r="N298">
        <v>10.551500000000001</v>
      </c>
      <c r="O298">
        <f>Table3324[[#This Row],[CFNM]]/Table3324[[#This Row],[CAREA]]</f>
        <v>0.11692552847258236</v>
      </c>
      <c r="P298">
        <v>2.2668900000000001</v>
      </c>
      <c r="Q298">
        <f>-(Table4325[[#This Row],[time]]-2)*2</f>
        <v>-0.53378000000000014</v>
      </c>
      <c r="R298">
        <v>78.911000000000001</v>
      </c>
      <c r="S298">
        <v>4.8241899999999998</v>
      </c>
      <c r="T298">
        <f>Table4325[[#This Row],[CFNM]]/Table4325[[#This Row],[CAREA]]</f>
        <v>6.1134569324935682E-2</v>
      </c>
      <c r="U298">
        <v>2.2668900000000001</v>
      </c>
      <c r="V298">
        <f>-(Table5326[[#This Row],[time]]-2)*2</f>
        <v>-0.53378000000000014</v>
      </c>
      <c r="W298">
        <v>84.140699999999995</v>
      </c>
      <c r="X298">
        <v>15.0724</v>
      </c>
      <c r="Y298">
        <f>Table5326[[#This Row],[CFNM]]/Table5326[[#This Row],[CAREA]]</f>
        <v>0.17913328508082296</v>
      </c>
      <c r="Z298">
        <v>2.2668900000000001</v>
      </c>
      <c r="AA298">
        <f>-(Table6327[[#This Row],[time]]-2)*2</f>
        <v>-0.53378000000000014</v>
      </c>
      <c r="AB298">
        <v>79.992400000000004</v>
      </c>
      <c r="AC298">
        <v>3.1251699999999998</v>
      </c>
      <c r="AD298">
        <f>Table6327[[#This Row],[CFNM]]/Table6327[[#This Row],[CAREA]]</f>
        <v>3.9068336491966733E-2</v>
      </c>
      <c r="AE298">
        <v>2.2668900000000001</v>
      </c>
      <c r="AF298">
        <f>-(Table7328[[#This Row],[time]]-2)*2</f>
        <v>-0.53378000000000014</v>
      </c>
      <c r="AG298">
        <v>79.396299999999997</v>
      </c>
      <c r="AH298">
        <v>27.105399999999999</v>
      </c>
      <c r="AI298">
        <f>Table7328[[#This Row],[CFNM]]/Table7328[[#This Row],[CAREA]]</f>
        <v>0.34139374252956373</v>
      </c>
      <c r="AJ298">
        <v>2.2668900000000001</v>
      </c>
      <c r="AK298">
        <f>-(Table8329[[#This Row],[time]]-2)*2</f>
        <v>-0.53378000000000014</v>
      </c>
      <c r="AL298">
        <v>82.544899999999998</v>
      </c>
      <c r="AM298">
        <v>14.79</v>
      </c>
      <c r="AN298">
        <f>Table8329[[#This Row],[CFNM]]/Table8329[[#This Row],[CAREA]]</f>
        <v>0.17917521252070084</v>
      </c>
    </row>
    <row r="299" spans="1:40" x14ac:dyDescent="0.25">
      <c r="A299">
        <v>2.3262700000000001</v>
      </c>
      <c r="B299">
        <f>-(Table1322[[#This Row],[time]]-2)*2</f>
        <v>-0.65254000000000012</v>
      </c>
      <c r="C299">
        <v>95.582899999999995</v>
      </c>
      <c r="D299">
        <v>16.682200000000002</v>
      </c>
      <c r="E299">
        <f>Table1322[[#This Row],[CFNM]]/Table1322[[#This Row],[CAREA]]</f>
        <v>0.17453121845016215</v>
      </c>
      <c r="F299">
        <v>2.3262700000000001</v>
      </c>
      <c r="G299">
        <f>-(Table2323[[#This Row],[time]]-2)*2</f>
        <v>-0.65254000000000012</v>
      </c>
      <c r="H299">
        <v>88.826700000000002</v>
      </c>
      <c r="I299">
        <v>1.10345</v>
      </c>
      <c r="J299">
        <f>Table2323[[#This Row],[CFNM]]/Table2323[[#This Row],[CAREA]]</f>
        <v>1.2422503594077006E-2</v>
      </c>
      <c r="K299">
        <v>2.3262700000000001</v>
      </c>
      <c r="L299">
        <f>-(Table3324[[#This Row],[time]]-2)*2</f>
        <v>-0.65254000000000012</v>
      </c>
      <c r="M299">
        <v>89.897499999999994</v>
      </c>
      <c r="N299">
        <v>12.2052</v>
      </c>
      <c r="O299">
        <f>Table3324[[#This Row],[CFNM]]/Table3324[[#This Row],[CAREA]]</f>
        <v>0.13576795795211213</v>
      </c>
      <c r="P299">
        <v>2.3262700000000001</v>
      </c>
      <c r="Q299">
        <f>-(Table4325[[#This Row],[time]]-2)*2</f>
        <v>-0.65254000000000012</v>
      </c>
      <c r="R299">
        <v>78.504499999999993</v>
      </c>
      <c r="S299">
        <v>4.8168300000000004</v>
      </c>
      <c r="T299">
        <f>Table4325[[#This Row],[CFNM]]/Table4325[[#This Row],[CAREA]]</f>
        <v>6.1357374418027001E-2</v>
      </c>
      <c r="U299">
        <v>2.3262700000000001</v>
      </c>
      <c r="V299">
        <f>-(Table5326[[#This Row],[time]]-2)*2</f>
        <v>-0.65254000000000012</v>
      </c>
      <c r="W299">
        <v>84.665800000000004</v>
      </c>
      <c r="X299">
        <v>16.8887</v>
      </c>
      <c r="Y299">
        <f>Table5326[[#This Row],[CFNM]]/Table5326[[#This Row],[CAREA]]</f>
        <v>0.19947487651448401</v>
      </c>
      <c r="Z299">
        <v>2.3262700000000001</v>
      </c>
      <c r="AA299">
        <f>-(Table6327[[#This Row],[time]]-2)*2</f>
        <v>-0.65254000000000012</v>
      </c>
      <c r="AB299">
        <v>79.308999999999997</v>
      </c>
      <c r="AC299">
        <v>2.64845</v>
      </c>
      <c r="AD299">
        <f>Table6327[[#This Row],[CFNM]]/Table6327[[#This Row],[CAREA]]</f>
        <v>3.339406624721028E-2</v>
      </c>
      <c r="AE299">
        <v>2.3262700000000001</v>
      </c>
      <c r="AF299">
        <f>-(Table7328[[#This Row],[time]]-2)*2</f>
        <v>-0.65254000000000012</v>
      </c>
      <c r="AG299">
        <v>78.335999999999999</v>
      </c>
      <c r="AH299">
        <v>29.279800000000002</v>
      </c>
      <c r="AI299">
        <f>Table7328[[#This Row],[CFNM]]/Table7328[[#This Row],[CAREA]]</f>
        <v>0.37377195669934643</v>
      </c>
      <c r="AJ299">
        <v>2.3262700000000001</v>
      </c>
      <c r="AK299">
        <f>-(Table8329[[#This Row],[time]]-2)*2</f>
        <v>-0.65254000000000012</v>
      </c>
      <c r="AL299">
        <v>82.296800000000005</v>
      </c>
      <c r="AM299">
        <v>14.229699999999999</v>
      </c>
      <c r="AN299">
        <f>Table8329[[#This Row],[CFNM]]/Table8329[[#This Row],[CAREA]]</f>
        <v>0.1729070875173761</v>
      </c>
    </row>
    <row r="300" spans="1:40" x14ac:dyDescent="0.25">
      <c r="A300">
        <v>2.3684599999999998</v>
      </c>
      <c r="B300">
        <f>-(Table1322[[#This Row],[time]]-2)*2</f>
        <v>-0.73691999999999958</v>
      </c>
      <c r="C300">
        <v>97.451099999999997</v>
      </c>
      <c r="D300">
        <v>18.720700000000001</v>
      </c>
      <c r="E300">
        <f>Table1322[[#This Row],[CFNM]]/Table1322[[#This Row],[CAREA]]</f>
        <v>0.1921035267944641</v>
      </c>
      <c r="F300">
        <v>2.3684599999999998</v>
      </c>
      <c r="G300">
        <f>-(Table2323[[#This Row],[time]]-2)*2</f>
        <v>-0.73691999999999958</v>
      </c>
      <c r="H300">
        <v>87.4739</v>
      </c>
      <c r="I300">
        <v>0.79098000000000002</v>
      </c>
      <c r="J300">
        <f>Table2323[[#This Row],[CFNM]]/Table2323[[#This Row],[CAREA]]</f>
        <v>9.0424686677969095E-3</v>
      </c>
      <c r="K300">
        <v>2.3684599999999998</v>
      </c>
      <c r="L300">
        <f>-(Table3324[[#This Row],[time]]-2)*2</f>
        <v>-0.73691999999999958</v>
      </c>
      <c r="M300">
        <v>89.358000000000004</v>
      </c>
      <c r="N300">
        <v>14.1562</v>
      </c>
      <c r="O300">
        <f>Table3324[[#This Row],[CFNM]]/Table3324[[#This Row],[CAREA]]</f>
        <v>0.15842118221088206</v>
      </c>
      <c r="P300">
        <v>2.3684599999999998</v>
      </c>
      <c r="Q300">
        <f>-(Table4325[[#This Row],[time]]-2)*2</f>
        <v>-0.73691999999999958</v>
      </c>
      <c r="R300">
        <v>77.559899999999999</v>
      </c>
      <c r="S300">
        <v>4.8330299999999999</v>
      </c>
      <c r="T300">
        <f>Table4325[[#This Row],[CFNM]]/Table4325[[#This Row],[CAREA]]</f>
        <v>6.2313515102520763E-2</v>
      </c>
      <c r="U300">
        <v>2.3684599999999998</v>
      </c>
      <c r="V300">
        <f>-(Table5326[[#This Row],[time]]-2)*2</f>
        <v>-0.73691999999999958</v>
      </c>
      <c r="W300">
        <v>84.560299999999998</v>
      </c>
      <c r="X300">
        <v>19.124300000000002</v>
      </c>
      <c r="Y300">
        <f>Table5326[[#This Row],[CFNM]]/Table5326[[#This Row],[CAREA]]</f>
        <v>0.22616168580291227</v>
      </c>
      <c r="Z300">
        <v>2.3684599999999998</v>
      </c>
      <c r="AA300">
        <f>-(Table6327[[#This Row],[time]]-2)*2</f>
        <v>-0.73691999999999958</v>
      </c>
      <c r="AB300">
        <v>78.445800000000006</v>
      </c>
      <c r="AC300">
        <v>2.2556600000000002</v>
      </c>
      <c r="AD300">
        <f>Table6327[[#This Row],[CFNM]]/Table6327[[#This Row],[CAREA]]</f>
        <v>2.8754375632602382E-2</v>
      </c>
      <c r="AE300">
        <v>2.3684599999999998</v>
      </c>
      <c r="AF300">
        <f>-(Table7328[[#This Row],[time]]-2)*2</f>
        <v>-0.73691999999999958</v>
      </c>
      <c r="AG300">
        <v>77.089600000000004</v>
      </c>
      <c r="AH300">
        <v>31.878</v>
      </c>
      <c r="AI300">
        <f>Table7328[[#This Row],[CFNM]]/Table7328[[#This Row],[CAREA]]</f>
        <v>0.41351881447043437</v>
      </c>
      <c r="AJ300">
        <v>2.3684599999999998</v>
      </c>
      <c r="AK300">
        <f>-(Table8329[[#This Row],[time]]-2)*2</f>
        <v>-0.73691999999999958</v>
      </c>
      <c r="AL300">
        <v>82.470399999999998</v>
      </c>
      <c r="AM300">
        <v>13.589</v>
      </c>
      <c r="AN300">
        <f>Table8329[[#This Row],[CFNM]]/Table8329[[#This Row],[CAREA]]</f>
        <v>0.16477427052615243</v>
      </c>
    </row>
    <row r="301" spans="1:40" x14ac:dyDescent="0.25">
      <c r="A301">
        <v>2.4278300000000002</v>
      </c>
      <c r="B301">
        <f>-(Table1322[[#This Row],[time]]-2)*2</f>
        <v>-0.85566000000000031</v>
      </c>
      <c r="C301">
        <v>98.724299999999999</v>
      </c>
      <c r="D301">
        <v>21.531500000000001</v>
      </c>
      <c r="E301">
        <f>Table1322[[#This Row],[CFNM]]/Table1322[[#This Row],[CAREA]]</f>
        <v>0.21809726683298844</v>
      </c>
      <c r="F301">
        <v>2.4278300000000002</v>
      </c>
      <c r="G301">
        <f>-(Table2323[[#This Row],[time]]-2)*2</f>
        <v>-0.85566000000000031</v>
      </c>
      <c r="H301">
        <v>85.722800000000007</v>
      </c>
      <c r="I301">
        <v>0.50568199999999996</v>
      </c>
      <c r="J301">
        <f>Table2323[[#This Row],[CFNM]]/Table2323[[#This Row],[CAREA]]</f>
        <v>5.8990373622886784E-3</v>
      </c>
      <c r="K301">
        <v>2.4278300000000002</v>
      </c>
      <c r="L301">
        <f>-(Table3324[[#This Row],[time]]-2)*2</f>
        <v>-0.85566000000000031</v>
      </c>
      <c r="M301">
        <v>88.741799999999998</v>
      </c>
      <c r="N301">
        <v>16.727699999999999</v>
      </c>
      <c r="O301">
        <f>Table3324[[#This Row],[CFNM]]/Table3324[[#This Row],[CAREA]]</f>
        <v>0.18849854296396962</v>
      </c>
      <c r="P301">
        <v>2.4278300000000002</v>
      </c>
      <c r="Q301">
        <f>-(Table4325[[#This Row],[time]]-2)*2</f>
        <v>-0.85566000000000031</v>
      </c>
      <c r="R301">
        <v>76.639799999999994</v>
      </c>
      <c r="S301">
        <v>4.8064299999999998</v>
      </c>
      <c r="T301">
        <f>Table4325[[#This Row],[CFNM]]/Table4325[[#This Row],[CAREA]]</f>
        <v>6.2714542574484805E-2</v>
      </c>
      <c r="U301">
        <v>2.4278300000000002</v>
      </c>
      <c r="V301">
        <f>-(Table5326[[#This Row],[time]]-2)*2</f>
        <v>-0.85566000000000031</v>
      </c>
      <c r="W301">
        <v>84.510199999999998</v>
      </c>
      <c r="X301">
        <v>21.899899999999999</v>
      </c>
      <c r="Y301">
        <f>Table5326[[#This Row],[CFNM]]/Table5326[[#This Row],[CAREA]]</f>
        <v>0.25913913350104484</v>
      </c>
      <c r="Z301">
        <v>2.4278300000000002</v>
      </c>
      <c r="AA301">
        <f>-(Table6327[[#This Row],[time]]-2)*2</f>
        <v>-0.85566000000000031</v>
      </c>
      <c r="AB301">
        <v>75.907300000000006</v>
      </c>
      <c r="AC301">
        <v>2.1278199999999998</v>
      </c>
      <c r="AD301">
        <f>Table6327[[#This Row],[CFNM]]/Table6327[[#This Row],[CAREA]]</f>
        <v>2.8031823026243848E-2</v>
      </c>
      <c r="AE301">
        <v>2.4278300000000002</v>
      </c>
      <c r="AF301">
        <f>-(Table7328[[#This Row],[time]]-2)*2</f>
        <v>-0.85566000000000031</v>
      </c>
      <c r="AG301">
        <v>75.696399999999997</v>
      </c>
      <c r="AH301">
        <v>35.099600000000002</v>
      </c>
      <c r="AI301">
        <f>Table7328[[#This Row],[CFNM]]/Table7328[[#This Row],[CAREA]]</f>
        <v>0.46368915826908552</v>
      </c>
      <c r="AJ301">
        <v>2.4278300000000002</v>
      </c>
      <c r="AK301">
        <f>-(Table8329[[#This Row],[time]]-2)*2</f>
        <v>-0.85566000000000031</v>
      </c>
      <c r="AL301">
        <v>82.558800000000005</v>
      </c>
      <c r="AM301">
        <v>12.715</v>
      </c>
      <c r="AN301">
        <f>Table8329[[#This Row],[CFNM]]/Table8329[[#This Row],[CAREA]]</f>
        <v>0.1540114439647863</v>
      </c>
    </row>
    <row r="302" spans="1:40" x14ac:dyDescent="0.25">
      <c r="A302">
        <v>2.4542000000000002</v>
      </c>
      <c r="B302">
        <f>-(Table1322[[#This Row],[time]]-2)*2</f>
        <v>-0.90840000000000032</v>
      </c>
      <c r="C302">
        <v>99.841899999999995</v>
      </c>
      <c r="D302">
        <v>25.001100000000001</v>
      </c>
      <c r="E302">
        <f>Table1322[[#This Row],[CFNM]]/Table1322[[#This Row],[CAREA]]</f>
        <v>0.25040689329830462</v>
      </c>
      <c r="F302">
        <v>2.4542000000000002</v>
      </c>
      <c r="G302">
        <f>-(Table2323[[#This Row],[time]]-2)*2</f>
        <v>-0.90840000000000032</v>
      </c>
      <c r="H302">
        <v>84.485799999999998</v>
      </c>
      <c r="I302">
        <v>0.41343099999999999</v>
      </c>
      <c r="J302">
        <f>Table2323[[#This Row],[CFNM]]/Table2323[[#This Row],[CAREA]]</f>
        <v>4.893496895336258E-3</v>
      </c>
      <c r="K302">
        <v>2.4542000000000002</v>
      </c>
      <c r="L302">
        <f>-(Table3324[[#This Row],[time]]-2)*2</f>
        <v>-0.90840000000000032</v>
      </c>
      <c r="M302">
        <v>87.3904</v>
      </c>
      <c r="N302">
        <v>20.124600000000001</v>
      </c>
      <c r="O302">
        <f>Table3324[[#This Row],[CFNM]]/Table3324[[#This Row],[CAREA]]</f>
        <v>0.23028387557443381</v>
      </c>
      <c r="P302">
        <v>2.4542000000000002</v>
      </c>
      <c r="Q302">
        <f>-(Table4325[[#This Row],[time]]-2)*2</f>
        <v>-0.90840000000000032</v>
      </c>
      <c r="R302">
        <v>74.672600000000003</v>
      </c>
      <c r="S302">
        <v>4.75298</v>
      </c>
      <c r="T302">
        <f>Table4325[[#This Row],[CFNM]]/Table4325[[#This Row],[CAREA]]</f>
        <v>6.3650924167633099E-2</v>
      </c>
      <c r="U302">
        <v>2.4542000000000002</v>
      </c>
      <c r="V302">
        <f>-(Table5326[[#This Row],[time]]-2)*2</f>
        <v>-0.90840000000000032</v>
      </c>
      <c r="W302">
        <v>84.486099999999993</v>
      </c>
      <c r="X302">
        <v>25.1616</v>
      </c>
      <c r="Y302">
        <f>Table5326[[#This Row],[CFNM]]/Table5326[[#This Row],[CAREA]]</f>
        <v>0.29781940461211964</v>
      </c>
      <c r="Z302">
        <v>2.4542000000000002</v>
      </c>
      <c r="AA302">
        <f>-(Table6327[[#This Row],[time]]-2)*2</f>
        <v>-0.90840000000000032</v>
      </c>
      <c r="AB302">
        <v>74.447999999999993</v>
      </c>
      <c r="AC302">
        <v>1.8875999999999999</v>
      </c>
      <c r="AD302">
        <f>Table6327[[#This Row],[CFNM]]/Table6327[[#This Row],[CAREA]]</f>
        <v>2.5354609929078016E-2</v>
      </c>
      <c r="AE302">
        <v>2.4542000000000002</v>
      </c>
      <c r="AF302">
        <f>-(Table7328[[#This Row],[time]]-2)*2</f>
        <v>-0.90840000000000032</v>
      </c>
      <c r="AG302">
        <v>74.217200000000005</v>
      </c>
      <c r="AH302">
        <v>38.6051</v>
      </c>
      <c r="AI302">
        <f>Table7328[[#This Row],[CFNM]]/Table7328[[#This Row],[CAREA]]</f>
        <v>0.52016378952587805</v>
      </c>
      <c r="AJ302">
        <v>2.4542000000000002</v>
      </c>
      <c r="AK302">
        <f>-(Table8329[[#This Row],[time]]-2)*2</f>
        <v>-0.90840000000000032</v>
      </c>
      <c r="AL302">
        <v>82.0471</v>
      </c>
      <c r="AM302">
        <v>11.674799999999999</v>
      </c>
      <c r="AN302">
        <f>Table8329[[#This Row],[CFNM]]/Table8329[[#This Row],[CAREA]]</f>
        <v>0.14229387754107092</v>
      </c>
    </row>
    <row r="303" spans="1:40" x14ac:dyDescent="0.25">
      <c r="A303">
        <v>2.5061499999999999</v>
      </c>
      <c r="B303">
        <f>-(Table1322[[#This Row],[time]]-2)*2</f>
        <v>-1.0122999999999998</v>
      </c>
      <c r="C303">
        <v>100.461</v>
      </c>
      <c r="D303">
        <v>26.861499999999999</v>
      </c>
      <c r="E303">
        <f>Table1322[[#This Row],[CFNM]]/Table1322[[#This Row],[CAREA]]</f>
        <v>0.26738236728680781</v>
      </c>
      <c r="F303">
        <v>2.5061499999999999</v>
      </c>
      <c r="G303">
        <f>-(Table2323[[#This Row],[time]]-2)*2</f>
        <v>-1.0122999999999998</v>
      </c>
      <c r="H303">
        <v>83.749600000000001</v>
      </c>
      <c r="I303">
        <v>0.409306</v>
      </c>
      <c r="J303">
        <f>Table2323[[#This Row],[CFNM]]/Table2323[[#This Row],[CAREA]]</f>
        <v>4.8872591630288384E-3</v>
      </c>
      <c r="K303">
        <v>2.5061499999999999</v>
      </c>
      <c r="L303">
        <f>-(Table3324[[#This Row],[time]]-2)*2</f>
        <v>-1.0122999999999998</v>
      </c>
      <c r="M303">
        <v>86.790199999999999</v>
      </c>
      <c r="N303">
        <v>22.068999999999999</v>
      </c>
      <c r="O303">
        <f>Table3324[[#This Row],[CFNM]]/Table3324[[#This Row],[CAREA]]</f>
        <v>0.25427986109030742</v>
      </c>
      <c r="P303">
        <v>2.5061499999999999</v>
      </c>
      <c r="Q303">
        <f>-(Table4325[[#This Row],[time]]-2)*2</f>
        <v>-1.0122999999999998</v>
      </c>
      <c r="R303">
        <v>74.111599999999996</v>
      </c>
      <c r="S303">
        <v>4.6989799999999997</v>
      </c>
      <c r="T303">
        <f>Table4325[[#This Row],[CFNM]]/Table4325[[#This Row],[CAREA]]</f>
        <v>6.3404109478138376E-2</v>
      </c>
      <c r="U303">
        <v>2.5061499999999999</v>
      </c>
      <c r="V303">
        <f>-(Table5326[[#This Row],[time]]-2)*2</f>
        <v>-1.0122999999999998</v>
      </c>
      <c r="W303">
        <v>84.663499999999999</v>
      </c>
      <c r="X303">
        <v>26.874600000000001</v>
      </c>
      <c r="Y303">
        <f>Table5326[[#This Row],[CFNM]]/Table5326[[#This Row],[CAREA]]</f>
        <v>0.3174284077554082</v>
      </c>
      <c r="Z303">
        <v>2.5061499999999999</v>
      </c>
      <c r="AA303">
        <f>-(Table6327[[#This Row],[time]]-2)*2</f>
        <v>-1.0122999999999998</v>
      </c>
      <c r="AB303">
        <v>74.211699999999993</v>
      </c>
      <c r="AC303">
        <v>1.73499</v>
      </c>
      <c r="AD303">
        <f>Table6327[[#This Row],[CFNM]]/Table6327[[#This Row],[CAREA]]</f>
        <v>2.3378928120498521E-2</v>
      </c>
      <c r="AE303">
        <v>2.5061499999999999</v>
      </c>
      <c r="AF303">
        <f>-(Table7328[[#This Row],[time]]-2)*2</f>
        <v>-1.0122999999999998</v>
      </c>
      <c r="AG303">
        <v>73.523899999999998</v>
      </c>
      <c r="AH303">
        <v>40.336799999999997</v>
      </c>
      <c r="AI303">
        <f>Table7328[[#This Row],[CFNM]]/Table7328[[#This Row],[CAREA]]</f>
        <v>0.54862160467548649</v>
      </c>
      <c r="AJ303">
        <v>2.5061499999999999</v>
      </c>
      <c r="AK303">
        <f>-(Table8329[[#This Row],[time]]-2)*2</f>
        <v>-1.0122999999999998</v>
      </c>
      <c r="AL303">
        <v>81.478800000000007</v>
      </c>
      <c r="AM303">
        <v>11.1488</v>
      </c>
      <c r="AN303">
        <f>Table8329[[#This Row],[CFNM]]/Table8329[[#This Row],[CAREA]]</f>
        <v>0.13683068479162677</v>
      </c>
    </row>
    <row r="304" spans="1:40" x14ac:dyDescent="0.25">
      <c r="A304">
        <v>2.5507599999999999</v>
      </c>
      <c r="B304">
        <f>-(Table1322[[#This Row],[time]]-2)*2</f>
        <v>-1.1015199999999998</v>
      </c>
      <c r="C304">
        <v>101.188</v>
      </c>
      <c r="D304">
        <v>30.873200000000001</v>
      </c>
      <c r="E304">
        <f>Table1322[[#This Row],[CFNM]]/Table1322[[#This Row],[CAREA]]</f>
        <v>0.30510732497924653</v>
      </c>
      <c r="F304">
        <v>2.5507599999999999</v>
      </c>
      <c r="G304">
        <f>-(Table2323[[#This Row],[time]]-2)*2</f>
        <v>-1.1015199999999998</v>
      </c>
      <c r="H304">
        <v>82.204999999999998</v>
      </c>
      <c r="I304">
        <v>0.348327</v>
      </c>
      <c r="J304">
        <f>Table2323[[#This Row],[CFNM]]/Table2323[[#This Row],[CAREA]]</f>
        <v>4.2372970013989418E-3</v>
      </c>
      <c r="K304">
        <v>2.5507599999999999</v>
      </c>
      <c r="L304">
        <f>-(Table3324[[#This Row],[time]]-2)*2</f>
        <v>-1.1015199999999998</v>
      </c>
      <c r="M304">
        <v>85.554500000000004</v>
      </c>
      <c r="N304">
        <v>25.886099999999999</v>
      </c>
      <c r="O304">
        <f>Table3324[[#This Row],[CFNM]]/Table3324[[#This Row],[CAREA]]</f>
        <v>0.30256853818326329</v>
      </c>
      <c r="P304">
        <v>2.5507599999999999</v>
      </c>
      <c r="Q304">
        <f>-(Table4325[[#This Row],[time]]-2)*2</f>
        <v>-1.1015199999999998</v>
      </c>
      <c r="R304">
        <v>73.125200000000007</v>
      </c>
      <c r="S304">
        <v>4.6693800000000003</v>
      </c>
      <c r="T304">
        <f>Table4325[[#This Row],[CFNM]]/Table4325[[#This Row],[CAREA]]</f>
        <v>6.3854594585724206E-2</v>
      </c>
      <c r="U304">
        <v>2.5507599999999999</v>
      </c>
      <c r="V304">
        <f>-(Table5326[[#This Row],[time]]-2)*2</f>
        <v>-1.1015199999999998</v>
      </c>
      <c r="W304">
        <v>84.077200000000005</v>
      </c>
      <c r="X304">
        <v>30.152100000000001</v>
      </c>
      <c r="Y304">
        <f>Table5326[[#This Row],[CFNM]]/Table5326[[#This Row],[CAREA]]</f>
        <v>0.35862397891461656</v>
      </c>
      <c r="Z304">
        <v>2.5507599999999999</v>
      </c>
      <c r="AA304">
        <f>-(Table6327[[#This Row],[time]]-2)*2</f>
        <v>-1.1015199999999998</v>
      </c>
      <c r="AB304">
        <v>71.418300000000002</v>
      </c>
      <c r="AC304">
        <v>1.43625</v>
      </c>
      <c r="AD304">
        <f>Table6327[[#This Row],[CFNM]]/Table6327[[#This Row],[CAREA]]</f>
        <v>2.011039187435153E-2</v>
      </c>
      <c r="AE304">
        <v>2.5507599999999999</v>
      </c>
      <c r="AF304">
        <f>-(Table7328[[#This Row],[time]]-2)*2</f>
        <v>-1.1015199999999998</v>
      </c>
      <c r="AG304">
        <v>72.437600000000003</v>
      </c>
      <c r="AH304">
        <v>43.578899999999997</v>
      </c>
      <c r="AI304">
        <f>Table7328[[#This Row],[CFNM]]/Table7328[[#This Row],[CAREA]]</f>
        <v>0.60160607198471505</v>
      </c>
      <c r="AJ304">
        <v>2.5507599999999999</v>
      </c>
      <c r="AK304">
        <f>-(Table8329[[#This Row],[time]]-2)*2</f>
        <v>-1.1015199999999998</v>
      </c>
      <c r="AL304">
        <v>80.762600000000006</v>
      </c>
      <c r="AM304">
        <v>10.2164</v>
      </c>
      <c r="AN304">
        <f>Table8329[[#This Row],[CFNM]]/Table8329[[#This Row],[CAREA]]</f>
        <v>0.12649914688234404</v>
      </c>
    </row>
    <row r="305" spans="1:40" x14ac:dyDescent="0.25">
      <c r="A305">
        <v>2.60453</v>
      </c>
      <c r="B305">
        <f>-(Table1322[[#This Row],[time]]-2)*2</f>
        <v>-1.20906</v>
      </c>
      <c r="C305">
        <v>101.378</v>
      </c>
      <c r="D305">
        <v>34.715400000000002</v>
      </c>
      <c r="E305">
        <f>Table1322[[#This Row],[CFNM]]/Table1322[[#This Row],[CAREA]]</f>
        <v>0.34243524236027545</v>
      </c>
      <c r="F305">
        <v>2.60453</v>
      </c>
      <c r="G305">
        <f>-(Table2323[[#This Row],[time]]-2)*2</f>
        <v>-1.20906</v>
      </c>
      <c r="H305">
        <v>81.547899999999998</v>
      </c>
      <c r="I305">
        <v>0.25078800000000001</v>
      </c>
      <c r="J305">
        <f>Table2323[[#This Row],[CFNM]]/Table2323[[#This Row],[CAREA]]</f>
        <v>3.0753459009980641E-3</v>
      </c>
      <c r="K305">
        <v>2.60453</v>
      </c>
      <c r="L305">
        <f>-(Table3324[[#This Row],[time]]-2)*2</f>
        <v>-1.20906</v>
      </c>
      <c r="M305">
        <v>84.334699999999998</v>
      </c>
      <c r="N305">
        <v>29.3765</v>
      </c>
      <c r="O305">
        <f>Table3324[[#This Row],[CFNM]]/Table3324[[#This Row],[CAREA]]</f>
        <v>0.34833229975324509</v>
      </c>
      <c r="P305">
        <v>2.60453</v>
      </c>
      <c r="Q305">
        <f>-(Table4325[[#This Row],[time]]-2)*2</f>
        <v>-1.20906</v>
      </c>
      <c r="R305">
        <v>72.118600000000001</v>
      </c>
      <c r="S305">
        <v>4.6431100000000001</v>
      </c>
      <c r="T305">
        <f>Table4325[[#This Row],[CFNM]]/Table4325[[#This Row],[CAREA]]</f>
        <v>6.4381588106258297E-2</v>
      </c>
      <c r="U305">
        <v>2.60453</v>
      </c>
      <c r="V305">
        <f>-(Table5326[[#This Row],[time]]-2)*2</f>
        <v>-1.20906</v>
      </c>
      <c r="W305">
        <v>83.695899999999995</v>
      </c>
      <c r="X305">
        <v>33.002200000000002</v>
      </c>
      <c r="Y305">
        <f>Table5326[[#This Row],[CFNM]]/Table5326[[#This Row],[CAREA]]</f>
        <v>0.39431083243026244</v>
      </c>
      <c r="Z305">
        <v>2.60453</v>
      </c>
      <c r="AA305">
        <f>-(Table6327[[#This Row],[time]]-2)*2</f>
        <v>-1.20906</v>
      </c>
      <c r="AB305">
        <v>69.781499999999994</v>
      </c>
      <c r="AC305">
        <v>1.19353</v>
      </c>
      <c r="AD305">
        <f>Table6327[[#This Row],[CFNM]]/Table6327[[#This Row],[CAREA]]</f>
        <v>1.7103816914225117E-2</v>
      </c>
      <c r="AE305">
        <v>2.60453</v>
      </c>
      <c r="AF305">
        <f>-(Table7328[[#This Row],[time]]-2)*2</f>
        <v>-1.20906</v>
      </c>
      <c r="AG305">
        <v>71.488799999999998</v>
      </c>
      <c r="AH305">
        <v>46.395299999999999</v>
      </c>
      <c r="AI305">
        <f>Table7328[[#This Row],[CFNM]]/Table7328[[#This Row],[CAREA]]</f>
        <v>0.64898697418336859</v>
      </c>
      <c r="AJ305">
        <v>2.60453</v>
      </c>
      <c r="AK305">
        <f>-(Table8329[[#This Row],[time]]-2)*2</f>
        <v>-1.20906</v>
      </c>
      <c r="AL305">
        <v>80.786299999999997</v>
      </c>
      <c r="AM305">
        <v>9.4093300000000006</v>
      </c>
      <c r="AN305">
        <f>Table8329[[#This Row],[CFNM]]/Table8329[[#This Row],[CAREA]]</f>
        <v>0.11647185228188445</v>
      </c>
    </row>
    <row r="306" spans="1:40" x14ac:dyDescent="0.25">
      <c r="A306">
        <v>2.65273</v>
      </c>
      <c r="B306">
        <f>-(Table1322[[#This Row],[time]]-2)*2</f>
        <v>-1.3054600000000001</v>
      </c>
      <c r="C306">
        <v>101.389</v>
      </c>
      <c r="D306">
        <v>38.101599999999998</v>
      </c>
      <c r="E306">
        <f>Table1322[[#This Row],[CFNM]]/Table1322[[#This Row],[CAREA]]</f>
        <v>0.37579619090828392</v>
      </c>
      <c r="F306">
        <v>2.65273</v>
      </c>
      <c r="G306">
        <f>-(Table2323[[#This Row],[time]]-2)*2</f>
        <v>-1.3054600000000001</v>
      </c>
      <c r="H306">
        <v>81.047799999999995</v>
      </c>
      <c r="I306">
        <v>0.17663000000000001</v>
      </c>
      <c r="J306">
        <f>Table2323[[#This Row],[CFNM]]/Table2323[[#This Row],[CAREA]]</f>
        <v>2.1793312094837863E-3</v>
      </c>
      <c r="K306">
        <v>2.65273</v>
      </c>
      <c r="L306">
        <f>-(Table3324[[#This Row],[time]]-2)*2</f>
        <v>-1.3054600000000001</v>
      </c>
      <c r="M306">
        <v>83.449399999999997</v>
      </c>
      <c r="N306">
        <v>33.036099999999998</v>
      </c>
      <c r="O306">
        <f>Table3324[[#This Row],[CFNM]]/Table3324[[#This Row],[CAREA]]</f>
        <v>0.39588181580694409</v>
      </c>
      <c r="P306">
        <v>2.65273</v>
      </c>
      <c r="Q306">
        <f>-(Table4325[[#This Row],[time]]-2)*2</f>
        <v>-1.3054600000000001</v>
      </c>
      <c r="R306">
        <v>71.4268</v>
      </c>
      <c r="S306">
        <v>4.3830200000000001</v>
      </c>
      <c r="T306">
        <f>Table4325[[#This Row],[CFNM]]/Table4325[[#This Row],[CAREA]]</f>
        <v>6.1363801822285194E-2</v>
      </c>
      <c r="U306">
        <v>2.65273</v>
      </c>
      <c r="V306">
        <f>-(Table5326[[#This Row],[time]]-2)*2</f>
        <v>-1.3054600000000001</v>
      </c>
      <c r="W306">
        <v>83.215900000000005</v>
      </c>
      <c r="X306">
        <v>35.654800000000002</v>
      </c>
      <c r="Y306">
        <f>Table5326[[#This Row],[CFNM]]/Table5326[[#This Row],[CAREA]]</f>
        <v>0.4284613877876704</v>
      </c>
      <c r="Z306">
        <v>2.65273</v>
      </c>
      <c r="AA306">
        <f>-(Table6327[[#This Row],[time]]-2)*2</f>
        <v>-1.3054600000000001</v>
      </c>
      <c r="AB306">
        <v>69.566299999999998</v>
      </c>
      <c r="AC306">
        <v>1.0105200000000001</v>
      </c>
      <c r="AD306">
        <f>Table6327[[#This Row],[CFNM]]/Table6327[[#This Row],[CAREA]]</f>
        <v>1.4525998939141511E-2</v>
      </c>
      <c r="AE306">
        <v>2.65273</v>
      </c>
      <c r="AF306">
        <f>-(Table7328[[#This Row],[time]]-2)*2</f>
        <v>-1.3054600000000001</v>
      </c>
      <c r="AG306">
        <v>70.653199999999998</v>
      </c>
      <c r="AH306">
        <v>48.890799999999999</v>
      </c>
      <c r="AI306">
        <f>Table7328[[#This Row],[CFNM]]/Table7328[[#This Row],[CAREA]]</f>
        <v>0.69198281181885601</v>
      </c>
      <c r="AJ306">
        <v>2.65273</v>
      </c>
      <c r="AK306">
        <f>-(Table8329[[#This Row],[time]]-2)*2</f>
        <v>-1.3054600000000001</v>
      </c>
      <c r="AL306">
        <v>79.827600000000004</v>
      </c>
      <c r="AM306">
        <v>8.6523699999999995</v>
      </c>
      <c r="AN306">
        <f>Table8329[[#This Row],[CFNM]]/Table8329[[#This Row],[CAREA]]</f>
        <v>0.1083882015743928</v>
      </c>
    </row>
    <row r="307" spans="1:40" x14ac:dyDescent="0.25">
      <c r="A307">
        <v>2.7006199999999998</v>
      </c>
      <c r="B307">
        <f>-(Table1322[[#This Row],[time]]-2)*2</f>
        <v>-1.4012399999999996</v>
      </c>
      <c r="C307">
        <v>101.11799999999999</v>
      </c>
      <c r="D307">
        <v>41.718800000000002</v>
      </c>
      <c r="E307">
        <f>Table1322[[#This Row],[CFNM]]/Table1322[[#This Row],[CAREA]]</f>
        <v>0.41257540695029571</v>
      </c>
      <c r="F307">
        <v>2.7006199999999998</v>
      </c>
      <c r="G307">
        <f>-(Table2323[[#This Row],[time]]-2)*2</f>
        <v>-1.4012399999999996</v>
      </c>
      <c r="H307">
        <v>78.633700000000005</v>
      </c>
      <c r="I307">
        <v>9.73049E-2</v>
      </c>
      <c r="J307">
        <f>Table2323[[#This Row],[CFNM]]/Table2323[[#This Row],[CAREA]]</f>
        <v>1.2374452683772987E-3</v>
      </c>
      <c r="K307">
        <v>2.7006199999999998</v>
      </c>
      <c r="L307">
        <f>-(Table3324[[#This Row],[time]]-2)*2</f>
        <v>-1.4012399999999996</v>
      </c>
      <c r="M307">
        <v>82.447900000000004</v>
      </c>
      <c r="N307">
        <v>37.039099999999998</v>
      </c>
      <c r="O307">
        <f>Table3324[[#This Row],[CFNM]]/Table3324[[#This Row],[CAREA]]</f>
        <v>0.44924249131876004</v>
      </c>
      <c r="P307">
        <v>2.7006199999999998</v>
      </c>
      <c r="Q307">
        <f>-(Table4325[[#This Row],[time]]-2)*2</f>
        <v>-1.4012399999999996</v>
      </c>
      <c r="R307">
        <v>68.327600000000004</v>
      </c>
      <c r="S307">
        <v>4.0457200000000002</v>
      </c>
      <c r="T307">
        <f>Table4325[[#This Row],[CFNM]]/Table4325[[#This Row],[CAREA]]</f>
        <v>5.9210626452560901E-2</v>
      </c>
      <c r="U307">
        <v>2.7006199999999998</v>
      </c>
      <c r="V307">
        <f>-(Table5326[[#This Row],[time]]-2)*2</f>
        <v>-1.4012399999999996</v>
      </c>
      <c r="W307">
        <v>82.732100000000003</v>
      </c>
      <c r="X307">
        <v>38.637099999999997</v>
      </c>
      <c r="Y307">
        <f>Table5326[[#This Row],[CFNM]]/Table5326[[#This Row],[CAREA]]</f>
        <v>0.46701461705915837</v>
      </c>
      <c r="Z307">
        <v>2.7006199999999998</v>
      </c>
      <c r="AA307">
        <f>-(Table6327[[#This Row],[time]]-2)*2</f>
        <v>-1.4012399999999996</v>
      </c>
      <c r="AB307">
        <v>67.589500000000001</v>
      </c>
      <c r="AC307">
        <v>0.81292600000000004</v>
      </c>
      <c r="AD307">
        <f>Table6327[[#This Row],[CFNM]]/Table6327[[#This Row],[CAREA]]</f>
        <v>1.202740070573092E-2</v>
      </c>
      <c r="AE307">
        <v>2.7006199999999998</v>
      </c>
      <c r="AF307">
        <f>-(Table7328[[#This Row],[time]]-2)*2</f>
        <v>-1.4012399999999996</v>
      </c>
      <c r="AG307">
        <v>69.782600000000002</v>
      </c>
      <c r="AH307">
        <v>51.688000000000002</v>
      </c>
      <c r="AI307">
        <f>Table7328[[#This Row],[CFNM]]/Table7328[[#This Row],[CAREA]]</f>
        <v>0.74070040382559554</v>
      </c>
      <c r="AJ307">
        <v>2.7006199999999998</v>
      </c>
      <c r="AK307">
        <f>-(Table8329[[#This Row],[time]]-2)*2</f>
        <v>-1.4012399999999996</v>
      </c>
      <c r="AL307">
        <v>79.798699999999997</v>
      </c>
      <c r="AM307">
        <v>7.7717400000000003</v>
      </c>
      <c r="AN307">
        <f>Table8329[[#This Row],[CFNM]]/Table8329[[#This Row],[CAREA]]</f>
        <v>9.7391812147315696E-2</v>
      </c>
    </row>
    <row r="308" spans="1:40" x14ac:dyDescent="0.25">
      <c r="A308">
        <v>2.75176</v>
      </c>
      <c r="B308">
        <f>-(Table1322[[#This Row],[time]]-2)*2</f>
        <v>-1.50352</v>
      </c>
      <c r="C308">
        <v>100.35</v>
      </c>
      <c r="D308">
        <v>47.607300000000002</v>
      </c>
      <c r="E308">
        <f>Table1322[[#This Row],[CFNM]]/Table1322[[#This Row],[CAREA]]</f>
        <v>0.47441255605381172</v>
      </c>
      <c r="F308">
        <v>2.75176</v>
      </c>
      <c r="G308">
        <f>-(Table2323[[#This Row],[time]]-2)*2</f>
        <v>-1.50352</v>
      </c>
      <c r="H308">
        <v>77.712500000000006</v>
      </c>
      <c r="I308">
        <v>3.7776200000000002E-3</v>
      </c>
      <c r="J308">
        <f>Table2323[[#This Row],[CFNM]]/Table2323[[#This Row],[CAREA]]</f>
        <v>4.861019784461959E-5</v>
      </c>
      <c r="K308">
        <v>2.75176</v>
      </c>
      <c r="L308">
        <f>-(Table3324[[#This Row],[time]]-2)*2</f>
        <v>-1.50352</v>
      </c>
      <c r="M308">
        <v>80.874600000000001</v>
      </c>
      <c r="N308">
        <v>43.577500000000001</v>
      </c>
      <c r="O308">
        <f>Table3324[[#This Row],[CFNM]]/Table3324[[#This Row],[CAREA]]</f>
        <v>0.53882801275060399</v>
      </c>
      <c r="P308">
        <v>2.75176</v>
      </c>
      <c r="Q308">
        <f>-(Table4325[[#This Row],[time]]-2)*2</f>
        <v>-1.50352</v>
      </c>
      <c r="R308">
        <v>66.332800000000006</v>
      </c>
      <c r="S308">
        <v>3.5089000000000001</v>
      </c>
      <c r="T308">
        <f>Table4325[[#This Row],[CFNM]]/Table4325[[#This Row],[CAREA]]</f>
        <v>5.2898415263640308E-2</v>
      </c>
      <c r="U308">
        <v>2.75176</v>
      </c>
      <c r="V308">
        <f>-(Table5326[[#This Row],[time]]-2)*2</f>
        <v>-1.50352</v>
      </c>
      <c r="W308">
        <v>81.821899999999999</v>
      </c>
      <c r="X308">
        <v>43.631999999999998</v>
      </c>
      <c r="Y308">
        <f>Table5326[[#This Row],[CFNM]]/Table5326[[#This Row],[CAREA]]</f>
        <v>0.53325576648794515</v>
      </c>
      <c r="Z308">
        <v>2.75176</v>
      </c>
      <c r="AA308">
        <f>-(Table6327[[#This Row],[time]]-2)*2</f>
        <v>-1.50352</v>
      </c>
      <c r="AB308">
        <v>63.564500000000002</v>
      </c>
      <c r="AC308">
        <v>0.51476900000000003</v>
      </c>
      <c r="AD308">
        <f>Table6327[[#This Row],[CFNM]]/Table6327[[#This Row],[CAREA]]</f>
        <v>8.0983725192520992E-3</v>
      </c>
      <c r="AE308">
        <v>2.75176</v>
      </c>
      <c r="AF308">
        <f>-(Table7328[[#This Row],[time]]-2)*2</f>
        <v>-1.50352</v>
      </c>
      <c r="AG308">
        <v>68.298100000000005</v>
      </c>
      <c r="AH308">
        <v>56.501100000000001</v>
      </c>
      <c r="AI308">
        <f>Table7328[[#This Row],[CFNM]]/Table7328[[#This Row],[CAREA]]</f>
        <v>0.82727191532414512</v>
      </c>
      <c r="AJ308">
        <v>2.75176</v>
      </c>
      <c r="AK308">
        <f>-(Table8329[[#This Row],[time]]-2)*2</f>
        <v>-1.50352</v>
      </c>
      <c r="AL308">
        <v>78.580500000000001</v>
      </c>
      <c r="AM308">
        <v>6.2375800000000003</v>
      </c>
      <c r="AN308">
        <f>Table8329[[#This Row],[CFNM]]/Table8329[[#This Row],[CAREA]]</f>
        <v>7.9378217242191129E-2</v>
      </c>
    </row>
    <row r="309" spans="1:40" x14ac:dyDescent="0.25">
      <c r="A309">
        <v>2.80444</v>
      </c>
      <c r="B309">
        <f>-(Table1322[[#This Row],[time]]-2)*2</f>
        <v>-1.6088800000000001</v>
      </c>
      <c r="C309">
        <v>99.822800000000001</v>
      </c>
      <c r="D309">
        <v>50.246499999999997</v>
      </c>
      <c r="E309">
        <f>Table1322[[#This Row],[CFNM]]/Table1322[[#This Row],[CAREA]]</f>
        <v>0.50335694851276458</v>
      </c>
      <c r="F309">
        <v>2.80444</v>
      </c>
      <c r="G309">
        <f>-(Table2323[[#This Row],[time]]-2)*2</f>
        <v>-1.6088800000000001</v>
      </c>
      <c r="H309">
        <v>74.617800000000003</v>
      </c>
      <c r="I309">
        <v>3.4765799999999999E-3</v>
      </c>
      <c r="J309">
        <f>Table2323[[#This Row],[CFNM]]/Table2323[[#This Row],[CAREA]]</f>
        <v>4.6591831975748414E-5</v>
      </c>
      <c r="K309">
        <v>2.80444</v>
      </c>
      <c r="L309">
        <f>-(Table3324[[#This Row],[time]]-2)*2</f>
        <v>-1.6088800000000001</v>
      </c>
      <c r="M309">
        <v>80.212800000000001</v>
      </c>
      <c r="N309">
        <v>46.525100000000002</v>
      </c>
      <c r="O309">
        <f>Table3324[[#This Row],[CFNM]]/Table3324[[#This Row],[CAREA]]</f>
        <v>0.58002089442084059</v>
      </c>
      <c r="P309">
        <v>2.80444</v>
      </c>
      <c r="Q309">
        <f>-(Table4325[[#This Row],[time]]-2)*2</f>
        <v>-1.6088800000000001</v>
      </c>
      <c r="R309">
        <v>65.535399999999996</v>
      </c>
      <c r="S309">
        <v>3.2631100000000002</v>
      </c>
      <c r="T309">
        <f>Table4325[[#This Row],[CFNM]]/Table4325[[#This Row],[CAREA]]</f>
        <v>4.9791563033108832E-2</v>
      </c>
      <c r="U309">
        <v>2.80444</v>
      </c>
      <c r="V309">
        <f>-(Table5326[[#This Row],[time]]-2)*2</f>
        <v>-1.6088800000000001</v>
      </c>
      <c r="W309">
        <v>81.348299999999995</v>
      </c>
      <c r="X309">
        <v>45.948099999999997</v>
      </c>
      <c r="Y309">
        <f>Table5326[[#This Row],[CFNM]]/Table5326[[#This Row],[CAREA]]</f>
        <v>0.56483171744215921</v>
      </c>
      <c r="Z309">
        <v>2.80444</v>
      </c>
      <c r="AA309">
        <f>-(Table6327[[#This Row],[time]]-2)*2</f>
        <v>-1.6088800000000001</v>
      </c>
      <c r="AB309">
        <v>62.612200000000001</v>
      </c>
      <c r="AC309">
        <v>0.39460899999999999</v>
      </c>
      <c r="AD309">
        <f>Table6327[[#This Row],[CFNM]]/Table6327[[#This Row],[CAREA]]</f>
        <v>6.3024298778832236E-3</v>
      </c>
      <c r="AE309">
        <v>2.80444</v>
      </c>
      <c r="AF309">
        <f>-(Table7328[[#This Row],[time]]-2)*2</f>
        <v>-1.6088800000000001</v>
      </c>
      <c r="AG309">
        <v>67.601100000000002</v>
      </c>
      <c r="AH309">
        <v>58.761899999999997</v>
      </c>
      <c r="AI309">
        <f>Table7328[[#This Row],[CFNM]]/Table7328[[#This Row],[CAREA]]</f>
        <v>0.86924473122478774</v>
      </c>
      <c r="AJ309">
        <v>2.80444</v>
      </c>
      <c r="AK309">
        <f>-(Table8329[[#This Row],[time]]-2)*2</f>
        <v>-1.6088800000000001</v>
      </c>
      <c r="AL309">
        <v>77.617199999999997</v>
      </c>
      <c r="AM309">
        <v>5.5754599999999996</v>
      </c>
      <c r="AN309">
        <f>Table8329[[#This Row],[CFNM]]/Table8329[[#This Row],[CAREA]]</f>
        <v>7.1832789639409825E-2</v>
      </c>
    </row>
    <row r="310" spans="1:40" x14ac:dyDescent="0.25">
      <c r="A310">
        <v>2.8583699999999999</v>
      </c>
      <c r="B310">
        <f>-(Table1322[[#This Row],[time]]-2)*2</f>
        <v>-1.7167399999999997</v>
      </c>
      <c r="C310">
        <v>99.101200000000006</v>
      </c>
      <c r="D310">
        <v>52.837699999999998</v>
      </c>
      <c r="E310">
        <f>Table1322[[#This Row],[CFNM]]/Table1322[[#This Row],[CAREA]]</f>
        <v>0.53316912408729655</v>
      </c>
      <c r="F310">
        <v>2.8583699999999999</v>
      </c>
      <c r="G310">
        <f>-(Table2323[[#This Row],[time]]-2)*2</f>
        <v>-1.7167399999999997</v>
      </c>
      <c r="H310">
        <v>71.897499999999994</v>
      </c>
      <c r="I310">
        <v>3.2862999999999998E-3</v>
      </c>
      <c r="J310">
        <f>Table2323[[#This Row],[CFNM]]/Table2323[[#This Row],[CAREA]]</f>
        <v>4.5708126151813344E-5</v>
      </c>
      <c r="K310">
        <v>2.8583699999999999</v>
      </c>
      <c r="L310">
        <f>-(Table3324[[#This Row],[time]]-2)*2</f>
        <v>-1.7167399999999997</v>
      </c>
      <c r="M310">
        <v>79.627399999999994</v>
      </c>
      <c r="N310">
        <v>49.4133</v>
      </c>
      <c r="O310">
        <f>Table3324[[#This Row],[CFNM]]/Table3324[[#This Row],[CAREA]]</f>
        <v>0.62055649186084194</v>
      </c>
      <c r="P310">
        <v>2.8583699999999999</v>
      </c>
      <c r="Q310">
        <f>-(Table4325[[#This Row],[time]]-2)*2</f>
        <v>-1.7167399999999997</v>
      </c>
      <c r="R310">
        <v>65.380300000000005</v>
      </c>
      <c r="S310">
        <v>3.0138799999999999</v>
      </c>
      <c r="T310">
        <f>Table4325[[#This Row],[CFNM]]/Table4325[[#This Row],[CAREA]]</f>
        <v>4.6097677740848539E-2</v>
      </c>
      <c r="U310">
        <v>2.8583699999999999</v>
      </c>
      <c r="V310">
        <f>-(Table5326[[#This Row],[time]]-2)*2</f>
        <v>-1.7167399999999997</v>
      </c>
      <c r="W310">
        <v>80.901799999999994</v>
      </c>
      <c r="X310">
        <v>48.246200000000002</v>
      </c>
      <c r="Y310">
        <f>Table5326[[#This Row],[CFNM]]/Table5326[[#This Row],[CAREA]]</f>
        <v>0.5963550872786515</v>
      </c>
      <c r="Z310">
        <v>2.8583699999999999</v>
      </c>
      <c r="AA310">
        <f>-(Table6327[[#This Row],[time]]-2)*2</f>
        <v>-1.7167399999999997</v>
      </c>
      <c r="AB310">
        <v>61.417099999999998</v>
      </c>
      <c r="AC310">
        <v>0.28721999999999998</v>
      </c>
      <c r="AD310">
        <f>Table6327[[#This Row],[CFNM]]/Table6327[[#This Row],[CAREA]]</f>
        <v>4.6765477367052494E-3</v>
      </c>
      <c r="AE310">
        <v>2.8583699999999999</v>
      </c>
      <c r="AF310">
        <f>-(Table7328[[#This Row],[time]]-2)*2</f>
        <v>-1.7167399999999997</v>
      </c>
      <c r="AG310">
        <v>66.937799999999996</v>
      </c>
      <c r="AH310">
        <v>61.005800000000001</v>
      </c>
      <c r="AI310">
        <f>Table7328[[#This Row],[CFNM]]/Table7328[[#This Row],[CAREA]]</f>
        <v>0.91138041584874319</v>
      </c>
      <c r="AJ310">
        <v>2.8583699999999999</v>
      </c>
      <c r="AK310">
        <f>-(Table8329[[#This Row],[time]]-2)*2</f>
        <v>-1.7167399999999997</v>
      </c>
      <c r="AL310">
        <v>75.361800000000002</v>
      </c>
      <c r="AM310">
        <v>4.9043200000000002</v>
      </c>
      <c r="AN310">
        <f>Table8329[[#This Row],[CFNM]]/Table8329[[#This Row],[CAREA]]</f>
        <v>6.5077001876282153E-2</v>
      </c>
    </row>
    <row r="311" spans="1:40" x14ac:dyDescent="0.25">
      <c r="A311">
        <v>2.9134199999999999</v>
      </c>
      <c r="B311">
        <f>-(Table1322[[#This Row],[time]]-2)*2</f>
        <v>-1.8268399999999998</v>
      </c>
      <c r="C311">
        <v>98.388499999999993</v>
      </c>
      <c r="D311">
        <v>55.373699999999999</v>
      </c>
      <c r="E311">
        <f>Table1322[[#This Row],[CFNM]]/Table1322[[#This Row],[CAREA]]</f>
        <v>0.56280662882349053</v>
      </c>
      <c r="F311">
        <v>2.9134199999999999</v>
      </c>
      <c r="G311">
        <f>-(Table2323[[#This Row],[time]]-2)*2</f>
        <v>-1.8268399999999998</v>
      </c>
      <c r="H311">
        <v>70.386700000000005</v>
      </c>
      <c r="I311">
        <v>3.15949E-3</v>
      </c>
      <c r="J311">
        <f>Table2323[[#This Row],[CFNM]]/Table2323[[#This Row],[CAREA]]</f>
        <v>4.4887599503883547E-5</v>
      </c>
      <c r="K311">
        <v>2.9134199999999999</v>
      </c>
      <c r="L311">
        <f>-(Table3324[[#This Row],[time]]-2)*2</f>
        <v>-1.8268399999999998</v>
      </c>
      <c r="M311">
        <v>79.091200000000001</v>
      </c>
      <c r="N311">
        <v>52.239800000000002</v>
      </c>
      <c r="O311">
        <f>Table3324[[#This Row],[CFNM]]/Table3324[[#This Row],[CAREA]]</f>
        <v>0.66050078896261533</v>
      </c>
      <c r="P311">
        <v>2.9134199999999999</v>
      </c>
      <c r="Q311">
        <f>-(Table4325[[#This Row],[time]]-2)*2</f>
        <v>-1.8268399999999998</v>
      </c>
      <c r="R311">
        <v>64.011899999999997</v>
      </c>
      <c r="S311">
        <v>2.7699600000000002</v>
      </c>
      <c r="T311">
        <f>Table4325[[#This Row],[CFNM]]/Table4325[[#This Row],[CAREA]]</f>
        <v>4.3272579004841293E-2</v>
      </c>
      <c r="U311">
        <v>2.9134199999999999</v>
      </c>
      <c r="V311">
        <f>-(Table5326[[#This Row],[time]]-2)*2</f>
        <v>-1.8268399999999998</v>
      </c>
      <c r="W311">
        <v>80.380600000000001</v>
      </c>
      <c r="X311">
        <v>50.561</v>
      </c>
      <c r="Y311">
        <f>Table5326[[#This Row],[CFNM]]/Table5326[[#This Row],[CAREA]]</f>
        <v>0.6290199376466461</v>
      </c>
      <c r="Z311">
        <v>2.9134199999999999</v>
      </c>
      <c r="AA311">
        <f>-(Table6327[[#This Row],[time]]-2)*2</f>
        <v>-1.8268399999999998</v>
      </c>
      <c r="AB311">
        <v>59.936100000000003</v>
      </c>
      <c r="AC311">
        <v>0.18310499999999999</v>
      </c>
      <c r="AD311">
        <f>Table6327[[#This Row],[CFNM]]/Table6327[[#This Row],[CAREA]]</f>
        <v>3.0550035788114338E-3</v>
      </c>
      <c r="AE311">
        <v>2.9134199999999999</v>
      </c>
      <c r="AF311">
        <f>-(Table7328[[#This Row],[time]]-2)*2</f>
        <v>-1.8268399999999998</v>
      </c>
      <c r="AG311">
        <v>66.360600000000005</v>
      </c>
      <c r="AH311">
        <v>63.226100000000002</v>
      </c>
      <c r="AI311">
        <f>Table7328[[#This Row],[CFNM]]/Table7328[[#This Row],[CAREA]]</f>
        <v>0.95276564708577072</v>
      </c>
      <c r="AJ311">
        <v>2.9134199999999999</v>
      </c>
      <c r="AK311">
        <f>-(Table8329[[#This Row],[time]]-2)*2</f>
        <v>-1.8268399999999998</v>
      </c>
      <c r="AL311">
        <v>74.757400000000004</v>
      </c>
      <c r="AM311">
        <v>4.2323300000000001</v>
      </c>
      <c r="AN311">
        <f>Table8329[[#This Row],[CFNM]]/Table8329[[#This Row],[CAREA]]</f>
        <v>5.6614194715172012E-2</v>
      </c>
    </row>
    <row r="312" spans="1:40" x14ac:dyDescent="0.25">
      <c r="A312">
        <v>2.9619599999999999</v>
      </c>
      <c r="B312">
        <f>-(Table1322[[#This Row],[time]]-2)*2</f>
        <v>-1.9239199999999999</v>
      </c>
      <c r="C312">
        <v>96.850300000000004</v>
      </c>
      <c r="D312">
        <v>60.377699999999997</v>
      </c>
      <c r="E312">
        <f>Table1322[[#This Row],[CFNM]]/Table1322[[#This Row],[CAREA]]</f>
        <v>0.62341262752928994</v>
      </c>
      <c r="F312">
        <v>2.9619599999999999</v>
      </c>
      <c r="G312">
        <f>-(Table2323[[#This Row],[time]]-2)*2</f>
        <v>-1.9239199999999999</v>
      </c>
      <c r="H312">
        <v>67.675799999999995</v>
      </c>
      <c r="I312">
        <v>2.92114E-3</v>
      </c>
      <c r="J312">
        <f>Table2323[[#This Row],[CFNM]]/Table2323[[#This Row],[CAREA]]</f>
        <v>4.3163730609760062E-5</v>
      </c>
      <c r="K312">
        <v>2.9619599999999999</v>
      </c>
      <c r="L312">
        <f>-(Table3324[[#This Row],[time]]-2)*2</f>
        <v>-1.9239199999999999</v>
      </c>
      <c r="M312">
        <v>78.118399999999994</v>
      </c>
      <c r="N312">
        <v>57.798699999999997</v>
      </c>
      <c r="O312">
        <f>Table3324[[#This Row],[CFNM]]/Table3324[[#This Row],[CAREA]]</f>
        <v>0.73988586555792235</v>
      </c>
      <c r="P312">
        <v>2.9619599999999999</v>
      </c>
      <c r="Q312">
        <f>-(Table4325[[#This Row],[time]]-2)*2</f>
        <v>-1.9239199999999999</v>
      </c>
      <c r="R312">
        <v>62.920900000000003</v>
      </c>
      <c r="S312">
        <v>2.3834300000000002</v>
      </c>
      <c r="T312">
        <f>Table4325[[#This Row],[CFNM]]/Table4325[[#This Row],[CAREA]]</f>
        <v>3.7879782393449551E-2</v>
      </c>
      <c r="U312">
        <v>2.9619599999999999</v>
      </c>
      <c r="V312">
        <f>-(Table5326[[#This Row],[time]]-2)*2</f>
        <v>-1.9239199999999999</v>
      </c>
      <c r="W312">
        <v>79.707800000000006</v>
      </c>
      <c r="X312">
        <v>55.156199999999998</v>
      </c>
      <c r="Y312">
        <f>Table5326[[#This Row],[CFNM]]/Table5326[[#This Row],[CAREA]]</f>
        <v>0.69197995679218338</v>
      </c>
      <c r="Z312">
        <v>2.9619599999999999</v>
      </c>
      <c r="AA312">
        <f>-(Table6327[[#This Row],[time]]-2)*2</f>
        <v>-1.9239199999999999</v>
      </c>
      <c r="AB312">
        <v>56.930999999999997</v>
      </c>
      <c r="AC312">
        <v>2.54485E-3</v>
      </c>
      <c r="AD312">
        <f>Table6327[[#This Row],[CFNM]]/Table6327[[#This Row],[CAREA]]</f>
        <v>4.4700602483708352E-5</v>
      </c>
      <c r="AE312">
        <v>2.9619599999999999</v>
      </c>
      <c r="AF312">
        <f>-(Table7328[[#This Row],[time]]-2)*2</f>
        <v>-1.9239199999999999</v>
      </c>
      <c r="AG312">
        <v>65.306899999999999</v>
      </c>
      <c r="AH312">
        <v>67.685299999999998</v>
      </c>
      <c r="AI312">
        <f>Table7328[[#This Row],[CFNM]]/Table7328[[#This Row],[CAREA]]</f>
        <v>1.0364188163884673</v>
      </c>
      <c r="AJ312">
        <v>2.9619599999999999</v>
      </c>
      <c r="AK312">
        <f>-(Table8329[[#This Row],[time]]-2)*2</f>
        <v>-1.9239199999999999</v>
      </c>
      <c r="AL312">
        <v>71.7834</v>
      </c>
      <c r="AM312">
        <v>3.0647500000000001</v>
      </c>
      <c r="AN312">
        <f>Table8329[[#This Row],[CFNM]]/Table8329[[#This Row],[CAREA]]</f>
        <v>4.2694411242710714E-2</v>
      </c>
    </row>
    <row r="313" spans="1:40" x14ac:dyDescent="0.25">
      <c r="A313">
        <v>3</v>
      </c>
      <c r="B313">
        <f>-(Table1322[[#This Row],[time]]-2)*2</f>
        <v>-2</v>
      </c>
      <c r="C313">
        <v>96.639300000000006</v>
      </c>
      <c r="D313">
        <v>61.029699999999998</v>
      </c>
      <c r="E313">
        <f>Table1322[[#This Row],[CFNM]]/Table1322[[#This Row],[CAREA]]</f>
        <v>0.63152050977190433</v>
      </c>
      <c r="F313">
        <v>3</v>
      </c>
      <c r="G313">
        <f>-(Table2323[[#This Row],[time]]-2)*2</f>
        <v>-2</v>
      </c>
      <c r="H313">
        <v>67.166499999999999</v>
      </c>
      <c r="I313">
        <v>2.8938000000000002E-3</v>
      </c>
      <c r="J313">
        <f>Table2323[[#This Row],[CFNM]]/Table2323[[#This Row],[CAREA]]</f>
        <v>4.3083977875875625E-5</v>
      </c>
      <c r="K313">
        <v>3</v>
      </c>
      <c r="L313">
        <f>-(Table3324[[#This Row],[time]]-2)*2</f>
        <v>-2</v>
      </c>
      <c r="M313">
        <v>77.995599999999996</v>
      </c>
      <c r="N313">
        <v>58.518999999999998</v>
      </c>
      <c r="O313">
        <f>Table3324[[#This Row],[CFNM]]/Table3324[[#This Row],[CAREA]]</f>
        <v>0.75028591356435492</v>
      </c>
      <c r="P313">
        <v>3</v>
      </c>
      <c r="Q313">
        <f>-(Table4325[[#This Row],[time]]-2)*2</f>
        <v>-2</v>
      </c>
      <c r="R313">
        <v>62.887099999999997</v>
      </c>
      <c r="S313">
        <v>2.3425799999999999</v>
      </c>
      <c r="T313">
        <f>Table4325[[#This Row],[CFNM]]/Table4325[[#This Row],[CAREA]]</f>
        <v>3.7250564901227759E-2</v>
      </c>
      <c r="U313">
        <v>3</v>
      </c>
      <c r="V313">
        <f>-(Table5326[[#This Row],[time]]-2)*2</f>
        <v>-2</v>
      </c>
      <c r="W313">
        <v>79.574100000000001</v>
      </c>
      <c r="X313">
        <v>55.753</v>
      </c>
      <c r="Y313">
        <f>Table5326[[#This Row],[CFNM]]/Table5326[[#This Row],[CAREA]]</f>
        <v>0.70064254575295226</v>
      </c>
      <c r="Z313">
        <v>3</v>
      </c>
      <c r="AA313">
        <f>-(Table6327[[#This Row],[time]]-2)*2</f>
        <v>-2</v>
      </c>
      <c r="AB313">
        <v>56.194400000000002</v>
      </c>
      <c r="AC313">
        <v>2.48E-3</v>
      </c>
      <c r="AD313">
        <f>Table6327[[#This Row],[CFNM]]/Table6327[[#This Row],[CAREA]]</f>
        <v>4.4132511424625939E-5</v>
      </c>
      <c r="AE313">
        <v>3</v>
      </c>
      <c r="AF313">
        <f>-(Table7328[[#This Row],[time]]-2)*2</f>
        <v>-2</v>
      </c>
      <c r="AG313">
        <v>65.186499999999995</v>
      </c>
      <c r="AH313">
        <v>68.279300000000006</v>
      </c>
      <c r="AI313">
        <f>Table7328[[#This Row],[CFNM]]/Table7328[[#This Row],[CAREA]]</f>
        <v>1.0474454066409458</v>
      </c>
      <c r="AJ313">
        <v>3</v>
      </c>
      <c r="AK313">
        <f>-(Table8329[[#This Row],[time]]-2)*2</f>
        <v>-2</v>
      </c>
      <c r="AL313">
        <v>71.144900000000007</v>
      </c>
      <c r="AM313">
        <v>2.9460199999999999</v>
      </c>
      <c r="AN313">
        <f>Table8329[[#This Row],[CFNM]]/Table8329[[#This Row],[CAREA]]</f>
        <v>4.1408730632835233E-2</v>
      </c>
    </row>
    <row r="315" spans="1:40" x14ac:dyDescent="0.25">
      <c r="A315" t="s">
        <v>50</v>
      </c>
      <c r="E315" t="s">
        <v>1</v>
      </c>
    </row>
    <row r="316" spans="1:40" x14ac:dyDescent="0.25">
      <c r="A316" t="s">
        <v>51</v>
      </c>
      <c r="E316" t="s">
        <v>2</v>
      </c>
      <c r="F316" t="s">
        <v>3</v>
      </c>
    </row>
    <row r="318" spans="1:40" x14ac:dyDescent="0.25">
      <c r="A318" t="s">
        <v>5</v>
      </c>
      <c r="F318" t="s">
        <v>6</v>
      </c>
      <c r="K318" t="s">
        <v>7</v>
      </c>
      <c r="P318" t="s">
        <v>19</v>
      </c>
      <c r="U318" t="s">
        <v>8</v>
      </c>
      <c r="Z318" t="s">
        <v>9</v>
      </c>
      <c r="AE318" t="s">
        <v>10</v>
      </c>
      <c r="AJ318" t="s">
        <v>11</v>
      </c>
    </row>
    <row r="319" spans="1:40" x14ac:dyDescent="0.25">
      <c r="A319" t="s">
        <v>12</v>
      </c>
      <c r="B319" t="s">
        <v>13</v>
      </c>
      <c r="C319" t="s">
        <v>17</v>
      </c>
      <c r="D319" t="s">
        <v>15</v>
      </c>
      <c r="E319" t="s">
        <v>16</v>
      </c>
      <c r="F319" t="s">
        <v>12</v>
      </c>
      <c r="G319" t="s">
        <v>13</v>
      </c>
      <c r="H319" t="s">
        <v>17</v>
      </c>
      <c r="I319" t="s">
        <v>15</v>
      </c>
      <c r="J319" t="s">
        <v>16</v>
      </c>
      <c r="K319" t="s">
        <v>12</v>
      </c>
      <c r="L319" t="s">
        <v>13</v>
      </c>
      <c r="M319" t="s">
        <v>17</v>
      </c>
      <c r="N319" t="s">
        <v>15</v>
      </c>
      <c r="O319" t="s">
        <v>16</v>
      </c>
      <c r="P319" t="s">
        <v>12</v>
      </c>
      <c r="Q319" t="s">
        <v>13</v>
      </c>
      <c r="R319" t="s">
        <v>17</v>
      </c>
      <c r="S319" t="s">
        <v>15</v>
      </c>
      <c r="T319" t="s">
        <v>16</v>
      </c>
      <c r="U319" t="s">
        <v>12</v>
      </c>
      <c r="V319" t="s">
        <v>13</v>
      </c>
      <c r="W319" t="s">
        <v>17</v>
      </c>
      <c r="X319" t="s">
        <v>15</v>
      </c>
      <c r="Y319" t="s">
        <v>16</v>
      </c>
      <c r="Z319" t="s">
        <v>12</v>
      </c>
      <c r="AA319" t="s">
        <v>13</v>
      </c>
      <c r="AB319" t="s">
        <v>17</v>
      </c>
      <c r="AC319" t="s">
        <v>15</v>
      </c>
      <c r="AD319" t="s">
        <v>16</v>
      </c>
      <c r="AE319" t="s">
        <v>12</v>
      </c>
      <c r="AF319" t="s">
        <v>13</v>
      </c>
      <c r="AG319" t="s">
        <v>17</v>
      </c>
      <c r="AH319" t="s">
        <v>15</v>
      </c>
      <c r="AI319" t="s">
        <v>16</v>
      </c>
      <c r="AJ319" t="s">
        <v>12</v>
      </c>
      <c r="AK319" t="s">
        <v>13</v>
      </c>
      <c r="AL319" t="s">
        <v>17</v>
      </c>
      <c r="AM319" t="s">
        <v>15</v>
      </c>
      <c r="AN319" t="s">
        <v>16</v>
      </c>
    </row>
    <row r="320" spans="1:40" x14ac:dyDescent="0.25">
      <c r="A320">
        <v>2</v>
      </c>
      <c r="B320">
        <f>(Table110330[[#This Row],[time]]-2)*2</f>
        <v>0</v>
      </c>
      <c r="C320">
        <v>80.561099999999996</v>
      </c>
      <c r="D320">
        <v>3.98237</v>
      </c>
      <c r="E320" s="2">
        <f>Table110330[[#This Row],[CFNM]]/Table110330[[#This Row],[CAREA]]</f>
        <v>4.9432914893168048E-2</v>
      </c>
      <c r="F320">
        <v>2</v>
      </c>
      <c r="G320">
        <f>(Table211331[[#This Row],[time]]-2)*2</f>
        <v>0</v>
      </c>
      <c r="H320">
        <v>87.831800000000001</v>
      </c>
      <c r="I320">
        <v>3.8491799999999998E-3</v>
      </c>
      <c r="J320" s="2">
        <f>Table211331[[#This Row],[CFNM]]/Table211331[[#This Row],[CAREA]]</f>
        <v>4.38244462711683E-5</v>
      </c>
      <c r="K320">
        <v>2</v>
      </c>
      <c r="L320">
        <f>(Table312332[[#This Row],[time]]-2)*2</f>
        <v>0</v>
      </c>
      <c r="M320">
        <v>85.166700000000006</v>
      </c>
      <c r="N320">
        <v>3.70054E-3</v>
      </c>
      <c r="O320">
        <f>Table312332[[#This Row],[CFNM]]/Table312332[[#This Row],[CAREA]]</f>
        <v>4.3450550508590793E-5</v>
      </c>
      <c r="P320">
        <v>2</v>
      </c>
      <c r="Q320">
        <f>(Table413333[[#This Row],[time]]-2)*2</f>
        <v>0</v>
      </c>
      <c r="R320">
        <v>79.101699999999994</v>
      </c>
      <c r="S320">
        <v>4.5258399999999997E-3</v>
      </c>
      <c r="T320">
        <f>Table413333[[#This Row],[CFNM]]/Table413333[[#This Row],[CAREA]]</f>
        <v>5.7215458074858061E-5</v>
      </c>
      <c r="U320">
        <v>2</v>
      </c>
      <c r="V320">
        <f>(Table514334[[#This Row],[time]]-2)*2</f>
        <v>0</v>
      </c>
      <c r="W320">
        <v>83.227699999999999</v>
      </c>
      <c r="X320">
        <v>3.5063499999999999</v>
      </c>
      <c r="Y320">
        <f>Table514334[[#This Row],[CFNM]]/Table514334[[#This Row],[CAREA]]</f>
        <v>4.2129603485378066E-2</v>
      </c>
      <c r="Z320">
        <v>2</v>
      </c>
      <c r="AA320">
        <f>(Table615335[[#This Row],[time]]-2)*2</f>
        <v>0</v>
      </c>
      <c r="AB320">
        <v>84.265900000000002</v>
      </c>
      <c r="AC320">
        <v>6.2742399999999998</v>
      </c>
      <c r="AD320">
        <f>Table615335[[#This Row],[CFNM]]/Table615335[[#This Row],[CAREA]]</f>
        <v>7.4457639448460164E-2</v>
      </c>
      <c r="AE320">
        <v>2</v>
      </c>
      <c r="AF320">
        <f>(Table716336[[#This Row],[time]]-2)*2</f>
        <v>0</v>
      </c>
      <c r="AG320">
        <v>78.459999999999994</v>
      </c>
      <c r="AH320">
        <v>14.707599999999999</v>
      </c>
      <c r="AI320">
        <f>Table716336[[#This Row],[CFNM]]/Table716336[[#This Row],[CAREA]]</f>
        <v>0.1874534794799898</v>
      </c>
      <c r="AJ320">
        <v>2</v>
      </c>
      <c r="AK320">
        <f>(Table817337[[#This Row],[time]]-2)*2</f>
        <v>0</v>
      </c>
      <c r="AL320">
        <v>83.006</v>
      </c>
      <c r="AM320">
        <v>14.6488</v>
      </c>
      <c r="AN320">
        <f>Table817337[[#This Row],[CFNM]]/Table817337[[#This Row],[CAREA]]</f>
        <v>0.17647880876081246</v>
      </c>
    </row>
    <row r="321" spans="1:40" x14ac:dyDescent="0.25">
      <c r="A321">
        <v>2.0512600000000001</v>
      </c>
      <c r="B321">
        <f>(Table110330[[#This Row],[time]]-2)*2</f>
        <v>0.10252000000000017</v>
      </c>
      <c r="C321">
        <v>90.3643</v>
      </c>
      <c r="D321">
        <v>9.4272299999999998</v>
      </c>
      <c r="E321">
        <f>Table110330[[#This Row],[CFNM]]/Table110330[[#This Row],[CAREA]]</f>
        <v>0.10432471672994756</v>
      </c>
      <c r="F321">
        <v>2.0512600000000001</v>
      </c>
      <c r="G321">
        <f>(Table211331[[#This Row],[time]]-2)*2</f>
        <v>0.10252000000000017</v>
      </c>
      <c r="H321">
        <v>95.371600000000001</v>
      </c>
      <c r="I321">
        <v>4.01797</v>
      </c>
      <c r="J321">
        <f>Table211331[[#This Row],[CFNM]]/Table211331[[#This Row],[CAREA]]</f>
        <v>4.2129627687907095E-2</v>
      </c>
      <c r="K321">
        <v>2.0512600000000001</v>
      </c>
      <c r="L321">
        <f>(Table312332[[#This Row],[time]]-2)*2</f>
        <v>0.10252000000000017</v>
      </c>
      <c r="M321">
        <v>87.371399999999994</v>
      </c>
      <c r="N321">
        <v>3.1017199999999998</v>
      </c>
      <c r="O321">
        <f>Table312332[[#This Row],[CFNM]]/Table312332[[#This Row],[CAREA]]</f>
        <v>3.5500404022368877E-2</v>
      </c>
      <c r="P321">
        <v>2.0512600000000001</v>
      </c>
      <c r="Q321">
        <f>(Table413333[[#This Row],[time]]-2)*2</f>
        <v>0.10252000000000017</v>
      </c>
      <c r="R321">
        <v>87.558599999999998</v>
      </c>
      <c r="S321">
        <v>7.8607500000000003</v>
      </c>
      <c r="T321">
        <f>Table413333[[#This Row],[CFNM]]/Table413333[[#This Row],[CAREA]]</f>
        <v>8.9777017905722567E-2</v>
      </c>
      <c r="U321">
        <v>2.0512600000000001</v>
      </c>
      <c r="V321">
        <f>(Table514334[[#This Row],[time]]-2)*2</f>
        <v>0.10252000000000017</v>
      </c>
      <c r="W321">
        <v>82.528300000000002</v>
      </c>
      <c r="X321">
        <v>6.9295</v>
      </c>
      <c r="Y321">
        <f>Table514334[[#This Row],[CFNM]]/Table514334[[#This Row],[CAREA]]</f>
        <v>8.3965136807616289E-2</v>
      </c>
      <c r="Z321">
        <v>2.0512600000000001</v>
      </c>
      <c r="AA321">
        <f>(Table615335[[#This Row],[time]]-2)*2</f>
        <v>0.10252000000000017</v>
      </c>
      <c r="AB321">
        <v>89.191400000000002</v>
      </c>
      <c r="AC321">
        <v>18.453900000000001</v>
      </c>
      <c r="AD321">
        <f>Table615335[[#This Row],[CFNM]]/Table615335[[#This Row],[CAREA]]</f>
        <v>0.2069022349688423</v>
      </c>
      <c r="AE321">
        <v>2.0512600000000001</v>
      </c>
      <c r="AF321">
        <f>(Table716336[[#This Row],[time]]-2)*2</f>
        <v>0.10252000000000017</v>
      </c>
      <c r="AG321">
        <v>77.970100000000002</v>
      </c>
      <c r="AH321">
        <v>19.292899999999999</v>
      </c>
      <c r="AI321">
        <f>Table716336[[#This Row],[CFNM]]/Table716336[[#This Row],[CAREA]]</f>
        <v>0.24743972368895253</v>
      </c>
      <c r="AJ321">
        <v>2.0512600000000001</v>
      </c>
      <c r="AK321">
        <f>(Table817337[[#This Row],[time]]-2)*2</f>
        <v>0.10252000000000017</v>
      </c>
      <c r="AL321">
        <v>83.4435</v>
      </c>
      <c r="AM321">
        <v>21.443100000000001</v>
      </c>
      <c r="AN321">
        <f>Table817337[[#This Row],[CFNM]]/Table817337[[#This Row],[CAREA]]</f>
        <v>0.25697747577702279</v>
      </c>
    </row>
    <row r="322" spans="1:40" x14ac:dyDescent="0.25">
      <c r="A322">
        <v>2.1153300000000002</v>
      </c>
      <c r="B322">
        <f>(Table110330[[#This Row],[time]]-2)*2</f>
        <v>0.23066000000000031</v>
      </c>
      <c r="C322">
        <v>89.194599999999994</v>
      </c>
      <c r="D322">
        <v>8.9794</v>
      </c>
      <c r="E322">
        <f>Table110330[[#This Row],[CFNM]]/Table110330[[#This Row],[CAREA]]</f>
        <v>0.10067201377661877</v>
      </c>
      <c r="F322">
        <v>2.1153300000000002</v>
      </c>
      <c r="G322">
        <f>(Table211331[[#This Row],[time]]-2)*2</f>
        <v>0.23066000000000031</v>
      </c>
      <c r="H322">
        <v>96.172899999999998</v>
      </c>
      <c r="I322">
        <v>4.6443700000000003</v>
      </c>
      <c r="J322">
        <f>Table211331[[#This Row],[CFNM]]/Table211331[[#This Row],[CAREA]]</f>
        <v>4.8291878481360136E-2</v>
      </c>
      <c r="K322">
        <v>2.1153300000000002</v>
      </c>
      <c r="L322">
        <f>(Table312332[[#This Row],[time]]-2)*2</f>
        <v>0.23066000000000031</v>
      </c>
      <c r="M322">
        <v>86.453299999999999</v>
      </c>
      <c r="N322">
        <v>2.7981699999999998</v>
      </c>
      <c r="O322">
        <f>Table312332[[#This Row],[CFNM]]/Table312332[[#This Row],[CAREA]]</f>
        <v>3.2366260165893029E-2</v>
      </c>
      <c r="P322">
        <v>2.1153300000000002</v>
      </c>
      <c r="Q322">
        <f>(Table413333[[#This Row],[time]]-2)*2</f>
        <v>0.23066000000000031</v>
      </c>
      <c r="R322">
        <v>88.641499999999994</v>
      </c>
      <c r="S322">
        <v>9.2515599999999996</v>
      </c>
      <c r="T322">
        <f>Table413333[[#This Row],[CFNM]]/Table413333[[#This Row],[CAREA]]</f>
        <v>0.10437052622078824</v>
      </c>
      <c r="U322">
        <v>2.1153300000000002</v>
      </c>
      <c r="V322">
        <f>(Table514334[[#This Row],[time]]-2)*2</f>
        <v>0.23066000000000031</v>
      </c>
      <c r="W322">
        <v>81.138599999999997</v>
      </c>
      <c r="X322">
        <v>5.7585600000000001</v>
      </c>
      <c r="Y322">
        <f>Table514334[[#This Row],[CFNM]]/Table514334[[#This Row],[CAREA]]</f>
        <v>7.0971892539432535E-2</v>
      </c>
      <c r="Z322">
        <v>2.1153300000000002</v>
      </c>
      <c r="AA322">
        <f>(Table615335[[#This Row],[time]]-2)*2</f>
        <v>0.23066000000000031</v>
      </c>
      <c r="AB322">
        <v>90.442099999999996</v>
      </c>
      <c r="AC322">
        <v>20.8142</v>
      </c>
      <c r="AD322">
        <f>Table615335[[#This Row],[CFNM]]/Table615335[[#This Row],[CAREA]]</f>
        <v>0.23013839793635929</v>
      </c>
      <c r="AE322">
        <v>2.1153300000000002</v>
      </c>
      <c r="AF322">
        <f>(Table716336[[#This Row],[time]]-2)*2</f>
        <v>0.23066000000000031</v>
      </c>
      <c r="AG322">
        <v>77.728899999999996</v>
      </c>
      <c r="AH322">
        <v>19.132200000000001</v>
      </c>
      <c r="AI322">
        <f>Table716336[[#This Row],[CFNM]]/Table716336[[#This Row],[CAREA]]</f>
        <v>0.24614011004915806</v>
      </c>
      <c r="AJ322">
        <v>2.1153300000000002</v>
      </c>
      <c r="AK322">
        <f>(Table817337[[#This Row],[time]]-2)*2</f>
        <v>0.23066000000000031</v>
      </c>
      <c r="AL322">
        <v>83.489199999999997</v>
      </c>
      <c r="AM322">
        <v>23.068100000000001</v>
      </c>
      <c r="AN322">
        <f>Table817337[[#This Row],[CFNM]]/Table817337[[#This Row],[CAREA]]</f>
        <v>0.27630040771740538</v>
      </c>
    </row>
    <row r="323" spans="1:40" x14ac:dyDescent="0.25">
      <c r="A323">
        <v>2.16533</v>
      </c>
      <c r="B323">
        <f>(Table110330[[#This Row],[time]]-2)*2</f>
        <v>0.33065999999999995</v>
      </c>
      <c r="C323">
        <v>87.107100000000003</v>
      </c>
      <c r="D323">
        <v>9.2662999999999993</v>
      </c>
      <c r="E323">
        <f>Table110330[[#This Row],[CFNM]]/Table110330[[#This Row],[CAREA]]</f>
        <v>0.10637824012049533</v>
      </c>
      <c r="F323">
        <v>2.16533</v>
      </c>
      <c r="G323">
        <f>(Table211331[[#This Row],[time]]-2)*2</f>
        <v>0.33065999999999995</v>
      </c>
      <c r="H323">
        <v>97.530600000000007</v>
      </c>
      <c r="I323">
        <v>6.1811800000000003</v>
      </c>
      <c r="J323">
        <f>Table211331[[#This Row],[CFNM]]/Table211331[[#This Row],[CAREA]]</f>
        <v>6.3376827375203268E-2</v>
      </c>
      <c r="K323">
        <v>2.16533</v>
      </c>
      <c r="L323">
        <f>(Table312332[[#This Row],[time]]-2)*2</f>
        <v>0.33065999999999995</v>
      </c>
      <c r="M323">
        <v>85.095500000000001</v>
      </c>
      <c r="N323">
        <v>3.0439500000000002</v>
      </c>
      <c r="O323">
        <f>Table312332[[#This Row],[CFNM]]/Table312332[[#This Row],[CAREA]]</f>
        <v>3.5770986714926171E-2</v>
      </c>
      <c r="P323">
        <v>2.16533</v>
      </c>
      <c r="Q323">
        <f>(Table413333[[#This Row],[time]]-2)*2</f>
        <v>0.33065999999999995</v>
      </c>
      <c r="R323">
        <v>89.674300000000002</v>
      </c>
      <c r="S323">
        <v>11.202299999999999</v>
      </c>
      <c r="T323">
        <f>Table413333[[#This Row],[CFNM]]/Table413333[[#This Row],[CAREA]]</f>
        <v>0.12492207912411916</v>
      </c>
      <c r="U323">
        <v>2.16533</v>
      </c>
      <c r="V323">
        <f>(Table514334[[#This Row],[time]]-2)*2</f>
        <v>0.33065999999999995</v>
      </c>
      <c r="W323">
        <v>78.104500000000002</v>
      </c>
      <c r="X323">
        <v>4.9163800000000002</v>
      </c>
      <c r="Y323">
        <f>Table514334[[#This Row],[CFNM]]/Table514334[[#This Row],[CAREA]]</f>
        <v>6.2946181077914845E-2</v>
      </c>
      <c r="Z323">
        <v>2.16533</v>
      </c>
      <c r="AA323">
        <f>(Table615335[[#This Row],[time]]-2)*2</f>
        <v>0.33065999999999995</v>
      </c>
      <c r="AB323">
        <v>92.374600000000001</v>
      </c>
      <c r="AC323">
        <v>23.740400000000001</v>
      </c>
      <c r="AD323">
        <f>Table615335[[#This Row],[CFNM]]/Table615335[[#This Row],[CAREA]]</f>
        <v>0.25700138349719515</v>
      </c>
      <c r="AE323">
        <v>2.16533</v>
      </c>
      <c r="AF323">
        <f>(Table716336[[#This Row],[time]]-2)*2</f>
        <v>0.33065999999999995</v>
      </c>
      <c r="AG323">
        <v>77.566199999999995</v>
      </c>
      <c r="AH323">
        <v>19.0015</v>
      </c>
      <c r="AI323">
        <f>Table716336[[#This Row],[CFNM]]/Table716336[[#This Row],[CAREA]]</f>
        <v>0.24497139217855202</v>
      </c>
      <c r="AJ323">
        <v>2.16533</v>
      </c>
      <c r="AK323">
        <f>(Table817337[[#This Row],[time]]-2)*2</f>
        <v>0.33065999999999995</v>
      </c>
      <c r="AL323">
        <v>83.173000000000002</v>
      </c>
      <c r="AM323">
        <v>25.316500000000001</v>
      </c>
      <c r="AN323">
        <f>Table817337[[#This Row],[CFNM]]/Table817337[[#This Row],[CAREA]]</f>
        <v>0.30438363411203156</v>
      </c>
    </row>
    <row r="324" spans="1:40" x14ac:dyDescent="0.25">
      <c r="A324">
        <v>2.2246999999999999</v>
      </c>
      <c r="B324">
        <f>(Table110330[[#This Row],[time]]-2)*2</f>
        <v>0.4493999999999998</v>
      </c>
      <c r="C324">
        <v>85.614199999999997</v>
      </c>
      <c r="D324">
        <v>9.4766300000000001</v>
      </c>
      <c r="E324">
        <f>Table110330[[#This Row],[CFNM]]/Table110330[[#This Row],[CAREA]]</f>
        <v>0.11068993227758947</v>
      </c>
      <c r="F324">
        <v>2.2246999999999999</v>
      </c>
      <c r="G324">
        <f>(Table211331[[#This Row],[time]]-2)*2</f>
        <v>0.4493999999999998</v>
      </c>
      <c r="H324">
        <v>98.429199999999994</v>
      </c>
      <c r="I324">
        <v>7.7231699999999996</v>
      </c>
      <c r="J324">
        <f>Table211331[[#This Row],[CFNM]]/Table211331[[#This Row],[CAREA]]</f>
        <v>7.8464215903410781E-2</v>
      </c>
      <c r="K324">
        <v>2.2246999999999999</v>
      </c>
      <c r="L324">
        <f>(Table312332[[#This Row],[time]]-2)*2</f>
        <v>0.4493999999999998</v>
      </c>
      <c r="M324">
        <v>83.572699999999998</v>
      </c>
      <c r="N324">
        <v>3.0207700000000002</v>
      </c>
      <c r="O324">
        <f>Table312332[[#This Row],[CFNM]]/Table312332[[#This Row],[CAREA]]</f>
        <v>3.6145415907347739E-2</v>
      </c>
      <c r="P324">
        <v>2.2246999999999999</v>
      </c>
      <c r="Q324">
        <f>(Table413333[[#This Row],[time]]-2)*2</f>
        <v>0.4493999999999998</v>
      </c>
      <c r="R324">
        <v>90.069199999999995</v>
      </c>
      <c r="S324">
        <v>12.940200000000001</v>
      </c>
      <c r="T324">
        <f>Table413333[[#This Row],[CFNM]]/Table413333[[#This Row],[CAREA]]</f>
        <v>0.14366953409156516</v>
      </c>
      <c r="U324">
        <v>2.2246999999999999</v>
      </c>
      <c r="V324">
        <f>(Table514334[[#This Row],[time]]-2)*2</f>
        <v>0.4493999999999998</v>
      </c>
      <c r="W324">
        <v>76.404300000000006</v>
      </c>
      <c r="X324">
        <v>4.6175600000000001</v>
      </c>
      <c r="Y324">
        <f>Table514334[[#This Row],[CFNM]]/Table514334[[#This Row],[CAREA]]</f>
        <v>6.0435865520657862E-2</v>
      </c>
      <c r="Z324">
        <v>2.2246999999999999</v>
      </c>
      <c r="AA324">
        <f>(Table615335[[#This Row],[time]]-2)*2</f>
        <v>0.4493999999999998</v>
      </c>
      <c r="AB324">
        <v>92.269499999999994</v>
      </c>
      <c r="AC324">
        <v>26.261500000000002</v>
      </c>
      <c r="AD324">
        <f>Table615335[[#This Row],[CFNM]]/Table615335[[#This Row],[CAREA]]</f>
        <v>0.2846173437593138</v>
      </c>
      <c r="AE324">
        <v>2.2246999999999999</v>
      </c>
      <c r="AF324">
        <f>(Table716336[[#This Row],[time]]-2)*2</f>
        <v>0.4493999999999998</v>
      </c>
      <c r="AG324">
        <v>77.606899999999996</v>
      </c>
      <c r="AH324">
        <v>18.800899999999999</v>
      </c>
      <c r="AI324">
        <f>Table716336[[#This Row],[CFNM]]/Table716336[[#This Row],[CAREA]]</f>
        <v>0.24225809818456864</v>
      </c>
      <c r="AJ324">
        <v>2.2246999999999999</v>
      </c>
      <c r="AK324">
        <f>(Table817337[[#This Row],[time]]-2)*2</f>
        <v>0.4493999999999998</v>
      </c>
      <c r="AL324">
        <v>82.580200000000005</v>
      </c>
      <c r="AM324">
        <v>27.2316</v>
      </c>
      <c r="AN324">
        <f>Table817337[[#This Row],[CFNM]]/Table817337[[#This Row],[CAREA]]</f>
        <v>0.32975943385944811</v>
      </c>
    </row>
    <row r="325" spans="1:40" x14ac:dyDescent="0.25">
      <c r="A325">
        <v>2.2668900000000001</v>
      </c>
      <c r="B325">
        <f>(Table110330[[#This Row],[time]]-2)*2</f>
        <v>0.53378000000000014</v>
      </c>
      <c r="C325">
        <v>83.430300000000003</v>
      </c>
      <c r="D325">
        <v>9.6423299999999994</v>
      </c>
      <c r="E325">
        <f>Table110330[[#This Row],[CFNM]]/Table110330[[#This Row],[CAREA]]</f>
        <v>0.11557347870018446</v>
      </c>
      <c r="F325">
        <v>2.2668900000000001</v>
      </c>
      <c r="G325">
        <f>(Table211331[[#This Row],[time]]-2)*2</f>
        <v>0.53378000000000014</v>
      </c>
      <c r="H325">
        <v>99.428700000000006</v>
      </c>
      <c r="I325">
        <v>9.9888899999999996</v>
      </c>
      <c r="J325">
        <f>Table211331[[#This Row],[CFNM]]/Table211331[[#This Row],[CAREA]]</f>
        <v>0.10046284422908072</v>
      </c>
      <c r="K325">
        <v>2.2668900000000001</v>
      </c>
      <c r="L325">
        <f>(Table312332[[#This Row],[time]]-2)*2</f>
        <v>0.53378000000000014</v>
      </c>
      <c r="M325">
        <v>82.906800000000004</v>
      </c>
      <c r="N325">
        <v>2.92815</v>
      </c>
      <c r="O325">
        <f>Table312332[[#This Row],[CFNM]]/Table312332[[#This Row],[CAREA]]</f>
        <v>3.5318574592192675E-2</v>
      </c>
      <c r="P325">
        <v>2.2668900000000001</v>
      </c>
      <c r="Q325">
        <f>(Table413333[[#This Row],[time]]-2)*2</f>
        <v>0.53378000000000014</v>
      </c>
      <c r="R325">
        <v>90.081100000000006</v>
      </c>
      <c r="S325">
        <v>15.293100000000001</v>
      </c>
      <c r="T325">
        <f>Table413333[[#This Row],[CFNM]]/Table413333[[#This Row],[CAREA]]</f>
        <v>0.16977035138336455</v>
      </c>
      <c r="U325">
        <v>2.2668900000000001</v>
      </c>
      <c r="V325">
        <f>(Table514334[[#This Row],[time]]-2)*2</f>
        <v>0.53378000000000014</v>
      </c>
      <c r="W325">
        <v>73.770600000000002</v>
      </c>
      <c r="X325">
        <v>4.3297299999999996</v>
      </c>
      <c r="Y325">
        <f>Table514334[[#This Row],[CFNM]]/Table514334[[#This Row],[CAREA]]</f>
        <v>5.8691809474234989E-2</v>
      </c>
      <c r="Z325">
        <v>2.2668900000000001</v>
      </c>
      <c r="AA325">
        <f>(Table615335[[#This Row],[time]]-2)*2</f>
        <v>0.53378000000000014</v>
      </c>
      <c r="AB325">
        <v>93.481099999999998</v>
      </c>
      <c r="AC325">
        <v>29.722100000000001</v>
      </c>
      <c r="AD325">
        <f>Table615335[[#This Row],[CFNM]]/Table615335[[#This Row],[CAREA]]</f>
        <v>0.31794769210032831</v>
      </c>
      <c r="AE325">
        <v>2.2668900000000001</v>
      </c>
      <c r="AF325">
        <f>(Table716336[[#This Row],[time]]-2)*2</f>
        <v>0.53378000000000014</v>
      </c>
      <c r="AG325">
        <v>77.543400000000005</v>
      </c>
      <c r="AH325">
        <v>18.635400000000001</v>
      </c>
      <c r="AI325">
        <f>Table716336[[#This Row],[CFNM]]/Table716336[[#This Row],[CAREA]]</f>
        <v>0.24032219376503997</v>
      </c>
      <c r="AJ325">
        <v>2.2668900000000001</v>
      </c>
      <c r="AK325">
        <f>(Table817337[[#This Row],[time]]-2)*2</f>
        <v>0.53378000000000014</v>
      </c>
      <c r="AL325">
        <v>81.994799999999998</v>
      </c>
      <c r="AM325">
        <v>29.955100000000002</v>
      </c>
      <c r="AN325">
        <f>Table817337[[#This Row],[CFNM]]/Table817337[[#This Row],[CAREA]]</f>
        <v>0.36532926478264477</v>
      </c>
    </row>
    <row r="326" spans="1:40" x14ac:dyDescent="0.25">
      <c r="A326">
        <v>2.3262700000000001</v>
      </c>
      <c r="B326">
        <f>(Table110330[[#This Row],[time]]-2)*2</f>
        <v>0.65254000000000012</v>
      </c>
      <c r="C326">
        <v>80.995900000000006</v>
      </c>
      <c r="D326">
        <v>9.7424099999999996</v>
      </c>
      <c r="E326">
        <f>Table110330[[#This Row],[CFNM]]/Table110330[[#This Row],[CAREA]]</f>
        <v>0.12028275505303354</v>
      </c>
      <c r="F326">
        <v>2.3262700000000001</v>
      </c>
      <c r="G326">
        <f>(Table211331[[#This Row],[time]]-2)*2</f>
        <v>0.65254000000000012</v>
      </c>
      <c r="H326">
        <v>102.32599999999999</v>
      </c>
      <c r="I326">
        <v>12.253299999999999</v>
      </c>
      <c r="J326">
        <f>Table211331[[#This Row],[CFNM]]/Table211331[[#This Row],[CAREA]]</f>
        <v>0.11974766921408049</v>
      </c>
      <c r="K326">
        <v>2.3262700000000001</v>
      </c>
      <c r="L326">
        <f>(Table312332[[#This Row],[time]]-2)*2</f>
        <v>0.65254000000000012</v>
      </c>
      <c r="M326">
        <v>82.132099999999994</v>
      </c>
      <c r="N326">
        <v>2.9494199999999999</v>
      </c>
      <c r="O326">
        <f>Table312332[[#This Row],[CFNM]]/Table312332[[#This Row],[CAREA]]</f>
        <v>3.5910685347141987E-2</v>
      </c>
      <c r="P326">
        <v>2.3262700000000001</v>
      </c>
      <c r="Q326">
        <f>(Table413333[[#This Row],[time]]-2)*2</f>
        <v>0.65254000000000012</v>
      </c>
      <c r="R326">
        <v>90.169899999999998</v>
      </c>
      <c r="S326">
        <v>17.527699999999999</v>
      </c>
      <c r="T326">
        <f>Table413333[[#This Row],[CFNM]]/Table413333[[#This Row],[CAREA]]</f>
        <v>0.19438526603667078</v>
      </c>
      <c r="U326">
        <v>2.3262700000000001</v>
      </c>
      <c r="V326">
        <f>(Table514334[[#This Row],[time]]-2)*2</f>
        <v>0.65254000000000012</v>
      </c>
      <c r="W326">
        <v>72.869600000000005</v>
      </c>
      <c r="X326">
        <v>4.0353500000000002</v>
      </c>
      <c r="Y326">
        <f>Table514334[[#This Row],[CFNM]]/Table514334[[#This Row],[CAREA]]</f>
        <v>5.5377688363871899E-2</v>
      </c>
      <c r="Z326">
        <v>2.3262700000000001</v>
      </c>
      <c r="AA326">
        <f>(Table615335[[#This Row],[time]]-2)*2</f>
        <v>0.65254000000000012</v>
      </c>
      <c r="AB326">
        <v>94.319199999999995</v>
      </c>
      <c r="AC326">
        <v>32.923400000000001</v>
      </c>
      <c r="AD326">
        <f>Table615335[[#This Row],[CFNM]]/Table615335[[#This Row],[CAREA]]</f>
        <v>0.34906360528927305</v>
      </c>
      <c r="AE326">
        <v>2.3262700000000001</v>
      </c>
      <c r="AF326">
        <f>(Table716336[[#This Row],[time]]-2)*2</f>
        <v>0.65254000000000012</v>
      </c>
      <c r="AG326">
        <v>76.790300000000002</v>
      </c>
      <c r="AH326">
        <v>18.452400000000001</v>
      </c>
      <c r="AI326">
        <f>Table716336[[#This Row],[CFNM]]/Table716336[[#This Row],[CAREA]]</f>
        <v>0.24029597488224425</v>
      </c>
      <c r="AJ326">
        <v>2.3262700000000001</v>
      </c>
      <c r="AK326">
        <f>(Table817337[[#This Row],[time]]-2)*2</f>
        <v>0.65254000000000012</v>
      </c>
      <c r="AL326">
        <v>81.546899999999994</v>
      </c>
      <c r="AM326">
        <v>32.667900000000003</v>
      </c>
      <c r="AN326">
        <f>Table817337[[#This Row],[CFNM]]/Table817337[[#This Row],[CAREA]]</f>
        <v>0.40060259801414899</v>
      </c>
    </row>
    <row r="327" spans="1:40" x14ac:dyDescent="0.25">
      <c r="A327">
        <v>2.3684599999999998</v>
      </c>
      <c r="B327">
        <f>(Table110330[[#This Row],[time]]-2)*2</f>
        <v>0.73691999999999958</v>
      </c>
      <c r="C327">
        <v>78.648099999999999</v>
      </c>
      <c r="D327">
        <v>9.6798300000000008</v>
      </c>
      <c r="E327">
        <f>Table110330[[#This Row],[CFNM]]/Table110330[[#This Row],[CAREA]]</f>
        <v>0.12307773487217111</v>
      </c>
      <c r="F327">
        <v>2.3684599999999998</v>
      </c>
      <c r="G327">
        <f>(Table211331[[#This Row],[time]]-2)*2</f>
        <v>0.73691999999999958</v>
      </c>
      <c r="H327">
        <v>104.887</v>
      </c>
      <c r="I327">
        <v>14.8103</v>
      </c>
      <c r="J327">
        <f>Table211331[[#This Row],[CFNM]]/Table211331[[#This Row],[CAREA]]</f>
        <v>0.14120243690829179</v>
      </c>
      <c r="K327">
        <v>2.3684599999999998</v>
      </c>
      <c r="L327">
        <f>(Table312332[[#This Row],[time]]-2)*2</f>
        <v>0.73691999999999958</v>
      </c>
      <c r="M327">
        <v>80.596500000000006</v>
      </c>
      <c r="N327">
        <v>2.91134</v>
      </c>
      <c r="O327">
        <f>Table312332[[#This Row],[CFNM]]/Table312332[[#This Row],[CAREA]]</f>
        <v>3.6122412263559826E-2</v>
      </c>
      <c r="P327">
        <v>2.3684599999999998</v>
      </c>
      <c r="Q327">
        <f>(Table413333[[#This Row],[time]]-2)*2</f>
        <v>0.73691999999999958</v>
      </c>
      <c r="R327">
        <v>90.198700000000002</v>
      </c>
      <c r="S327">
        <v>19.9727</v>
      </c>
      <c r="T327">
        <f>Table413333[[#This Row],[CFNM]]/Table413333[[#This Row],[CAREA]]</f>
        <v>0.22143002061005312</v>
      </c>
      <c r="U327">
        <v>2.3684599999999998</v>
      </c>
      <c r="V327">
        <f>(Table514334[[#This Row],[time]]-2)*2</f>
        <v>0.73691999999999958</v>
      </c>
      <c r="W327">
        <v>71.209400000000002</v>
      </c>
      <c r="X327">
        <v>3.69686</v>
      </c>
      <c r="Y327">
        <f>Table514334[[#This Row],[CFNM]]/Table514334[[#This Row],[CAREA]]</f>
        <v>5.1915337020112515E-2</v>
      </c>
      <c r="Z327">
        <v>2.3684599999999998</v>
      </c>
      <c r="AA327">
        <f>(Table615335[[#This Row],[time]]-2)*2</f>
        <v>0.73691999999999958</v>
      </c>
      <c r="AB327">
        <v>94.468000000000004</v>
      </c>
      <c r="AC327">
        <v>36.442700000000002</v>
      </c>
      <c r="AD327">
        <f>Table615335[[#This Row],[CFNM]]/Table615335[[#This Row],[CAREA]]</f>
        <v>0.3857676673582589</v>
      </c>
      <c r="AE327">
        <v>2.3684599999999998</v>
      </c>
      <c r="AF327">
        <f>(Table716336[[#This Row],[time]]-2)*2</f>
        <v>0.73691999999999958</v>
      </c>
      <c r="AG327">
        <v>76.852800000000002</v>
      </c>
      <c r="AH327">
        <v>18.2197</v>
      </c>
      <c r="AI327">
        <f>Table716336[[#This Row],[CFNM]]/Table716336[[#This Row],[CAREA]]</f>
        <v>0.23707268960922698</v>
      </c>
      <c r="AJ327">
        <v>2.3684599999999998</v>
      </c>
      <c r="AK327">
        <f>(Table817337[[#This Row],[time]]-2)*2</f>
        <v>0.73691999999999958</v>
      </c>
      <c r="AL327">
        <v>81.085999999999999</v>
      </c>
      <c r="AM327">
        <v>35.671199999999999</v>
      </c>
      <c r="AN327">
        <f>Table817337[[#This Row],[CFNM]]/Table817337[[#This Row],[CAREA]]</f>
        <v>0.43991811163456085</v>
      </c>
    </row>
    <row r="328" spans="1:40" x14ac:dyDescent="0.25">
      <c r="A328">
        <v>2.4278300000000002</v>
      </c>
      <c r="B328">
        <f>(Table110330[[#This Row],[time]]-2)*2</f>
        <v>0.85566000000000031</v>
      </c>
      <c r="C328">
        <v>74.990099999999998</v>
      </c>
      <c r="D328">
        <v>9.3893699999999995</v>
      </c>
      <c r="E328">
        <f>Table110330[[#This Row],[CFNM]]/Table110330[[#This Row],[CAREA]]</f>
        <v>0.12520812747282642</v>
      </c>
      <c r="F328">
        <v>2.4278300000000002</v>
      </c>
      <c r="G328">
        <f>(Table211331[[#This Row],[time]]-2)*2</f>
        <v>0.85566000000000031</v>
      </c>
      <c r="H328">
        <v>106.759</v>
      </c>
      <c r="I328">
        <v>17.62</v>
      </c>
      <c r="J328">
        <f>Table211331[[#This Row],[CFNM]]/Table211331[[#This Row],[CAREA]]</f>
        <v>0.1650446332393522</v>
      </c>
      <c r="K328">
        <v>2.4278300000000002</v>
      </c>
      <c r="L328">
        <f>(Table312332[[#This Row],[time]]-2)*2</f>
        <v>0.85566000000000031</v>
      </c>
      <c r="M328">
        <v>80.2928</v>
      </c>
      <c r="N328">
        <v>2.8481299999999998</v>
      </c>
      <c r="O328">
        <f>Table312332[[#This Row],[CFNM]]/Table312332[[#This Row],[CAREA]]</f>
        <v>3.5471798218520215E-2</v>
      </c>
      <c r="P328">
        <v>2.4278300000000002</v>
      </c>
      <c r="Q328">
        <f>(Table413333[[#This Row],[time]]-2)*2</f>
        <v>0.85566000000000031</v>
      </c>
      <c r="R328">
        <v>89.784700000000001</v>
      </c>
      <c r="S328">
        <v>22.559000000000001</v>
      </c>
      <c r="T328">
        <f>Table413333[[#This Row],[CFNM]]/Table413333[[#This Row],[CAREA]]</f>
        <v>0.25125661721874665</v>
      </c>
      <c r="U328">
        <v>2.4278300000000002</v>
      </c>
      <c r="V328">
        <f>(Table514334[[#This Row],[time]]-2)*2</f>
        <v>0.85566000000000031</v>
      </c>
      <c r="W328">
        <v>70.102099999999993</v>
      </c>
      <c r="X328">
        <v>3.3683700000000001</v>
      </c>
      <c r="Y328">
        <f>Table514334[[#This Row],[CFNM]]/Table514334[[#This Row],[CAREA]]</f>
        <v>4.8049487818481909E-2</v>
      </c>
      <c r="Z328">
        <v>2.4278300000000002</v>
      </c>
      <c r="AA328">
        <f>(Table615335[[#This Row],[time]]-2)*2</f>
        <v>0.85566000000000031</v>
      </c>
      <c r="AB328">
        <v>94.227000000000004</v>
      </c>
      <c r="AC328">
        <v>40.137300000000003</v>
      </c>
      <c r="AD328">
        <f>Table615335[[#This Row],[CFNM]]/Table615335[[#This Row],[CAREA]]</f>
        <v>0.42596389569868509</v>
      </c>
      <c r="AE328">
        <v>2.4278300000000002</v>
      </c>
      <c r="AF328">
        <f>(Table716336[[#This Row],[time]]-2)*2</f>
        <v>0.85566000000000031</v>
      </c>
      <c r="AG328">
        <v>76.607500000000002</v>
      </c>
      <c r="AH328">
        <v>17.900099999999998</v>
      </c>
      <c r="AI328">
        <f>Table716336[[#This Row],[CFNM]]/Table716336[[#This Row],[CAREA]]</f>
        <v>0.23365988969748391</v>
      </c>
      <c r="AJ328">
        <v>2.4278300000000002</v>
      </c>
      <c r="AK328">
        <f>(Table817337[[#This Row],[time]]-2)*2</f>
        <v>0.85566000000000031</v>
      </c>
      <c r="AL328">
        <v>80.555099999999996</v>
      </c>
      <c r="AM328">
        <v>38.906500000000001</v>
      </c>
      <c r="AN328">
        <f>Table817337[[#This Row],[CFNM]]/Table817337[[#This Row],[CAREA]]</f>
        <v>0.48297997271432852</v>
      </c>
    </row>
    <row r="329" spans="1:40" x14ac:dyDescent="0.25">
      <c r="A329">
        <v>2.4542000000000002</v>
      </c>
      <c r="B329">
        <f>(Table110330[[#This Row],[time]]-2)*2</f>
        <v>0.90840000000000032</v>
      </c>
      <c r="C329">
        <v>72.4071</v>
      </c>
      <c r="D329">
        <v>9.0105500000000003</v>
      </c>
      <c r="E329">
        <f>Table110330[[#This Row],[CFNM]]/Table110330[[#This Row],[CAREA]]</f>
        <v>0.12444290684200859</v>
      </c>
      <c r="F329">
        <v>2.4542000000000002</v>
      </c>
      <c r="G329">
        <f>(Table211331[[#This Row],[time]]-2)*2</f>
        <v>0.90840000000000032</v>
      </c>
      <c r="H329">
        <v>106.57299999999999</v>
      </c>
      <c r="I329">
        <v>20.389700000000001</v>
      </c>
      <c r="J329">
        <f>Table211331[[#This Row],[CFNM]]/Table211331[[#This Row],[CAREA]]</f>
        <v>0.19132144164094098</v>
      </c>
      <c r="K329">
        <v>2.4542000000000002</v>
      </c>
      <c r="L329">
        <f>(Table312332[[#This Row],[time]]-2)*2</f>
        <v>0.90840000000000032</v>
      </c>
      <c r="M329">
        <v>79.616799999999998</v>
      </c>
      <c r="N329">
        <v>2.7481499999999999</v>
      </c>
      <c r="O329">
        <f>Table312332[[#This Row],[CFNM]]/Table312332[[#This Row],[CAREA]]</f>
        <v>3.4517212447624117E-2</v>
      </c>
      <c r="P329">
        <v>2.4542000000000002</v>
      </c>
      <c r="Q329">
        <f>(Table413333[[#This Row],[time]]-2)*2</f>
        <v>0.90840000000000032</v>
      </c>
      <c r="R329">
        <v>89.551199999999994</v>
      </c>
      <c r="S329">
        <v>25.328800000000001</v>
      </c>
      <c r="T329">
        <f>Table413333[[#This Row],[CFNM]]/Table413333[[#This Row],[CAREA]]</f>
        <v>0.28284154762861918</v>
      </c>
      <c r="U329">
        <v>2.4542000000000002</v>
      </c>
      <c r="V329">
        <f>(Table514334[[#This Row],[time]]-2)*2</f>
        <v>0.90840000000000032</v>
      </c>
      <c r="W329">
        <v>69.014600000000002</v>
      </c>
      <c r="X329">
        <v>3.0613199999999998</v>
      </c>
      <c r="Y329">
        <f>Table514334[[#This Row],[CFNM]]/Table514334[[#This Row],[CAREA]]</f>
        <v>4.4357570716920765E-2</v>
      </c>
      <c r="Z329">
        <v>2.4542000000000002</v>
      </c>
      <c r="AA329">
        <f>(Table615335[[#This Row],[time]]-2)*2</f>
        <v>0.90840000000000032</v>
      </c>
      <c r="AB329">
        <v>94.388300000000001</v>
      </c>
      <c r="AC329">
        <v>43.935400000000001</v>
      </c>
      <c r="AD329">
        <f>Table615335[[#This Row],[CFNM]]/Table615335[[#This Row],[CAREA]]</f>
        <v>0.46547506417638629</v>
      </c>
      <c r="AE329">
        <v>2.4542000000000002</v>
      </c>
      <c r="AF329">
        <f>(Table716336[[#This Row],[time]]-2)*2</f>
        <v>0.90840000000000032</v>
      </c>
      <c r="AG329">
        <v>76.611500000000007</v>
      </c>
      <c r="AH329">
        <v>17.497299999999999</v>
      </c>
      <c r="AI329">
        <f>Table716336[[#This Row],[CFNM]]/Table716336[[#This Row],[CAREA]]</f>
        <v>0.22838999366935769</v>
      </c>
      <c r="AJ329">
        <v>2.4542000000000002</v>
      </c>
      <c r="AK329">
        <f>(Table817337[[#This Row],[time]]-2)*2</f>
        <v>0.90840000000000032</v>
      </c>
      <c r="AL329">
        <v>80.038399999999996</v>
      </c>
      <c r="AM329">
        <v>42.024000000000001</v>
      </c>
      <c r="AN329">
        <f>Table817337[[#This Row],[CFNM]]/Table817337[[#This Row],[CAREA]]</f>
        <v>0.52504797697105399</v>
      </c>
    </row>
    <row r="330" spans="1:40" x14ac:dyDescent="0.25">
      <c r="A330">
        <v>2.5061499999999999</v>
      </c>
      <c r="B330">
        <f>(Table110330[[#This Row],[time]]-2)*2</f>
        <v>1.0122999999999998</v>
      </c>
      <c r="C330">
        <v>68.415800000000004</v>
      </c>
      <c r="D330">
        <v>8.5960900000000002</v>
      </c>
      <c r="E330">
        <f>Table110330[[#This Row],[CFNM]]/Table110330[[#This Row],[CAREA]]</f>
        <v>0.12564480719365995</v>
      </c>
      <c r="F330">
        <v>2.5061499999999999</v>
      </c>
      <c r="G330">
        <f>(Table211331[[#This Row],[time]]-2)*2</f>
        <v>1.0122999999999998</v>
      </c>
      <c r="H330">
        <v>104.21</v>
      </c>
      <c r="I330">
        <v>23.9009</v>
      </c>
      <c r="J330">
        <f>Table211331[[#This Row],[CFNM]]/Table211331[[#This Row],[CAREA]]</f>
        <v>0.22935322905671243</v>
      </c>
      <c r="K330">
        <v>2.5061499999999999</v>
      </c>
      <c r="L330">
        <f>(Table312332[[#This Row],[time]]-2)*2</f>
        <v>1.0122999999999998</v>
      </c>
      <c r="M330">
        <v>78.289199999999994</v>
      </c>
      <c r="N330">
        <v>2.5746099999999998</v>
      </c>
      <c r="O330">
        <f>Table312332[[#This Row],[CFNM]]/Table312332[[#This Row],[CAREA]]</f>
        <v>3.288588975235409E-2</v>
      </c>
      <c r="P330">
        <v>2.5061499999999999</v>
      </c>
      <c r="Q330">
        <f>(Table413333[[#This Row],[time]]-2)*2</f>
        <v>1.0122999999999998</v>
      </c>
      <c r="R330">
        <v>88.933599999999998</v>
      </c>
      <c r="S330">
        <v>28.778600000000001</v>
      </c>
      <c r="T330">
        <f>Table413333[[#This Row],[CFNM]]/Table413333[[#This Row],[CAREA]]</f>
        <v>0.32359648097007204</v>
      </c>
      <c r="U330">
        <v>2.5061499999999999</v>
      </c>
      <c r="V330">
        <f>(Table514334[[#This Row],[time]]-2)*2</f>
        <v>1.0122999999999998</v>
      </c>
      <c r="W330">
        <v>67.955299999999994</v>
      </c>
      <c r="X330">
        <v>2.70492</v>
      </c>
      <c r="Y330">
        <f>Table514334[[#This Row],[CFNM]]/Table514334[[#This Row],[CAREA]]</f>
        <v>3.9804400834077699E-2</v>
      </c>
      <c r="Z330">
        <v>2.5061499999999999</v>
      </c>
      <c r="AA330">
        <f>(Table615335[[#This Row],[time]]-2)*2</f>
        <v>1.0122999999999998</v>
      </c>
      <c r="AB330">
        <v>93.970799999999997</v>
      </c>
      <c r="AC330">
        <v>48.233699999999999</v>
      </c>
      <c r="AD330">
        <f>Table615335[[#This Row],[CFNM]]/Table615335[[#This Row],[CAREA]]</f>
        <v>0.51328391372639159</v>
      </c>
      <c r="AE330">
        <v>2.5061499999999999</v>
      </c>
      <c r="AF330">
        <f>(Table716336[[#This Row],[time]]-2)*2</f>
        <v>1.0122999999999998</v>
      </c>
      <c r="AG330">
        <v>75.712599999999995</v>
      </c>
      <c r="AH330">
        <v>17.1084</v>
      </c>
      <c r="AI330">
        <f>Table716336[[#This Row],[CFNM]]/Table716336[[#This Row],[CAREA]]</f>
        <v>0.22596503091955633</v>
      </c>
      <c r="AJ330">
        <v>2.5061499999999999</v>
      </c>
      <c r="AK330">
        <f>(Table817337[[#This Row],[time]]-2)*2</f>
        <v>1.0122999999999998</v>
      </c>
      <c r="AL330">
        <v>79.649699999999996</v>
      </c>
      <c r="AM330">
        <v>45.715800000000002</v>
      </c>
      <c r="AN330">
        <f>Table817337[[#This Row],[CFNM]]/Table817337[[#This Row],[CAREA]]</f>
        <v>0.57396073054889096</v>
      </c>
    </row>
    <row r="331" spans="1:40" x14ac:dyDescent="0.25">
      <c r="A331">
        <v>2.5507599999999999</v>
      </c>
      <c r="B331">
        <f>(Table110330[[#This Row],[time]]-2)*2</f>
        <v>1.1015199999999998</v>
      </c>
      <c r="C331">
        <v>66.523600000000002</v>
      </c>
      <c r="D331">
        <v>8.0870700000000006</v>
      </c>
      <c r="E331">
        <f>Table110330[[#This Row],[CFNM]]/Table110330[[#This Row],[CAREA]]</f>
        <v>0.12156693263743995</v>
      </c>
      <c r="F331">
        <v>2.5507599999999999</v>
      </c>
      <c r="G331">
        <f>(Table211331[[#This Row],[time]]-2)*2</f>
        <v>1.1015199999999998</v>
      </c>
      <c r="H331">
        <v>101.756</v>
      </c>
      <c r="I331">
        <v>27.704899999999999</v>
      </c>
      <c r="J331">
        <f>Table211331[[#This Row],[CFNM]]/Table211331[[#This Row],[CAREA]]</f>
        <v>0.27226797437006173</v>
      </c>
      <c r="K331">
        <v>2.5507599999999999</v>
      </c>
      <c r="L331">
        <f>(Table312332[[#This Row],[time]]-2)*2</f>
        <v>1.1015199999999998</v>
      </c>
      <c r="M331">
        <v>77.721999999999994</v>
      </c>
      <c r="N331">
        <v>2.3511500000000001</v>
      </c>
      <c r="O331">
        <f>Table312332[[#This Row],[CFNM]]/Table312332[[#This Row],[CAREA]]</f>
        <v>3.0250765549008005E-2</v>
      </c>
      <c r="P331">
        <v>2.5507599999999999</v>
      </c>
      <c r="Q331">
        <f>(Table413333[[#This Row],[time]]-2)*2</f>
        <v>1.1015199999999998</v>
      </c>
      <c r="R331">
        <v>88.294499999999999</v>
      </c>
      <c r="S331">
        <v>32.450299999999999</v>
      </c>
      <c r="T331">
        <f>Table413333[[#This Row],[CFNM]]/Table413333[[#This Row],[CAREA]]</f>
        <v>0.36752345842606277</v>
      </c>
      <c r="U331">
        <v>2.5507599999999999</v>
      </c>
      <c r="V331">
        <f>(Table514334[[#This Row],[time]]-2)*2</f>
        <v>1.1015199999999998</v>
      </c>
      <c r="W331">
        <v>67.201599999999999</v>
      </c>
      <c r="X331">
        <v>2.3937599999999999</v>
      </c>
      <c r="Y331">
        <f>Table514334[[#This Row],[CFNM]]/Table514334[[#This Row],[CAREA]]</f>
        <v>3.562058046236994E-2</v>
      </c>
      <c r="Z331">
        <v>2.5507599999999999</v>
      </c>
      <c r="AA331">
        <f>(Table615335[[#This Row],[time]]-2)*2</f>
        <v>1.1015199999999998</v>
      </c>
      <c r="AB331">
        <v>93.902199999999993</v>
      </c>
      <c r="AC331">
        <v>52.382199999999997</v>
      </c>
      <c r="AD331">
        <f>Table615335[[#This Row],[CFNM]]/Table615335[[#This Row],[CAREA]]</f>
        <v>0.55783783553526967</v>
      </c>
      <c r="AE331">
        <v>2.5507599999999999</v>
      </c>
      <c r="AF331">
        <f>(Table716336[[#This Row],[time]]-2)*2</f>
        <v>1.1015199999999998</v>
      </c>
      <c r="AG331">
        <v>75.550799999999995</v>
      </c>
      <c r="AH331">
        <v>16.643999999999998</v>
      </c>
      <c r="AI331">
        <f>Table716336[[#This Row],[CFNM]]/Table716336[[#This Row],[CAREA]]</f>
        <v>0.22030210136755665</v>
      </c>
      <c r="AJ331">
        <v>2.5507599999999999</v>
      </c>
      <c r="AK331">
        <f>(Table817337[[#This Row],[time]]-2)*2</f>
        <v>1.1015199999999998</v>
      </c>
      <c r="AL331">
        <v>79.017700000000005</v>
      </c>
      <c r="AM331">
        <v>49.1128</v>
      </c>
      <c r="AN331">
        <f>Table817337[[#This Row],[CFNM]]/Table817337[[#This Row],[CAREA]]</f>
        <v>0.62154175583445226</v>
      </c>
    </row>
    <row r="332" spans="1:40" x14ac:dyDescent="0.25">
      <c r="A332">
        <v>2.60453</v>
      </c>
      <c r="B332">
        <f>(Table110330[[#This Row],[time]]-2)*2</f>
        <v>1.20906</v>
      </c>
      <c r="C332">
        <v>65.199399999999997</v>
      </c>
      <c r="D332">
        <v>7.6056299999999997</v>
      </c>
      <c r="E332">
        <f>Table110330[[#This Row],[CFNM]]/Table110330[[#This Row],[CAREA]]</f>
        <v>0.11665184035435909</v>
      </c>
      <c r="F332">
        <v>2.60453</v>
      </c>
      <c r="G332">
        <f>(Table211331[[#This Row],[time]]-2)*2</f>
        <v>1.20906</v>
      </c>
      <c r="H332">
        <v>100.072</v>
      </c>
      <c r="I332">
        <v>31.575800000000001</v>
      </c>
      <c r="J332">
        <f>Table211331[[#This Row],[CFNM]]/Table211331[[#This Row],[CAREA]]</f>
        <v>0.31553081781117598</v>
      </c>
      <c r="K332">
        <v>2.60453</v>
      </c>
      <c r="L332">
        <f>(Table312332[[#This Row],[time]]-2)*2</f>
        <v>1.20906</v>
      </c>
      <c r="M332">
        <v>76.667699999999996</v>
      </c>
      <c r="N332">
        <v>2.2283499999999998</v>
      </c>
      <c r="O332">
        <f>Table312332[[#This Row],[CFNM]]/Table312332[[#This Row],[CAREA]]</f>
        <v>2.9065043036376467E-2</v>
      </c>
      <c r="P332">
        <v>2.60453</v>
      </c>
      <c r="Q332">
        <f>(Table413333[[#This Row],[time]]-2)*2</f>
        <v>1.20906</v>
      </c>
      <c r="R332">
        <v>87.284599999999998</v>
      </c>
      <c r="S332">
        <v>35.9574</v>
      </c>
      <c r="T332">
        <f>Table413333[[#This Row],[CFNM]]/Table413333[[#This Row],[CAREA]]</f>
        <v>0.41195583184204315</v>
      </c>
      <c r="U332">
        <v>2.60453</v>
      </c>
      <c r="V332">
        <f>(Table514334[[#This Row],[time]]-2)*2</f>
        <v>1.20906</v>
      </c>
      <c r="W332">
        <v>66.293899999999994</v>
      </c>
      <c r="X332">
        <v>2.08283</v>
      </c>
      <c r="Y332">
        <f>Table514334[[#This Row],[CFNM]]/Table514334[[#This Row],[CAREA]]</f>
        <v>3.1418124442822042E-2</v>
      </c>
      <c r="Z332">
        <v>2.60453</v>
      </c>
      <c r="AA332">
        <f>(Table615335[[#This Row],[time]]-2)*2</f>
        <v>1.20906</v>
      </c>
      <c r="AB332">
        <v>93.380799999999994</v>
      </c>
      <c r="AC332">
        <v>56.251199999999997</v>
      </c>
      <c r="AD332">
        <f>Table615335[[#This Row],[CFNM]]/Table615335[[#This Row],[CAREA]]</f>
        <v>0.60238507273443798</v>
      </c>
      <c r="AE332">
        <v>2.60453</v>
      </c>
      <c r="AF332">
        <f>(Table716336[[#This Row],[time]]-2)*2</f>
        <v>1.20906</v>
      </c>
      <c r="AG332">
        <v>74.858500000000006</v>
      </c>
      <c r="AH332">
        <v>16.117799999999999</v>
      </c>
      <c r="AI332">
        <f>Table716336[[#This Row],[CFNM]]/Table716336[[#This Row],[CAREA]]</f>
        <v>0.21531021861244878</v>
      </c>
      <c r="AJ332">
        <v>2.60453</v>
      </c>
      <c r="AK332">
        <f>(Table817337[[#This Row],[time]]-2)*2</f>
        <v>1.20906</v>
      </c>
      <c r="AL332">
        <v>78.511399999999995</v>
      </c>
      <c r="AM332">
        <v>52.036000000000001</v>
      </c>
      <c r="AN332">
        <f>Table817337[[#This Row],[CFNM]]/Table817337[[#This Row],[CAREA]]</f>
        <v>0.66278272964181006</v>
      </c>
    </row>
    <row r="333" spans="1:40" x14ac:dyDescent="0.25">
      <c r="A333">
        <v>2.65273</v>
      </c>
      <c r="B333">
        <f>(Table110330[[#This Row],[time]]-2)*2</f>
        <v>1.3054600000000001</v>
      </c>
      <c r="C333">
        <v>63.072600000000001</v>
      </c>
      <c r="D333">
        <v>7.0746700000000002</v>
      </c>
      <c r="E333">
        <f>Table110330[[#This Row],[CFNM]]/Table110330[[#This Row],[CAREA]]</f>
        <v>0.11216708998836261</v>
      </c>
      <c r="F333">
        <v>2.65273</v>
      </c>
      <c r="G333">
        <f>(Table211331[[#This Row],[time]]-2)*2</f>
        <v>1.3054600000000001</v>
      </c>
      <c r="H333">
        <v>98.473100000000002</v>
      </c>
      <c r="I333">
        <v>36.464300000000001</v>
      </c>
      <c r="J333">
        <f>Table211331[[#This Row],[CFNM]]/Table211331[[#This Row],[CAREA]]</f>
        <v>0.37029706589921513</v>
      </c>
      <c r="K333">
        <v>2.65273</v>
      </c>
      <c r="L333">
        <f>(Table312332[[#This Row],[time]]-2)*2</f>
        <v>1.3054600000000001</v>
      </c>
      <c r="M333">
        <v>75.146000000000001</v>
      </c>
      <c r="N333">
        <v>1.8340799999999999</v>
      </c>
      <c r="O333">
        <f>Table312332[[#This Row],[CFNM]]/Table312332[[#This Row],[CAREA]]</f>
        <v>2.4406887924839644E-2</v>
      </c>
      <c r="P333">
        <v>2.65273</v>
      </c>
      <c r="Q333">
        <f>(Table413333[[#This Row],[time]]-2)*2</f>
        <v>1.3054600000000001</v>
      </c>
      <c r="R333">
        <v>86.217200000000005</v>
      </c>
      <c r="S333">
        <v>40.800699999999999</v>
      </c>
      <c r="T333">
        <f>Table413333[[#This Row],[CFNM]]/Table413333[[#This Row],[CAREA]]</f>
        <v>0.47323155936402478</v>
      </c>
      <c r="U333">
        <v>2.65273</v>
      </c>
      <c r="V333">
        <f>(Table514334[[#This Row],[time]]-2)*2</f>
        <v>1.3054600000000001</v>
      </c>
      <c r="W333">
        <v>65.483000000000004</v>
      </c>
      <c r="X333">
        <v>1.78748</v>
      </c>
      <c r="Y333">
        <f>Table514334[[#This Row],[CFNM]]/Table514334[[#This Row],[CAREA]]</f>
        <v>2.7296855672464607E-2</v>
      </c>
      <c r="Z333">
        <v>2.65273</v>
      </c>
      <c r="AA333">
        <f>(Table615335[[#This Row],[time]]-2)*2</f>
        <v>1.3054600000000001</v>
      </c>
      <c r="AB333">
        <v>92.738100000000003</v>
      </c>
      <c r="AC333">
        <v>61.237900000000003</v>
      </c>
      <c r="AD333">
        <f>Table615335[[#This Row],[CFNM]]/Table615335[[#This Row],[CAREA]]</f>
        <v>0.66033162206256113</v>
      </c>
      <c r="AE333">
        <v>2.65273</v>
      </c>
      <c r="AF333">
        <f>(Table716336[[#This Row],[time]]-2)*2</f>
        <v>1.3054600000000001</v>
      </c>
      <c r="AG333">
        <v>74.341200000000001</v>
      </c>
      <c r="AH333">
        <v>15.398</v>
      </c>
      <c r="AI333">
        <f>Table716336[[#This Row],[CFNM]]/Table716336[[#This Row],[CAREA]]</f>
        <v>0.20712606199523279</v>
      </c>
      <c r="AJ333">
        <v>2.65273</v>
      </c>
      <c r="AK333">
        <f>(Table817337[[#This Row],[time]]-2)*2</f>
        <v>1.3054600000000001</v>
      </c>
      <c r="AL333">
        <v>77.621899999999997</v>
      </c>
      <c r="AM333">
        <v>55.712699999999998</v>
      </c>
      <c r="AN333">
        <f>Table817337[[#This Row],[CFNM]]/Table817337[[#This Row],[CAREA]]</f>
        <v>0.71774460558167219</v>
      </c>
    </row>
    <row r="334" spans="1:40" x14ac:dyDescent="0.25">
      <c r="A334">
        <v>2.7006199999999998</v>
      </c>
      <c r="B334">
        <f>(Table110330[[#This Row],[time]]-2)*2</f>
        <v>1.4012399999999996</v>
      </c>
      <c r="C334">
        <v>62.366100000000003</v>
      </c>
      <c r="D334">
        <v>6.7132699999999996</v>
      </c>
      <c r="E334">
        <f>Table110330[[#This Row],[CFNM]]/Table110330[[#This Row],[CAREA]]</f>
        <v>0.1076429342222778</v>
      </c>
      <c r="F334">
        <v>2.7006199999999998</v>
      </c>
      <c r="G334">
        <f>(Table211331[[#This Row],[time]]-2)*2</f>
        <v>1.4012399999999996</v>
      </c>
      <c r="H334">
        <v>97.604900000000001</v>
      </c>
      <c r="I334">
        <v>39.664099999999998</v>
      </c>
      <c r="J334">
        <f>Table211331[[#This Row],[CFNM]]/Table211331[[#This Row],[CAREA]]</f>
        <v>0.4063740652364789</v>
      </c>
      <c r="K334">
        <v>2.7006199999999998</v>
      </c>
      <c r="L334">
        <f>(Table312332[[#This Row],[time]]-2)*2</f>
        <v>1.4012399999999996</v>
      </c>
      <c r="M334">
        <v>74.402799999999999</v>
      </c>
      <c r="N334">
        <v>1.59718</v>
      </c>
      <c r="O334">
        <f>Table312332[[#This Row],[CFNM]]/Table312332[[#This Row],[CAREA]]</f>
        <v>2.1466665233028866E-2</v>
      </c>
      <c r="P334">
        <v>2.7006199999999998</v>
      </c>
      <c r="Q334">
        <f>(Table413333[[#This Row],[time]]-2)*2</f>
        <v>1.4012399999999996</v>
      </c>
      <c r="R334">
        <v>85.623500000000007</v>
      </c>
      <c r="S334">
        <v>44.047699999999999</v>
      </c>
      <c r="T334">
        <f>Table413333[[#This Row],[CFNM]]/Table413333[[#This Row],[CAREA]]</f>
        <v>0.51443470542549641</v>
      </c>
      <c r="U334">
        <v>2.7006199999999998</v>
      </c>
      <c r="V334">
        <f>(Table514334[[#This Row],[time]]-2)*2</f>
        <v>1.4012399999999996</v>
      </c>
      <c r="W334">
        <v>64.656899999999993</v>
      </c>
      <c r="X334">
        <v>1.53583</v>
      </c>
      <c r="Y334">
        <f>Table514334[[#This Row],[CFNM]]/Table514334[[#This Row],[CAREA]]</f>
        <v>2.3753535972185495E-2</v>
      </c>
      <c r="Z334">
        <v>2.7006199999999998</v>
      </c>
      <c r="AA334">
        <f>(Table615335[[#This Row],[time]]-2)*2</f>
        <v>1.4012399999999996</v>
      </c>
      <c r="AB334">
        <v>92.130099999999999</v>
      </c>
      <c r="AC334">
        <v>64.706900000000005</v>
      </c>
      <c r="AD334">
        <f>Table615335[[#This Row],[CFNM]]/Table615335[[#This Row],[CAREA]]</f>
        <v>0.70234266542639168</v>
      </c>
      <c r="AE334">
        <v>2.7006199999999998</v>
      </c>
      <c r="AF334">
        <f>(Table716336[[#This Row],[time]]-2)*2</f>
        <v>1.4012399999999996</v>
      </c>
      <c r="AG334">
        <v>73.730599999999995</v>
      </c>
      <c r="AH334">
        <v>14.843400000000001</v>
      </c>
      <c r="AI334">
        <f>Table716336[[#This Row],[CFNM]]/Table716336[[#This Row],[CAREA]]</f>
        <v>0.20131939791619763</v>
      </c>
      <c r="AJ334">
        <v>2.7006199999999998</v>
      </c>
      <c r="AK334">
        <f>(Table817337[[#This Row],[time]]-2)*2</f>
        <v>1.4012399999999996</v>
      </c>
      <c r="AL334">
        <v>77.042299999999997</v>
      </c>
      <c r="AM334">
        <v>58.387900000000002</v>
      </c>
      <c r="AN334">
        <f>Table817337[[#This Row],[CFNM]]/Table817337[[#This Row],[CAREA]]</f>
        <v>0.75786808026240138</v>
      </c>
    </row>
    <row r="335" spans="1:40" x14ac:dyDescent="0.25">
      <c r="A335">
        <v>2.75176</v>
      </c>
      <c r="B335">
        <f>(Table110330[[#This Row],[time]]-2)*2</f>
        <v>1.50352</v>
      </c>
      <c r="C335">
        <v>61.07</v>
      </c>
      <c r="D335">
        <v>6.2373900000000004</v>
      </c>
      <c r="E335">
        <f>Table110330[[#This Row],[CFNM]]/Table110330[[#This Row],[CAREA]]</f>
        <v>0.10213509087931882</v>
      </c>
      <c r="F335">
        <v>2.75176</v>
      </c>
      <c r="G335">
        <f>(Table211331[[#This Row],[time]]-2)*2</f>
        <v>1.50352</v>
      </c>
      <c r="H335">
        <v>96.425299999999993</v>
      </c>
      <c r="I335">
        <v>43.928400000000003</v>
      </c>
      <c r="J335">
        <f>Table211331[[#This Row],[CFNM]]/Table211331[[#This Row],[CAREA]]</f>
        <v>0.45556923338584382</v>
      </c>
      <c r="K335">
        <v>2.75176</v>
      </c>
      <c r="L335">
        <f>(Table312332[[#This Row],[time]]-2)*2</f>
        <v>1.50352</v>
      </c>
      <c r="M335">
        <v>70.348500000000001</v>
      </c>
      <c r="N335">
        <v>1.27295</v>
      </c>
      <c r="O335">
        <f>Table312332[[#This Row],[CFNM]]/Table312332[[#This Row],[CAREA]]</f>
        <v>1.8094913182228476E-2</v>
      </c>
      <c r="P335">
        <v>2.75176</v>
      </c>
      <c r="Q335">
        <f>(Table413333[[#This Row],[time]]-2)*2</f>
        <v>1.50352</v>
      </c>
      <c r="R335">
        <v>84.752899999999997</v>
      </c>
      <c r="S335">
        <v>48.377600000000001</v>
      </c>
      <c r="T335">
        <f>Table413333[[#This Row],[CFNM]]/Table413333[[#This Row],[CAREA]]</f>
        <v>0.57080760658337359</v>
      </c>
      <c r="U335">
        <v>2.75176</v>
      </c>
      <c r="V335">
        <f>(Table514334[[#This Row],[time]]-2)*2</f>
        <v>1.50352</v>
      </c>
      <c r="W335">
        <v>63.782400000000003</v>
      </c>
      <c r="X335">
        <v>1.1255900000000001</v>
      </c>
      <c r="Y335">
        <f>Table514334[[#This Row],[CFNM]]/Table514334[[#This Row],[CAREA]]</f>
        <v>1.7647344722054988E-2</v>
      </c>
      <c r="Z335">
        <v>2.75176</v>
      </c>
      <c r="AA335">
        <f>(Table615335[[#This Row],[time]]-2)*2</f>
        <v>1.50352</v>
      </c>
      <c r="AB335">
        <v>91.407300000000006</v>
      </c>
      <c r="AC335">
        <v>69.420500000000004</v>
      </c>
      <c r="AD335">
        <f>Table615335[[#This Row],[CFNM]]/Table615335[[#This Row],[CAREA]]</f>
        <v>0.7594634126596016</v>
      </c>
      <c r="AE335">
        <v>2.75176</v>
      </c>
      <c r="AF335">
        <f>(Table716336[[#This Row],[time]]-2)*2</f>
        <v>1.50352</v>
      </c>
      <c r="AG335">
        <v>73.176299999999998</v>
      </c>
      <c r="AH335">
        <v>14.019299999999999</v>
      </c>
      <c r="AI335">
        <f>Table716336[[#This Row],[CFNM]]/Table716336[[#This Row],[CAREA]]</f>
        <v>0.1915825205701846</v>
      </c>
      <c r="AJ335">
        <v>2.75176</v>
      </c>
      <c r="AK335">
        <f>(Table817337[[#This Row],[time]]-2)*2</f>
        <v>1.50352</v>
      </c>
      <c r="AL335">
        <v>76.113799999999998</v>
      </c>
      <c r="AM335">
        <v>62.146000000000001</v>
      </c>
      <c r="AN335">
        <f>Table817337[[#This Row],[CFNM]]/Table817337[[#This Row],[CAREA]]</f>
        <v>0.81648794305369066</v>
      </c>
    </row>
    <row r="336" spans="1:40" x14ac:dyDescent="0.25">
      <c r="A336">
        <v>2.80444</v>
      </c>
      <c r="B336">
        <f>(Table110330[[#This Row],[time]]-2)*2</f>
        <v>1.6088800000000001</v>
      </c>
      <c r="C336">
        <v>59.751600000000003</v>
      </c>
      <c r="D336">
        <v>5.9411100000000001</v>
      </c>
      <c r="E336">
        <f>Table110330[[#This Row],[CFNM]]/Table110330[[#This Row],[CAREA]]</f>
        <v>9.9430140782840959E-2</v>
      </c>
      <c r="F336">
        <v>2.80444</v>
      </c>
      <c r="G336">
        <f>(Table211331[[#This Row],[time]]-2)*2</f>
        <v>1.6088800000000001</v>
      </c>
      <c r="H336">
        <v>95.578199999999995</v>
      </c>
      <c r="I336">
        <v>46.575000000000003</v>
      </c>
      <c r="J336">
        <f>Table211331[[#This Row],[CFNM]]/Table211331[[#This Row],[CAREA]]</f>
        <v>0.48729731256709169</v>
      </c>
      <c r="K336">
        <v>2.80444</v>
      </c>
      <c r="L336">
        <f>(Table312332[[#This Row],[time]]-2)*2</f>
        <v>1.6088800000000001</v>
      </c>
      <c r="M336">
        <v>67.922899999999998</v>
      </c>
      <c r="N336">
        <v>1.0803499999999999</v>
      </c>
      <c r="O336">
        <f>Table312332[[#This Row],[CFNM]]/Table312332[[#This Row],[CAREA]]</f>
        <v>1.5905534068775037E-2</v>
      </c>
      <c r="P336">
        <v>2.80444</v>
      </c>
      <c r="Q336">
        <f>(Table413333[[#This Row],[time]]-2)*2</f>
        <v>1.6088800000000001</v>
      </c>
      <c r="R336">
        <v>84.103700000000003</v>
      </c>
      <c r="S336">
        <v>51.071100000000001</v>
      </c>
      <c r="T336">
        <f>Table413333[[#This Row],[CFNM]]/Table413333[[#This Row],[CAREA]]</f>
        <v>0.60723963392811497</v>
      </c>
      <c r="U336">
        <v>2.80444</v>
      </c>
      <c r="V336">
        <f>(Table514334[[#This Row],[time]]-2)*2</f>
        <v>1.6088800000000001</v>
      </c>
      <c r="W336">
        <v>62.869799999999998</v>
      </c>
      <c r="X336">
        <v>0.94247199999999998</v>
      </c>
      <c r="Y336">
        <f>Table514334[[#This Row],[CFNM]]/Table514334[[#This Row],[CAREA]]</f>
        <v>1.499085411437606E-2</v>
      </c>
      <c r="Z336">
        <v>2.80444</v>
      </c>
      <c r="AA336">
        <f>(Table615335[[#This Row],[time]]-2)*2</f>
        <v>1.6088800000000001</v>
      </c>
      <c r="AB336">
        <v>91.0184</v>
      </c>
      <c r="AC336">
        <v>72.514799999999994</v>
      </c>
      <c r="AD336">
        <f>Table615335[[#This Row],[CFNM]]/Table615335[[#This Row],[CAREA]]</f>
        <v>0.79670484209786152</v>
      </c>
      <c r="AE336">
        <v>2.80444</v>
      </c>
      <c r="AF336">
        <f>(Table716336[[#This Row],[time]]-2)*2</f>
        <v>1.6088800000000001</v>
      </c>
      <c r="AG336">
        <v>72.251199999999997</v>
      </c>
      <c r="AH336">
        <v>13.489000000000001</v>
      </c>
      <c r="AI336">
        <f>Table716336[[#This Row],[CFNM]]/Table716336[[#This Row],[CAREA]]</f>
        <v>0.18669586110680517</v>
      </c>
      <c r="AJ336">
        <v>2.80444</v>
      </c>
      <c r="AK336">
        <f>(Table817337[[#This Row],[time]]-2)*2</f>
        <v>1.6088800000000001</v>
      </c>
      <c r="AL336">
        <v>75.595699999999994</v>
      </c>
      <c r="AM336">
        <v>64.547799999999995</v>
      </c>
      <c r="AN336">
        <f>Table817337[[#This Row],[CFNM]]/Table817337[[#This Row],[CAREA]]</f>
        <v>0.85385544415886094</v>
      </c>
    </row>
    <row r="337" spans="1:40" x14ac:dyDescent="0.25">
      <c r="A337">
        <v>2.8583699999999999</v>
      </c>
      <c r="B337">
        <f>(Table110330[[#This Row],[time]]-2)*2</f>
        <v>1.7167399999999997</v>
      </c>
      <c r="C337">
        <v>59.2883</v>
      </c>
      <c r="D337">
        <v>5.5620799999999999</v>
      </c>
      <c r="E337">
        <f>Table110330[[#This Row],[CFNM]]/Table110330[[#This Row],[CAREA]]</f>
        <v>9.3814125215261696E-2</v>
      </c>
      <c r="F337">
        <v>2.8583699999999999</v>
      </c>
      <c r="G337">
        <f>(Table211331[[#This Row],[time]]-2)*2</f>
        <v>1.7167399999999997</v>
      </c>
      <c r="H337">
        <v>94.5154</v>
      </c>
      <c r="I337">
        <v>50.0627</v>
      </c>
      <c r="J337">
        <f>Table211331[[#This Row],[CFNM]]/Table211331[[#This Row],[CAREA]]</f>
        <v>0.52967770331607333</v>
      </c>
      <c r="K337">
        <v>2.8583699999999999</v>
      </c>
      <c r="L337">
        <f>(Table312332[[#This Row],[time]]-2)*2</f>
        <v>1.7167399999999997</v>
      </c>
      <c r="M337">
        <v>65.175899999999999</v>
      </c>
      <c r="N337">
        <v>0.84319599999999995</v>
      </c>
      <c r="O337">
        <f>Table312332[[#This Row],[CFNM]]/Table312332[[#This Row],[CAREA]]</f>
        <v>1.2937236002878364E-2</v>
      </c>
      <c r="P337">
        <v>2.8583699999999999</v>
      </c>
      <c r="Q337">
        <f>(Table413333[[#This Row],[time]]-2)*2</f>
        <v>1.7167399999999997</v>
      </c>
      <c r="R337">
        <v>83.264899999999997</v>
      </c>
      <c r="S337">
        <v>54.749099999999999</v>
      </c>
      <c r="T337">
        <f>Table413333[[#This Row],[CFNM]]/Table413333[[#This Row],[CAREA]]</f>
        <v>0.65752916294861341</v>
      </c>
      <c r="U337">
        <v>2.8583699999999999</v>
      </c>
      <c r="V337">
        <f>(Table514334[[#This Row],[time]]-2)*2</f>
        <v>1.7167399999999997</v>
      </c>
      <c r="W337">
        <v>61.856400000000001</v>
      </c>
      <c r="X337">
        <v>0.782223</v>
      </c>
      <c r="Y337">
        <f>Table514334[[#This Row],[CFNM]]/Table514334[[#This Row],[CAREA]]</f>
        <v>1.2645789279686499E-2</v>
      </c>
      <c r="Z337">
        <v>2.8583699999999999</v>
      </c>
      <c r="AA337">
        <f>(Table615335[[#This Row],[time]]-2)*2</f>
        <v>1.7167399999999997</v>
      </c>
      <c r="AB337">
        <v>90.406599999999997</v>
      </c>
      <c r="AC337">
        <v>76.814999999999998</v>
      </c>
      <c r="AD337">
        <f>Table615335[[#This Row],[CFNM]]/Table615335[[#This Row],[CAREA]]</f>
        <v>0.84966141852475374</v>
      </c>
      <c r="AE337">
        <v>2.8583699999999999</v>
      </c>
      <c r="AF337">
        <f>(Table716336[[#This Row],[time]]-2)*2</f>
        <v>1.7167399999999997</v>
      </c>
      <c r="AG337">
        <v>71.053799999999995</v>
      </c>
      <c r="AH337">
        <v>12.7285</v>
      </c>
      <c r="AI337">
        <f>Table716336[[#This Row],[CFNM]]/Table716336[[#This Row],[CAREA]]</f>
        <v>0.17913890601206411</v>
      </c>
      <c r="AJ337">
        <v>2.8583699999999999</v>
      </c>
      <c r="AK337">
        <f>(Table817337[[#This Row],[time]]-2)*2</f>
        <v>1.7167399999999997</v>
      </c>
      <c r="AL337">
        <v>74.7376</v>
      </c>
      <c r="AM337">
        <v>67.808099999999996</v>
      </c>
      <c r="AN337">
        <f>Table817337[[#This Row],[CFNM]]/Table817337[[#This Row],[CAREA]]</f>
        <v>0.90728227826422037</v>
      </c>
    </row>
    <row r="338" spans="1:40" x14ac:dyDescent="0.25">
      <c r="A338">
        <v>2.9134199999999999</v>
      </c>
      <c r="B338">
        <f>(Table110330[[#This Row],[time]]-2)*2</f>
        <v>1.8268399999999998</v>
      </c>
      <c r="C338">
        <v>58.901299999999999</v>
      </c>
      <c r="D338">
        <v>5.2440199999999999</v>
      </c>
      <c r="E338">
        <f>Table110330[[#This Row],[CFNM]]/Table110330[[#This Row],[CAREA]]</f>
        <v>8.903063260063869E-2</v>
      </c>
      <c r="F338">
        <v>2.9134199999999999</v>
      </c>
      <c r="G338">
        <f>(Table211331[[#This Row],[time]]-2)*2</f>
        <v>1.8268399999999998</v>
      </c>
      <c r="H338">
        <v>93.5227</v>
      </c>
      <c r="I338">
        <v>53.110399999999998</v>
      </c>
      <c r="J338">
        <f>Table211331[[#This Row],[CFNM]]/Table211331[[#This Row],[CAREA]]</f>
        <v>0.56788779622487373</v>
      </c>
      <c r="K338">
        <v>2.9134199999999999</v>
      </c>
      <c r="L338">
        <f>(Table312332[[#This Row],[time]]-2)*2</f>
        <v>1.8268399999999998</v>
      </c>
      <c r="M338">
        <v>61.776200000000003</v>
      </c>
      <c r="N338">
        <v>0.63817199999999996</v>
      </c>
      <c r="O338">
        <f>Table312332[[#This Row],[CFNM]]/Table312332[[#This Row],[CAREA]]</f>
        <v>1.0330386135761021E-2</v>
      </c>
      <c r="P338">
        <v>2.9134199999999999</v>
      </c>
      <c r="Q338">
        <f>(Table413333[[#This Row],[time]]-2)*2</f>
        <v>1.8268399999999998</v>
      </c>
      <c r="R338">
        <v>82.559399999999997</v>
      </c>
      <c r="S338">
        <v>57.997100000000003</v>
      </c>
      <c r="T338">
        <f>Table413333[[#This Row],[CFNM]]/Table413333[[#This Row],[CAREA]]</f>
        <v>0.70248935917654443</v>
      </c>
      <c r="U338">
        <v>2.9134199999999999</v>
      </c>
      <c r="V338">
        <f>(Table514334[[#This Row],[time]]-2)*2</f>
        <v>1.8268399999999998</v>
      </c>
      <c r="W338">
        <v>61.299700000000001</v>
      </c>
      <c r="X338">
        <v>0.66378599999999999</v>
      </c>
      <c r="Y338">
        <f>Table514334[[#This Row],[CFNM]]/Table514334[[#This Row],[CAREA]]</f>
        <v>1.0828535865591512E-2</v>
      </c>
      <c r="Z338">
        <v>2.9134199999999999</v>
      </c>
      <c r="AA338">
        <f>(Table615335[[#This Row],[time]]-2)*2</f>
        <v>1.8268399999999998</v>
      </c>
      <c r="AB338">
        <v>89.857299999999995</v>
      </c>
      <c r="AC338">
        <v>80.564599999999999</v>
      </c>
      <c r="AD338">
        <f>Table615335[[#This Row],[CFNM]]/Table615335[[#This Row],[CAREA]]</f>
        <v>0.8965838056563018</v>
      </c>
      <c r="AE338">
        <v>2.9134199999999999</v>
      </c>
      <c r="AF338">
        <f>(Table716336[[#This Row],[time]]-2)*2</f>
        <v>1.8268399999999998</v>
      </c>
      <c r="AG338">
        <v>70.782899999999998</v>
      </c>
      <c r="AH338">
        <v>12.013</v>
      </c>
      <c r="AI338">
        <f>Table716336[[#This Row],[CFNM]]/Table716336[[#This Row],[CAREA]]</f>
        <v>0.16971613200363364</v>
      </c>
      <c r="AJ338">
        <v>2.9134199999999999</v>
      </c>
      <c r="AK338">
        <f>(Table817337[[#This Row],[time]]-2)*2</f>
        <v>1.8268399999999998</v>
      </c>
      <c r="AL338">
        <v>74.134600000000006</v>
      </c>
      <c r="AM338">
        <v>70.667900000000003</v>
      </c>
      <c r="AN338">
        <f>Table817337[[#This Row],[CFNM]]/Table817337[[#This Row],[CAREA]]</f>
        <v>0.95323775942677236</v>
      </c>
    </row>
    <row r="339" spans="1:40" x14ac:dyDescent="0.25">
      <c r="A339">
        <v>2.9619599999999999</v>
      </c>
      <c r="B339">
        <f>(Table110330[[#This Row],[time]]-2)*2</f>
        <v>1.9239199999999999</v>
      </c>
      <c r="C339">
        <v>57.835700000000003</v>
      </c>
      <c r="D339">
        <v>4.9269299999999996</v>
      </c>
      <c r="E339">
        <f>Table110330[[#This Row],[CFNM]]/Table110330[[#This Row],[CAREA]]</f>
        <v>8.5188387103467225E-2</v>
      </c>
      <c r="F339">
        <v>2.9619599999999999</v>
      </c>
      <c r="G339">
        <f>(Table211331[[#This Row],[time]]-2)*2</f>
        <v>1.9239199999999999</v>
      </c>
      <c r="H339">
        <v>92.470399999999998</v>
      </c>
      <c r="I339">
        <v>56.2455</v>
      </c>
      <c r="J339">
        <f>Table211331[[#This Row],[CFNM]]/Table211331[[#This Row],[CAREA]]</f>
        <v>0.60825410077170639</v>
      </c>
      <c r="K339">
        <v>2.9619599999999999</v>
      </c>
      <c r="L339">
        <f>(Table312332[[#This Row],[time]]-2)*2</f>
        <v>1.9239199999999999</v>
      </c>
      <c r="M339">
        <v>57.792299999999997</v>
      </c>
      <c r="N339">
        <v>0.43548799999999999</v>
      </c>
      <c r="O339">
        <f>Table312332[[#This Row],[CFNM]]/Table312332[[#This Row],[CAREA]]</f>
        <v>7.5353983143083073E-3</v>
      </c>
      <c r="P339">
        <v>2.9619599999999999</v>
      </c>
      <c r="Q339">
        <f>(Table413333[[#This Row],[time]]-2)*2</f>
        <v>1.9239199999999999</v>
      </c>
      <c r="R339">
        <v>81.809200000000004</v>
      </c>
      <c r="S339">
        <v>61.358199999999997</v>
      </c>
      <c r="T339">
        <f>Table413333[[#This Row],[CFNM]]/Table413333[[#This Row],[CAREA]]</f>
        <v>0.75001589063332719</v>
      </c>
      <c r="U339">
        <v>2.9619599999999999</v>
      </c>
      <c r="V339">
        <f>(Table514334[[#This Row],[time]]-2)*2</f>
        <v>1.9239199999999999</v>
      </c>
      <c r="W339">
        <v>60.859699999999997</v>
      </c>
      <c r="X339">
        <v>0.52037199999999995</v>
      </c>
      <c r="Y339">
        <f>Table514334[[#This Row],[CFNM]]/Table514334[[#This Row],[CAREA]]</f>
        <v>8.5503543395711781E-3</v>
      </c>
      <c r="Z339">
        <v>2.9619599999999999</v>
      </c>
      <c r="AA339">
        <f>(Table615335[[#This Row],[time]]-2)*2</f>
        <v>1.9239199999999999</v>
      </c>
      <c r="AB339">
        <v>89.335300000000004</v>
      </c>
      <c r="AC339">
        <v>84.329800000000006</v>
      </c>
      <c r="AD339">
        <f>Table615335[[#This Row],[CFNM]]/Table615335[[#This Row],[CAREA]]</f>
        <v>0.94396951708898946</v>
      </c>
      <c r="AE339">
        <v>2.9619599999999999</v>
      </c>
      <c r="AF339">
        <f>(Table716336[[#This Row],[time]]-2)*2</f>
        <v>1.9239199999999999</v>
      </c>
      <c r="AG339">
        <v>70.528499999999994</v>
      </c>
      <c r="AH339">
        <v>11.2417</v>
      </c>
      <c r="AI339">
        <f>Table716336[[#This Row],[CFNM]]/Table716336[[#This Row],[CAREA]]</f>
        <v>0.15939230240257485</v>
      </c>
      <c r="AJ339">
        <v>2.9619599999999999</v>
      </c>
      <c r="AK339">
        <f>(Table817337[[#This Row],[time]]-2)*2</f>
        <v>1.9239199999999999</v>
      </c>
      <c r="AL339">
        <v>73.435299999999998</v>
      </c>
      <c r="AM339">
        <v>73.625200000000007</v>
      </c>
      <c r="AN339">
        <f>Table817337[[#This Row],[CFNM]]/Table817337[[#This Row],[CAREA]]</f>
        <v>1.0025859498088796</v>
      </c>
    </row>
    <row r="340" spans="1:40" x14ac:dyDescent="0.25">
      <c r="A340">
        <v>3</v>
      </c>
      <c r="B340">
        <f>(Table110330[[#This Row],[time]]-2)*2</f>
        <v>2</v>
      </c>
      <c r="C340">
        <v>56.975900000000003</v>
      </c>
      <c r="D340">
        <v>4.6507899999999998</v>
      </c>
      <c r="E340">
        <f>Table110330[[#This Row],[CFNM]]/Table110330[[#This Row],[CAREA]]</f>
        <v>8.1627319621102951E-2</v>
      </c>
      <c r="F340">
        <v>3</v>
      </c>
      <c r="G340">
        <f>(Table211331[[#This Row],[time]]-2)*2</f>
        <v>2</v>
      </c>
      <c r="H340">
        <v>91.358999999999995</v>
      </c>
      <c r="I340">
        <v>59.218600000000002</v>
      </c>
      <c r="J340">
        <f>Table211331[[#This Row],[CFNM]]/Table211331[[#This Row],[CAREA]]</f>
        <v>0.64819667465712194</v>
      </c>
      <c r="K340">
        <v>3</v>
      </c>
      <c r="L340">
        <f>(Table312332[[#This Row],[time]]-2)*2</f>
        <v>2</v>
      </c>
      <c r="M340">
        <v>55.889699999999998</v>
      </c>
      <c r="N340">
        <v>0.29340100000000002</v>
      </c>
      <c r="O340">
        <f>Table312332[[#This Row],[CFNM]]/Table312332[[#This Row],[CAREA]]</f>
        <v>5.2496434942395477E-3</v>
      </c>
      <c r="P340">
        <v>3</v>
      </c>
      <c r="Q340">
        <f>(Table413333[[#This Row],[time]]-2)*2</f>
        <v>2</v>
      </c>
      <c r="R340">
        <v>81.100399999999993</v>
      </c>
      <c r="S340">
        <v>64.571399999999997</v>
      </c>
      <c r="T340">
        <f>Table413333[[#This Row],[CFNM]]/Table413333[[#This Row],[CAREA]]</f>
        <v>0.79619089424959677</v>
      </c>
      <c r="U340">
        <v>3</v>
      </c>
      <c r="V340">
        <f>(Table514334[[#This Row],[time]]-2)*2</f>
        <v>2</v>
      </c>
      <c r="W340">
        <v>60.101199999999999</v>
      </c>
      <c r="X340">
        <v>0.35596299999999997</v>
      </c>
      <c r="Y340">
        <f>Table514334[[#This Row],[CFNM]]/Table514334[[#This Row],[CAREA]]</f>
        <v>5.9227270004592256E-3</v>
      </c>
      <c r="Z340">
        <v>3</v>
      </c>
      <c r="AA340">
        <f>(Table615335[[#This Row],[time]]-2)*2</f>
        <v>2</v>
      </c>
      <c r="AB340">
        <v>88.798699999999997</v>
      </c>
      <c r="AC340">
        <v>87.678700000000006</v>
      </c>
      <c r="AD340">
        <f>Table615335[[#This Row],[CFNM]]/Table615335[[#This Row],[CAREA]]</f>
        <v>0.98738720274058078</v>
      </c>
      <c r="AE340">
        <v>3</v>
      </c>
      <c r="AF340">
        <f>(Table716336[[#This Row],[time]]-2)*2</f>
        <v>2</v>
      </c>
      <c r="AG340">
        <v>69.360900000000001</v>
      </c>
      <c r="AH340">
        <v>10.526400000000001</v>
      </c>
      <c r="AI340">
        <f>Table716336[[#This Row],[CFNM]]/Table716336[[#This Row],[CAREA]]</f>
        <v>0.15176273664269063</v>
      </c>
      <c r="AJ340">
        <v>3</v>
      </c>
      <c r="AK340">
        <f>(Table817337[[#This Row],[time]]-2)*2</f>
        <v>2</v>
      </c>
      <c r="AL340">
        <v>72.827600000000004</v>
      </c>
      <c r="AM340">
        <v>76.492199999999997</v>
      </c>
      <c r="AN340">
        <f>Table817337[[#This Row],[CFNM]]/Table817337[[#This Row],[CAREA]]</f>
        <v>1.0503188351668873</v>
      </c>
    </row>
    <row r="343" spans="1:40" x14ac:dyDescent="0.25">
      <c r="A343" s="1" t="s">
        <v>24</v>
      </c>
    </row>
    <row r="344" spans="1:40" x14ac:dyDescent="0.25">
      <c r="A344" t="s">
        <v>52</v>
      </c>
      <c r="F344" t="s">
        <v>1</v>
      </c>
    </row>
    <row r="345" spans="1:40" x14ac:dyDescent="0.25">
      <c r="F345" t="s">
        <v>2</v>
      </c>
      <c r="G345" t="s">
        <v>3</v>
      </c>
    </row>
    <row r="348" spans="1:40" x14ac:dyDescent="0.25">
      <c r="A348" t="s">
        <v>5</v>
      </c>
      <c r="F348" t="s">
        <v>6</v>
      </c>
      <c r="K348" t="s">
        <v>7</v>
      </c>
      <c r="P348" t="s">
        <v>19</v>
      </c>
      <c r="U348" t="s">
        <v>8</v>
      </c>
      <c r="Z348" t="s">
        <v>9</v>
      </c>
      <c r="AE348" t="s">
        <v>10</v>
      </c>
      <c r="AJ348" t="s">
        <v>11</v>
      </c>
    </row>
    <row r="349" spans="1:40" x14ac:dyDescent="0.25">
      <c r="A349" t="s">
        <v>12</v>
      </c>
      <c r="B349" t="s">
        <v>13</v>
      </c>
      <c r="C349" t="s">
        <v>17</v>
      </c>
      <c r="D349" t="s">
        <v>15</v>
      </c>
      <c r="E349" t="s">
        <v>16</v>
      </c>
      <c r="F349" t="s">
        <v>12</v>
      </c>
      <c r="G349" t="s">
        <v>13</v>
      </c>
      <c r="H349" t="s">
        <v>17</v>
      </c>
      <c r="I349" t="s">
        <v>15</v>
      </c>
      <c r="J349" t="s">
        <v>16</v>
      </c>
      <c r="K349" t="s">
        <v>12</v>
      </c>
      <c r="L349" t="s">
        <v>13</v>
      </c>
      <c r="M349" t="s">
        <v>17</v>
      </c>
      <c r="N349" t="s">
        <v>15</v>
      </c>
      <c r="O349" t="s">
        <v>16</v>
      </c>
      <c r="P349" t="s">
        <v>12</v>
      </c>
      <c r="Q349" t="s">
        <v>13</v>
      </c>
      <c r="R349" t="s">
        <v>17</v>
      </c>
      <c r="S349" t="s">
        <v>15</v>
      </c>
      <c r="T349" t="s">
        <v>16</v>
      </c>
      <c r="U349" t="s">
        <v>12</v>
      </c>
      <c r="V349" t="s">
        <v>13</v>
      </c>
      <c r="W349" t="s">
        <v>17</v>
      </c>
      <c r="X349" t="s">
        <v>15</v>
      </c>
      <c r="Y349" t="s">
        <v>16</v>
      </c>
      <c r="Z349" t="s">
        <v>12</v>
      </c>
      <c r="AA349" t="s">
        <v>13</v>
      </c>
      <c r="AB349" t="s">
        <v>17</v>
      </c>
      <c r="AC349" t="s">
        <v>15</v>
      </c>
      <c r="AD349" t="s">
        <v>16</v>
      </c>
      <c r="AE349" t="s">
        <v>12</v>
      </c>
      <c r="AF349" t="s">
        <v>13</v>
      </c>
      <c r="AG349" t="s">
        <v>17</v>
      </c>
      <c r="AH349" t="s">
        <v>15</v>
      </c>
      <c r="AI349" t="s">
        <v>16</v>
      </c>
      <c r="AJ349" t="s">
        <v>12</v>
      </c>
      <c r="AK349" t="s">
        <v>13</v>
      </c>
      <c r="AL349" t="s">
        <v>17</v>
      </c>
      <c r="AM349" t="s">
        <v>15</v>
      </c>
      <c r="AN349" t="s">
        <v>16</v>
      </c>
    </row>
    <row r="350" spans="1:40" x14ac:dyDescent="0.25">
      <c r="A350">
        <v>2</v>
      </c>
      <c r="B350">
        <f>-(Table1338[[#This Row],[time]]-2)*2</f>
        <v>0</v>
      </c>
      <c r="C350">
        <v>91.105400000000003</v>
      </c>
      <c r="D350">
        <v>10.2014</v>
      </c>
      <c r="E350" s="2">
        <f>Table1338[[#This Row],[CFNM]]/Table1338[[#This Row],[CAREA]]</f>
        <v>0.11197360419909247</v>
      </c>
      <c r="F350">
        <v>2</v>
      </c>
      <c r="G350">
        <f>-(Table2339[[#This Row],[time]]-2)*2</f>
        <v>0</v>
      </c>
      <c r="H350">
        <v>95.867800000000003</v>
      </c>
      <c r="I350">
        <v>3.5860500000000002</v>
      </c>
      <c r="J350" s="2">
        <f>Table2339[[#This Row],[CFNM]]/Table2339[[#This Row],[CAREA]]</f>
        <v>3.740619895314172E-2</v>
      </c>
      <c r="K350">
        <v>2</v>
      </c>
      <c r="L350">
        <f>-(Table3340[[#This Row],[time]]-2)*2</f>
        <v>0</v>
      </c>
      <c r="M350">
        <v>89.266099999999994</v>
      </c>
      <c r="N350">
        <v>3.6396999999999999</v>
      </c>
      <c r="O350">
        <f>Table3340[[#This Row],[CFNM]]/Table3340[[#This Row],[CAREA]]</f>
        <v>4.0773597143820554E-2</v>
      </c>
      <c r="P350">
        <v>2</v>
      </c>
      <c r="Q350">
        <f>-(Table4341[[#This Row],[time]]-2)*2</f>
        <v>0</v>
      </c>
      <c r="R350">
        <v>86.426900000000003</v>
      </c>
      <c r="S350">
        <v>6.4320700000000004</v>
      </c>
      <c r="T350">
        <f>Table4341[[#This Row],[CFNM]]/Table4341[[#This Row],[CAREA]]</f>
        <v>7.4422083865092928E-2</v>
      </c>
      <c r="U350">
        <v>2</v>
      </c>
      <c r="V350">
        <f>-(Table5342[[#This Row],[time]]-2)*2</f>
        <v>0</v>
      </c>
      <c r="W350">
        <v>82.680599999999998</v>
      </c>
      <c r="X350">
        <v>9.2786299999999997</v>
      </c>
      <c r="Y350">
        <f>Table5342[[#This Row],[CFNM]]/Table5342[[#This Row],[CAREA]]</f>
        <v>0.11222257700113449</v>
      </c>
      <c r="Z350">
        <v>2</v>
      </c>
      <c r="AA350">
        <f>-(Table6343[[#This Row],[time]]-2)*2</f>
        <v>0</v>
      </c>
      <c r="AB350">
        <v>88.9298</v>
      </c>
      <c r="AC350">
        <v>15.8246</v>
      </c>
      <c r="AD350">
        <f>Table6343[[#This Row],[CFNM]]/Table6343[[#This Row],[CAREA]]</f>
        <v>0.17794485088238138</v>
      </c>
      <c r="AE350">
        <v>2</v>
      </c>
      <c r="AF350">
        <f>-(Table7344[[#This Row],[time]]-2)*2</f>
        <v>0</v>
      </c>
      <c r="AG350">
        <v>78.958100000000002</v>
      </c>
      <c r="AH350">
        <v>19.616599999999998</v>
      </c>
      <c r="AI350">
        <f>Table7344[[#This Row],[CFNM]]/Table7344[[#This Row],[CAREA]]</f>
        <v>0.24844316162622959</v>
      </c>
      <c r="AJ350">
        <v>2</v>
      </c>
      <c r="AK350">
        <f>-(Table8345[[#This Row],[time]]-2)*2</f>
        <v>0</v>
      </c>
      <c r="AL350">
        <v>83.134600000000006</v>
      </c>
      <c r="AM350">
        <v>19.232700000000001</v>
      </c>
      <c r="AN350">
        <f>Table8345[[#This Row],[CFNM]]/Table8345[[#This Row],[CAREA]]</f>
        <v>0.23134410943217384</v>
      </c>
    </row>
    <row r="351" spans="1:40" x14ac:dyDescent="0.25">
      <c r="A351">
        <v>2.0512600000000001</v>
      </c>
      <c r="B351">
        <f>-(Table1338[[#This Row],[time]]-2)*2</f>
        <v>-0.10252000000000017</v>
      </c>
      <c r="C351">
        <v>91.085499999999996</v>
      </c>
      <c r="D351">
        <v>10.838200000000001</v>
      </c>
      <c r="E351">
        <f>Table1338[[#This Row],[CFNM]]/Table1338[[#This Row],[CAREA]]</f>
        <v>0.11898930126090322</v>
      </c>
      <c r="F351">
        <v>2.0512600000000001</v>
      </c>
      <c r="G351">
        <f>-(Table2339[[#This Row],[time]]-2)*2</f>
        <v>-0.10252000000000017</v>
      </c>
      <c r="H351">
        <v>95.881100000000004</v>
      </c>
      <c r="I351">
        <v>3.1557900000000001</v>
      </c>
      <c r="J351">
        <f>Table2339[[#This Row],[CFNM]]/Table2339[[#This Row],[CAREA]]</f>
        <v>3.2913577336930844E-2</v>
      </c>
      <c r="K351">
        <v>2.0512600000000001</v>
      </c>
      <c r="L351">
        <f>-(Table3340[[#This Row],[time]]-2)*2</f>
        <v>-0.10252000000000017</v>
      </c>
      <c r="M351">
        <v>89.263400000000004</v>
      </c>
      <c r="N351">
        <v>4.39459</v>
      </c>
      <c r="O351">
        <f>Table3340[[#This Row],[CFNM]]/Table3340[[#This Row],[CAREA]]</f>
        <v>4.9231711989460407E-2</v>
      </c>
      <c r="P351">
        <v>2.0512600000000001</v>
      </c>
      <c r="Q351">
        <f>-(Table4341[[#This Row],[time]]-2)*2</f>
        <v>-0.10252000000000017</v>
      </c>
      <c r="R351">
        <v>86.405100000000004</v>
      </c>
      <c r="S351">
        <v>5.78308</v>
      </c>
      <c r="T351">
        <f>Table4341[[#This Row],[CFNM]]/Table4341[[#This Row],[CAREA]]</f>
        <v>6.6929845576244915E-2</v>
      </c>
      <c r="U351">
        <v>2.0512600000000001</v>
      </c>
      <c r="V351">
        <f>-(Table5342[[#This Row],[time]]-2)*2</f>
        <v>-0.10252000000000017</v>
      </c>
      <c r="W351">
        <v>82.621399999999994</v>
      </c>
      <c r="X351">
        <v>10.264900000000001</v>
      </c>
      <c r="Y351">
        <f>Table5342[[#This Row],[CFNM]]/Table5342[[#This Row],[CAREA]]</f>
        <v>0.12424020895312839</v>
      </c>
      <c r="Z351">
        <v>2.0512600000000001</v>
      </c>
      <c r="AA351">
        <f>-(Table6343[[#This Row],[time]]-2)*2</f>
        <v>-0.10252000000000017</v>
      </c>
      <c r="AB351">
        <v>88.916300000000007</v>
      </c>
      <c r="AC351">
        <v>14.905799999999999</v>
      </c>
      <c r="AD351">
        <f>Table6343[[#This Row],[CFNM]]/Table6343[[#This Row],[CAREA]]</f>
        <v>0.16763855446076814</v>
      </c>
      <c r="AE351">
        <v>2.0512600000000001</v>
      </c>
      <c r="AF351">
        <f>-(Table7344[[#This Row],[time]]-2)*2</f>
        <v>-0.10252000000000017</v>
      </c>
      <c r="AG351">
        <v>79.3108</v>
      </c>
      <c r="AH351">
        <v>20.401599999999998</v>
      </c>
      <c r="AI351">
        <f>Table7344[[#This Row],[CFNM]]/Table7344[[#This Row],[CAREA]]</f>
        <v>0.25723608890592453</v>
      </c>
      <c r="AJ351">
        <v>2.0512600000000001</v>
      </c>
      <c r="AK351">
        <f>-(Table8345[[#This Row],[time]]-2)*2</f>
        <v>-0.10252000000000017</v>
      </c>
      <c r="AL351">
        <v>83.055300000000003</v>
      </c>
      <c r="AM351">
        <v>18.145399999999999</v>
      </c>
      <c r="AN351">
        <f>Table8345[[#This Row],[CFNM]]/Table8345[[#This Row],[CAREA]]</f>
        <v>0.2184737157050784</v>
      </c>
    </row>
    <row r="352" spans="1:40" x14ac:dyDescent="0.25">
      <c r="A352">
        <v>2.1153300000000002</v>
      </c>
      <c r="B352">
        <f>-(Table1338[[#This Row],[time]]-2)*2</f>
        <v>-0.23066000000000031</v>
      </c>
      <c r="C352">
        <v>90.974299999999999</v>
      </c>
      <c r="D352">
        <v>11.9278</v>
      </c>
      <c r="E352">
        <f>Table1338[[#This Row],[CFNM]]/Table1338[[#This Row],[CAREA]]</f>
        <v>0.13111175353918633</v>
      </c>
      <c r="F352">
        <v>2.1153300000000002</v>
      </c>
      <c r="G352">
        <f>-(Table2339[[#This Row],[time]]-2)*2</f>
        <v>-0.23066000000000031</v>
      </c>
      <c r="H352">
        <v>95.847999999999999</v>
      </c>
      <c r="I352">
        <v>2.3215699999999999</v>
      </c>
      <c r="J352">
        <f>Table2339[[#This Row],[CFNM]]/Table2339[[#This Row],[CAREA]]</f>
        <v>2.4221371337951755E-2</v>
      </c>
      <c r="K352">
        <v>2.1153300000000002</v>
      </c>
      <c r="L352">
        <f>-(Table3340[[#This Row],[time]]-2)*2</f>
        <v>-0.23066000000000031</v>
      </c>
      <c r="M352">
        <v>89.475899999999996</v>
      </c>
      <c r="N352">
        <v>5.5811700000000002</v>
      </c>
      <c r="O352">
        <f>Table3340[[#This Row],[CFNM]]/Table3340[[#This Row],[CAREA]]</f>
        <v>6.2376237623762383E-2</v>
      </c>
      <c r="P352">
        <v>2.1153300000000002</v>
      </c>
      <c r="Q352">
        <f>-(Table4341[[#This Row],[time]]-2)*2</f>
        <v>-0.23066000000000031</v>
      </c>
      <c r="R352">
        <v>86.104500000000002</v>
      </c>
      <c r="S352">
        <v>4.5269000000000004</v>
      </c>
      <c r="T352">
        <f>Table4341[[#This Row],[CFNM]]/Table4341[[#This Row],[CAREA]]</f>
        <v>5.2574487976818872E-2</v>
      </c>
      <c r="U352">
        <v>2.1153300000000002</v>
      </c>
      <c r="V352">
        <f>-(Table5342[[#This Row],[time]]-2)*2</f>
        <v>-0.23066000000000031</v>
      </c>
      <c r="W352">
        <v>82.761700000000005</v>
      </c>
      <c r="X352">
        <v>11.843400000000001</v>
      </c>
      <c r="Y352">
        <f>Table5342[[#This Row],[CFNM]]/Table5342[[#This Row],[CAREA]]</f>
        <v>0.14310242539725501</v>
      </c>
      <c r="Z352">
        <v>2.1153300000000002</v>
      </c>
      <c r="AA352">
        <f>-(Table6343[[#This Row],[time]]-2)*2</f>
        <v>-0.23066000000000031</v>
      </c>
      <c r="AB352">
        <v>88.864199999999997</v>
      </c>
      <c r="AC352">
        <v>13.0243</v>
      </c>
      <c r="AD352">
        <f>Table6343[[#This Row],[CFNM]]/Table6343[[#This Row],[CAREA]]</f>
        <v>0.14656408317410161</v>
      </c>
      <c r="AE352">
        <v>2.1153300000000002</v>
      </c>
      <c r="AF352">
        <f>-(Table7344[[#This Row],[time]]-2)*2</f>
        <v>-0.23066000000000031</v>
      </c>
      <c r="AG352">
        <v>79.923400000000001</v>
      </c>
      <c r="AH352">
        <v>21.546600000000002</v>
      </c>
      <c r="AI352">
        <f>Table7344[[#This Row],[CFNM]]/Table7344[[#This Row],[CAREA]]</f>
        <v>0.26959063303112735</v>
      </c>
      <c r="AJ352">
        <v>2.1153300000000002</v>
      </c>
      <c r="AK352">
        <f>-(Table8345[[#This Row],[time]]-2)*2</f>
        <v>-0.23066000000000031</v>
      </c>
      <c r="AL352">
        <v>82.702399999999997</v>
      </c>
      <c r="AM352">
        <v>16.939</v>
      </c>
      <c r="AN352">
        <f>Table8345[[#This Row],[CFNM]]/Table8345[[#This Row],[CAREA]]</f>
        <v>0.20481872351951094</v>
      </c>
    </row>
    <row r="353" spans="1:40" x14ac:dyDescent="0.25">
      <c r="A353">
        <v>2.16533</v>
      </c>
      <c r="B353">
        <f>-(Table1338[[#This Row],[time]]-2)*2</f>
        <v>-0.33065999999999995</v>
      </c>
      <c r="C353">
        <v>90.877200000000002</v>
      </c>
      <c r="D353">
        <v>12.716900000000001</v>
      </c>
      <c r="E353">
        <f>Table1338[[#This Row],[CFNM]]/Table1338[[#This Row],[CAREA]]</f>
        <v>0.13993498919420932</v>
      </c>
      <c r="F353">
        <v>2.16533</v>
      </c>
      <c r="G353">
        <f>-(Table2339[[#This Row],[time]]-2)*2</f>
        <v>-0.33065999999999995</v>
      </c>
      <c r="H353">
        <v>95.883399999999995</v>
      </c>
      <c r="I353">
        <v>1.74482</v>
      </c>
      <c r="J353">
        <f>Table2339[[#This Row],[CFNM]]/Table2339[[#This Row],[CAREA]]</f>
        <v>1.8197310483357914E-2</v>
      </c>
      <c r="K353">
        <v>2.16533</v>
      </c>
      <c r="L353">
        <f>-(Table3340[[#This Row],[time]]-2)*2</f>
        <v>-0.33065999999999995</v>
      </c>
      <c r="M353">
        <v>89.735600000000005</v>
      </c>
      <c r="N353">
        <v>6.5297400000000003</v>
      </c>
      <c r="O353">
        <f>Table3340[[#This Row],[CFNM]]/Table3340[[#This Row],[CAREA]]</f>
        <v>7.2766438292049082E-2</v>
      </c>
      <c r="P353">
        <v>2.16533</v>
      </c>
      <c r="Q353">
        <f>-(Table4341[[#This Row],[time]]-2)*2</f>
        <v>-0.33065999999999995</v>
      </c>
      <c r="R353">
        <v>85.221900000000005</v>
      </c>
      <c r="S353">
        <v>3.6047199999999999</v>
      </c>
      <c r="T353">
        <f>Table4341[[#This Row],[CFNM]]/Table4341[[#This Row],[CAREA]]</f>
        <v>4.2298047802266786E-2</v>
      </c>
      <c r="U353">
        <v>2.16533</v>
      </c>
      <c r="V353">
        <f>-(Table5342[[#This Row],[time]]-2)*2</f>
        <v>-0.33065999999999995</v>
      </c>
      <c r="W353">
        <v>82.816400000000002</v>
      </c>
      <c r="X353">
        <v>13.1363</v>
      </c>
      <c r="Y353">
        <f>Table5342[[#This Row],[CFNM]]/Table5342[[#This Row],[CAREA]]</f>
        <v>0.15861954878502327</v>
      </c>
      <c r="Z353">
        <v>2.16533</v>
      </c>
      <c r="AA353">
        <f>-(Table6343[[#This Row],[time]]-2)*2</f>
        <v>-0.33065999999999995</v>
      </c>
      <c r="AB353">
        <v>86.929000000000002</v>
      </c>
      <c r="AC353">
        <v>11.493</v>
      </c>
      <c r="AD353">
        <f>Table6343[[#This Row],[CFNM]]/Table6343[[#This Row],[CAREA]]</f>
        <v>0.13221134489065789</v>
      </c>
      <c r="AE353">
        <v>2.16533</v>
      </c>
      <c r="AF353">
        <f>-(Table7344[[#This Row],[time]]-2)*2</f>
        <v>-0.33065999999999995</v>
      </c>
      <c r="AG353">
        <v>80.385300000000001</v>
      </c>
      <c r="AH353">
        <v>22.817499999999999</v>
      </c>
      <c r="AI353">
        <f>Table7344[[#This Row],[CFNM]]/Table7344[[#This Row],[CAREA]]</f>
        <v>0.28385164949312869</v>
      </c>
      <c r="AJ353">
        <v>2.16533</v>
      </c>
      <c r="AK353">
        <f>-(Table8345[[#This Row],[time]]-2)*2</f>
        <v>-0.33065999999999995</v>
      </c>
      <c r="AL353">
        <v>82.623099999999994</v>
      </c>
      <c r="AM353">
        <v>16.089400000000001</v>
      </c>
      <c r="AN353">
        <f>Table8345[[#This Row],[CFNM]]/Table8345[[#This Row],[CAREA]]</f>
        <v>0.1947324658600319</v>
      </c>
    </row>
    <row r="354" spans="1:40" x14ac:dyDescent="0.25">
      <c r="A354">
        <v>2.2246999999999999</v>
      </c>
      <c r="B354">
        <f>-(Table1338[[#This Row],[time]]-2)*2</f>
        <v>-0.4493999999999998</v>
      </c>
      <c r="C354">
        <v>90.801199999999994</v>
      </c>
      <c r="D354">
        <v>13.4712</v>
      </c>
      <c r="E354">
        <f>Table1338[[#This Row],[CFNM]]/Table1338[[#This Row],[CAREA]]</f>
        <v>0.14835927278494118</v>
      </c>
      <c r="F354">
        <v>2.2246999999999999</v>
      </c>
      <c r="G354">
        <f>-(Table2339[[#This Row],[time]]-2)*2</f>
        <v>-0.4493999999999998</v>
      </c>
      <c r="H354">
        <v>95.676400000000001</v>
      </c>
      <c r="I354">
        <v>1.18022</v>
      </c>
      <c r="J354">
        <f>Table2339[[#This Row],[CFNM]]/Table2339[[#This Row],[CAREA]]</f>
        <v>1.2335539380662315E-2</v>
      </c>
      <c r="K354">
        <v>2.2246999999999999</v>
      </c>
      <c r="L354">
        <f>-(Table3340[[#This Row],[time]]-2)*2</f>
        <v>-0.4493999999999998</v>
      </c>
      <c r="M354">
        <v>90.058400000000006</v>
      </c>
      <c r="N354">
        <v>7.6721399999999997</v>
      </c>
      <c r="O354">
        <f>Table3340[[#This Row],[CFNM]]/Table3340[[#This Row],[CAREA]]</f>
        <v>8.5190720687909172E-2</v>
      </c>
      <c r="P354">
        <v>2.2246999999999999</v>
      </c>
      <c r="Q354">
        <f>-(Table4341[[#This Row],[time]]-2)*2</f>
        <v>-0.4493999999999998</v>
      </c>
      <c r="R354">
        <v>84.557699999999997</v>
      </c>
      <c r="S354">
        <v>2.93736</v>
      </c>
      <c r="T354">
        <f>Table4341[[#This Row],[CFNM]]/Table4341[[#This Row],[CAREA]]</f>
        <v>3.4737936344058556E-2</v>
      </c>
      <c r="U354">
        <v>2.2246999999999999</v>
      </c>
      <c r="V354">
        <f>-(Table5342[[#This Row],[time]]-2)*2</f>
        <v>-0.4493999999999998</v>
      </c>
      <c r="W354">
        <v>83.727599999999995</v>
      </c>
      <c r="X354">
        <v>14.5105</v>
      </c>
      <c r="Y354">
        <f>Table5342[[#This Row],[CFNM]]/Table5342[[#This Row],[CAREA]]</f>
        <v>0.17330605439544428</v>
      </c>
      <c r="Z354">
        <v>2.2246999999999999</v>
      </c>
      <c r="AA354">
        <f>-(Table6343[[#This Row],[time]]-2)*2</f>
        <v>-0.4493999999999998</v>
      </c>
      <c r="AB354">
        <v>85.755700000000004</v>
      </c>
      <c r="AC354">
        <v>9.7906700000000004</v>
      </c>
      <c r="AD354">
        <f>Table6343[[#This Row],[CFNM]]/Table6343[[#This Row],[CAREA]]</f>
        <v>0.11416932052330049</v>
      </c>
      <c r="AE354">
        <v>2.2246999999999999</v>
      </c>
      <c r="AF354">
        <f>-(Table7344[[#This Row],[time]]-2)*2</f>
        <v>-0.4493999999999998</v>
      </c>
      <c r="AG354">
        <v>80.475999999999999</v>
      </c>
      <c r="AH354">
        <v>24.3203</v>
      </c>
      <c r="AI354">
        <f>Table7344[[#This Row],[CFNM]]/Table7344[[#This Row],[CAREA]]</f>
        <v>0.30220562652219296</v>
      </c>
      <c r="AJ354">
        <v>2.2246999999999999</v>
      </c>
      <c r="AK354">
        <f>-(Table8345[[#This Row],[time]]-2)*2</f>
        <v>-0.4493999999999998</v>
      </c>
      <c r="AL354">
        <v>82.538899999999998</v>
      </c>
      <c r="AM354">
        <v>15.2982</v>
      </c>
      <c r="AN354">
        <f>Table8345[[#This Row],[CFNM]]/Table8345[[#This Row],[CAREA]]</f>
        <v>0.18534533413941789</v>
      </c>
    </row>
    <row r="355" spans="1:40" x14ac:dyDescent="0.25">
      <c r="A355">
        <v>2.2668900000000001</v>
      </c>
      <c r="B355">
        <f>-(Table1338[[#This Row],[time]]-2)*2</f>
        <v>-0.53378000000000014</v>
      </c>
      <c r="C355">
        <v>90.757999999999996</v>
      </c>
      <c r="D355">
        <v>14.229100000000001</v>
      </c>
      <c r="E355">
        <f>Table1338[[#This Row],[CFNM]]/Table1338[[#This Row],[CAREA]]</f>
        <v>0.15678066947266359</v>
      </c>
      <c r="F355">
        <v>2.2668900000000001</v>
      </c>
      <c r="G355">
        <f>-(Table2339[[#This Row],[time]]-2)*2</f>
        <v>-0.53378000000000014</v>
      </c>
      <c r="H355">
        <v>95.269599999999997</v>
      </c>
      <c r="I355">
        <v>0.65085499999999996</v>
      </c>
      <c r="J355">
        <f>Table2339[[#This Row],[CFNM]]/Table2339[[#This Row],[CAREA]]</f>
        <v>6.8317175678285621E-3</v>
      </c>
      <c r="K355">
        <v>2.2668900000000001</v>
      </c>
      <c r="L355">
        <f>-(Table3340[[#This Row],[time]]-2)*2</f>
        <v>-0.53378000000000014</v>
      </c>
      <c r="M355">
        <v>90.208699999999993</v>
      </c>
      <c r="N355">
        <v>8.8826800000000006</v>
      </c>
      <c r="O355">
        <f>Table3340[[#This Row],[CFNM]]/Table3340[[#This Row],[CAREA]]</f>
        <v>9.8468107843256811E-2</v>
      </c>
      <c r="P355">
        <v>2.2668900000000001</v>
      </c>
      <c r="Q355">
        <f>-(Table4341[[#This Row],[time]]-2)*2</f>
        <v>-0.53378000000000014</v>
      </c>
      <c r="R355">
        <v>83.647599999999997</v>
      </c>
      <c r="S355">
        <v>2.5442900000000002</v>
      </c>
      <c r="T355">
        <f>Table4341[[#This Row],[CFNM]]/Table4341[[#This Row],[CAREA]]</f>
        <v>3.0416772268421332E-2</v>
      </c>
      <c r="U355">
        <v>2.2668900000000001</v>
      </c>
      <c r="V355">
        <f>-(Table5342[[#This Row],[time]]-2)*2</f>
        <v>-0.53378000000000014</v>
      </c>
      <c r="W355">
        <v>83.484700000000004</v>
      </c>
      <c r="X355">
        <v>15.9613</v>
      </c>
      <c r="Y355">
        <f>Table5342[[#This Row],[CFNM]]/Table5342[[#This Row],[CAREA]]</f>
        <v>0.19118832552551543</v>
      </c>
      <c r="Z355">
        <v>2.2668900000000001</v>
      </c>
      <c r="AA355">
        <f>-(Table6343[[#This Row],[time]]-2)*2</f>
        <v>-0.53378000000000014</v>
      </c>
      <c r="AB355">
        <v>84.206400000000002</v>
      </c>
      <c r="AC355">
        <v>8.1481999999999992</v>
      </c>
      <c r="AD355">
        <f>Table6343[[#This Row],[CFNM]]/Table6343[[#This Row],[CAREA]]</f>
        <v>9.6764616466206835E-2</v>
      </c>
      <c r="AE355">
        <v>2.2668900000000001</v>
      </c>
      <c r="AF355">
        <f>-(Table7344[[#This Row],[time]]-2)*2</f>
        <v>-0.53378000000000014</v>
      </c>
      <c r="AG355">
        <v>80.116799999999998</v>
      </c>
      <c r="AH355">
        <v>26.071400000000001</v>
      </c>
      <c r="AI355">
        <f>Table7344[[#This Row],[CFNM]]/Table7344[[#This Row],[CAREA]]</f>
        <v>0.32541739060970987</v>
      </c>
      <c r="AJ355">
        <v>2.2668900000000001</v>
      </c>
      <c r="AK355">
        <f>-(Table8345[[#This Row],[time]]-2)*2</f>
        <v>-0.53378000000000014</v>
      </c>
      <c r="AL355">
        <v>82.414500000000004</v>
      </c>
      <c r="AM355">
        <v>14.5145</v>
      </c>
      <c r="AN355">
        <f>Table8345[[#This Row],[CFNM]]/Table8345[[#This Row],[CAREA]]</f>
        <v>0.1761158533995838</v>
      </c>
    </row>
    <row r="356" spans="1:40" x14ac:dyDescent="0.25">
      <c r="A356">
        <v>2.3262700000000001</v>
      </c>
      <c r="B356">
        <f>-(Table1338[[#This Row],[time]]-2)*2</f>
        <v>-0.65254000000000012</v>
      </c>
      <c r="C356">
        <v>90.714399999999998</v>
      </c>
      <c r="D356">
        <v>15.0215</v>
      </c>
      <c r="E356">
        <f>Table1338[[#This Row],[CFNM]]/Table1338[[#This Row],[CAREA]]</f>
        <v>0.16559112996393074</v>
      </c>
      <c r="F356">
        <v>2.3262700000000001</v>
      </c>
      <c r="G356">
        <f>-(Table2339[[#This Row],[time]]-2)*2</f>
        <v>-0.65254000000000012</v>
      </c>
      <c r="H356">
        <v>94.653099999999995</v>
      </c>
      <c r="I356">
        <v>0.22186500000000001</v>
      </c>
      <c r="J356">
        <f>Table2339[[#This Row],[CFNM]]/Table2339[[#This Row],[CAREA]]</f>
        <v>2.3439802816812129E-3</v>
      </c>
      <c r="K356">
        <v>2.3262700000000001</v>
      </c>
      <c r="L356">
        <f>-(Table3340[[#This Row],[time]]-2)*2</f>
        <v>-0.65254000000000012</v>
      </c>
      <c r="M356">
        <v>90.366</v>
      </c>
      <c r="N356">
        <v>10.2508</v>
      </c>
      <c r="O356">
        <f>Table3340[[#This Row],[CFNM]]/Table3340[[#This Row],[CAREA]]</f>
        <v>0.11343646946860544</v>
      </c>
      <c r="P356">
        <v>2.3262700000000001</v>
      </c>
      <c r="Q356">
        <f>-(Table4341[[#This Row],[time]]-2)*2</f>
        <v>-0.65254000000000012</v>
      </c>
      <c r="R356">
        <v>82.429000000000002</v>
      </c>
      <c r="S356">
        <v>2.19204</v>
      </c>
      <c r="T356">
        <f>Table4341[[#This Row],[CFNM]]/Table4341[[#This Row],[CAREA]]</f>
        <v>2.6593067973650051E-2</v>
      </c>
      <c r="U356">
        <v>2.3262700000000001</v>
      </c>
      <c r="V356">
        <f>-(Table5342[[#This Row],[time]]-2)*2</f>
        <v>-0.65254000000000012</v>
      </c>
      <c r="W356">
        <v>84.209299999999999</v>
      </c>
      <c r="X356">
        <v>17.603200000000001</v>
      </c>
      <c r="Y356">
        <f>Table5342[[#This Row],[CFNM]]/Table5342[[#This Row],[CAREA]]</f>
        <v>0.20904104416020561</v>
      </c>
      <c r="Z356">
        <v>2.3262700000000001</v>
      </c>
      <c r="AA356">
        <f>-(Table6343[[#This Row],[time]]-2)*2</f>
        <v>-0.65254000000000012</v>
      </c>
      <c r="AB356">
        <v>83.087000000000003</v>
      </c>
      <c r="AC356">
        <v>6.3875599999999997</v>
      </c>
      <c r="AD356">
        <f>Table6343[[#This Row],[CFNM]]/Table6343[[#This Row],[CAREA]]</f>
        <v>7.687797128311287E-2</v>
      </c>
      <c r="AE356">
        <v>2.3262700000000001</v>
      </c>
      <c r="AF356">
        <f>-(Table7344[[#This Row],[time]]-2)*2</f>
        <v>-0.65254000000000012</v>
      </c>
      <c r="AG356">
        <v>79.148099999999999</v>
      </c>
      <c r="AH356">
        <v>28.666899999999998</v>
      </c>
      <c r="AI356">
        <f>Table7344[[#This Row],[CFNM]]/Table7344[[#This Row],[CAREA]]</f>
        <v>0.36219315435241023</v>
      </c>
      <c r="AJ356">
        <v>2.3262700000000001</v>
      </c>
      <c r="AK356">
        <f>-(Table8345[[#This Row],[time]]-2)*2</f>
        <v>-0.65254000000000012</v>
      </c>
      <c r="AL356">
        <v>82.341800000000006</v>
      </c>
      <c r="AM356">
        <v>13.774900000000001</v>
      </c>
      <c r="AN356">
        <f>Table8345[[#This Row],[CFNM]]/Table8345[[#This Row],[CAREA]]</f>
        <v>0.16728927470616381</v>
      </c>
    </row>
    <row r="357" spans="1:40" x14ac:dyDescent="0.25">
      <c r="A357">
        <v>2.3684599999999998</v>
      </c>
      <c r="B357">
        <f>-(Table1338[[#This Row],[time]]-2)*2</f>
        <v>-0.73691999999999958</v>
      </c>
      <c r="C357">
        <v>90.717500000000001</v>
      </c>
      <c r="D357">
        <v>15.3398</v>
      </c>
      <c r="E357">
        <f>Table1338[[#This Row],[CFNM]]/Table1338[[#This Row],[CAREA]]</f>
        <v>0.16909416595474963</v>
      </c>
      <c r="F357">
        <v>2.3684599999999998</v>
      </c>
      <c r="G357">
        <f>-(Table2339[[#This Row],[time]]-2)*2</f>
        <v>-0.73691999999999958</v>
      </c>
      <c r="H357">
        <v>94.606499999999997</v>
      </c>
      <c r="I357">
        <v>0.13442000000000001</v>
      </c>
      <c r="J357">
        <f>Table2339[[#This Row],[CFNM]]/Table2339[[#This Row],[CAREA]]</f>
        <v>1.4208326066390789E-3</v>
      </c>
      <c r="K357">
        <v>2.3684599999999998</v>
      </c>
      <c r="L357">
        <f>-(Table3340[[#This Row],[time]]-2)*2</f>
        <v>-0.73691999999999958</v>
      </c>
      <c r="M357">
        <v>90.289900000000003</v>
      </c>
      <c r="N357">
        <v>10.870699999999999</v>
      </c>
      <c r="O357">
        <f>Table3340[[#This Row],[CFNM]]/Table3340[[#This Row],[CAREA]]</f>
        <v>0.12039774105409352</v>
      </c>
      <c r="P357">
        <v>2.3684599999999998</v>
      </c>
      <c r="Q357">
        <f>-(Table4341[[#This Row],[time]]-2)*2</f>
        <v>-0.73691999999999958</v>
      </c>
      <c r="R357">
        <v>81.805000000000007</v>
      </c>
      <c r="S357">
        <v>2.0830600000000001</v>
      </c>
      <c r="T357">
        <f>Table4341[[#This Row],[CFNM]]/Table4341[[#This Row],[CAREA]]</f>
        <v>2.5463724711203471E-2</v>
      </c>
      <c r="U357">
        <v>2.3684599999999998</v>
      </c>
      <c r="V357">
        <f>-(Table5342[[#This Row],[time]]-2)*2</f>
        <v>-0.73691999999999958</v>
      </c>
      <c r="W357">
        <v>84.204099999999997</v>
      </c>
      <c r="X357">
        <v>18.373899999999999</v>
      </c>
      <c r="Y357">
        <f>Table5342[[#This Row],[CFNM]]/Table5342[[#This Row],[CAREA]]</f>
        <v>0.21820671439989264</v>
      </c>
      <c r="Z357">
        <v>2.3684599999999998</v>
      </c>
      <c r="AA357">
        <f>-(Table6343[[#This Row],[time]]-2)*2</f>
        <v>-0.73691999999999958</v>
      </c>
      <c r="AB357">
        <v>82.9846</v>
      </c>
      <c r="AC357">
        <v>5.7951800000000002</v>
      </c>
      <c r="AD357">
        <f>Table6343[[#This Row],[CFNM]]/Table6343[[#This Row],[CAREA]]</f>
        <v>6.9834403009715051E-2</v>
      </c>
      <c r="AE357">
        <v>2.3684599999999998</v>
      </c>
      <c r="AF357">
        <f>-(Table7344[[#This Row],[time]]-2)*2</f>
        <v>-0.73691999999999958</v>
      </c>
      <c r="AG357">
        <v>78.501999999999995</v>
      </c>
      <c r="AH357">
        <v>30.010899999999999</v>
      </c>
      <c r="AI357">
        <f>Table7344[[#This Row],[CFNM]]/Table7344[[#This Row],[CAREA]]</f>
        <v>0.38229471860589542</v>
      </c>
      <c r="AJ357">
        <v>2.3684599999999998</v>
      </c>
      <c r="AK357">
        <f>-(Table8345[[#This Row],[time]]-2)*2</f>
        <v>-0.73691999999999958</v>
      </c>
      <c r="AL357">
        <v>82.408100000000005</v>
      </c>
      <c r="AM357">
        <v>13.507</v>
      </c>
      <c r="AN357">
        <f>Table8345[[#This Row],[CFNM]]/Table8345[[#This Row],[CAREA]]</f>
        <v>0.16390379101083508</v>
      </c>
    </row>
    <row r="358" spans="1:40" x14ac:dyDescent="0.25">
      <c r="A358">
        <v>2.4278300000000002</v>
      </c>
      <c r="B358">
        <f>-(Table1338[[#This Row],[time]]-2)*2</f>
        <v>-0.85566000000000031</v>
      </c>
      <c r="C358">
        <v>90.866100000000003</v>
      </c>
      <c r="D358">
        <v>16.092500000000001</v>
      </c>
      <c r="E358">
        <f>Table1338[[#This Row],[CFNM]]/Table1338[[#This Row],[CAREA]]</f>
        <v>0.17710125118168382</v>
      </c>
      <c r="F358">
        <v>2.4278300000000002</v>
      </c>
      <c r="G358">
        <f>-(Table2339[[#This Row],[time]]-2)*2</f>
        <v>-0.85566000000000031</v>
      </c>
      <c r="H358">
        <v>94.300799999999995</v>
      </c>
      <c r="I358">
        <v>5.4317499999999999E-3</v>
      </c>
      <c r="J358">
        <f>Table2339[[#This Row],[CFNM]]/Table2339[[#This Row],[CAREA]]</f>
        <v>5.7600253656384679E-5</v>
      </c>
      <c r="K358">
        <v>2.4278300000000002</v>
      </c>
      <c r="L358">
        <f>-(Table3340[[#This Row],[time]]-2)*2</f>
        <v>-0.85566000000000031</v>
      </c>
      <c r="M358">
        <v>90.014300000000006</v>
      </c>
      <c r="N358">
        <v>12.454700000000001</v>
      </c>
      <c r="O358">
        <f>Table3340[[#This Row],[CFNM]]/Table3340[[#This Row],[CAREA]]</f>
        <v>0.13836357112147737</v>
      </c>
      <c r="P358">
        <v>2.4278300000000002</v>
      </c>
      <c r="Q358">
        <f>-(Table4341[[#This Row],[time]]-2)*2</f>
        <v>-0.85566000000000031</v>
      </c>
      <c r="R358">
        <v>81.370999999999995</v>
      </c>
      <c r="S358">
        <v>2.3222200000000002</v>
      </c>
      <c r="T358">
        <f>Table4341[[#This Row],[CFNM]]/Table4341[[#This Row],[CAREA]]</f>
        <v>2.8538668567425745E-2</v>
      </c>
      <c r="U358">
        <v>2.4278300000000002</v>
      </c>
      <c r="V358">
        <f>-(Table5342[[#This Row],[time]]-2)*2</f>
        <v>-0.85566000000000031</v>
      </c>
      <c r="W358">
        <v>84.075599999999994</v>
      </c>
      <c r="X358">
        <v>20.405200000000001</v>
      </c>
      <c r="Y358">
        <f>Table5342[[#This Row],[CFNM]]/Table5342[[#This Row],[CAREA]]</f>
        <v>0.24270061706369031</v>
      </c>
      <c r="Z358">
        <v>2.4278300000000002</v>
      </c>
      <c r="AA358">
        <f>-(Table6343[[#This Row],[time]]-2)*2</f>
        <v>-0.85566000000000031</v>
      </c>
      <c r="AB358">
        <v>80.838300000000004</v>
      </c>
      <c r="AC358">
        <v>4.43872</v>
      </c>
      <c r="AD358">
        <f>Table6343[[#This Row],[CFNM]]/Table6343[[#This Row],[CAREA]]</f>
        <v>5.4908626232862391E-2</v>
      </c>
      <c r="AE358">
        <v>2.4278300000000002</v>
      </c>
      <c r="AF358">
        <f>-(Table7344[[#This Row],[time]]-2)*2</f>
        <v>-0.85566000000000031</v>
      </c>
      <c r="AG358">
        <v>76.986099999999993</v>
      </c>
      <c r="AH358">
        <v>33.570900000000002</v>
      </c>
      <c r="AI358">
        <f>Table7344[[#This Row],[CFNM]]/Table7344[[#This Row],[CAREA]]</f>
        <v>0.43606443241052611</v>
      </c>
      <c r="AJ358">
        <v>2.4278300000000002</v>
      </c>
      <c r="AK358">
        <f>-(Table8345[[#This Row],[time]]-2)*2</f>
        <v>-0.85566000000000031</v>
      </c>
      <c r="AL358">
        <v>82.214100000000002</v>
      </c>
      <c r="AM358">
        <v>12.7401</v>
      </c>
      <c r="AN358">
        <f>Table8345[[#This Row],[CFNM]]/Table8345[[#This Row],[CAREA]]</f>
        <v>0.15496246994128743</v>
      </c>
    </row>
    <row r="359" spans="1:40" x14ac:dyDescent="0.25">
      <c r="A359">
        <v>2.4542000000000002</v>
      </c>
      <c r="B359">
        <f>-(Table1338[[#This Row],[time]]-2)*2</f>
        <v>-0.90840000000000032</v>
      </c>
      <c r="C359">
        <v>91.031800000000004</v>
      </c>
      <c r="D359">
        <v>16.580200000000001</v>
      </c>
      <c r="E359">
        <f>Table1338[[#This Row],[CFNM]]/Table1338[[#This Row],[CAREA]]</f>
        <v>0.18213635235159581</v>
      </c>
      <c r="F359">
        <v>2.4542000000000002</v>
      </c>
      <c r="G359">
        <f>-(Table2339[[#This Row],[time]]-2)*2</f>
        <v>-0.90840000000000032</v>
      </c>
      <c r="H359">
        <v>93.23</v>
      </c>
      <c r="I359">
        <v>5.0786499999999997E-3</v>
      </c>
      <c r="J359">
        <f>Table2339[[#This Row],[CFNM]]/Table2339[[#This Row],[CAREA]]</f>
        <v>5.4474418105759942E-5</v>
      </c>
      <c r="K359">
        <v>2.4542000000000002</v>
      </c>
      <c r="L359">
        <f>-(Table3340[[#This Row],[time]]-2)*2</f>
        <v>-0.90840000000000032</v>
      </c>
      <c r="M359">
        <v>89.942700000000002</v>
      </c>
      <c r="N359">
        <v>13.475300000000001</v>
      </c>
      <c r="O359">
        <f>Table3340[[#This Row],[CFNM]]/Table3340[[#This Row],[CAREA]]</f>
        <v>0.14982094155501224</v>
      </c>
      <c r="P359">
        <v>2.4542000000000002</v>
      </c>
      <c r="Q359">
        <f>-(Table4341[[#This Row],[time]]-2)*2</f>
        <v>-0.90840000000000032</v>
      </c>
      <c r="R359">
        <v>80.301000000000002</v>
      </c>
      <c r="S359">
        <v>2.5835699999999999</v>
      </c>
      <c r="T359">
        <f>Table4341[[#This Row],[CFNM]]/Table4341[[#This Row],[CAREA]]</f>
        <v>3.2173571935592331E-2</v>
      </c>
      <c r="U359">
        <v>2.4542000000000002</v>
      </c>
      <c r="V359">
        <f>-(Table5342[[#This Row],[time]]-2)*2</f>
        <v>-0.90840000000000032</v>
      </c>
      <c r="W359">
        <v>84.541700000000006</v>
      </c>
      <c r="X359">
        <v>21.6858</v>
      </c>
      <c r="Y359">
        <f>Table5342[[#This Row],[CFNM]]/Table5342[[#This Row],[CAREA]]</f>
        <v>0.25651010093243926</v>
      </c>
      <c r="Z359">
        <v>2.4542000000000002</v>
      </c>
      <c r="AA359">
        <f>-(Table6343[[#This Row],[time]]-2)*2</f>
        <v>-0.90840000000000032</v>
      </c>
      <c r="AB359">
        <v>80.167100000000005</v>
      </c>
      <c r="AC359">
        <v>3.8084500000000001</v>
      </c>
      <c r="AD359">
        <f>Table6343[[#This Row],[CFNM]]/Table6343[[#This Row],[CAREA]]</f>
        <v>4.7506396015322992E-2</v>
      </c>
      <c r="AE359">
        <v>2.4542000000000002</v>
      </c>
      <c r="AF359">
        <f>-(Table7344[[#This Row],[time]]-2)*2</f>
        <v>-0.90840000000000032</v>
      </c>
      <c r="AG359">
        <v>76.037199999999999</v>
      </c>
      <c r="AH359">
        <v>35.848700000000001</v>
      </c>
      <c r="AI359">
        <f>Table7344[[#This Row],[CFNM]]/Table7344[[#This Row],[CAREA]]</f>
        <v>0.4714626524911491</v>
      </c>
      <c r="AJ359">
        <v>2.4542000000000002</v>
      </c>
      <c r="AK359">
        <f>-(Table8345[[#This Row],[time]]-2)*2</f>
        <v>-0.90840000000000032</v>
      </c>
      <c r="AL359">
        <v>82.326499999999996</v>
      </c>
      <c r="AM359">
        <v>12.2211</v>
      </c>
      <c r="AN359">
        <f>Table8345[[#This Row],[CFNM]]/Table8345[[#This Row],[CAREA]]</f>
        <v>0.14844673343334164</v>
      </c>
    </row>
    <row r="360" spans="1:40" x14ac:dyDescent="0.25">
      <c r="A360">
        <v>2.5061499999999999</v>
      </c>
      <c r="B360">
        <f>-(Table1338[[#This Row],[time]]-2)*2</f>
        <v>-1.0122999999999998</v>
      </c>
      <c r="C360">
        <v>91.339799999999997</v>
      </c>
      <c r="D360">
        <v>17.3261</v>
      </c>
      <c r="E360">
        <f>Table1338[[#This Row],[CFNM]]/Table1338[[#This Row],[CAREA]]</f>
        <v>0.1896883943253653</v>
      </c>
      <c r="F360">
        <v>2.5061499999999999</v>
      </c>
      <c r="G360">
        <f>-(Table2339[[#This Row],[time]]-2)*2</f>
        <v>-1.0122999999999998</v>
      </c>
      <c r="H360">
        <v>93.036299999999997</v>
      </c>
      <c r="I360">
        <v>4.8169800000000002E-3</v>
      </c>
      <c r="J360">
        <f>Table2339[[#This Row],[CFNM]]/Table2339[[#This Row],[CAREA]]</f>
        <v>5.1775274812089478E-5</v>
      </c>
      <c r="K360">
        <v>2.5061499999999999</v>
      </c>
      <c r="L360">
        <f>-(Table3340[[#This Row],[time]]-2)*2</f>
        <v>-1.0122999999999998</v>
      </c>
      <c r="M360">
        <v>89.683499999999995</v>
      </c>
      <c r="N360">
        <v>14.9574</v>
      </c>
      <c r="O360">
        <f>Table3340[[#This Row],[CFNM]]/Table3340[[#This Row],[CAREA]]</f>
        <v>0.16677984244593488</v>
      </c>
      <c r="P360">
        <v>2.5061499999999999</v>
      </c>
      <c r="Q360">
        <f>-(Table4341[[#This Row],[time]]-2)*2</f>
        <v>-1.0122999999999998</v>
      </c>
      <c r="R360">
        <v>79.292400000000001</v>
      </c>
      <c r="S360">
        <v>3.0169700000000002</v>
      </c>
      <c r="T360">
        <f>Table4341[[#This Row],[CFNM]]/Table4341[[#This Row],[CAREA]]</f>
        <v>3.8048665445868712E-2</v>
      </c>
      <c r="U360">
        <v>2.5061499999999999</v>
      </c>
      <c r="V360">
        <f>-(Table5342[[#This Row],[time]]-2)*2</f>
        <v>-1.0122999999999998</v>
      </c>
      <c r="W360">
        <v>84.462599999999995</v>
      </c>
      <c r="X360">
        <v>23.536100000000001</v>
      </c>
      <c r="Y360">
        <f>Table5342[[#This Row],[CFNM]]/Table5342[[#This Row],[CAREA]]</f>
        <v>0.27865706241579113</v>
      </c>
      <c r="Z360">
        <v>2.5061499999999999</v>
      </c>
      <c r="AA360">
        <f>-(Table6343[[#This Row],[time]]-2)*2</f>
        <v>-1.0122999999999998</v>
      </c>
      <c r="AB360">
        <v>79.456900000000005</v>
      </c>
      <c r="AC360">
        <v>3.25658</v>
      </c>
      <c r="AD360">
        <f>Table6343[[#This Row],[CFNM]]/Table6343[[#This Row],[CAREA]]</f>
        <v>4.0985490246913732E-2</v>
      </c>
      <c r="AE360">
        <v>2.5061499999999999</v>
      </c>
      <c r="AF360">
        <f>-(Table7344[[#This Row],[time]]-2)*2</f>
        <v>-1.0122999999999998</v>
      </c>
      <c r="AG360">
        <v>74.641800000000003</v>
      </c>
      <c r="AH360">
        <v>38.896000000000001</v>
      </c>
      <c r="AI360">
        <f>Table7344[[#This Row],[CFNM]]/Table7344[[#This Row],[CAREA]]</f>
        <v>0.52110211704433707</v>
      </c>
      <c r="AJ360">
        <v>2.5061499999999999</v>
      </c>
      <c r="AK360">
        <f>-(Table8345[[#This Row],[time]]-2)*2</f>
        <v>-1.0122999999999998</v>
      </c>
      <c r="AL360">
        <v>81.811700000000002</v>
      </c>
      <c r="AM360">
        <v>11.429600000000001</v>
      </c>
      <c r="AN360">
        <f>Table8345[[#This Row],[CFNM]]/Table8345[[#This Row],[CAREA]]</f>
        <v>0.13970617894506532</v>
      </c>
    </row>
    <row r="361" spans="1:40" x14ac:dyDescent="0.25">
      <c r="A361">
        <v>2.5507599999999999</v>
      </c>
      <c r="B361">
        <f>-(Table1338[[#This Row],[time]]-2)*2</f>
        <v>-1.1015199999999998</v>
      </c>
      <c r="C361">
        <v>91.631100000000004</v>
      </c>
      <c r="D361">
        <v>18.069700000000001</v>
      </c>
      <c r="E361">
        <f>Table1338[[#This Row],[CFNM]]/Table1338[[#This Row],[CAREA]]</f>
        <v>0.19720051379935416</v>
      </c>
      <c r="F361">
        <v>2.5507599999999999</v>
      </c>
      <c r="G361">
        <f>-(Table2339[[#This Row],[time]]-2)*2</f>
        <v>-1.1015199999999998</v>
      </c>
      <c r="H361">
        <v>92.197800000000001</v>
      </c>
      <c r="I361">
        <v>4.6953999999999997E-3</v>
      </c>
      <c r="J361">
        <f>Table2339[[#This Row],[CFNM]]/Table2339[[#This Row],[CAREA]]</f>
        <v>5.0927462477412691E-5</v>
      </c>
      <c r="K361">
        <v>2.5507599999999999</v>
      </c>
      <c r="L361">
        <f>-(Table3340[[#This Row],[time]]-2)*2</f>
        <v>-1.1015199999999998</v>
      </c>
      <c r="M361">
        <v>89.407300000000006</v>
      </c>
      <c r="N361">
        <v>16.2471</v>
      </c>
      <c r="O361">
        <f>Table3340[[#This Row],[CFNM]]/Table3340[[#This Row],[CAREA]]</f>
        <v>0.18172006088988257</v>
      </c>
      <c r="P361">
        <v>2.5507599999999999</v>
      </c>
      <c r="Q361">
        <f>-(Table4341[[#This Row],[time]]-2)*2</f>
        <v>-1.1015199999999998</v>
      </c>
      <c r="R361">
        <v>79.019400000000005</v>
      </c>
      <c r="S361">
        <v>3.2228400000000001</v>
      </c>
      <c r="T361">
        <f>Table4341[[#This Row],[CFNM]]/Table4341[[#This Row],[CAREA]]</f>
        <v>4.0785427376062083E-2</v>
      </c>
      <c r="U361">
        <v>2.5507599999999999</v>
      </c>
      <c r="V361">
        <f>-(Table5342[[#This Row],[time]]-2)*2</f>
        <v>-1.1015199999999998</v>
      </c>
      <c r="W361">
        <v>84.199299999999994</v>
      </c>
      <c r="X361">
        <v>25.116299999999999</v>
      </c>
      <c r="Y361">
        <f>Table5342[[#This Row],[CFNM]]/Table5342[[#This Row],[CAREA]]</f>
        <v>0.29829582906271196</v>
      </c>
      <c r="Z361">
        <v>2.5507599999999999</v>
      </c>
      <c r="AA361">
        <f>-(Table6343[[#This Row],[time]]-2)*2</f>
        <v>-1.1015199999999998</v>
      </c>
      <c r="AB361">
        <v>78.854399999999998</v>
      </c>
      <c r="AC361">
        <v>2.9423699999999999</v>
      </c>
      <c r="AD361">
        <f>Table6343[[#This Row],[CFNM]]/Table6343[[#This Row],[CAREA]]</f>
        <v>3.7313960920379842E-2</v>
      </c>
      <c r="AE361">
        <v>2.5507599999999999</v>
      </c>
      <c r="AF361">
        <f>-(Table7344[[#This Row],[time]]-2)*2</f>
        <v>-1.1015199999999998</v>
      </c>
      <c r="AG361">
        <v>73.749499999999998</v>
      </c>
      <c r="AH361">
        <v>41.169899999999998</v>
      </c>
      <c r="AI361">
        <f>Table7344[[#This Row],[CFNM]]/Table7344[[#This Row],[CAREA]]</f>
        <v>0.55823971687943652</v>
      </c>
      <c r="AJ361">
        <v>2.5507599999999999</v>
      </c>
      <c r="AK361">
        <f>-(Table8345[[#This Row],[time]]-2)*2</f>
        <v>-1.1015199999999998</v>
      </c>
      <c r="AL361">
        <v>81.231300000000005</v>
      </c>
      <c r="AM361">
        <v>10.8043</v>
      </c>
      <c r="AN361">
        <f>Table8345[[#This Row],[CFNM]]/Table8345[[#This Row],[CAREA]]</f>
        <v>0.13300661198331185</v>
      </c>
    </row>
    <row r="362" spans="1:40" x14ac:dyDescent="0.25">
      <c r="A362">
        <v>2.60453</v>
      </c>
      <c r="B362">
        <f>-(Table1338[[#This Row],[time]]-2)*2</f>
        <v>-1.20906</v>
      </c>
      <c r="C362">
        <v>92.122799999999998</v>
      </c>
      <c r="D362">
        <v>19.079599999999999</v>
      </c>
      <c r="E362">
        <f>Table1338[[#This Row],[CFNM]]/Table1338[[#This Row],[CAREA]]</f>
        <v>0.20711050901622616</v>
      </c>
      <c r="F362">
        <v>2.60453</v>
      </c>
      <c r="G362">
        <f>-(Table2339[[#This Row],[time]]-2)*2</f>
        <v>-1.20906</v>
      </c>
      <c r="H362">
        <v>91.697599999999994</v>
      </c>
      <c r="I362">
        <v>4.6671400000000002E-3</v>
      </c>
      <c r="J362">
        <f>Table2339[[#This Row],[CFNM]]/Table2339[[#This Row],[CAREA]]</f>
        <v>5.0897079094763661E-5</v>
      </c>
      <c r="K362">
        <v>2.60453</v>
      </c>
      <c r="L362">
        <f>-(Table3340[[#This Row],[time]]-2)*2</f>
        <v>-1.20906</v>
      </c>
      <c r="M362">
        <v>89.171800000000005</v>
      </c>
      <c r="N362">
        <v>17.779299999999999</v>
      </c>
      <c r="O362">
        <f>Table3340[[#This Row],[CFNM]]/Table3340[[#This Row],[CAREA]]</f>
        <v>0.19938254022011442</v>
      </c>
      <c r="P362">
        <v>2.60453</v>
      </c>
      <c r="Q362">
        <f>-(Table4341[[#This Row],[time]]-2)*2</f>
        <v>-1.20906</v>
      </c>
      <c r="R362">
        <v>78.1096</v>
      </c>
      <c r="S362">
        <v>3.4229699999999998</v>
      </c>
      <c r="T362">
        <f>Table4341[[#This Row],[CFNM]]/Table4341[[#This Row],[CAREA]]</f>
        <v>4.3822654321619872E-2</v>
      </c>
      <c r="U362">
        <v>2.60453</v>
      </c>
      <c r="V362">
        <f>-(Table5342[[#This Row],[time]]-2)*2</f>
        <v>-1.20906</v>
      </c>
      <c r="W362">
        <v>84.536799999999999</v>
      </c>
      <c r="X362">
        <v>27.052199999999999</v>
      </c>
      <c r="Y362">
        <f>Table5342[[#This Row],[CFNM]]/Table5342[[#This Row],[CAREA]]</f>
        <v>0.32000501556718491</v>
      </c>
      <c r="Z362">
        <v>2.60453</v>
      </c>
      <c r="AA362">
        <f>-(Table6343[[#This Row],[time]]-2)*2</f>
        <v>-1.20906</v>
      </c>
      <c r="AB362">
        <v>77.879300000000001</v>
      </c>
      <c r="AC362">
        <v>2.5829399999999998</v>
      </c>
      <c r="AD362">
        <f>Table6343[[#This Row],[CFNM]]/Table6343[[#This Row],[CAREA]]</f>
        <v>3.3165937546947646E-2</v>
      </c>
      <c r="AE362">
        <v>2.60453</v>
      </c>
      <c r="AF362">
        <f>-(Table7344[[#This Row],[time]]-2)*2</f>
        <v>-1.20906</v>
      </c>
      <c r="AG362">
        <v>72.810299999999998</v>
      </c>
      <c r="AH362">
        <v>43.729700000000001</v>
      </c>
      <c r="AI362">
        <f>Table7344[[#This Row],[CFNM]]/Table7344[[#This Row],[CAREA]]</f>
        <v>0.60059771763060998</v>
      </c>
      <c r="AJ362">
        <v>2.60453</v>
      </c>
      <c r="AK362">
        <f>-(Table8345[[#This Row],[time]]-2)*2</f>
        <v>-1.20906</v>
      </c>
      <c r="AL362">
        <v>81.267700000000005</v>
      </c>
      <c r="AM362">
        <v>10.1205</v>
      </c>
      <c r="AN362">
        <f>Table8345[[#This Row],[CFNM]]/Table8345[[#This Row],[CAREA]]</f>
        <v>0.12453287099302673</v>
      </c>
    </row>
    <row r="363" spans="1:40" x14ac:dyDescent="0.25">
      <c r="A363">
        <v>2.65273</v>
      </c>
      <c r="B363">
        <f>-(Table1338[[#This Row],[time]]-2)*2</f>
        <v>-1.3054600000000001</v>
      </c>
      <c r="C363">
        <v>92.804500000000004</v>
      </c>
      <c r="D363">
        <v>20.5777</v>
      </c>
      <c r="E363">
        <f>Table1338[[#This Row],[CFNM]]/Table1338[[#This Row],[CAREA]]</f>
        <v>0.22173170482034815</v>
      </c>
      <c r="F363">
        <v>2.65273</v>
      </c>
      <c r="G363">
        <f>-(Table2339[[#This Row],[time]]-2)*2</f>
        <v>-1.3054600000000001</v>
      </c>
      <c r="H363">
        <v>91.170400000000001</v>
      </c>
      <c r="I363">
        <v>4.6697300000000004E-3</v>
      </c>
      <c r="J363">
        <f>Table2339[[#This Row],[CFNM]]/Table2339[[#This Row],[CAREA]]</f>
        <v>5.121980379596887E-5</v>
      </c>
      <c r="K363">
        <v>2.65273</v>
      </c>
      <c r="L363">
        <f>-(Table3340[[#This Row],[time]]-2)*2</f>
        <v>-1.3054600000000001</v>
      </c>
      <c r="M363">
        <v>88.817599999999999</v>
      </c>
      <c r="N363">
        <v>20.105899999999998</v>
      </c>
      <c r="O363">
        <f>Table3340[[#This Row],[CFNM]]/Table3340[[#This Row],[CAREA]]</f>
        <v>0.22637292608672155</v>
      </c>
      <c r="P363">
        <v>2.65273</v>
      </c>
      <c r="Q363">
        <f>-(Table4341[[#This Row],[time]]-2)*2</f>
        <v>-1.3054600000000001</v>
      </c>
      <c r="R363">
        <v>77.244500000000002</v>
      </c>
      <c r="S363">
        <v>3.7298300000000002</v>
      </c>
      <c r="T363">
        <f>Table4341[[#This Row],[CFNM]]/Table4341[[#This Row],[CAREA]]</f>
        <v>4.8286026836862173E-2</v>
      </c>
      <c r="U363">
        <v>2.65273</v>
      </c>
      <c r="V363">
        <f>-(Table5342[[#This Row],[time]]-2)*2</f>
        <v>-1.3054600000000001</v>
      </c>
      <c r="W363">
        <v>84.703400000000002</v>
      </c>
      <c r="X363">
        <v>29.8567</v>
      </c>
      <c r="Y363">
        <f>Table5342[[#This Row],[CFNM]]/Table5342[[#This Row],[CAREA]]</f>
        <v>0.35248526033193472</v>
      </c>
      <c r="Z363">
        <v>2.65273</v>
      </c>
      <c r="AA363">
        <f>-(Table6343[[#This Row],[time]]-2)*2</f>
        <v>-1.3054600000000001</v>
      </c>
      <c r="AB363">
        <v>75.357699999999994</v>
      </c>
      <c r="AC363">
        <v>2.1286499999999999</v>
      </c>
      <c r="AD363">
        <f>Table6343[[#This Row],[CFNM]]/Table6343[[#This Row],[CAREA]]</f>
        <v>2.8247279309214588E-2</v>
      </c>
      <c r="AE363">
        <v>2.65273</v>
      </c>
      <c r="AF363">
        <f>-(Table7344[[#This Row],[time]]-2)*2</f>
        <v>-1.3054600000000001</v>
      </c>
      <c r="AG363">
        <v>71.488699999999994</v>
      </c>
      <c r="AH363">
        <v>47.446599999999997</v>
      </c>
      <c r="AI363">
        <f>Table7344[[#This Row],[CFNM]]/Table7344[[#This Row],[CAREA]]</f>
        <v>0.66369370264111671</v>
      </c>
      <c r="AJ363">
        <v>2.65273</v>
      </c>
      <c r="AK363">
        <f>-(Table8345[[#This Row],[time]]-2)*2</f>
        <v>-1.3054600000000001</v>
      </c>
      <c r="AL363">
        <v>80.505099999999999</v>
      </c>
      <c r="AM363">
        <v>9.1477299999999993</v>
      </c>
      <c r="AN363">
        <f>Table8345[[#This Row],[CFNM]]/Table8345[[#This Row],[CAREA]]</f>
        <v>0.11362919864704223</v>
      </c>
    </row>
    <row r="364" spans="1:40" x14ac:dyDescent="0.25">
      <c r="A364">
        <v>2.7006199999999998</v>
      </c>
      <c r="B364">
        <f>-(Table1338[[#This Row],[time]]-2)*2</f>
        <v>-1.4012399999999996</v>
      </c>
      <c r="C364">
        <v>93.185900000000004</v>
      </c>
      <c r="D364">
        <v>21.474699999999999</v>
      </c>
      <c r="E364">
        <f>Table1338[[#This Row],[CFNM]]/Table1338[[#This Row],[CAREA]]</f>
        <v>0.23045010028341195</v>
      </c>
      <c r="F364">
        <v>2.7006199999999998</v>
      </c>
      <c r="G364">
        <f>-(Table2339[[#This Row],[time]]-2)*2</f>
        <v>-1.4012399999999996</v>
      </c>
      <c r="H364">
        <v>90.529399999999995</v>
      </c>
      <c r="I364">
        <v>4.6803699999999997E-3</v>
      </c>
      <c r="J364">
        <f>Table2339[[#This Row],[CFNM]]/Table2339[[#This Row],[CAREA]]</f>
        <v>5.1700000220922703E-5</v>
      </c>
      <c r="K364">
        <v>2.7006199999999998</v>
      </c>
      <c r="L364">
        <f>-(Table3340[[#This Row],[time]]-2)*2</f>
        <v>-1.4012399999999996</v>
      </c>
      <c r="M364">
        <v>88.611500000000007</v>
      </c>
      <c r="N364">
        <v>21.524999999999999</v>
      </c>
      <c r="O364">
        <f>Table3340[[#This Row],[CFNM]]/Table3340[[#This Row],[CAREA]]</f>
        <v>0.24291429442002446</v>
      </c>
      <c r="P364">
        <v>2.7006199999999998</v>
      </c>
      <c r="Q364">
        <f>-(Table4341[[#This Row],[time]]-2)*2</f>
        <v>-1.4012399999999996</v>
      </c>
      <c r="R364">
        <v>75.838300000000004</v>
      </c>
      <c r="S364">
        <v>3.8897599999999999</v>
      </c>
      <c r="T364">
        <f>Table4341[[#This Row],[CFNM]]/Table4341[[#This Row],[CAREA]]</f>
        <v>5.1290179236612631E-2</v>
      </c>
      <c r="U364">
        <v>2.7006199999999998</v>
      </c>
      <c r="V364">
        <f>-(Table5342[[#This Row],[time]]-2)*2</f>
        <v>-1.4012399999999996</v>
      </c>
      <c r="W364">
        <v>84.458100000000002</v>
      </c>
      <c r="X364">
        <v>31.402899999999999</v>
      </c>
      <c r="Y364">
        <f>Table5342[[#This Row],[CFNM]]/Table5342[[#This Row],[CAREA]]</f>
        <v>0.37181632075549886</v>
      </c>
      <c r="Z364">
        <v>2.7006199999999998</v>
      </c>
      <c r="AA364">
        <f>-(Table6343[[#This Row],[time]]-2)*2</f>
        <v>-1.4012399999999996</v>
      </c>
      <c r="AB364">
        <v>74.689899999999994</v>
      </c>
      <c r="AC364">
        <v>2.0285099999999998</v>
      </c>
      <c r="AD364">
        <f>Table6343[[#This Row],[CFNM]]/Table6343[[#This Row],[CAREA]]</f>
        <v>2.7159093799831033E-2</v>
      </c>
      <c r="AE364">
        <v>2.7006199999999998</v>
      </c>
      <c r="AF364">
        <f>-(Table7344[[#This Row],[time]]-2)*2</f>
        <v>-1.4012399999999996</v>
      </c>
      <c r="AG364">
        <v>70.849599999999995</v>
      </c>
      <c r="AH364">
        <v>49.476799999999997</v>
      </c>
      <c r="AI364">
        <f>Table7344[[#This Row],[CFNM]]/Table7344[[#This Row],[CAREA]]</f>
        <v>0.69833562927666493</v>
      </c>
      <c r="AJ364">
        <v>2.7006199999999998</v>
      </c>
      <c r="AK364">
        <f>-(Table8345[[#This Row],[time]]-2)*2</f>
        <v>-1.4012399999999996</v>
      </c>
      <c r="AL364">
        <v>79.553100000000001</v>
      </c>
      <c r="AM364">
        <v>8.6002799999999997</v>
      </c>
      <c r="AN364">
        <f>Table8345[[#This Row],[CFNM]]/Table8345[[#This Row],[CAREA]]</f>
        <v>0.10810741504730802</v>
      </c>
    </row>
    <row r="365" spans="1:40" x14ac:dyDescent="0.25">
      <c r="A365">
        <v>2.75176</v>
      </c>
      <c r="B365">
        <f>-(Table1338[[#This Row],[time]]-2)*2</f>
        <v>-1.50352</v>
      </c>
      <c r="C365">
        <v>93.986800000000002</v>
      </c>
      <c r="D365">
        <v>22.780200000000001</v>
      </c>
      <c r="E365">
        <f>Table1338[[#This Row],[CFNM]]/Table1338[[#This Row],[CAREA]]</f>
        <v>0.24237658905293083</v>
      </c>
      <c r="F365">
        <v>2.75176</v>
      </c>
      <c r="G365">
        <f>-(Table2339[[#This Row],[time]]-2)*2</f>
        <v>-1.50352</v>
      </c>
      <c r="H365">
        <v>89.929400000000001</v>
      </c>
      <c r="I365">
        <v>4.6826400000000001E-3</v>
      </c>
      <c r="J365">
        <f>Table2339[[#This Row],[CFNM]]/Table2339[[#This Row],[CAREA]]</f>
        <v>5.2070179496360478E-5</v>
      </c>
      <c r="K365">
        <v>2.75176</v>
      </c>
      <c r="L365">
        <f>-(Table3340[[#This Row],[time]]-2)*2</f>
        <v>-1.50352</v>
      </c>
      <c r="M365">
        <v>88.107100000000003</v>
      </c>
      <c r="N365">
        <v>23.694800000000001</v>
      </c>
      <c r="O365">
        <f>Table3340[[#This Row],[CFNM]]/Table3340[[#This Row],[CAREA]]</f>
        <v>0.26893178869807316</v>
      </c>
      <c r="P365">
        <v>2.75176</v>
      </c>
      <c r="Q365">
        <f>-(Table4341[[#This Row],[time]]-2)*2</f>
        <v>-1.50352</v>
      </c>
      <c r="R365">
        <v>75.3202</v>
      </c>
      <c r="S365">
        <v>4.0482500000000003</v>
      </c>
      <c r="T365">
        <f>Table4341[[#This Row],[CFNM]]/Table4341[[#This Row],[CAREA]]</f>
        <v>5.3747201945825961E-2</v>
      </c>
      <c r="U365">
        <v>2.75176</v>
      </c>
      <c r="V365">
        <f>-(Table5342[[#This Row],[time]]-2)*2</f>
        <v>-1.50352</v>
      </c>
      <c r="W365">
        <v>84.002300000000005</v>
      </c>
      <c r="X365">
        <v>33.541499999999999</v>
      </c>
      <c r="Y365">
        <f>Table5342[[#This Row],[CFNM]]/Table5342[[#This Row],[CAREA]]</f>
        <v>0.39929263841585289</v>
      </c>
      <c r="Z365">
        <v>2.75176</v>
      </c>
      <c r="AA365">
        <f>-(Table6343[[#This Row],[time]]-2)*2</f>
        <v>-1.50352</v>
      </c>
      <c r="AB365">
        <v>74.076999999999998</v>
      </c>
      <c r="AC365">
        <v>1.8370299999999999</v>
      </c>
      <c r="AD365">
        <f>Table6343[[#This Row],[CFNM]]/Table6343[[#This Row],[CAREA]]</f>
        <v>2.4798925442445025E-2</v>
      </c>
      <c r="AE365">
        <v>2.75176</v>
      </c>
      <c r="AF365">
        <f>-(Table7344[[#This Row],[time]]-2)*2</f>
        <v>-1.50352</v>
      </c>
      <c r="AG365">
        <v>69.979200000000006</v>
      </c>
      <c r="AH365">
        <v>52.244599999999998</v>
      </c>
      <c r="AI365">
        <f>Table7344[[#This Row],[CFNM]]/Table7344[[#This Row],[CAREA]]</f>
        <v>0.74657326748519548</v>
      </c>
      <c r="AJ365">
        <v>2.75176</v>
      </c>
      <c r="AK365">
        <f>-(Table8345[[#This Row],[time]]-2)*2</f>
        <v>-1.50352</v>
      </c>
      <c r="AL365">
        <v>79.499600000000001</v>
      </c>
      <c r="AM365">
        <v>7.8689200000000001</v>
      </c>
      <c r="AN365">
        <f>Table8345[[#This Row],[CFNM]]/Table8345[[#This Row],[CAREA]]</f>
        <v>9.898062380188076E-2</v>
      </c>
    </row>
    <row r="366" spans="1:40" x14ac:dyDescent="0.25">
      <c r="A366">
        <v>2.80444</v>
      </c>
      <c r="B366">
        <f>-(Table1338[[#This Row],[time]]-2)*2</f>
        <v>-1.6088800000000001</v>
      </c>
      <c r="C366">
        <v>94.933400000000006</v>
      </c>
      <c r="D366">
        <v>24.447199999999999</v>
      </c>
      <c r="E366">
        <f>Table1338[[#This Row],[CFNM]]/Table1338[[#This Row],[CAREA]]</f>
        <v>0.25751948207901537</v>
      </c>
      <c r="F366">
        <v>2.80444</v>
      </c>
      <c r="G366">
        <f>-(Table2339[[#This Row],[time]]-2)*2</f>
        <v>-1.6088800000000001</v>
      </c>
      <c r="H366">
        <v>88.753900000000002</v>
      </c>
      <c r="I366">
        <v>4.6753100000000002E-3</v>
      </c>
      <c r="J366">
        <f>Table2339[[#This Row],[CFNM]]/Table2339[[#This Row],[CAREA]]</f>
        <v>5.2677234465189699E-5</v>
      </c>
      <c r="K366">
        <v>2.80444</v>
      </c>
      <c r="L366">
        <f>-(Table3340[[#This Row],[time]]-2)*2</f>
        <v>-1.6088800000000001</v>
      </c>
      <c r="M366">
        <v>87.407700000000006</v>
      </c>
      <c r="N366">
        <v>26.333200000000001</v>
      </c>
      <c r="O366">
        <f>Table3340[[#This Row],[CFNM]]/Table3340[[#This Row],[CAREA]]</f>
        <v>0.30126865253290042</v>
      </c>
      <c r="P366">
        <v>2.80444</v>
      </c>
      <c r="Q366">
        <f>-(Table4341[[#This Row],[time]]-2)*2</f>
        <v>-1.6088800000000001</v>
      </c>
      <c r="R366">
        <v>74.805099999999996</v>
      </c>
      <c r="S366">
        <v>4.2660499999999999</v>
      </c>
      <c r="T366">
        <f>Table4341[[#This Row],[CFNM]]/Table4341[[#This Row],[CAREA]]</f>
        <v>5.702886567894435E-2</v>
      </c>
      <c r="U366">
        <v>2.80444</v>
      </c>
      <c r="V366">
        <f>-(Table5342[[#This Row],[time]]-2)*2</f>
        <v>-1.6088800000000001</v>
      </c>
      <c r="W366">
        <v>83.538200000000003</v>
      </c>
      <c r="X366">
        <v>36.125100000000003</v>
      </c>
      <c r="Y366">
        <f>Table5342[[#This Row],[CFNM]]/Table5342[[#This Row],[CAREA]]</f>
        <v>0.43243809418924517</v>
      </c>
      <c r="Z366">
        <v>2.80444</v>
      </c>
      <c r="AA366">
        <f>-(Table6343[[#This Row],[time]]-2)*2</f>
        <v>-1.6088800000000001</v>
      </c>
      <c r="AB366">
        <v>72.321200000000005</v>
      </c>
      <c r="AC366">
        <v>1.54681</v>
      </c>
      <c r="AD366">
        <f>Table6343[[#This Row],[CFNM]]/Table6343[[#This Row],[CAREA]]</f>
        <v>2.1388057720281187E-2</v>
      </c>
      <c r="AE366">
        <v>2.80444</v>
      </c>
      <c r="AF366">
        <f>-(Table7344[[#This Row],[time]]-2)*2</f>
        <v>-1.6088800000000001</v>
      </c>
      <c r="AG366">
        <v>68.983500000000006</v>
      </c>
      <c r="AH366">
        <v>55.561300000000003</v>
      </c>
      <c r="AI366">
        <f>Table7344[[#This Row],[CFNM]]/Table7344[[#This Row],[CAREA]]</f>
        <v>0.80542883443142199</v>
      </c>
      <c r="AJ366">
        <v>2.80444</v>
      </c>
      <c r="AK366">
        <f>-(Table8345[[#This Row],[time]]-2)*2</f>
        <v>-1.6088800000000001</v>
      </c>
      <c r="AL366">
        <v>78.236999999999995</v>
      </c>
      <c r="AM366">
        <v>6.9714400000000003</v>
      </c>
      <c r="AN366">
        <f>Table8345[[#This Row],[CFNM]]/Table8345[[#This Row],[CAREA]]</f>
        <v>8.9106688651149721E-2</v>
      </c>
    </row>
    <row r="367" spans="1:40" x14ac:dyDescent="0.25">
      <c r="A367">
        <v>2.8583699999999999</v>
      </c>
      <c r="B367">
        <f>-(Table1338[[#This Row],[time]]-2)*2</f>
        <v>-1.7167399999999997</v>
      </c>
      <c r="C367">
        <v>95.819199999999995</v>
      </c>
      <c r="D367">
        <v>25.687100000000001</v>
      </c>
      <c r="E367">
        <f>Table1338[[#This Row],[CFNM]]/Table1338[[#This Row],[CAREA]]</f>
        <v>0.26807884014894723</v>
      </c>
      <c r="F367">
        <v>2.8583699999999999</v>
      </c>
      <c r="G367">
        <f>-(Table2339[[#This Row],[time]]-2)*2</f>
        <v>-1.7167399999999997</v>
      </c>
      <c r="H367">
        <v>88.274900000000002</v>
      </c>
      <c r="I367">
        <v>4.6353000000000002E-3</v>
      </c>
      <c r="J367">
        <f>Table2339[[#This Row],[CFNM]]/Table2339[[#This Row],[CAREA]]</f>
        <v>5.2509830087601345E-5</v>
      </c>
      <c r="K367">
        <v>2.8583699999999999</v>
      </c>
      <c r="L367">
        <f>-(Table3340[[#This Row],[time]]-2)*2</f>
        <v>-1.7167399999999997</v>
      </c>
      <c r="M367">
        <v>86.938100000000006</v>
      </c>
      <c r="N367">
        <v>28.210699999999999</v>
      </c>
      <c r="O367">
        <f>Table3340[[#This Row],[CFNM]]/Table3340[[#This Row],[CAREA]]</f>
        <v>0.32449179358647129</v>
      </c>
      <c r="P367">
        <v>2.8583699999999999</v>
      </c>
      <c r="Q367">
        <f>-(Table4341[[#This Row],[time]]-2)*2</f>
        <v>-1.7167399999999997</v>
      </c>
      <c r="R367">
        <v>73.468500000000006</v>
      </c>
      <c r="S367">
        <v>4.4046900000000004</v>
      </c>
      <c r="T367">
        <f>Table4341[[#This Row],[CFNM]]/Table4341[[#This Row],[CAREA]]</f>
        <v>5.9953449437514038E-2</v>
      </c>
      <c r="U367">
        <v>2.8583699999999999</v>
      </c>
      <c r="V367">
        <f>-(Table5342[[#This Row],[time]]-2)*2</f>
        <v>-1.7167399999999997</v>
      </c>
      <c r="W367">
        <v>83.311700000000002</v>
      </c>
      <c r="X367">
        <v>37.987299999999998</v>
      </c>
      <c r="Y367">
        <f>Table5342[[#This Row],[CFNM]]/Table5342[[#This Row],[CAREA]]</f>
        <v>0.4559659687654915</v>
      </c>
      <c r="Z367">
        <v>2.8583699999999999</v>
      </c>
      <c r="AA367">
        <f>-(Table6343[[#This Row],[time]]-2)*2</f>
        <v>-1.7167399999999997</v>
      </c>
      <c r="AB367">
        <v>71.312600000000003</v>
      </c>
      <c r="AC367">
        <v>1.3350299999999999</v>
      </c>
      <c r="AD367">
        <f>Table6343[[#This Row],[CFNM]]/Table6343[[#This Row],[CAREA]]</f>
        <v>1.8720815115421396E-2</v>
      </c>
      <c r="AE367">
        <v>2.8583699999999999</v>
      </c>
      <c r="AF367">
        <f>-(Table7344[[#This Row],[time]]-2)*2</f>
        <v>-1.7167399999999997</v>
      </c>
      <c r="AG367">
        <v>68.319699999999997</v>
      </c>
      <c r="AH367">
        <v>57.871600000000001</v>
      </c>
      <c r="AI367">
        <f>Table7344[[#This Row],[CFNM]]/Table7344[[#This Row],[CAREA]]</f>
        <v>0.84707046430239008</v>
      </c>
      <c r="AJ367">
        <v>2.8583699999999999</v>
      </c>
      <c r="AK367">
        <f>-(Table8345[[#This Row],[time]]-2)*2</f>
        <v>-1.7167399999999997</v>
      </c>
      <c r="AL367">
        <v>78.275899999999993</v>
      </c>
      <c r="AM367">
        <v>6.3315200000000003</v>
      </c>
      <c r="AN367">
        <f>Table8345[[#This Row],[CFNM]]/Table8345[[#This Row],[CAREA]]</f>
        <v>8.0887220715443714E-2</v>
      </c>
    </row>
    <row r="368" spans="1:40" x14ac:dyDescent="0.25">
      <c r="A368">
        <v>2.9134199999999999</v>
      </c>
      <c r="B368">
        <f>-(Table1338[[#This Row],[time]]-2)*2</f>
        <v>-1.8268399999999998</v>
      </c>
      <c r="C368">
        <v>96.908299999999997</v>
      </c>
      <c r="D368">
        <v>27.513000000000002</v>
      </c>
      <c r="E368">
        <f>Table1338[[#This Row],[CFNM]]/Table1338[[#This Row],[CAREA]]</f>
        <v>0.28390757035259107</v>
      </c>
      <c r="F368">
        <v>2.9134199999999999</v>
      </c>
      <c r="G368">
        <f>-(Table2339[[#This Row],[time]]-2)*2</f>
        <v>-1.8268399999999998</v>
      </c>
      <c r="H368">
        <v>87.340100000000007</v>
      </c>
      <c r="I368">
        <v>4.5269300000000002E-3</v>
      </c>
      <c r="J368">
        <f>Table2339[[#This Row],[CFNM]]/Table2339[[#This Row],[CAREA]]</f>
        <v>5.1831060417837853E-5</v>
      </c>
      <c r="K368">
        <v>2.9134199999999999</v>
      </c>
      <c r="L368">
        <f>-(Table3340[[#This Row],[time]]-2)*2</f>
        <v>-1.8268399999999998</v>
      </c>
      <c r="M368">
        <v>86.227999999999994</v>
      </c>
      <c r="N368">
        <v>30.790099999999999</v>
      </c>
      <c r="O368">
        <f>Table3340[[#This Row],[CFNM]]/Table3340[[#This Row],[CAREA]]</f>
        <v>0.35707774736744446</v>
      </c>
      <c r="P368">
        <v>2.9134199999999999</v>
      </c>
      <c r="Q368">
        <f>-(Table4341[[#This Row],[time]]-2)*2</f>
        <v>-1.8268399999999998</v>
      </c>
      <c r="R368">
        <v>73.0505</v>
      </c>
      <c r="S368">
        <v>4.5499599999999996</v>
      </c>
      <c r="T368">
        <f>Table4341[[#This Row],[CFNM]]/Table4341[[#This Row],[CAREA]]</f>
        <v>6.2285131518606984E-2</v>
      </c>
      <c r="U368">
        <v>2.9134199999999999</v>
      </c>
      <c r="V368">
        <f>-(Table5342[[#This Row],[time]]-2)*2</f>
        <v>-1.8268399999999998</v>
      </c>
      <c r="W368">
        <v>82.904399999999995</v>
      </c>
      <c r="X368">
        <v>40.601799999999997</v>
      </c>
      <c r="Y368">
        <f>Table5342[[#This Row],[CFNM]]/Table5342[[#This Row],[CAREA]]</f>
        <v>0.48974240209204817</v>
      </c>
      <c r="Z368">
        <v>2.9134199999999999</v>
      </c>
      <c r="AA368">
        <f>-(Table6343[[#This Row],[time]]-2)*2</f>
        <v>-1.8268399999999998</v>
      </c>
      <c r="AB368">
        <v>70.281199999999998</v>
      </c>
      <c r="AC368">
        <v>1.04247</v>
      </c>
      <c r="AD368">
        <f>Table6343[[#This Row],[CFNM]]/Table6343[[#This Row],[CAREA]]</f>
        <v>1.4832842922431604E-2</v>
      </c>
      <c r="AE368">
        <v>2.9134199999999999</v>
      </c>
      <c r="AF368">
        <f>-(Table7344[[#This Row],[time]]-2)*2</f>
        <v>-1.8268399999999998</v>
      </c>
      <c r="AG368">
        <v>67.430899999999994</v>
      </c>
      <c r="AH368">
        <v>61.111699999999999</v>
      </c>
      <c r="AI368">
        <f>Table7344[[#This Row],[CFNM]]/Table7344[[#This Row],[CAREA]]</f>
        <v>0.9062862871472871</v>
      </c>
      <c r="AJ368">
        <v>2.9134199999999999</v>
      </c>
      <c r="AK368">
        <f>-(Table8345[[#This Row],[time]]-2)*2</f>
        <v>-1.8268399999999998</v>
      </c>
      <c r="AL368">
        <v>77.368099999999998</v>
      </c>
      <c r="AM368">
        <v>5.4813499999999999</v>
      </c>
      <c r="AN368">
        <f>Table8345[[#This Row],[CFNM]]/Table8345[[#This Row],[CAREA]]</f>
        <v>7.0847674946134129E-2</v>
      </c>
    </row>
    <row r="369" spans="1:40" x14ac:dyDescent="0.25">
      <c r="A369">
        <v>2.9619599999999999</v>
      </c>
      <c r="B369">
        <f>-(Table1338[[#This Row],[time]]-2)*2</f>
        <v>-1.9239199999999999</v>
      </c>
      <c r="C369">
        <v>97.740200000000002</v>
      </c>
      <c r="D369">
        <v>28.933599999999998</v>
      </c>
      <c r="E369">
        <f>Table1338[[#This Row],[CFNM]]/Table1338[[#This Row],[CAREA]]</f>
        <v>0.29602558619687702</v>
      </c>
      <c r="F369">
        <v>2.9619599999999999</v>
      </c>
      <c r="G369">
        <f>-(Table2339[[#This Row],[time]]-2)*2</f>
        <v>-1.9239199999999999</v>
      </c>
      <c r="H369">
        <v>85.627499999999998</v>
      </c>
      <c r="I369">
        <v>4.41085E-3</v>
      </c>
      <c r="J369">
        <f>Table2339[[#This Row],[CFNM]]/Table2339[[#This Row],[CAREA]]</f>
        <v>5.1512072640214886E-5</v>
      </c>
      <c r="K369">
        <v>2.9619599999999999</v>
      </c>
      <c r="L369">
        <f>-(Table3340[[#This Row],[time]]-2)*2</f>
        <v>-1.9239199999999999</v>
      </c>
      <c r="M369">
        <v>85.664000000000001</v>
      </c>
      <c r="N369">
        <v>32.624200000000002</v>
      </c>
      <c r="O369">
        <f>Table3340[[#This Row],[CFNM]]/Table3340[[#This Row],[CAREA]]</f>
        <v>0.3808390922674636</v>
      </c>
      <c r="P369">
        <v>2.9619599999999999</v>
      </c>
      <c r="Q369">
        <f>-(Table4341[[#This Row],[time]]-2)*2</f>
        <v>-1.9239199999999999</v>
      </c>
      <c r="R369">
        <v>72.049499999999995</v>
      </c>
      <c r="S369">
        <v>4.6358300000000003</v>
      </c>
      <c r="T369">
        <f>Table4341[[#This Row],[CFNM]]/Table4341[[#This Row],[CAREA]]</f>
        <v>6.4342292451717228E-2</v>
      </c>
      <c r="U369">
        <v>2.9619599999999999</v>
      </c>
      <c r="V369">
        <f>-(Table5342[[#This Row],[time]]-2)*2</f>
        <v>-1.9239199999999999</v>
      </c>
      <c r="W369">
        <v>82.593900000000005</v>
      </c>
      <c r="X369">
        <v>42.518300000000004</v>
      </c>
      <c r="Y369">
        <f>Table5342[[#This Row],[CFNM]]/Table5342[[#This Row],[CAREA]]</f>
        <v>0.51478741166115172</v>
      </c>
      <c r="Z369">
        <v>2.9619599999999999</v>
      </c>
      <c r="AA369">
        <f>-(Table6343[[#This Row],[time]]-2)*2</f>
        <v>-1.9239199999999999</v>
      </c>
      <c r="AB369">
        <v>69.643799999999999</v>
      </c>
      <c r="AC369">
        <v>0.86969600000000002</v>
      </c>
      <c r="AD369">
        <f>Table6343[[#This Row],[CFNM]]/Table6343[[#This Row],[CAREA]]</f>
        <v>1.2487773498861349E-2</v>
      </c>
      <c r="AE369">
        <v>2.9619599999999999</v>
      </c>
      <c r="AF369">
        <f>-(Table7344[[#This Row],[time]]-2)*2</f>
        <v>-1.9239199999999999</v>
      </c>
      <c r="AG369">
        <v>66.795299999999997</v>
      </c>
      <c r="AH369">
        <v>63.413200000000003</v>
      </c>
      <c r="AI369">
        <f>Table7344[[#This Row],[CFNM]]/Table7344[[#This Row],[CAREA]]</f>
        <v>0.94936619792111132</v>
      </c>
      <c r="AJ369">
        <v>2.9619599999999999</v>
      </c>
      <c r="AK369">
        <f>-(Table8345[[#This Row],[time]]-2)*2</f>
        <v>-1.9239199999999999</v>
      </c>
      <c r="AL369">
        <v>77.397599999999997</v>
      </c>
      <c r="AM369">
        <v>4.8774300000000004</v>
      </c>
      <c r="AN369">
        <f>Table8345[[#This Row],[CFNM]]/Table8345[[#This Row],[CAREA]]</f>
        <v>6.301784551458961E-2</v>
      </c>
    </row>
    <row r="370" spans="1:40" x14ac:dyDescent="0.25">
      <c r="A370">
        <v>3</v>
      </c>
      <c r="B370">
        <f>-(Table1338[[#This Row],[time]]-2)*2</f>
        <v>-2</v>
      </c>
      <c r="C370">
        <v>98.467600000000004</v>
      </c>
      <c r="D370">
        <v>30.4496</v>
      </c>
      <c r="E370">
        <f>Table1338[[#This Row],[CFNM]]/Table1338[[#This Row],[CAREA]]</f>
        <v>0.30923471273799708</v>
      </c>
      <c r="F370">
        <v>3</v>
      </c>
      <c r="G370">
        <f>-(Table2339[[#This Row],[time]]-2)*2</f>
        <v>-2</v>
      </c>
      <c r="H370">
        <v>84.772300000000001</v>
      </c>
      <c r="I370">
        <v>4.28875E-3</v>
      </c>
      <c r="J370">
        <f>Table2339[[#This Row],[CFNM]]/Table2339[[#This Row],[CAREA]]</f>
        <v>5.0591407806559454E-5</v>
      </c>
      <c r="K370">
        <v>3</v>
      </c>
      <c r="L370">
        <f>-(Table3340[[#This Row],[time]]-2)*2</f>
        <v>-2</v>
      </c>
      <c r="M370">
        <v>85.193200000000004</v>
      </c>
      <c r="N370">
        <v>34.695799999999998</v>
      </c>
      <c r="O370">
        <f>Table3340[[#This Row],[CFNM]]/Table3340[[#This Row],[CAREA]]</f>
        <v>0.40726020386603623</v>
      </c>
      <c r="P370">
        <v>3</v>
      </c>
      <c r="Q370">
        <f>-(Table4341[[#This Row],[time]]-2)*2</f>
        <v>-2</v>
      </c>
      <c r="R370">
        <v>71.088200000000001</v>
      </c>
      <c r="S370">
        <v>4.6153599999999999</v>
      </c>
      <c r="T370">
        <f>Table4341[[#This Row],[CFNM]]/Table4341[[#This Row],[CAREA]]</f>
        <v>6.4924417835871495E-2</v>
      </c>
      <c r="U370">
        <v>3</v>
      </c>
      <c r="V370">
        <f>-(Table5342[[#This Row],[time]]-2)*2</f>
        <v>-2</v>
      </c>
      <c r="W370">
        <v>82.221199999999996</v>
      </c>
      <c r="X370">
        <v>44.444699999999997</v>
      </c>
      <c r="Y370">
        <f>Table5342[[#This Row],[CFNM]]/Table5342[[#This Row],[CAREA]]</f>
        <v>0.54055036900458764</v>
      </c>
      <c r="Z370">
        <v>3</v>
      </c>
      <c r="AA370">
        <f>-(Table6343[[#This Row],[time]]-2)*2</f>
        <v>-2</v>
      </c>
      <c r="AB370">
        <v>69.4054</v>
      </c>
      <c r="AC370">
        <v>0.71131900000000003</v>
      </c>
      <c r="AD370">
        <f>Table6343[[#This Row],[CFNM]]/Table6343[[#This Row],[CAREA]]</f>
        <v>1.0248755860495005E-2</v>
      </c>
      <c r="AE370">
        <v>3</v>
      </c>
      <c r="AF370">
        <f>-(Table7344[[#This Row],[time]]-2)*2</f>
        <v>-2</v>
      </c>
      <c r="AG370">
        <v>66.1995</v>
      </c>
      <c r="AH370">
        <v>65.682699999999997</v>
      </c>
      <c r="AI370">
        <f>Table7344[[#This Row],[CFNM]]/Table7344[[#This Row],[CAREA]]</f>
        <v>0.99219329451128779</v>
      </c>
      <c r="AJ370">
        <v>3</v>
      </c>
      <c r="AK370">
        <f>-(Table8345[[#This Row],[time]]-2)*2</f>
        <v>-2</v>
      </c>
      <c r="AL370">
        <v>75.778999999999996</v>
      </c>
      <c r="AM370">
        <v>4.2478899999999999</v>
      </c>
      <c r="AN370">
        <f>Table8345[[#This Row],[CFNM]]/Table8345[[#This Row],[CAREA]]</f>
        <v>5.6056295279694905E-2</v>
      </c>
    </row>
    <row r="372" spans="1:40" x14ac:dyDescent="0.25">
      <c r="A372" t="s">
        <v>53</v>
      </c>
      <c r="E372" t="s">
        <v>1</v>
      </c>
    </row>
    <row r="373" spans="1:40" x14ac:dyDescent="0.25">
      <c r="A373" t="s">
        <v>54</v>
      </c>
      <c r="E373" t="s">
        <v>2</v>
      </c>
      <c r="F373" t="s">
        <v>3</v>
      </c>
    </row>
    <row r="375" spans="1:40" x14ac:dyDescent="0.25">
      <c r="A375" t="s">
        <v>5</v>
      </c>
      <c r="F375" t="s">
        <v>6</v>
      </c>
      <c r="K375" t="s">
        <v>7</v>
      </c>
      <c r="P375" t="s">
        <v>19</v>
      </c>
      <c r="U375" t="s">
        <v>8</v>
      </c>
      <c r="Z375" t="s">
        <v>9</v>
      </c>
      <c r="AE375" t="s">
        <v>10</v>
      </c>
      <c r="AJ375" t="s">
        <v>11</v>
      </c>
    </row>
    <row r="376" spans="1:40" x14ac:dyDescent="0.25">
      <c r="A376" t="s">
        <v>12</v>
      </c>
      <c r="B376" t="s">
        <v>13</v>
      </c>
      <c r="C376" t="s">
        <v>17</v>
      </c>
      <c r="D376" t="s">
        <v>15</v>
      </c>
      <c r="E376" t="s">
        <v>16</v>
      </c>
      <c r="F376" t="s">
        <v>12</v>
      </c>
      <c r="G376" t="s">
        <v>13</v>
      </c>
      <c r="H376" t="s">
        <v>17</v>
      </c>
      <c r="I376" t="s">
        <v>15</v>
      </c>
      <c r="J376" t="s">
        <v>16</v>
      </c>
      <c r="K376" t="s">
        <v>12</v>
      </c>
      <c r="L376" t="s">
        <v>13</v>
      </c>
      <c r="M376" t="s">
        <v>17</v>
      </c>
      <c r="N376" t="s">
        <v>15</v>
      </c>
      <c r="O376" t="s">
        <v>16</v>
      </c>
      <c r="P376" t="s">
        <v>12</v>
      </c>
      <c r="Q376" t="s">
        <v>13</v>
      </c>
      <c r="R376" t="s">
        <v>17</v>
      </c>
      <c r="S376" t="s">
        <v>15</v>
      </c>
      <c r="T376" t="s">
        <v>16</v>
      </c>
      <c r="U376" t="s">
        <v>12</v>
      </c>
      <c r="V376" t="s">
        <v>13</v>
      </c>
      <c r="W376" t="s">
        <v>17</v>
      </c>
      <c r="X376" t="s">
        <v>15</v>
      </c>
      <c r="Y376" t="s">
        <v>16</v>
      </c>
      <c r="Z376" t="s">
        <v>12</v>
      </c>
      <c r="AA376" t="s">
        <v>13</v>
      </c>
      <c r="AB376" t="s">
        <v>17</v>
      </c>
      <c r="AC376" t="s">
        <v>15</v>
      </c>
      <c r="AD376" t="s">
        <v>16</v>
      </c>
      <c r="AE376" t="s">
        <v>12</v>
      </c>
      <c r="AF376" t="s">
        <v>13</v>
      </c>
      <c r="AG376" t="s">
        <v>17</v>
      </c>
      <c r="AH376" t="s">
        <v>15</v>
      </c>
      <c r="AI376" t="s">
        <v>16</v>
      </c>
      <c r="AJ376" t="s">
        <v>12</v>
      </c>
      <c r="AK376" t="s">
        <v>13</v>
      </c>
      <c r="AL376" t="s">
        <v>17</v>
      </c>
      <c r="AM376" t="s">
        <v>15</v>
      </c>
      <c r="AN376" t="s">
        <v>16</v>
      </c>
    </row>
    <row r="377" spans="1:40" x14ac:dyDescent="0.25">
      <c r="A377">
        <v>2</v>
      </c>
      <c r="B377">
        <f>(Table110346[[#This Row],[time]]-2)*2</f>
        <v>0</v>
      </c>
      <c r="C377">
        <v>91.105400000000003</v>
      </c>
      <c r="D377">
        <v>10.2014</v>
      </c>
      <c r="E377" s="2">
        <f>Table110346[[#This Row],[CFNM]]/Table110346[[#This Row],[CAREA]]</f>
        <v>0.11197360419909247</v>
      </c>
      <c r="F377">
        <v>2</v>
      </c>
      <c r="G377">
        <f>(Table211347[[#This Row],[time]]-2)*2</f>
        <v>0</v>
      </c>
      <c r="H377">
        <v>95.867800000000003</v>
      </c>
      <c r="I377">
        <v>3.5860500000000002</v>
      </c>
      <c r="J377" s="2">
        <f>Table211347[[#This Row],[CFNM]]/Table211347[[#This Row],[CAREA]]</f>
        <v>3.740619895314172E-2</v>
      </c>
      <c r="K377">
        <v>2</v>
      </c>
      <c r="L377">
        <f>(Table312348[[#This Row],[time]]-2)*2</f>
        <v>0</v>
      </c>
      <c r="M377">
        <v>89.266099999999994</v>
      </c>
      <c r="N377">
        <v>3.6396999999999999</v>
      </c>
      <c r="O377">
        <f>Table312348[[#This Row],[CFNM]]/Table312348[[#This Row],[CAREA]]</f>
        <v>4.0773597143820554E-2</v>
      </c>
      <c r="P377">
        <v>2</v>
      </c>
      <c r="Q377">
        <f>(Table413349[[#This Row],[time]]-2)*2</f>
        <v>0</v>
      </c>
      <c r="R377">
        <v>86.426900000000003</v>
      </c>
      <c r="S377">
        <v>6.4320700000000004</v>
      </c>
      <c r="T377">
        <f>Table413349[[#This Row],[CFNM]]/Table413349[[#This Row],[CAREA]]</f>
        <v>7.4422083865092928E-2</v>
      </c>
      <c r="U377">
        <v>2</v>
      </c>
      <c r="V377">
        <f>(Table514350[[#This Row],[time]]-2)*2</f>
        <v>0</v>
      </c>
      <c r="W377">
        <v>82.680599999999998</v>
      </c>
      <c r="X377">
        <v>9.2786299999999997</v>
      </c>
      <c r="Y377">
        <f>Table514350[[#This Row],[CFNM]]/Table514350[[#This Row],[CAREA]]</f>
        <v>0.11222257700113449</v>
      </c>
      <c r="Z377">
        <v>2</v>
      </c>
      <c r="AA377">
        <f>(Table615351[[#This Row],[time]]-2)*2</f>
        <v>0</v>
      </c>
      <c r="AB377">
        <v>88.9298</v>
      </c>
      <c r="AC377">
        <v>15.8246</v>
      </c>
      <c r="AD377">
        <f>Table615351[[#This Row],[CFNM]]/Table615351[[#This Row],[CAREA]]</f>
        <v>0.17794485088238138</v>
      </c>
      <c r="AE377">
        <v>2</v>
      </c>
      <c r="AF377">
        <f>(Table716352[[#This Row],[time]]-2)*2</f>
        <v>0</v>
      </c>
      <c r="AG377">
        <v>78.958100000000002</v>
      </c>
      <c r="AH377">
        <v>19.616599999999998</v>
      </c>
      <c r="AI377">
        <f>Table716352[[#This Row],[CFNM]]/Table716352[[#This Row],[CAREA]]</f>
        <v>0.24844316162622959</v>
      </c>
      <c r="AJ377">
        <v>2</v>
      </c>
      <c r="AK377">
        <f>(Table817353[[#This Row],[time]]-2)*2</f>
        <v>0</v>
      </c>
      <c r="AL377">
        <v>83.134600000000006</v>
      </c>
      <c r="AM377">
        <v>19.232700000000001</v>
      </c>
      <c r="AN377">
        <f>Table817353[[#This Row],[CFNM]]/Table817353[[#This Row],[CAREA]]</f>
        <v>0.23134410943217384</v>
      </c>
    </row>
    <row r="378" spans="1:40" x14ac:dyDescent="0.25">
      <c r="A378">
        <v>2.0512600000000001</v>
      </c>
      <c r="B378">
        <f>(Table110346[[#This Row],[time]]-2)*2</f>
        <v>0.10252000000000017</v>
      </c>
      <c r="C378">
        <v>91.064599999999999</v>
      </c>
      <c r="D378">
        <v>9.7317300000000007</v>
      </c>
      <c r="E378">
        <f>Table110346[[#This Row],[CFNM]]/Table110346[[#This Row],[CAREA]]</f>
        <v>0.10686622463613743</v>
      </c>
      <c r="F378">
        <v>2.0512600000000001</v>
      </c>
      <c r="G378">
        <f>(Table211347[[#This Row],[time]]-2)*2</f>
        <v>0.10252000000000017</v>
      </c>
      <c r="H378">
        <v>96.030100000000004</v>
      </c>
      <c r="I378">
        <v>4.1713899999999997</v>
      </c>
      <c r="J378">
        <f>Table211347[[#This Row],[CFNM]]/Table211347[[#This Row],[CAREA]]</f>
        <v>4.3438359431053383E-2</v>
      </c>
      <c r="K378">
        <v>2.0512600000000001</v>
      </c>
      <c r="L378">
        <f>(Table312348[[#This Row],[time]]-2)*2</f>
        <v>0.10252000000000017</v>
      </c>
      <c r="M378">
        <v>89.209299999999999</v>
      </c>
      <c r="N378">
        <v>3.0703299999999998</v>
      </c>
      <c r="O378">
        <f>Table312348[[#This Row],[CFNM]]/Table312348[[#This Row],[CAREA]]</f>
        <v>3.4417151575003947E-2</v>
      </c>
      <c r="P378">
        <v>2.0512600000000001</v>
      </c>
      <c r="Q378">
        <f>(Table413349[[#This Row],[time]]-2)*2</f>
        <v>0.10252000000000017</v>
      </c>
      <c r="R378">
        <v>86.563199999999995</v>
      </c>
      <c r="S378">
        <v>7.3817199999999996</v>
      </c>
      <c r="T378">
        <f>Table413349[[#This Row],[CFNM]]/Table413349[[#This Row],[CAREA]]</f>
        <v>8.5275498133155894E-2</v>
      </c>
      <c r="U378">
        <v>2.0512600000000001</v>
      </c>
      <c r="V378">
        <f>(Table514350[[#This Row],[time]]-2)*2</f>
        <v>0.10252000000000017</v>
      </c>
      <c r="W378">
        <v>82.624799999999993</v>
      </c>
      <c r="X378">
        <v>8.4850200000000005</v>
      </c>
      <c r="Y378">
        <f>Table514350[[#This Row],[CFNM]]/Table514350[[#This Row],[CAREA]]</f>
        <v>0.10269338019577659</v>
      </c>
      <c r="Z378">
        <v>2.0512600000000001</v>
      </c>
      <c r="AA378">
        <f>(Table615351[[#This Row],[time]]-2)*2</f>
        <v>0.10252000000000017</v>
      </c>
      <c r="AB378">
        <v>88.944699999999997</v>
      </c>
      <c r="AC378">
        <v>17.099699999999999</v>
      </c>
      <c r="AD378">
        <f>Table615351[[#This Row],[CFNM]]/Table615351[[#This Row],[CAREA]]</f>
        <v>0.19225091545645775</v>
      </c>
      <c r="AE378">
        <v>2.0512600000000001</v>
      </c>
      <c r="AF378">
        <f>(Table716352[[#This Row],[time]]-2)*2</f>
        <v>0.10252000000000017</v>
      </c>
      <c r="AG378">
        <v>78.656499999999994</v>
      </c>
      <c r="AH378">
        <v>19.0397</v>
      </c>
      <c r="AI378">
        <f>Table716352[[#This Row],[CFNM]]/Table716352[[#This Row],[CAREA]]</f>
        <v>0.24206136810053844</v>
      </c>
      <c r="AJ378">
        <v>2.0512600000000001</v>
      </c>
      <c r="AK378">
        <f>(Table817353[[#This Row],[time]]-2)*2</f>
        <v>0.10252000000000017</v>
      </c>
      <c r="AL378">
        <v>83.350300000000004</v>
      </c>
      <c r="AM378">
        <v>20.584</v>
      </c>
      <c r="AN378">
        <f>Table817353[[#This Row],[CFNM]]/Table817353[[#This Row],[CAREA]]</f>
        <v>0.24695771940832845</v>
      </c>
    </row>
    <row r="379" spans="1:40" x14ac:dyDescent="0.25">
      <c r="A379">
        <v>2.1153300000000002</v>
      </c>
      <c r="B379">
        <f>(Table110346[[#This Row],[time]]-2)*2</f>
        <v>0.23066000000000031</v>
      </c>
      <c r="C379">
        <v>90.997399999999999</v>
      </c>
      <c r="D379">
        <v>8.7869200000000003</v>
      </c>
      <c r="E379">
        <f>Table110346[[#This Row],[CFNM]]/Table110346[[#This Row],[CAREA]]</f>
        <v>9.6562319362970814E-2</v>
      </c>
      <c r="F379">
        <v>2.1153300000000002</v>
      </c>
      <c r="G379">
        <f>(Table211347[[#This Row],[time]]-2)*2</f>
        <v>0.23066000000000031</v>
      </c>
      <c r="H379">
        <v>95.793899999999994</v>
      </c>
      <c r="I379">
        <v>5.2051600000000002</v>
      </c>
      <c r="J379">
        <f>Table211347[[#This Row],[CFNM]]/Table211347[[#This Row],[CAREA]]</f>
        <v>5.4337071567187478E-2</v>
      </c>
      <c r="K379">
        <v>2.1153300000000002</v>
      </c>
      <c r="L379">
        <f>(Table312348[[#This Row],[time]]-2)*2</f>
        <v>0.23066000000000031</v>
      </c>
      <c r="M379">
        <v>88.980900000000005</v>
      </c>
      <c r="N379">
        <v>2.2282899999999999</v>
      </c>
      <c r="O379">
        <f>Table312348[[#This Row],[CFNM]]/Table312348[[#This Row],[CAREA]]</f>
        <v>2.5042340547241033E-2</v>
      </c>
      <c r="P379">
        <v>2.1153300000000002</v>
      </c>
      <c r="Q379">
        <f>(Table413349[[#This Row],[time]]-2)*2</f>
        <v>0.23066000000000031</v>
      </c>
      <c r="R379">
        <v>86.932400000000001</v>
      </c>
      <c r="S379">
        <v>8.8998000000000008</v>
      </c>
      <c r="T379">
        <f>Table413349[[#This Row],[CFNM]]/Table413349[[#This Row],[CAREA]]</f>
        <v>0.10237609912989865</v>
      </c>
      <c r="U379">
        <v>2.1153300000000002</v>
      </c>
      <c r="V379">
        <f>(Table514350[[#This Row],[time]]-2)*2</f>
        <v>0.23066000000000031</v>
      </c>
      <c r="W379">
        <v>82.597800000000007</v>
      </c>
      <c r="X379">
        <v>7.3610199999999999</v>
      </c>
      <c r="Y379">
        <f>Table514350[[#This Row],[CFNM]]/Table514350[[#This Row],[CAREA]]</f>
        <v>8.911883851628008E-2</v>
      </c>
      <c r="Z379">
        <v>2.1153300000000002</v>
      </c>
      <c r="AA379">
        <f>(Table615351[[#This Row],[time]]-2)*2</f>
        <v>0.23066000000000031</v>
      </c>
      <c r="AB379">
        <v>89.663700000000006</v>
      </c>
      <c r="AC379">
        <v>19.6815</v>
      </c>
      <c r="AD379">
        <f>Table615351[[#This Row],[CFNM]]/Table615351[[#This Row],[CAREA]]</f>
        <v>0.21950354491282423</v>
      </c>
      <c r="AE379">
        <v>2.1153300000000002</v>
      </c>
      <c r="AF379">
        <f>(Table716352[[#This Row],[time]]-2)*2</f>
        <v>0.23066000000000031</v>
      </c>
      <c r="AG379">
        <v>77.865899999999996</v>
      </c>
      <c r="AH379">
        <v>18.559000000000001</v>
      </c>
      <c r="AI379">
        <f>Table716352[[#This Row],[CFNM]]/Table716352[[#This Row],[CAREA]]</f>
        <v>0.23834566864314163</v>
      </c>
      <c r="AJ379">
        <v>2.1153300000000002</v>
      </c>
      <c r="AK379">
        <f>(Table817353[[#This Row],[time]]-2)*2</f>
        <v>0.23066000000000031</v>
      </c>
      <c r="AL379">
        <v>83.526300000000006</v>
      </c>
      <c r="AM379">
        <v>22.7591</v>
      </c>
      <c r="AN379">
        <f>Table817353[[#This Row],[CFNM]]/Table817353[[#This Row],[CAREA]]</f>
        <v>0.27247824936576859</v>
      </c>
    </row>
    <row r="380" spans="1:40" x14ac:dyDescent="0.25">
      <c r="A380">
        <v>2.16533</v>
      </c>
      <c r="B380">
        <f>(Table110346[[#This Row],[time]]-2)*2</f>
        <v>0.33065999999999995</v>
      </c>
      <c r="C380">
        <v>90.909199999999998</v>
      </c>
      <c r="D380">
        <v>7.88279</v>
      </c>
      <c r="E380">
        <f>Table110346[[#This Row],[CFNM]]/Table110346[[#This Row],[CAREA]]</f>
        <v>8.6710585947296859E-2</v>
      </c>
      <c r="F380">
        <v>2.16533</v>
      </c>
      <c r="G380">
        <f>(Table211347[[#This Row],[time]]-2)*2</f>
        <v>0.33065999999999995</v>
      </c>
      <c r="H380">
        <v>95.536000000000001</v>
      </c>
      <c r="I380">
        <v>6.2707800000000002</v>
      </c>
      <c r="J380">
        <f>Table211347[[#This Row],[CFNM]]/Table211347[[#This Row],[CAREA]]</f>
        <v>6.5637874727851278E-2</v>
      </c>
      <c r="K380">
        <v>2.16533</v>
      </c>
      <c r="L380">
        <f>(Table312348[[#This Row],[time]]-2)*2</f>
        <v>0.33065999999999995</v>
      </c>
      <c r="M380">
        <v>87.749099999999999</v>
      </c>
      <c r="N380">
        <v>1.6043000000000001</v>
      </c>
      <c r="O380">
        <f>Table312348[[#This Row],[CFNM]]/Table312348[[#This Row],[CAREA]]</f>
        <v>1.828280859860671E-2</v>
      </c>
      <c r="P380">
        <v>2.16533</v>
      </c>
      <c r="Q380">
        <f>(Table413349[[#This Row],[time]]-2)*2</f>
        <v>0.33065999999999995</v>
      </c>
      <c r="R380">
        <v>87.636899999999997</v>
      </c>
      <c r="S380">
        <v>10.3842</v>
      </c>
      <c r="T380">
        <f>Table413349[[#This Row],[CFNM]]/Table413349[[#This Row],[CAREA]]</f>
        <v>0.11849118350831671</v>
      </c>
      <c r="U380">
        <v>2.16533</v>
      </c>
      <c r="V380">
        <f>(Table514350[[#This Row],[time]]-2)*2</f>
        <v>0.33065999999999995</v>
      </c>
      <c r="W380">
        <v>82.001000000000005</v>
      </c>
      <c r="X380">
        <v>6.3651299999999997</v>
      </c>
      <c r="Y380">
        <f>Table514350[[#This Row],[CFNM]]/Table514350[[#This Row],[CAREA]]</f>
        <v>7.7622589968415007E-2</v>
      </c>
      <c r="Z380">
        <v>2.16533</v>
      </c>
      <c r="AA380">
        <f>(Table615351[[#This Row],[time]]-2)*2</f>
        <v>0.33065999999999995</v>
      </c>
      <c r="AB380">
        <v>89.572900000000004</v>
      </c>
      <c r="AC380">
        <v>22.453600000000002</v>
      </c>
      <c r="AD380">
        <f>Table615351[[#This Row],[CFNM]]/Table615351[[#This Row],[CAREA]]</f>
        <v>0.25067403198958615</v>
      </c>
      <c r="AE380">
        <v>2.16533</v>
      </c>
      <c r="AF380">
        <f>(Table716352[[#This Row],[time]]-2)*2</f>
        <v>0.33065999999999995</v>
      </c>
      <c r="AG380">
        <v>77.634</v>
      </c>
      <c r="AH380">
        <v>18.168500000000002</v>
      </c>
      <c r="AI380">
        <f>Table716352[[#This Row],[CFNM]]/Table716352[[#This Row],[CAREA]]</f>
        <v>0.23402761676585004</v>
      </c>
      <c r="AJ380">
        <v>2.16533</v>
      </c>
      <c r="AK380">
        <f>(Table817353[[#This Row],[time]]-2)*2</f>
        <v>0.33065999999999995</v>
      </c>
      <c r="AL380">
        <v>83.624600000000001</v>
      </c>
      <c r="AM380">
        <v>25.011399999999998</v>
      </c>
      <c r="AN380">
        <f>Table817353[[#This Row],[CFNM]]/Table817353[[#This Row],[CAREA]]</f>
        <v>0.29909141568390163</v>
      </c>
    </row>
    <row r="381" spans="1:40" x14ac:dyDescent="0.25">
      <c r="A381">
        <v>2.2246999999999999</v>
      </c>
      <c r="B381">
        <f>(Table110346[[#This Row],[time]]-2)*2</f>
        <v>0.4493999999999998</v>
      </c>
      <c r="C381">
        <v>90.825199999999995</v>
      </c>
      <c r="D381">
        <v>7.4440799999999996</v>
      </c>
      <c r="E381">
        <f>Table110346[[#This Row],[CFNM]]/Table110346[[#This Row],[CAREA]]</f>
        <v>8.196051316154547E-2</v>
      </c>
      <c r="F381">
        <v>2.2246999999999999</v>
      </c>
      <c r="G381">
        <f>(Table211347[[#This Row],[time]]-2)*2</f>
        <v>0.4493999999999998</v>
      </c>
      <c r="H381">
        <v>95.385800000000003</v>
      </c>
      <c r="I381">
        <v>6.8017000000000003</v>
      </c>
      <c r="J381">
        <f>Table211347[[#This Row],[CFNM]]/Table211347[[#This Row],[CAREA]]</f>
        <v>7.130725957113114E-2</v>
      </c>
      <c r="K381">
        <v>2.2246999999999999</v>
      </c>
      <c r="L381">
        <f>(Table312348[[#This Row],[time]]-2)*2</f>
        <v>0.4493999999999998</v>
      </c>
      <c r="M381">
        <v>87.591999999999999</v>
      </c>
      <c r="N381">
        <v>1.3647400000000001</v>
      </c>
      <c r="O381">
        <f>Table312348[[#This Row],[CFNM]]/Table312348[[#This Row],[CAREA]]</f>
        <v>1.5580646634395836E-2</v>
      </c>
      <c r="P381">
        <v>2.2246999999999999</v>
      </c>
      <c r="Q381">
        <f>(Table413349[[#This Row],[time]]-2)*2</f>
        <v>0.4493999999999998</v>
      </c>
      <c r="R381">
        <v>87.967200000000005</v>
      </c>
      <c r="S381">
        <v>11.1218</v>
      </c>
      <c r="T381">
        <f>Table413349[[#This Row],[CFNM]]/Table413349[[#This Row],[CAREA]]</f>
        <v>0.12643121527114651</v>
      </c>
      <c r="U381">
        <v>2.2246999999999999</v>
      </c>
      <c r="V381">
        <f>(Table514350[[#This Row],[time]]-2)*2</f>
        <v>0.4493999999999998</v>
      </c>
      <c r="W381">
        <v>81.039100000000005</v>
      </c>
      <c r="X381">
        <v>5.9651300000000003</v>
      </c>
      <c r="Y381">
        <f>Table514350[[#This Row],[CFNM]]/Table514350[[#This Row],[CAREA]]</f>
        <v>7.3608048460557921E-2</v>
      </c>
      <c r="Z381">
        <v>2.2246999999999999</v>
      </c>
      <c r="AA381">
        <f>(Table615351[[#This Row],[time]]-2)*2</f>
        <v>0.4493999999999998</v>
      </c>
      <c r="AB381">
        <v>89.400599999999997</v>
      </c>
      <c r="AC381">
        <v>23.954699999999999</v>
      </c>
      <c r="AD381">
        <f>Table615351[[#This Row],[CFNM]]/Table615351[[#This Row],[CAREA]]</f>
        <v>0.2679478661217039</v>
      </c>
      <c r="AE381">
        <v>2.2246999999999999</v>
      </c>
      <c r="AF381">
        <f>(Table716352[[#This Row],[time]]-2)*2</f>
        <v>0.4493999999999998</v>
      </c>
      <c r="AG381">
        <v>77.516999999999996</v>
      </c>
      <c r="AH381">
        <v>17.988099999999999</v>
      </c>
      <c r="AI381">
        <f>Table716352[[#This Row],[CFNM]]/Table716352[[#This Row],[CAREA]]</f>
        <v>0.23205361404595121</v>
      </c>
      <c r="AJ381">
        <v>2.2246999999999999</v>
      </c>
      <c r="AK381">
        <f>(Table817353[[#This Row],[time]]-2)*2</f>
        <v>0.4493999999999998</v>
      </c>
      <c r="AL381">
        <v>83.438299999999998</v>
      </c>
      <c r="AM381">
        <v>26.2347</v>
      </c>
      <c r="AN381">
        <f>Table817353[[#This Row],[CFNM]]/Table817353[[#This Row],[CAREA]]</f>
        <v>0.31442035611943198</v>
      </c>
    </row>
    <row r="382" spans="1:40" x14ac:dyDescent="0.25">
      <c r="A382">
        <v>2.2668900000000001</v>
      </c>
      <c r="B382">
        <f>(Table110346[[#This Row],[time]]-2)*2</f>
        <v>0.53378000000000014</v>
      </c>
      <c r="C382">
        <v>90.709900000000005</v>
      </c>
      <c r="D382">
        <v>6.6154500000000001</v>
      </c>
      <c r="E382">
        <f>Table110346[[#This Row],[CFNM]]/Table110346[[#This Row],[CAREA]]</f>
        <v>7.2929746367265305E-2</v>
      </c>
      <c r="F382">
        <v>2.2668900000000001</v>
      </c>
      <c r="G382">
        <f>(Table211347[[#This Row],[time]]-2)*2</f>
        <v>0.53378000000000014</v>
      </c>
      <c r="H382">
        <v>95.239699999999999</v>
      </c>
      <c r="I382">
        <v>7.7702200000000001</v>
      </c>
      <c r="J382">
        <f>Table211347[[#This Row],[CFNM]]/Table211347[[#This Row],[CAREA]]</f>
        <v>8.1585935276990582E-2</v>
      </c>
      <c r="K382">
        <v>2.2668900000000001</v>
      </c>
      <c r="L382">
        <f>(Table312348[[#This Row],[time]]-2)*2</f>
        <v>0.53378000000000014</v>
      </c>
      <c r="M382">
        <v>87.218699999999998</v>
      </c>
      <c r="N382">
        <v>0.96885699999999997</v>
      </c>
      <c r="O382">
        <f>Table312348[[#This Row],[CFNM]]/Table312348[[#This Row],[CAREA]]</f>
        <v>1.1108363229445061E-2</v>
      </c>
      <c r="P382">
        <v>2.2668900000000001</v>
      </c>
      <c r="Q382">
        <f>(Table413349[[#This Row],[time]]-2)*2</f>
        <v>0.53378000000000014</v>
      </c>
      <c r="R382">
        <v>88.652000000000001</v>
      </c>
      <c r="S382">
        <v>12.573399999999999</v>
      </c>
      <c r="T382">
        <f>Table413349[[#This Row],[CFNM]]/Table413349[[#This Row],[CAREA]]</f>
        <v>0.1418287235482561</v>
      </c>
      <c r="U382">
        <v>2.2668900000000001</v>
      </c>
      <c r="V382">
        <f>(Table514350[[#This Row],[time]]-2)*2</f>
        <v>0.53378000000000014</v>
      </c>
      <c r="W382">
        <v>81.143799999999999</v>
      </c>
      <c r="X382">
        <v>5.22905</v>
      </c>
      <c r="Y382">
        <f>Table514350[[#This Row],[CFNM]]/Table514350[[#This Row],[CAREA]]</f>
        <v>6.4441768810432842E-2</v>
      </c>
      <c r="Z382">
        <v>2.2668900000000001</v>
      </c>
      <c r="AA382">
        <f>(Table615351[[#This Row],[time]]-2)*2</f>
        <v>0.53378000000000014</v>
      </c>
      <c r="AB382">
        <v>92.529499999999999</v>
      </c>
      <c r="AC382">
        <v>27.000699999999998</v>
      </c>
      <c r="AD382">
        <f>Table615351[[#This Row],[CFNM]]/Table615351[[#This Row],[CAREA]]</f>
        <v>0.2918063968788332</v>
      </c>
      <c r="AE382">
        <v>2.2668900000000001</v>
      </c>
      <c r="AF382">
        <f>(Table716352[[#This Row],[time]]-2)*2</f>
        <v>0.53378000000000014</v>
      </c>
      <c r="AG382">
        <v>77.5321</v>
      </c>
      <c r="AH382">
        <v>17.6465</v>
      </c>
      <c r="AI382">
        <f>Table716352[[#This Row],[CFNM]]/Table716352[[#This Row],[CAREA]]</f>
        <v>0.22760250270533108</v>
      </c>
      <c r="AJ382">
        <v>2.2668900000000001</v>
      </c>
      <c r="AK382">
        <f>(Table817353[[#This Row],[time]]-2)*2</f>
        <v>0.53378000000000014</v>
      </c>
      <c r="AL382">
        <v>82.888900000000007</v>
      </c>
      <c r="AM382">
        <v>28.8843</v>
      </c>
      <c r="AN382">
        <f>Table817353[[#This Row],[CFNM]]/Table817353[[#This Row],[CAREA]]</f>
        <v>0.34847006052680152</v>
      </c>
    </row>
    <row r="383" spans="1:40" x14ac:dyDescent="0.25">
      <c r="A383">
        <v>2.3262700000000001</v>
      </c>
      <c r="B383">
        <f>(Table110346[[#This Row],[time]]-2)*2</f>
        <v>0.65254000000000012</v>
      </c>
      <c r="C383">
        <v>90.592799999999997</v>
      </c>
      <c r="D383">
        <v>5.9980099999999998</v>
      </c>
      <c r="E383">
        <f>Table110346[[#This Row],[CFNM]]/Table110346[[#This Row],[CAREA]]</f>
        <v>6.6208462482669705E-2</v>
      </c>
      <c r="F383">
        <v>2.3262700000000001</v>
      </c>
      <c r="G383">
        <f>(Table211347[[#This Row],[time]]-2)*2</f>
        <v>0.65254000000000012</v>
      </c>
      <c r="H383">
        <v>95.309399999999997</v>
      </c>
      <c r="I383">
        <v>8.4289900000000006</v>
      </c>
      <c r="J383">
        <f>Table211347[[#This Row],[CFNM]]/Table211347[[#This Row],[CAREA]]</f>
        <v>8.8438181333635513E-2</v>
      </c>
      <c r="K383">
        <v>2.3262700000000001</v>
      </c>
      <c r="L383">
        <f>(Table312348[[#This Row],[time]]-2)*2</f>
        <v>0.65254000000000012</v>
      </c>
      <c r="M383">
        <v>85.802899999999994</v>
      </c>
      <c r="N383">
        <v>0.929535</v>
      </c>
      <c r="O383">
        <f>Table312348[[#This Row],[CFNM]]/Table312348[[#This Row],[CAREA]]</f>
        <v>1.0833375095713549E-2</v>
      </c>
      <c r="P383">
        <v>2.3262700000000001</v>
      </c>
      <c r="Q383">
        <f>(Table413349[[#This Row],[time]]-2)*2</f>
        <v>0.65254000000000012</v>
      </c>
      <c r="R383">
        <v>89.253100000000003</v>
      </c>
      <c r="S383">
        <v>13.7189</v>
      </c>
      <c r="T383">
        <f>Table413349[[#This Row],[CFNM]]/Table413349[[#This Row],[CAREA]]</f>
        <v>0.1537078263948255</v>
      </c>
      <c r="U383">
        <v>2.3262700000000001</v>
      </c>
      <c r="V383">
        <f>(Table514350[[#This Row],[time]]-2)*2</f>
        <v>0.65254000000000012</v>
      </c>
      <c r="W383">
        <v>79.753200000000007</v>
      </c>
      <c r="X383">
        <v>4.9177900000000001</v>
      </c>
      <c r="Y383">
        <f>Table514350[[#This Row],[CFNM]]/Table514350[[#This Row],[CAREA]]</f>
        <v>6.1662604133752623E-2</v>
      </c>
      <c r="Z383">
        <v>2.3262700000000001</v>
      </c>
      <c r="AA383">
        <f>(Table615351[[#This Row],[time]]-2)*2</f>
        <v>0.65254000000000012</v>
      </c>
      <c r="AB383">
        <v>92.564800000000005</v>
      </c>
      <c r="AC383">
        <v>29.514299999999999</v>
      </c>
      <c r="AD383">
        <f>Table615351[[#This Row],[CFNM]]/Table615351[[#This Row],[CAREA]]</f>
        <v>0.3188501460598413</v>
      </c>
      <c r="AE383">
        <v>2.3262700000000001</v>
      </c>
      <c r="AF383">
        <f>(Table716352[[#This Row],[time]]-2)*2</f>
        <v>0.65254000000000012</v>
      </c>
      <c r="AG383">
        <v>77.422799999999995</v>
      </c>
      <c r="AH383">
        <v>17.404599999999999</v>
      </c>
      <c r="AI383">
        <f>Table716352[[#This Row],[CFNM]]/Table716352[[#This Row],[CAREA]]</f>
        <v>0.22479941309278403</v>
      </c>
      <c r="AJ383">
        <v>2.3262700000000001</v>
      </c>
      <c r="AK383">
        <f>(Table817353[[#This Row],[time]]-2)*2</f>
        <v>0.65254000000000012</v>
      </c>
      <c r="AL383">
        <v>82.417699999999996</v>
      </c>
      <c r="AM383">
        <v>31.101299999999998</v>
      </c>
      <c r="AN383">
        <f>Table817353[[#This Row],[CFNM]]/Table817353[[#This Row],[CAREA]]</f>
        <v>0.37736190163035366</v>
      </c>
    </row>
    <row r="384" spans="1:40" x14ac:dyDescent="0.25">
      <c r="A384">
        <v>2.3684599999999998</v>
      </c>
      <c r="B384">
        <f>(Table110346[[#This Row],[time]]-2)*2</f>
        <v>0.73691999999999958</v>
      </c>
      <c r="C384">
        <v>90.373000000000005</v>
      </c>
      <c r="D384">
        <v>5.3917599999999997</v>
      </c>
      <c r="E384">
        <f>Table110346[[#This Row],[CFNM]]/Table110346[[#This Row],[CAREA]]</f>
        <v>5.9661181990196183E-2</v>
      </c>
      <c r="F384">
        <v>2.3684599999999998</v>
      </c>
      <c r="G384">
        <f>(Table211347[[#This Row],[time]]-2)*2</f>
        <v>0.73691999999999958</v>
      </c>
      <c r="H384">
        <v>95.344300000000004</v>
      </c>
      <c r="I384">
        <v>9.0389800000000005</v>
      </c>
      <c r="J384">
        <f>Table211347[[#This Row],[CFNM]]/Table211347[[#This Row],[CAREA]]</f>
        <v>9.4803569799138496E-2</v>
      </c>
      <c r="K384">
        <v>2.3684599999999998</v>
      </c>
      <c r="L384">
        <f>(Table312348[[#This Row],[time]]-2)*2</f>
        <v>0.73691999999999958</v>
      </c>
      <c r="M384">
        <v>85.293000000000006</v>
      </c>
      <c r="N384">
        <v>1.10636</v>
      </c>
      <c r="O384">
        <f>Table312348[[#This Row],[CFNM]]/Table312348[[#This Row],[CAREA]]</f>
        <v>1.2971287209970336E-2</v>
      </c>
      <c r="P384">
        <v>2.3684599999999998</v>
      </c>
      <c r="Q384">
        <f>(Table413349[[#This Row],[time]]-2)*2</f>
        <v>0.73691999999999958</v>
      </c>
      <c r="R384">
        <v>89.969200000000001</v>
      </c>
      <c r="S384">
        <v>14.992800000000001</v>
      </c>
      <c r="T384">
        <f>Table413349[[#This Row],[CFNM]]/Table413349[[#This Row],[CAREA]]</f>
        <v>0.16664369584257724</v>
      </c>
      <c r="U384">
        <v>2.3684599999999998</v>
      </c>
      <c r="V384">
        <f>(Table514350[[#This Row],[time]]-2)*2</f>
        <v>0.73691999999999958</v>
      </c>
      <c r="W384">
        <v>78.169799999999995</v>
      </c>
      <c r="X384">
        <v>4.6702300000000001</v>
      </c>
      <c r="Y384">
        <f>Table514350[[#This Row],[CFNM]]/Table514350[[#This Row],[CAREA]]</f>
        <v>5.974468400840223E-2</v>
      </c>
      <c r="Z384">
        <v>2.3684599999999998</v>
      </c>
      <c r="AA384">
        <f>(Table615351[[#This Row],[time]]-2)*2</f>
        <v>0.73691999999999958</v>
      </c>
      <c r="AB384">
        <v>92.514200000000002</v>
      </c>
      <c r="AC384">
        <v>32.069600000000001</v>
      </c>
      <c r="AD384">
        <f>Table615351[[#This Row],[CFNM]]/Table615351[[#This Row],[CAREA]]</f>
        <v>0.34664516366136228</v>
      </c>
      <c r="AE384">
        <v>2.3684599999999998</v>
      </c>
      <c r="AF384">
        <f>(Table716352[[#This Row],[time]]-2)*2</f>
        <v>0.73691999999999958</v>
      </c>
      <c r="AG384">
        <v>77.020899999999997</v>
      </c>
      <c r="AH384">
        <v>17.240200000000002</v>
      </c>
      <c r="AI384">
        <f>Table716352[[#This Row],[CFNM]]/Table716352[[#This Row],[CAREA]]</f>
        <v>0.2238379452849811</v>
      </c>
      <c r="AJ384">
        <v>2.3684599999999998</v>
      </c>
      <c r="AK384">
        <f>(Table817353[[#This Row],[time]]-2)*2</f>
        <v>0.73691999999999958</v>
      </c>
      <c r="AL384">
        <v>82.065299999999993</v>
      </c>
      <c r="AM384">
        <v>33.661000000000001</v>
      </c>
      <c r="AN384">
        <f>Table817353[[#This Row],[CFNM]]/Table817353[[#This Row],[CAREA]]</f>
        <v>0.41017336194469534</v>
      </c>
    </row>
    <row r="385" spans="1:40" x14ac:dyDescent="0.25">
      <c r="A385">
        <v>2.4278300000000002</v>
      </c>
      <c r="B385">
        <f>(Table110346[[#This Row],[time]]-2)*2</f>
        <v>0.85566000000000031</v>
      </c>
      <c r="C385">
        <v>89.902500000000003</v>
      </c>
      <c r="D385">
        <v>4.8937600000000003</v>
      </c>
      <c r="E385">
        <f>Table110346[[#This Row],[CFNM]]/Table110346[[#This Row],[CAREA]]</f>
        <v>5.4434081365924196E-2</v>
      </c>
      <c r="F385">
        <v>2.4278300000000002</v>
      </c>
      <c r="G385">
        <f>(Table211347[[#This Row],[time]]-2)*2</f>
        <v>0.85566000000000031</v>
      </c>
      <c r="H385">
        <v>95.447100000000006</v>
      </c>
      <c r="I385">
        <v>9.6046999999999993</v>
      </c>
      <c r="J385">
        <f>Table211347[[#This Row],[CFNM]]/Table211347[[#This Row],[CAREA]]</f>
        <v>0.10062851569089054</v>
      </c>
      <c r="K385">
        <v>2.4278300000000002</v>
      </c>
      <c r="L385">
        <f>(Table312348[[#This Row],[time]]-2)*2</f>
        <v>0.85566000000000031</v>
      </c>
      <c r="M385">
        <v>84.510900000000007</v>
      </c>
      <c r="N385">
        <v>1.3974200000000001</v>
      </c>
      <c r="O385">
        <f>Table312348[[#This Row],[CFNM]]/Table312348[[#This Row],[CAREA]]</f>
        <v>1.6535381826486287E-2</v>
      </c>
      <c r="P385">
        <v>2.4278300000000002</v>
      </c>
      <c r="Q385">
        <f>(Table413349[[#This Row],[time]]-2)*2</f>
        <v>0.85566000000000031</v>
      </c>
      <c r="R385">
        <v>90.450500000000005</v>
      </c>
      <c r="S385">
        <v>16.592500000000001</v>
      </c>
      <c r="T385">
        <f>Table413349[[#This Row],[CFNM]]/Table413349[[#This Row],[CAREA]]</f>
        <v>0.1834428775960332</v>
      </c>
      <c r="U385">
        <v>2.4278300000000002</v>
      </c>
      <c r="V385">
        <f>(Table514350[[#This Row],[time]]-2)*2</f>
        <v>0.85566000000000031</v>
      </c>
      <c r="W385">
        <v>76.503399999999999</v>
      </c>
      <c r="X385">
        <v>4.6511500000000003</v>
      </c>
      <c r="Y385">
        <f>Table514350[[#This Row],[CFNM]]/Table514350[[#This Row],[CAREA]]</f>
        <v>6.0796644332147334E-2</v>
      </c>
      <c r="Z385">
        <v>2.4278300000000002</v>
      </c>
      <c r="AA385">
        <f>(Table615351[[#This Row],[time]]-2)*2</f>
        <v>0.85566000000000031</v>
      </c>
      <c r="AB385">
        <v>93.690399999999997</v>
      </c>
      <c r="AC385">
        <v>34.912199999999999</v>
      </c>
      <c r="AD385">
        <f>Table615351[[#This Row],[CFNM]]/Table615351[[#This Row],[CAREA]]</f>
        <v>0.37263369566145516</v>
      </c>
      <c r="AE385">
        <v>2.4278300000000002</v>
      </c>
      <c r="AF385">
        <f>(Table716352[[#This Row],[time]]-2)*2</f>
        <v>0.85566000000000031</v>
      </c>
      <c r="AG385">
        <v>76.5792</v>
      </c>
      <c r="AH385">
        <v>17.058299999999999</v>
      </c>
      <c r="AI385">
        <f>Table716352[[#This Row],[CFNM]]/Table716352[[#This Row],[CAREA]]</f>
        <v>0.22275369813212986</v>
      </c>
      <c r="AJ385">
        <v>2.4278300000000002</v>
      </c>
      <c r="AK385">
        <f>(Table817353[[#This Row],[time]]-2)*2</f>
        <v>0.85566000000000031</v>
      </c>
      <c r="AL385">
        <v>81.554299999999998</v>
      </c>
      <c r="AM385">
        <v>36.754899999999999</v>
      </c>
      <c r="AN385">
        <f>Table817353[[#This Row],[CFNM]]/Table817353[[#This Row],[CAREA]]</f>
        <v>0.45068009902604766</v>
      </c>
    </row>
    <row r="386" spans="1:40" x14ac:dyDescent="0.25">
      <c r="A386">
        <v>2.4542000000000002</v>
      </c>
      <c r="B386">
        <f>(Table110346[[#This Row],[time]]-2)*2</f>
        <v>0.90840000000000032</v>
      </c>
      <c r="C386">
        <v>89.498699999999999</v>
      </c>
      <c r="D386">
        <v>4.7710999999999997</v>
      </c>
      <c r="E386">
        <f>Table110346[[#This Row],[CFNM]]/Table110346[[#This Row],[CAREA]]</f>
        <v>5.3309154211178482E-2</v>
      </c>
      <c r="F386">
        <v>2.4542000000000002</v>
      </c>
      <c r="G386">
        <f>(Table211347[[#This Row],[time]]-2)*2</f>
        <v>0.90840000000000032</v>
      </c>
      <c r="H386">
        <v>95.604699999999994</v>
      </c>
      <c r="I386">
        <v>10.0944</v>
      </c>
      <c r="J386">
        <f>Table211347[[#This Row],[CFNM]]/Table211347[[#This Row],[CAREA]]</f>
        <v>0.1055847672760858</v>
      </c>
      <c r="K386">
        <v>2.4542000000000002</v>
      </c>
      <c r="L386">
        <f>(Table312348[[#This Row],[time]]-2)*2</f>
        <v>0.90840000000000032</v>
      </c>
      <c r="M386">
        <v>83.9285</v>
      </c>
      <c r="N386">
        <v>1.6645000000000001</v>
      </c>
      <c r="O386">
        <f>Table312348[[#This Row],[CFNM]]/Table312348[[#This Row],[CAREA]]</f>
        <v>1.9832357304133876E-2</v>
      </c>
      <c r="P386">
        <v>2.4542000000000002</v>
      </c>
      <c r="Q386">
        <f>(Table413349[[#This Row],[time]]-2)*2</f>
        <v>0.90840000000000032</v>
      </c>
      <c r="R386">
        <v>90.682400000000001</v>
      </c>
      <c r="S386">
        <v>18.194700000000001</v>
      </c>
      <c r="T386">
        <f>Table413349[[#This Row],[CFNM]]/Table413349[[#This Row],[CAREA]]</f>
        <v>0.20064202094342454</v>
      </c>
      <c r="U386">
        <v>2.4542000000000002</v>
      </c>
      <c r="V386">
        <f>(Table514350[[#This Row],[time]]-2)*2</f>
        <v>0.90840000000000032</v>
      </c>
      <c r="W386">
        <v>74.145899999999997</v>
      </c>
      <c r="X386">
        <v>4.73306</v>
      </c>
      <c r="Y386">
        <f>Table514350[[#This Row],[CFNM]]/Table514350[[#This Row],[CAREA]]</f>
        <v>6.3834412961471909E-2</v>
      </c>
      <c r="Z386">
        <v>2.4542000000000002</v>
      </c>
      <c r="AA386">
        <f>(Table615351[[#This Row],[time]]-2)*2</f>
        <v>0.90840000000000032</v>
      </c>
      <c r="AB386">
        <v>94.561099999999996</v>
      </c>
      <c r="AC386">
        <v>37.467599999999997</v>
      </c>
      <c r="AD386">
        <f>Table615351[[#This Row],[CFNM]]/Table615351[[#This Row],[CAREA]]</f>
        <v>0.39622635523486932</v>
      </c>
      <c r="AE386">
        <v>2.4542000000000002</v>
      </c>
      <c r="AF386">
        <f>(Table716352[[#This Row],[time]]-2)*2</f>
        <v>0.90840000000000032</v>
      </c>
      <c r="AG386">
        <v>76.4178</v>
      </c>
      <c r="AH386">
        <v>16.8826</v>
      </c>
      <c r="AI386">
        <f>Table716352[[#This Row],[CFNM]]/Table716352[[#This Row],[CAREA]]</f>
        <v>0.22092496774311746</v>
      </c>
      <c r="AJ386">
        <v>2.4542000000000002</v>
      </c>
      <c r="AK386">
        <f>(Table817353[[#This Row],[time]]-2)*2</f>
        <v>0.90840000000000032</v>
      </c>
      <c r="AL386">
        <v>81.011399999999995</v>
      </c>
      <c r="AM386">
        <v>39.744500000000002</v>
      </c>
      <c r="AN386">
        <f>Table817353[[#This Row],[CFNM]]/Table817353[[#This Row],[CAREA]]</f>
        <v>0.49060379156513778</v>
      </c>
    </row>
    <row r="387" spans="1:40" x14ac:dyDescent="0.25">
      <c r="A387">
        <v>2.5061499999999999</v>
      </c>
      <c r="B387">
        <f>(Table110346[[#This Row],[time]]-2)*2</f>
        <v>1.0122999999999998</v>
      </c>
      <c r="C387">
        <v>89.014300000000006</v>
      </c>
      <c r="D387">
        <v>4.7448399999999999</v>
      </c>
      <c r="E387">
        <f>Table110346[[#This Row],[CFNM]]/Table110346[[#This Row],[CAREA]]</f>
        <v>5.3304244374218518E-2</v>
      </c>
      <c r="F387">
        <v>2.5061499999999999</v>
      </c>
      <c r="G387">
        <f>(Table211347[[#This Row],[time]]-2)*2</f>
        <v>1.0122999999999998</v>
      </c>
      <c r="H387">
        <v>96.436800000000005</v>
      </c>
      <c r="I387">
        <v>10.725099999999999</v>
      </c>
      <c r="J387">
        <f>Table211347[[#This Row],[CFNM]]/Table211347[[#This Row],[CAREA]]</f>
        <v>0.11121376901763641</v>
      </c>
      <c r="K387">
        <v>2.5061499999999999</v>
      </c>
      <c r="L387">
        <f>(Table312348[[#This Row],[time]]-2)*2</f>
        <v>1.0122999999999998</v>
      </c>
      <c r="M387">
        <v>83.455399999999997</v>
      </c>
      <c r="N387">
        <v>1.86164</v>
      </c>
      <c r="O387">
        <f>Table312348[[#This Row],[CFNM]]/Table312348[[#This Row],[CAREA]]</f>
        <v>2.2307004699516148E-2</v>
      </c>
      <c r="P387">
        <v>2.5061499999999999</v>
      </c>
      <c r="Q387">
        <f>(Table413349[[#This Row],[time]]-2)*2</f>
        <v>1.0122999999999998</v>
      </c>
      <c r="R387">
        <v>90.662800000000004</v>
      </c>
      <c r="S387">
        <v>19.9983</v>
      </c>
      <c r="T387">
        <f>Table413349[[#This Row],[CFNM]]/Table413349[[#This Row],[CAREA]]</f>
        <v>0.2205788923351143</v>
      </c>
      <c r="U387">
        <v>2.5061499999999999</v>
      </c>
      <c r="V387">
        <f>(Table514350[[#This Row],[time]]-2)*2</f>
        <v>1.0122999999999998</v>
      </c>
      <c r="W387">
        <v>73.262100000000004</v>
      </c>
      <c r="X387">
        <v>4.66866</v>
      </c>
      <c r="Y387">
        <f>Table514350[[#This Row],[CFNM]]/Table514350[[#This Row],[CAREA]]</f>
        <v>6.3725446035535427E-2</v>
      </c>
      <c r="Z387">
        <v>2.5061499999999999</v>
      </c>
      <c r="AA387">
        <f>(Table615351[[#This Row],[time]]-2)*2</f>
        <v>1.0122999999999998</v>
      </c>
      <c r="AB387">
        <v>94.6875</v>
      </c>
      <c r="AC387">
        <v>40.239899999999999</v>
      </c>
      <c r="AD387">
        <f>Table615351[[#This Row],[CFNM]]/Table615351[[#This Row],[CAREA]]</f>
        <v>0.42497584158415841</v>
      </c>
      <c r="AE387">
        <v>2.5061499999999999</v>
      </c>
      <c r="AF387">
        <f>(Table716352[[#This Row],[time]]-2)*2</f>
        <v>1.0122999999999998</v>
      </c>
      <c r="AG387">
        <v>76.315600000000003</v>
      </c>
      <c r="AH387">
        <v>16.591200000000001</v>
      </c>
      <c r="AI387">
        <f>Table716352[[#This Row],[CFNM]]/Table716352[[#This Row],[CAREA]]</f>
        <v>0.21740247079234126</v>
      </c>
      <c r="AJ387">
        <v>2.5061499999999999</v>
      </c>
      <c r="AK387">
        <f>(Table817353[[#This Row],[time]]-2)*2</f>
        <v>1.0122999999999998</v>
      </c>
      <c r="AL387">
        <v>80.445400000000006</v>
      </c>
      <c r="AM387">
        <v>42.934899999999999</v>
      </c>
      <c r="AN387">
        <f>Table817353[[#This Row],[CFNM]]/Table817353[[#This Row],[CAREA]]</f>
        <v>0.53371479289058166</v>
      </c>
    </row>
    <row r="388" spans="1:40" x14ac:dyDescent="0.25">
      <c r="A388">
        <v>2.5507599999999999</v>
      </c>
      <c r="B388">
        <f>(Table110346[[#This Row],[time]]-2)*2</f>
        <v>1.1015199999999998</v>
      </c>
      <c r="C388">
        <v>88.368499999999997</v>
      </c>
      <c r="D388">
        <v>4.8110400000000002</v>
      </c>
      <c r="E388">
        <f>Table110346[[#This Row],[CFNM]]/Table110346[[#This Row],[CAREA]]</f>
        <v>5.4442929324363322E-2</v>
      </c>
      <c r="F388">
        <v>2.5507599999999999</v>
      </c>
      <c r="G388">
        <f>(Table211347[[#This Row],[time]]-2)*2</f>
        <v>1.1015199999999998</v>
      </c>
      <c r="H388">
        <v>96.799499999999995</v>
      </c>
      <c r="I388">
        <v>11.477600000000001</v>
      </c>
      <c r="J388">
        <f>Table211347[[#This Row],[CFNM]]/Table211347[[#This Row],[CAREA]]</f>
        <v>0.11857086038667557</v>
      </c>
      <c r="K388">
        <v>2.5507599999999999</v>
      </c>
      <c r="L388">
        <f>(Table312348[[#This Row],[time]]-2)*2</f>
        <v>1.1015199999999998</v>
      </c>
      <c r="M388">
        <v>82.331199999999995</v>
      </c>
      <c r="N388">
        <v>2.1368200000000002</v>
      </c>
      <c r="O388">
        <f>Table312348[[#This Row],[CFNM]]/Table312348[[#This Row],[CAREA]]</f>
        <v>2.5953951843286631E-2</v>
      </c>
      <c r="P388">
        <v>2.5507599999999999</v>
      </c>
      <c r="Q388">
        <f>(Table413349[[#This Row],[time]]-2)*2</f>
        <v>1.1015199999999998</v>
      </c>
      <c r="R388">
        <v>90.686199999999999</v>
      </c>
      <c r="S388">
        <v>21.892600000000002</v>
      </c>
      <c r="T388">
        <f>Table413349[[#This Row],[CFNM]]/Table413349[[#This Row],[CAREA]]</f>
        <v>0.24141049023997038</v>
      </c>
      <c r="U388">
        <v>2.5507599999999999</v>
      </c>
      <c r="V388">
        <f>(Table514350[[#This Row],[time]]-2)*2</f>
        <v>1.1015199999999998</v>
      </c>
      <c r="W388">
        <v>71.546499999999995</v>
      </c>
      <c r="X388">
        <v>4.5075099999999999</v>
      </c>
      <c r="Y388">
        <f>Table514350[[#This Row],[CFNM]]/Table514350[[#This Row],[CAREA]]</f>
        <v>6.3001125142389924E-2</v>
      </c>
      <c r="Z388">
        <v>2.5507599999999999</v>
      </c>
      <c r="AA388">
        <f>(Table615351[[#This Row],[time]]-2)*2</f>
        <v>1.1015199999999998</v>
      </c>
      <c r="AB388">
        <v>94.401300000000006</v>
      </c>
      <c r="AC388">
        <v>43.031799999999997</v>
      </c>
      <c r="AD388">
        <f>Table615351[[#This Row],[CFNM]]/Table615351[[#This Row],[CAREA]]</f>
        <v>0.45583906153834741</v>
      </c>
      <c r="AE388">
        <v>2.5507599999999999</v>
      </c>
      <c r="AF388">
        <f>(Table716352[[#This Row],[time]]-2)*2</f>
        <v>1.1015199999999998</v>
      </c>
      <c r="AG388">
        <v>75.464600000000004</v>
      </c>
      <c r="AH388">
        <v>16.315300000000001</v>
      </c>
      <c r="AI388">
        <f>Table716352[[#This Row],[CFNM]]/Table716352[[#This Row],[CAREA]]</f>
        <v>0.21619805842739509</v>
      </c>
      <c r="AJ388">
        <v>2.5507599999999999</v>
      </c>
      <c r="AK388">
        <f>(Table817353[[#This Row],[time]]-2)*2</f>
        <v>1.1015199999999998</v>
      </c>
      <c r="AL388">
        <v>80.0946</v>
      </c>
      <c r="AM388">
        <v>46.168900000000001</v>
      </c>
      <c r="AN388">
        <f>Table817353[[#This Row],[CFNM]]/Table817353[[#This Row],[CAREA]]</f>
        <v>0.57642962197201808</v>
      </c>
    </row>
    <row r="389" spans="1:40" x14ac:dyDescent="0.25">
      <c r="A389">
        <v>2.60453</v>
      </c>
      <c r="B389">
        <f>(Table110346[[#This Row],[time]]-2)*2</f>
        <v>1.20906</v>
      </c>
      <c r="C389">
        <v>87.860100000000003</v>
      </c>
      <c r="D389">
        <v>4.9005299999999998</v>
      </c>
      <c r="E389">
        <f>Table110346[[#This Row],[CFNM]]/Table110346[[#This Row],[CAREA]]</f>
        <v>5.5776512888102786E-2</v>
      </c>
      <c r="F389">
        <v>2.60453</v>
      </c>
      <c r="G389">
        <f>(Table211347[[#This Row],[time]]-2)*2</f>
        <v>1.20906</v>
      </c>
      <c r="H389">
        <v>97.086299999999994</v>
      </c>
      <c r="I389">
        <v>12.540900000000001</v>
      </c>
      <c r="J389">
        <f>Table211347[[#This Row],[CFNM]]/Table211347[[#This Row],[CAREA]]</f>
        <v>0.12917270510875378</v>
      </c>
      <c r="K389">
        <v>2.60453</v>
      </c>
      <c r="L389">
        <f>(Table312348[[#This Row],[time]]-2)*2</f>
        <v>1.20906</v>
      </c>
      <c r="M389">
        <v>81.782399999999996</v>
      </c>
      <c r="N389">
        <v>2.3750100000000001</v>
      </c>
      <c r="O389">
        <f>Table312348[[#This Row],[CFNM]]/Table312348[[#This Row],[CAREA]]</f>
        <v>2.9040600422584814E-2</v>
      </c>
      <c r="P389">
        <v>2.60453</v>
      </c>
      <c r="Q389">
        <f>(Table413349[[#This Row],[time]]-2)*2</f>
        <v>1.20906</v>
      </c>
      <c r="R389">
        <v>90.630600000000001</v>
      </c>
      <c r="S389">
        <v>23.771599999999999</v>
      </c>
      <c r="T389">
        <f>Table413349[[#This Row],[CFNM]]/Table413349[[#This Row],[CAREA]]</f>
        <v>0.26229110256359328</v>
      </c>
      <c r="U389">
        <v>2.60453</v>
      </c>
      <c r="V389">
        <f>(Table514350[[#This Row],[time]]-2)*2</f>
        <v>1.20906</v>
      </c>
      <c r="W389">
        <v>70.971400000000003</v>
      </c>
      <c r="X389">
        <v>4.2685500000000003</v>
      </c>
      <c r="Y389">
        <f>Table514350[[#This Row],[CFNM]]/Table514350[[#This Row],[CAREA]]</f>
        <v>6.0144649816686727E-2</v>
      </c>
      <c r="Z389">
        <v>2.60453</v>
      </c>
      <c r="AA389">
        <f>(Table615351[[#This Row],[time]]-2)*2</f>
        <v>1.20906</v>
      </c>
      <c r="AB389">
        <v>94.2119</v>
      </c>
      <c r="AC389">
        <v>45.930100000000003</v>
      </c>
      <c r="AD389">
        <f>Table615351[[#This Row],[CFNM]]/Table615351[[#This Row],[CAREA]]</f>
        <v>0.48751909259870574</v>
      </c>
      <c r="AE389">
        <v>2.60453</v>
      </c>
      <c r="AF389">
        <f>(Table716352[[#This Row],[time]]-2)*2</f>
        <v>1.20906</v>
      </c>
      <c r="AG389">
        <v>75.358900000000006</v>
      </c>
      <c r="AH389">
        <v>16.0154</v>
      </c>
      <c r="AI389">
        <f>Table716352[[#This Row],[CFNM]]/Table716352[[#This Row],[CAREA]]</f>
        <v>0.21252167958927212</v>
      </c>
      <c r="AJ389">
        <v>2.60453</v>
      </c>
      <c r="AK389">
        <f>(Table817353[[#This Row],[time]]-2)*2</f>
        <v>1.20906</v>
      </c>
      <c r="AL389">
        <v>79.508099999999999</v>
      </c>
      <c r="AM389">
        <v>49.4465</v>
      </c>
      <c r="AN389">
        <f>Table817353[[#This Row],[CFNM]]/Table817353[[#This Row],[CAREA]]</f>
        <v>0.62190518953414808</v>
      </c>
    </row>
    <row r="390" spans="1:40" x14ac:dyDescent="0.25">
      <c r="A390">
        <v>2.65273</v>
      </c>
      <c r="B390">
        <f>(Table110346[[#This Row],[time]]-2)*2</f>
        <v>1.3054600000000001</v>
      </c>
      <c r="C390">
        <v>87.258600000000001</v>
      </c>
      <c r="D390">
        <v>5.0027799999999996</v>
      </c>
      <c r="E390">
        <f>Table110346[[#This Row],[CFNM]]/Table110346[[#This Row],[CAREA]]</f>
        <v>5.7332801580589184E-2</v>
      </c>
      <c r="F390">
        <v>2.65273</v>
      </c>
      <c r="G390">
        <f>(Table211347[[#This Row],[time]]-2)*2</f>
        <v>1.3054600000000001</v>
      </c>
      <c r="H390">
        <v>97.478499999999997</v>
      </c>
      <c r="I390">
        <v>13.6973</v>
      </c>
      <c r="J390">
        <f>Table211347[[#This Row],[CFNM]]/Table211347[[#This Row],[CAREA]]</f>
        <v>0.14051611380971188</v>
      </c>
      <c r="K390">
        <v>2.65273</v>
      </c>
      <c r="L390">
        <f>(Table312348[[#This Row],[time]]-2)*2</f>
        <v>1.3054600000000001</v>
      </c>
      <c r="M390">
        <v>81.715999999999994</v>
      </c>
      <c r="N390">
        <v>2.59029</v>
      </c>
      <c r="O390">
        <f>Table312348[[#This Row],[CFNM]]/Table312348[[#This Row],[CAREA]]</f>
        <v>3.1698688139409667E-2</v>
      </c>
      <c r="P390">
        <v>2.65273</v>
      </c>
      <c r="Q390">
        <f>(Table413349[[#This Row],[time]]-2)*2</f>
        <v>1.3054600000000001</v>
      </c>
      <c r="R390">
        <v>90.281000000000006</v>
      </c>
      <c r="S390">
        <v>25.561299999999999</v>
      </c>
      <c r="T390">
        <f>Table413349[[#This Row],[CFNM]]/Table413349[[#This Row],[CAREA]]</f>
        <v>0.28313044826707723</v>
      </c>
      <c r="U390">
        <v>2.65273</v>
      </c>
      <c r="V390">
        <f>(Table514350[[#This Row],[time]]-2)*2</f>
        <v>1.3054600000000001</v>
      </c>
      <c r="W390">
        <v>69.497</v>
      </c>
      <c r="X390">
        <v>4.0555000000000003</v>
      </c>
      <c r="Y390">
        <f>Table514350[[#This Row],[CFNM]]/Table514350[[#This Row],[CAREA]]</f>
        <v>5.8355036908067981E-2</v>
      </c>
      <c r="Z390">
        <v>2.65273</v>
      </c>
      <c r="AA390">
        <f>(Table615351[[#This Row],[time]]-2)*2</f>
        <v>1.3054600000000001</v>
      </c>
      <c r="AB390">
        <v>94.482900000000001</v>
      </c>
      <c r="AC390">
        <v>48.6815</v>
      </c>
      <c r="AD390">
        <f>Table615351[[#This Row],[CFNM]]/Table615351[[#This Row],[CAREA]]</f>
        <v>0.51524138230304106</v>
      </c>
      <c r="AE390">
        <v>2.65273</v>
      </c>
      <c r="AF390">
        <f>(Table716352[[#This Row],[time]]-2)*2</f>
        <v>1.3054600000000001</v>
      </c>
      <c r="AG390">
        <v>75.127499999999998</v>
      </c>
      <c r="AH390">
        <v>15.657999999999999</v>
      </c>
      <c r="AI390">
        <f>Table716352[[#This Row],[CFNM]]/Table716352[[#This Row],[CAREA]]</f>
        <v>0.20841902099763734</v>
      </c>
      <c r="AJ390">
        <v>2.65273</v>
      </c>
      <c r="AK390">
        <f>(Table817353[[#This Row],[time]]-2)*2</f>
        <v>1.3054600000000001</v>
      </c>
      <c r="AL390">
        <v>78.963999999999999</v>
      </c>
      <c r="AM390">
        <v>52.492800000000003</v>
      </c>
      <c r="AN390">
        <f>Table817353[[#This Row],[CFNM]]/Table817353[[#This Row],[CAREA]]</f>
        <v>0.66476875538219948</v>
      </c>
    </row>
    <row r="391" spans="1:40" x14ac:dyDescent="0.25">
      <c r="A391">
        <v>2.7006199999999998</v>
      </c>
      <c r="B391">
        <f>(Table110346[[#This Row],[time]]-2)*2</f>
        <v>1.4012399999999996</v>
      </c>
      <c r="C391">
        <v>85.6828</v>
      </c>
      <c r="D391">
        <v>5.10588</v>
      </c>
      <c r="E391">
        <f>Table110346[[#This Row],[CFNM]]/Table110346[[#This Row],[CAREA]]</f>
        <v>5.9590489573169876E-2</v>
      </c>
      <c r="F391">
        <v>2.7006199999999998</v>
      </c>
      <c r="G391">
        <f>(Table211347[[#This Row],[time]]-2)*2</f>
        <v>1.4012399999999996</v>
      </c>
      <c r="H391">
        <v>97.871899999999997</v>
      </c>
      <c r="I391">
        <v>15.0105</v>
      </c>
      <c r="J391">
        <f>Table211347[[#This Row],[CFNM]]/Table211347[[#This Row],[CAREA]]</f>
        <v>0.15336884233370354</v>
      </c>
      <c r="K391">
        <v>2.7006199999999998</v>
      </c>
      <c r="L391">
        <f>(Table312348[[#This Row],[time]]-2)*2</f>
        <v>1.4012399999999996</v>
      </c>
      <c r="M391">
        <v>81.0745</v>
      </c>
      <c r="N391">
        <v>2.7581099999999998</v>
      </c>
      <c r="O391">
        <f>Table312348[[#This Row],[CFNM]]/Table312348[[#This Row],[CAREA]]</f>
        <v>3.4019451245459423E-2</v>
      </c>
      <c r="P391">
        <v>2.7006199999999998</v>
      </c>
      <c r="Q391">
        <f>(Table413349[[#This Row],[time]]-2)*2</f>
        <v>1.4012399999999996</v>
      </c>
      <c r="R391">
        <v>90.252899999999997</v>
      </c>
      <c r="S391">
        <v>27.4375</v>
      </c>
      <c r="T391">
        <f>Table413349[[#This Row],[CFNM]]/Table413349[[#This Row],[CAREA]]</f>
        <v>0.30400685185739185</v>
      </c>
      <c r="U391">
        <v>2.7006199999999998</v>
      </c>
      <c r="V391">
        <f>(Table514350[[#This Row],[time]]-2)*2</f>
        <v>1.4012399999999996</v>
      </c>
      <c r="W391">
        <v>68.990700000000004</v>
      </c>
      <c r="X391">
        <v>3.77434</v>
      </c>
      <c r="Y391">
        <f>Table514350[[#This Row],[CFNM]]/Table514350[[#This Row],[CAREA]]</f>
        <v>5.4707953390819339E-2</v>
      </c>
      <c r="Z391">
        <v>2.7006199999999998</v>
      </c>
      <c r="AA391">
        <f>(Table615351[[#This Row],[time]]-2)*2</f>
        <v>1.4012399999999996</v>
      </c>
      <c r="AB391">
        <v>94.174999999999997</v>
      </c>
      <c r="AC391">
        <v>51.463500000000003</v>
      </c>
      <c r="AD391">
        <f>Table615351[[#This Row],[CFNM]]/Table615351[[#This Row],[CAREA]]</f>
        <v>0.54646668436421564</v>
      </c>
      <c r="AE391">
        <v>2.7006199999999998</v>
      </c>
      <c r="AF391">
        <f>(Table716352[[#This Row],[time]]-2)*2</f>
        <v>1.4012399999999996</v>
      </c>
      <c r="AG391">
        <v>74.296800000000005</v>
      </c>
      <c r="AH391">
        <v>15.253500000000001</v>
      </c>
      <c r="AI391">
        <f>Table716352[[#This Row],[CFNM]]/Table716352[[#This Row],[CAREA]]</f>
        <v>0.20530493910908679</v>
      </c>
      <c r="AJ391">
        <v>2.7006199999999998</v>
      </c>
      <c r="AK391">
        <f>(Table817353[[#This Row],[time]]-2)*2</f>
        <v>1.4012399999999996</v>
      </c>
      <c r="AL391">
        <v>78.55</v>
      </c>
      <c r="AM391">
        <v>55.6038</v>
      </c>
      <c r="AN391">
        <f>Table817353[[#This Row],[CFNM]]/Table817353[[#This Row],[CAREA]]</f>
        <v>0.70787778485041375</v>
      </c>
    </row>
    <row r="392" spans="1:40" x14ac:dyDescent="0.25">
      <c r="A392">
        <v>2.75176</v>
      </c>
      <c r="B392">
        <f>(Table110346[[#This Row],[time]]-2)*2</f>
        <v>1.50352</v>
      </c>
      <c r="C392">
        <v>84.8279</v>
      </c>
      <c r="D392">
        <v>5.2342199999999997</v>
      </c>
      <c r="E392">
        <f>Table110346[[#This Row],[CFNM]]/Table110346[[#This Row],[CAREA]]</f>
        <v>6.1703991257593314E-2</v>
      </c>
      <c r="F392">
        <v>2.75176</v>
      </c>
      <c r="G392">
        <f>(Table211347[[#This Row],[time]]-2)*2</f>
        <v>1.50352</v>
      </c>
      <c r="H392">
        <v>98.695899999999995</v>
      </c>
      <c r="I392">
        <v>16.754999999999999</v>
      </c>
      <c r="J392">
        <f>Table211347[[#This Row],[CFNM]]/Table211347[[#This Row],[CAREA]]</f>
        <v>0.16976389090124311</v>
      </c>
      <c r="K392">
        <v>2.75176</v>
      </c>
      <c r="L392">
        <f>(Table312348[[#This Row],[time]]-2)*2</f>
        <v>1.50352</v>
      </c>
      <c r="M392">
        <v>79.521100000000004</v>
      </c>
      <c r="N392">
        <v>2.9117899999999999</v>
      </c>
      <c r="O392">
        <f>Table312348[[#This Row],[CFNM]]/Table312348[[#This Row],[CAREA]]</f>
        <v>3.6616570947836484E-2</v>
      </c>
      <c r="P392">
        <v>2.75176</v>
      </c>
      <c r="Q392">
        <f>(Table413349[[#This Row],[time]]-2)*2</f>
        <v>1.50352</v>
      </c>
      <c r="R392">
        <v>89.945899999999995</v>
      </c>
      <c r="S392">
        <v>29.795100000000001</v>
      </c>
      <c r="T392">
        <f>Table413349[[#This Row],[CFNM]]/Table413349[[#This Row],[CAREA]]</f>
        <v>0.33125578820157453</v>
      </c>
      <c r="U392">
        <v>2.75176</v>
      </c>
      <c r="V392">
        <f>(Table514350[[#This Row],[time]]-2)*2</f>
        <v>1.50352</v>
      </c>
      <c r="W392">
        <v>67.887799999999999</v>
      </c>
      <c r="X392">
        <v>3.3722699999999999</v>
      </c>
      <c r="Y392">
        <f>Table514350[[#This Row],[CFNM]]/Table514350[[#This Row],[CAREA]]</f>
        <v>4.9674168259981909E-2</v>
      </c>
      <c r="Z392">
        <v>2.75176</v>
      </c>
      <c r="AA392">
        <f>(Table615351[[#This Row],[time]]-2)*2</f>
        <v>1.50352</v>
      </c>
      <c r="AB392">
        <v>94.197000000000003</v>
      </c>
      <c r="AC392">
        <v>54.794699999999999</v>
      </c>
      <c r="AD392">
        <f>Table615351[[#This Row],[CFNM]]/Table615351[[#This Row],[CAREA]]</f>
        <v>0.58170323895665466</v>
      </c>
      <c r="AE392">
        <v>2.75176</v>
      </c>
      <c r="AF392">
        <f>(Table716352[[#This Row],[time]]-2)*2</f>
        <v>1.50352</v>
      </c>
      <c r="AG392">
        <v>73.538200000000003</v>
      </c>
      <c r="AH392">
        <v>14.672800000000001</v>
      </c>
      <c r="AI392">
        <f>Table716352[[#This Row],[CFNM]]/Table716352[[#This Row],[CAREA]]</f>
        <v>0.1995262326246767</v>
      </c>
      <c r="AJ392">
        <v>2.75176</v>
      </c>
      <c r="AK392">
        <f>(Table817353[[#This Row],[time]]-2)*2</f>
        <v>1.50352</v>
      </c>
      <c r="AL392">
        <v>77.616</v>
      </c>
      <c r="AM392">
        <v>59.251800000000003</v>
      </c>
      <c r="AN392">
        <f>Table817353[[#This Row],[CFNM]]/Table817353[[#This Row],[CAREA]]</f>
        <v>0.76339672232529376</v>
      </c>
    </row>
    <row r="393" spans="1:40" x14ac:dyDescent="0.25">
      <c r="A393">
        <v>2.80444</v>
      </c>
      <c r="B393">
        <f>(Table110346[[#This Row],[time]]-2)*2</f>
        <v>1.6088800000000001</v>
      </c>
      <c r="C393">
        <v>84.042299999999997</v>
      </c>
      <c r="D393">
        <v>5.4231299999999996</v>
      </c>
      <c r="E393">
        <f>Table110346[[#This Row],[CFNM]]/Table110346[[#This Row],[CAREA]]</f>
        <v>6.4528576681028474E-2</v>
      </c>
      <c r="F393">
        <v>2.80444</v>
      </c>
      <c r="G393">
        <f>(Table211347[[#This Row],[time]]-2)*2</f>
        <v>1.6088800000000001</v>
      </c>
      <c r="H393">
        <v>99.231800000000007</v>
      </c>
      <c r="I393">
        <v>18.276</v>
      </c>
      <c r="J393">
        <f>Table211347[[#This Row],[CFNM]]/Table211347[[#This Row],[CAREA]]</f>
        <v>0.18417483105214255</v>
      </c>
      <c r="K393">
        <v>2.80444</v>
      </c>
      <c r="L393">
        <f>(Table312348[[#This Row],[time]]-2)*2</f>
        <v>1.6088800000000001</v>
      </c>
      <c r="M393">
        <v>79.466200000000001</v>
      </c>
      <c r="N393">
        <v>2.8764799999999999</v>
      </c>
      <c r="O393">
        <f>Table312348[[#This Row],[CFNM]]/Table312348[[#This Row],[CAREA]]</f>
        <v>3.6197528005617478E-2</v>
      </c>
      <c r="P393">
        <v>2.80444</v>
      </c>
      <c r="Q393">
        <f>(Table413349[[#This Row],[time]]-2)*2</f>
        <v>1.6088800000000001</v>
      </c>
      <c r="R393">
        <v>89.831100000000006</v>
      </c>
      <c r="S393">
        <v>32.128300000000003</v>
      </c>
      <c r="T393">
        <f>Table413349[[#This Row],[CFNM]]/Table413349[[#This Row],[CAREA]]</f>
        <v>0.3576523052706691</v>
      </c>
      <c r="U393">
        <v>2.80444</v>
      </c>
      <c r="V393">
        <f>(Table514350[[#This Row],[time]]-2)*2</f>
        <v>1.6088800000000001</v>
      </c>
      <c r="W393">
        <v>67.132000000000005</v>
      </c>
      <c r="X393">
        <v>3.0015000000000001</v>
      </c>
      <c r="Y393">
        <f>Table514350[[#This Row],[CFNM]]/Table514350[[#This Row],[CAREA]]</f>
        <v>4.4710421259607933E-2</v>
      </c>
      <c r="Z393">
        <v>2.80444</v>
      </c>
      <c r="AA393">
        <f>(Table615351[[#This Row],[time]]-2)*2</f>
        <v>1.6088800000000001</v>
      </c>
      <c r="AB393">
        <v>93.815100000000001</v>
      </c>
      <c r="AC393">
        <v>57.526600000000002</v>
      </c>
      <c r="AD393">
        <f>Table615351[[#This Row],[CFNM]]/Table615351[[#This Row],[CAREA]]</f>
        <v>0.61319126665110413</v>
      </c>
      <c r="AE393">
        <v>2.80444</v>
      </c>
      <c r="AF393">
        <f>(Table716352[[#This Row],[time]]-2)*2</f>
        <v>1.6088800000000001</v>
      </c>
      <c r="AG393">
        <v>73.075199999999995</v>
      </c>
      <c r="AH393">
        <v>14.1477</v>
      </c>
      <c r="AI393">
        <f>Table716352[[#This Row],[CFNM]]/Table716352[[#This Row],[CAREA]]</f>
        <v>0.1936046702574882</v>
      </c>
      <c r="AJ393">
        <v>2.80444</v>
      </c>
      <c r="AK393">
        <f>(Table817353[[#This Row],[time]]-2)*2</f>
        <v>1.6088800000000001</v>
      </c>
      <c r="AL393">
        <v>76.946600000000004</v>
      </c>
      <c r="AM393">
        <v>62.179099999999998</v>
      </c>
      <c r="AN393">
        <f>Table817353[[#This Row],[CFNM]]/Table817353[[#This Row],[CAREA]]</f>
        <v>0.80808118877247337</v>
      </c>
    </row>
    <row r="394" spans="1:40" x14ac:dyDescent="0.25">
      <c r="A394">
        <v>2.8583699999999999</v>
      </c>
      <c r="B394">
        <f>(Table110346[[#This Row],[time]]-2)*2</f>
        <v>1.7167399999999997</v>
      </c>
      <c r="C394">
        <v>82.672300000000007</v>
      </c>
      <c r="D394">
        <v>5.5267400000000002</v>
      </c>
      <c r="E394">
        <f>Table110346[[#This Row],[CFNM]]/Table110346[[#This Row],[CAREA]]</f>
        <v>6.6851170222674339E-2</v>
      </c>
      <c r="F394">
        <v>2.8583699999999999</v>
      </c>
      <c r="G394">
        <f>(Table211347[[#This Row],[time]]-2)*2</f>
        <v>1.7167399999999997</v>
      </c>
      <c r="H394">
        <v>99.309799999999996</v>
      </c>
      <c r="I394">
        <v>19.897500000000001</v>
      </c>
      <c r="J394">
        <f>Table211347[[#This Row],[CFNM]]/Table211347[[#This Row],[CAREA]]</f>
        <v>0.20035787001887026</v>
      </c>
      <c r="K394">
        <v>2.8583699999999999</v>
      </c>
      <c r="L394">
        <f>(Table312348[[#This Row],[time]]-2)*2</f>
        <v>1.7167399999999997</v>
      </c>
      <c r="M394">
        <v>79.362700000000004</v>
      </c>
      <c r="N394">
        <v>2.6955399999999998</v>
      </c>
      <c r="O394">
        <f>Table312348[[#This Row],[CFNM]]/Table312348[[#This Row],[CAREA]]</f>
        <v>3.3964822265371515E-2</v>
      </c>
      <c r="P394">
        <v>2.8583699999999999</v>
      </c>
      <c r="Q394">
        <f>(Table413349[[#This Row],[time]]-2)*2</f>
        <v>1.7167399999999997</v>
      </c>
      <c r="R394">
        <v>89.703199999999995</v>
      </c>
      <c r="S394">
        <v>34.490400000000001</v>
      </c>
      <c r="T394">
        <f>Table413349[[#This Row],[CFNM]]/Table413349[[#This Row],[CAREA]]</f>
        <v>0.3844946445611751</v>
      </c>
      <c r="U394">
        <v>2.8583699999999999</v>
      </c>
      <c r="V394">
        <f>(Table514350[[#This Row],[time]]-2)*2</f>
        <v>1.7167399999999997</v>
      </c>
      <c r="W394">
        <v>66.187600000000003</v>
      </c>
      <c r="X394">
        <v>2.5491600000000001</v>
      </c>
      <c r="Y394">
        <f>Table514350[[#This Row],[CFNM]]/Table514350[[#This Row],[CAREA]]</f>
        <v>3.8514162773691747E-2</v>
      </c>
      <c r="Z394">
        <v>2.8583699999999999</v>
      </c>
      <c r="AA394">
        <f>(Table615351[[#This Row],[time]]-2)*2</f>
        <v>1.7167399999999997</v>
      </c>
      <c r="AB394">
        <v>93.381</v>
      </c>
      <c r="AC394">
        <v>60.330300000000001</v>
      </c>
      <c r="AD394">
        <f>Table615351[[#This Row],[CFNM]]/Table615351[[#This Row],[CAREA]]</f>
        <v>0.64606611623349508</v>
      </c>
      <c r="AE394">
        <v>2.8583699999999999</v>
      </c>
      <c r="AF394">
        <f>(Table716352[[#This Row],[time]]-2)*2</f>
        <v>1.7167399999999997</v>
      </c>
      <c r="AG394">
        <v>72.702799999999996</v>
      </c>
      <c r="AH394">
        <v>13.6195</v>
      </c>
      <c r="AI394">
        <f>Table716352[[#This Row],[CFNM]]/Table716352[[#This Row],[CAREA]]</f>
        <v>0.18733116193599147</v>
      </c>
      <c r="AJ394">
        <v>2.8583699999999999</v>
      </c>
      <c r="AK394">
        <f>(Table817353[[#This Row],[time]]-2)*2</f>
        <v>1.7167399999999997</v>
      </c>
      <c r="AL394">
        <v>76.199399999999997</v>
      </c>
      <c r="AM394">
        <v>65.165599999999998</v>
      </c>
      <c r="AN394">
        <f>Table817353[[#This Row],[CFNM]]/Table817353[[#This Row],[CAREA]]</f>
        <v>0.85519833489502539</v>
      </c>
    </row>
    <row r="395" spans="1:40" x14ac:dyDescent="0.25">
      <c r="A395">
        <v>2.9134199999999999</v>
      </c>
      <c r="B395">
        <f>(Table110346[[#This Row],[time]]-2)*2</f>
        <v>1.8268399999999998</v>
      </c>
      <c r="C395">
        <v>80.533699999999996</v>
      </c>
      <c r="D395">
        <v>5.5057600000000004</v>
      </c>
      <c r="E395">
        <f>Table110346[[#This Row],[CFNM]]/Table110346[[#This Row],[CAREA]]</f>
        <v>6.8365913896915209E-2</v>
      </c>
      <c r="F395">
        <v>2.9134199999999999</v>
      </c>
      <c r="G395">
        <f>(Table211347[[#This Row],[time]]-2)*2</f>
        <v>1.8268399999999998</v>
      </c>
      <c r="H395">
        <v>101.351</v>
      </c>
      <c r="I395">
        <v>22.3962</v>
      </c>
      <c r="J395">
        <f>Table211347[[#This Row],[CFNM]]/Table211347[[#This Row],[CAREA]]</f>
        <v>0.22097660605223432</v>
      </c>
      <c r="K395">
        <v>2.9134199999999999</v>
      </c>
      <c r="L395">
        <f>(Table312348[[#This Row],[time]]-2)*2</f>
        <v>1.8268399999999998</v>
      </c>
      <c r="M395">
        <v>77.620500000000007</v>
      </c>
      <c r="N395">
        <v>2.3465600000000002</v>
      </c>
      <c r="O395">
        <f>Table312348[[#This Row],[CFNM]]/Table312348[[#This Row],[CAREA]]</f>
        <v>3.0231188925605994E-2</v>
      </c>
      <c r="P395">
        <v>2.9134199999999999</v>
      </c>
      <c r="Q395">
        <f>(Table413349[[#This Row],[time]]-2)*2</f>
        <v>1.8268399999999998</v>
      </c>
      <c r="R395">
        <v>89.171300000000002</v>
      </c>
      <c r="S395">
        <v>37.991</v>
      </c>
      <c r="T395">
        <f>Table413349[[#This Row],[CFNM]]/Table413349[[#This Row],[CAREA]]</f>
        <v>0.42604515129868015</v>
      </c>
      <c r="U395">
        <v>2.9134199999999999</v>
      </c>
      <c r="V395">
        <f>(Table514350[[#This Row],[time]]-2)*2</f>
        <v>1.8268399999999998</v>
      </c>
      <c r="W395">
        <v>64.869399999999999</v>
      </c>
      <c r="X395">
        <v>1.8188500000000001</v>
      </c>
      <c r="Y395">
        <f>Table514350[[#This Row],[CFNM]]/Table514350[[#This Row],[CAREA]]</f>
        <v>2.8038643798154447E-2</v>
      </c>
      <c r="Z395">
        <v>2.9134199999999999</v>
      </c>
      <c r="AA395">
        <f>(Table615351[[#This Row],[time]]-2)*2</f>
        <v>1.8268399999999998</v>
      </c>
      <c r="AB395">
        <v>92.854399999999998</v>
      </c>
      <c r="AC395">
        <v>64.482799999999997</v>
      </c>
      <c r="AD395">
        <f>Table615351[[#This Row],[CFNM]]/Table615351[[#This Row],[CAREA]]</f>
        <v>0.69445066685046697</v>
      </c>
      <c r="AE395">
        <v>2.9134199999999999</v>
      </c>
      <c r="AF395">
        <f>(Table716352[[#This Row],[time]]-2)*2</f>
        <v>1.8268399999999998</v>
      </c>
      <c r="AG395">
        <v>70.918800000000005</v>
      </c>
      <c r="AH395">
        <v>12.826700000000001</v>
      </c>
      <c r="AI395">
        <f>Table716352[[#This Row],[CFNM]]/Table716352[[#This Row],[CAREA]]</f>
        <v>0.18086459443758213</v>
      </c>
      <c r="AJ395">
        <v>2.9134199999999999</v>
      </c>
      <c r="AK395">
        <f>(Table817353[[#This Row],[time]]-2)*2</f>
        <v>1.8268399999999998</v>
      </c>
      <c r="AL395">
        <v>75.197999999999993</v>
      </c>
      <c r="AM395">
        <v>69.588899999999995</v>
      </c>
      <c r="AN395">
        <f>Table817353[[#This Row],[CFNM]]/Table817353[[#This Row],[CAREA]]</f>
        <v>0.925408920450012</v>
      </c>
    </row>
    <row r="396" spans="1:40" x14ac:dyDescent="0.25">
      <c r="A396">
        <v>2.9619599999999999</v>
      </c>
      <c r="B396">
        <f>(Table110346[[#This Row],[time]]-2)*2</f>
        <v>1.9239199999999999</v>
      </c>
      <c r="C396">
        <v>80.08</v>
      </c>
      <c r="D396">
        <v>5.4808500000000002</v>
      </c>
      <c r="E396">
        <f>Table110346[[#This Row],[CFNM]]/Table110346[[#This Row],[CAREA]]</f>
        <v>6.8442182817182826E-2</v>
      </c>
      <c r="F396">
        <v>2.9619599999999999</v>
      </c>
      <c r="G396">
        <f>(Table211347[[#This Row],[time]]-2)*2</f>
        <v>1.9239199999999999</v>
      </c>
      <c r="H396">
        <v>101.794</v>
      </c>
      <c r="I396">
        <v>23.3142</v>
      </c>
      <c r="J396">
        <f>Table211347[[#This Row],[CFNM]]/Table211347[[#This Row],[CAREA]]</f>
        <v>0.22903314537202585</v>
      </c>
      <c r="K396">
        <v>2.9619599999999999</v>
      </c>
      <c r="L396">
        <f>(Table312348[[#This Row],[time]]-2)*2</f>
        <v>1.9239199999999999</v>
      </c>
      <c r="M396">
        <v>76.941999999999993</v>
      </c>
      <c r="N396">
        <v>2.2206800000000002</v>
      </c>
      <c r="O396">
        <f>Table312348[[#This Row],[CFNM]]/Table312348[[#This Row],[CAREA]]</f>
        <v>2.8861740011957064E-2</v>
      </c>
      <c r="P396">
        <v>2.9619599999999999</v>
      </c>
      <c r="Q396">
        <f>(Table413349[[#This Row],[time]]-2)*2</f>
        <v>1.9239199999999999</v>
      </c>
      <c r="R396">
        <v>88.941400000000002</v>
      </c>
      <c r="S396">
        <v>39.264099999999999</v>
      </c>
      <c r="T396">
        <f>Table413349[[#This Row],[CFNM]]/Table413349[[#This Row],[CAREA]]</f>
        <v>0.44146033230868864</v>
      </c>
      <c r="U396">
        <v>2.9619599999999999</v>
      </c>
      <c r="V396">
        <f>(Table514350[[#This Row],[time]]-2)*2</f>
        <v>1.9239199999999999</v>
      </c>
      <c r="W396">
        <v>64.428399999999996</v>
      </c>
      <c r="X396">
        <v>1.56368</v>
      </c>
      <c r="Y396">
        <f>Table514350[[#This Row],[CFNM]]/Table514350[[#This Row],[CAREA]]</f>
        <v>2.4270042403660499E-2</v>
      </c>
      <c r="Z396">
        <v>2.9619599999999999</v>
      </c>
      <c r="AA396">
        <f>(Table615351[[#This Row],[time]]-2)*2</f>
        <v>1.9239199999999999</v>
      </c>
      <c r="AB396">
        <v>92.609200000000001</v>
      </c>
      <c r="AC396">
        <v>65.965100000000007</v>
      </c>
      <c r="AD396">
        <f>Table615351[[#This Row],[CFNM]]/Table615351[[#This Row],[CAREA]]</f>
        <v>0.71229532271091867</v>
      </c>
      <c r="AE396">
        <v>2.9619599999999999</v>
      </c>
      <c r="AF396">
        <f>(Table716352[[#This Row],[time]]-2)*2</f>
        <v>1.9239199999999999</v>
      </c>
      <c r="AG396">
        <v>70.760400000000004</v>
      </c>
      <c r="AH396">
        <v>12.523</v>
      </c>
      <c r="AI396">
        <f>Table716352[[#This Row],[CFNM]]/Table716352[[#This Row],[CAREA]]</f>
        <v>0.17697751849904747</v>
      </c>
      <c r="AJ396">
        <v>2.9619599999999999</v>
      </c>
      <c r="AK396">
        <f>(Table817353[[#This Row],[time]]-2)*2</f>
        <v>1.9239199999999999</v>
      </c>
      <c r="AL396">
        <v>74.870199999999997</v>
      </c>
      <c r="AM396">
        <v>71.1678</v>
      </c>
      <c r="AN396">
        <f>Table817353[[#This Row],[CFNM]]/Table817353[[#This Row],[CAREA]]</f>
        <v>0.95054908361404145</v>
      </c>
    </row>
    <row r="397" spans="1:40" x14ac:dyDescent="0.25">
      <c r="A397">
        <v>3</v>
      </c>
      <c r="B397">
        <f>(Table110346[[#This Row],[time]]-2)*2</f>
        <v>2</v>
      </c>
      <c r="C397">
        <v>77.757099999999994</v>
      </c>
      <c r="D397">
        <v>5.3757700000000002</v>
      </c>
      <c r="E397">
        <f>Table110346[[#This Row],[CFNM]]/Table110346[[#This Row],[CAREA]]</f>
        <v>6.9135423003172713E-2</v>
      </c>
      <c r="F397">
        <v>3</v>
      </c>
      <c r="G397">
        <f>(Table211347[[#This Row],[time]]-2)*2</f>
        <v>2</v>
      </c>
      <c r="H397">
        <v>103.16</v>
      </c>
      <c r="I397">
        <v>25.148399999999999</v>
      </c>
      <c r="J397">
        <f>Table211347[[#This Row],[CFNM]]/Table211347[[#This Row],[CAREA]]</f>
        <v>0.24378053509112058</v>
      </c>
      <c r="K397">
        <v>3</v>
      </c>
      <c r="L397">
        <f>(Table312348[[#This Row],[time]]-2)*2</f>
        <v>2</v>
      </c>
      <c r="M397">
        <v>76.869200000000006</v>
      </c>
      <c r="N397">
        <v>1.96905</v>
      </c>
      <c r="O397">
        <f>Table312348[[#This Row],[CFNM]]/Table312348[[#This Row],[CAREA]]</f>
        <v>2.5615591160048495E-2</v>
      </c>
      <c r="P397">
        <v>3</v>
      </c>
      <c r="Q397">
        <f>(Table413349[[#This Row],[time]]-2)*2</f>
        <v>2</v>
      </c>
      <c r="R397">
        <v>88.470299999999995</v>
      </c>
      <c r="S397">
        <v>41.749000000000002</v>
      </c>
      <c r="T397">
        <f>Table413349[[#This Row],[CFNM]]/Table413349[[#This Row],[CAREA]]</f>
        <v>0.47189847892456571</v>
      </c>
      <c r="U397">
        <v>3</v>
      </c>
      <c r="V397">
        <f>(Table514350[[#This Row],[time]]-2)*2</f>
        <v>2</v>
      </c>
      <c r="W397">
        <v>63.771299999999997</v>
      </c>
      <c r="X397">
        <v>1.05457</v>
      </c>
      <c r="Y397">
        <f>Table514350[[#This Row],[CFNM]]/Table514350[[#This Row],[CAREA]]</f>
        <v>1.6536749290041133E-2</v>
      </c>
      <c r="Z397">
        <v>3</v>
      </c>
      <c r="AA397">
        <f>(Table615351[[#This Row],[time]]-2)*2</f>
        <v>2</v>
      </c>
      <c r="AB397">
        <v>92.175399999999996</v>
      </c>
      <c r="AC397">
        <v>68.835899999999995</v>
      </c>
      <c r="AD397">
        <f>Table615351[[#This Row],[CFNM]]/Table615351[[#This Row],[CAREA]]</f>
        <v>0.74679252815827213</v>
      </c>
      <c r="AE397">
        <v>3</v>
      </c>
      <c r="AF397">
        <f>(Table716352[[#This Row],[time]]-2)*2</f>
        <v>2</v>
      </c>
      <c r="AG397">
        <v>70.458399999999997</v>
      </c>
      <c r="AH397">
        <v>11.9328</v>
      </c>
      <c r="AI397">
        <f>Table716352[[#This Row],[CFNM]]/Table716352[[#This Row],[CAREA]]</f>
        <v>0.16935950858946558</v>
      </c>
      <c r="AJ397">
        <v>3</v>
      </c>
      <c r="AK397">
        <f>(Table817353[[#This Row],[time]]-2)*2</f>
        <v>2</v>
      </c>
      <c r="AL397">
        <v>74.280199999999994</v>
      </c>
      <c r="AM397">
        <v>74.152900000000002</v>
      </c>
      <c r="AN397">
        <f>Table817353[[#This Row],[CFNM]]/Table817353[[#This Row],[CAREA]]</f>
        <v>0.99828621893855984</v>
      </c>
    </row>
    <row r="400" spans="1:40" x14ac:dyDescent="0.25">
      <c r="A400" s="1" t="s">
        <v>25</v>
      </c>
    </row>
    <row r="401" spans="1:40" x14ac:dyDescent="0.25">
      <c r="A401" t="s">
        <v>55</v>
      </c>
      <c r="F401" t="s">
        <v>1</v>
      </c>
    </row>
    <row r="402" spans="1:40" x14ac:dyDescent="0.25">
      <c r="F402" t="s">
        <v>2</v>
      </c>
      <c r="G402" t="s">
        <v>3</v>
      </c>
    </row>
    <row r="405" spans="1:40" x14ac:dyDescent="0.25">
      <c r="A405" t="s">
        <v>5</v>
      </c>
      <c r="F405" t="s">
        <v>6</v>
      </c>
      <c r="K405" t="s">
        <v>7</v>
      </c>
      <c r="P405" t="s">
        <v>19</v>
      </c>
      <c r="U405" t="s">
        <v>8</v>
      </c>
      <c r="Z405" t="s">
        <v>9</v>
      </c>
      <c r="AE405" t="s">
        <v>10</v>
      </c>
      <c r="AJ405" t="s">
        <v>11</v>
      </c>
    </row>
    <row r="406" spans="1:40" x14ac:dyDescent="0.25">
      <c r="A406" t="s">
        <v>12</v>
      </c>
      <c r="B406" t="s">
        <v>13</v>
      </c>
      <c r="C406" t="s">
        <v>17</v>
      </c>
      <c r="D406" t="s">
        <v>15</v>
      </c>
      <c r="E406" t="s">
        <v>16</v>
      </c>
      <c r="F406" t="s">
        <v>12</v>
      </c>
      <c r="G406" t="s">
        <v>13</v>
      </c>
      <c r="H406" t="s">
        <v>17</v>
      </c>
      <c r="I406" t="s">
        <v>15</v>
      </c>
      <c r="J406" t="s">
        <v>16</v>
      </c>
      <c r="K406" t="s">
        <v>12</v>
      </c>
      <c r="L406" t="s">
        <v>13</v>
      </c>
      <c r="M406" t="s">
        <v>17</v>
      </c>
      <c r="N406" t="s">
        <v>15</v>
      </c>
      <c r="O406" t="s">
        <v>16</v>
      </c>
      <c r="P406" t="s">
        <v>12</v>
      </c>
      <c r="Q406" t="s">
        <v>13</v>
      </c>
      <c r="R406" t="s">
        <v>17</v>
      </c>
      <c r="S406" t="s">
        <v>15</v>
      </c>
      <c r="T406" t="s">
        <v>16</v>
      </c>
      <c r="U406" t="s">
        <v>12</v>
      </c>
      <c r="V406" t="s">
        <v>13</v>
      </c>
      <c r="W406" t="s">
        <v>17</v>
      </c>
      <c r="X406" t="s">
        <v>15</v>
      </c>
      <c r="Y406" t="s">
        <v>16</v>
      </c>
      <c r="Z406" t="s">
        <v>12</v>
      </c>
      <c r="AA406" t="s">
        <v>13</v>
      </c>
      <c r="AB406" t="s">
        <v>17</v>
      </c>
      <c r="AC406" t="s">
        <v>15</v>
      </c>
      <c r="AD406" t="s">
        <v>16</v>
      </c>
      <c r="AE406" t="s">
        <v>12</v>
      </c>
      <c r="AF406" t="s">
        <v>13</v>
      </c>
      <c r="AG406" t="s">
        <v>17</v>
      </c>
      <c r="AH406" t="s">
        <v>15</v>
      </c>
      <c r="AI406" t="s">
        <v>16</v>
      </c>
      <c r="AJ406" t="s">
        <v>12</v>
      </c>
      <c r="AK406" t="s">
        <v>13</v>
      </c>
      <c r="AL406" t="s">
        <v>17</v>
      </c>
      <c r="AM406" t="s">
        <v>15</v>
      </c>
      <c r="AN406" t="s">
        <v>16</v>
      </c>
    </row>
    <row r="407" spans="1:40" x14ac:dyDescent="0.25">
      <c r="A407">
        <v>2</v>
      </c>
      <c r="B407">
        <f>-(Table1354[[#This Row],[time]]-2)*2</f>
        <v>0</v>
      </c>
      <c r="C407">
        <v>80.561000000000007</v>
      </c>
      <c r="D407">
        <v>3.98224</v>
      </c>
      <c r="E407" s="2">
        <f>Table1354[[#This Row],[CFNM]]/Table1354[[#This Row],[CAREA]]</f>
        <v>4.9431362569978023E-2</v>
      </c>
      <c r="F407">
        <v>2</v>
      </c>
      <c r="G407">
        <f>-(Table2355[[#This Row],[time]]-2)*2</f>
        <v>0</v>
      </c>
      <c r="H407">
        <v>87.831800000000001</v>
      </c>
      <c r="I407">
        <v>3.8491699999999998E-3</v>
      </c>
      <c r="J407" s="2">
        <f>Table2355[[#This Row],[CFNM]]/Table2355[[#This Row],[CAREA]]</f>
        <v>4.3824332417188305E-5</v>
      </c>
      <c r="K407">
        <v>2</v>
      </c>
      <c r="L407">
        <f>-(Table3356[[#This Row],[time]]-2)*2</f>
        <v>0</v>
      </c>
      <c r="M407">
        <v>85.166600000000003</v>
      </c>
      <c r="N407">
        <v>3.7004999999999998E-3</v>
      </c>
      <c r="O407">
        <f>Table3356[[#This Row],[CFNM]]/Table3356[[#This Row],[CAREA]]</f>
        <v>4.3450131859203019E-5</v>
      </c>
      <c r="P407">
        <v>2</v>
      </c>
      <c r="Q407">
        <f>-(Table4357[[#This Row],[time]]-2)*2</f>
        <v>0</v>
      </c>
      <c r="R407">
        <v>79.101699999999994</v>
      </c>
      <c r="S407">
        <v>4.52579E-3</v>
      </c>
      <c r="T407">
        <f>Table4357[[#This Row],[CFNM]]/Table4357[[#This Row],[CAREA]]</f>
        <v>5.7214825977191392E-5</v>
      </c>
      <c r="U407">
        <v>2</v>
      </c>
      <c r="V407">
        <f>-(Table5358[[#This Row],[time]]-2)*2</f>
        <v>0</v>
      </c>
      <c r="W407">
        <v>83.227800000000002</v>
      </c>
      <c r="X407">
        <v>3.5062700000000002</v>
      </c>
      <c r="Y407">
        <f>Table5358[[#This Row],[CFNM]]/Table5358[[#This Row],[CAREA]]</f>
        <v>4.2128591648463616E-2</v>
      </c>
      <c r="Z407">
        <v>2</v>
      </c>
      <c r="AA407">
        <f>-(Table6359[[#This Row],[time]]-2)*2</f>
        <v>0</v>
      </c>
      <c r="AB407">
        <v>83.949600000000004</v>
      </c>
      <c r="AC407">
        <v>6.2740499999999999</v>
      </c>
      <c r="AD407">
        <f>Table6359[[#This Row],[CFNM]]/Table6359[[#This Row],[CAREA]]</f>
        <v>7.4735912976357233E-2</v>
      </c>
      <c r="AE407">
        <v>2</v>
      </c>
      <c r="AF407">
        <f>-(Table7360[[#This Row],[time]]-2)*2</f>
        <v>0</v>
      </c>
      <c r="AG407">
        <v>78.459999999999994</v>
      </c>
      <c r="AH407">
        <v>14.7075</v>
      </c>
      <c r="AI407">
        <f>Table7360[[#This Row],[CFNM]]/Table7360[[#This Row],[CAREA]]</f>
        <v>0.18745220494519502</v>
      </c>
      <c r="AJ407">
        <v>2</v>
      </c>
      <c r="AK407">
        <f>-(Table8361[[#This Row],[time]]-2)*2</f>
        <v>0</v>
      </c>
      <c r="AL407">
        <v>83.006</v>
      </c>
      <c r="AM407">
        <v>14.6487</v>
      </c>
      <c r="AN407">
        <f>Table8361[[#This Row],[CFNM]]/Table8361[[#This Row],[CAREA]]</f>
        <v>0.17647760402862445</v>
      </c>
    </row>
    <row r="408" spans="1:40" x14ac:dyDescent="0.25">
      <c r="A408">
        <v>2.0512600000000001</v>
      </c>
      <c r="B408">
        <f>-(Table1354[[#This Row],[time]]-2)*2</f>
        <v>-0.10252000000000017</v>
      </c>
      <c r="C408">
        <v>90.648399999999995</v>
      </c>
      <c r="D408">
        <v>10.848599999999999</v>
      </c>
      <c r="E408">
        <f>Table1354[[#This Row],[CFNM]]/Table1354[[#This Row],[CAREA]]</f>
        <v>0.11967778802494032</v>
      </c>
      <c r="F408">
        <v>2.0512600000000001</v>
      </c>
      <c r="G408">
        <f>-(Table2355[[#This Row],[time]]-2)*2</f>
        <v>-0.10252000000000017</v>
      </c>
      <c r="H408">
        <v>94.549000000000007</v>
      </c>
      <c r="I408">
        <v>2.6036100000000002</v>
      </c>
      <c r="J408">
        <f>Table2355[[#This Row],[CFNM]]/Table2355[[#This Row],[CAREA]]</f>
        <v>2.7537150049180847E-2</v>
      </c>
      <c r="K408">
        <v>2.0512600000000001</v>
      </c>
      <c r="L408">
        <f>-(Table3356[[#This Row],[time]]-2)*2</f>
        <v>-0.10252000000000017</v>
      </c>
      <c r="M408">
        <v>89.686700000000002</v>
      </c>
      <c r="N408">
        <v>4.1582499999999998</v>
      </c>
      <c r="O408">
        <f>Table3356[[#This Row],[CFNM]]/Table3356[[#This Row],[CAREA]]</f>
        <v>4.6364176628195704E-2</v>
      </c>
      <c r="P408">
        <v>2.0512600000000001</v>
      </c>
      <c r="Q408">
        <f>-(Table4357[[#This Row],[time]]-2)*2</f>
        <v>-0.10252000000000017</v>
      </c>
      <c r="R408">
        <v>84.481300000000005</v>
      </c>
      <c r="S408">
        <v>5.12887</v>
      </c>
      <c r="T408">
        <f>Table4357[[#This Row],[CFNM]]/Table4357[[#This Row],[CAREA]]</f>
        <v>6.0710121648222738E-2</v>
      </c>
      <c r="U408">
        <v>2.0512600000000001</v>
      </c>
      <c r="V408">
        <f>-(Table5358[[#This Row],[time]]-2)*2</f>
        <v>-0.10252000000000017</v>
      </c>
      <c r="W408">
        <v>82.558300000000003</v>
      </c>
      <c r="X408">
        <v>10.0549</v>
      </c>
      <c r="Y408">
        <f>Table5358[[#This Row],[CFNM]]/Table5358[[#This Row],[CAREA]]</f>
        <v>0.12179150975734723</v>
      </c>
      <c r="Z408">
        <v>2.0512600000000001</v>
      </c>
      <c r="AA408">
        <f>-(Table6359[[#This Row],[time]]-2)*2</f>
        <v>-0.10252000000000017</v>
      </c>
      <c r="AB408">
        <v>87.387500000000003</v>
      </c>
      <c r="AC408">
        <v>12.417400000000001</v>
      </c>
      <c r="AD408">
        <f>Table6359[[#This Row],[CFNM]]/Table6359[[#This Row],[CAREA]]</f>
        <v>0.14209583750536403</v>
      </c>
      <c r="AE408">
        <v>2.0512600000000001</v>
      </c>
      <c r="AF408">
        <f>-(Table7360[[#This Row],[time]]-2)*2</f>
        <v>-0.10252000000000017</v>
      </c>
      <c r="AG408">
        <v>79.652500000000003</v>
      </c>
      <c r="AH408">
        <v>20.511900000000001</v>
      </c>
      <c r="AI408">
        <f>Table7360[[#This Row],[CFNM]]/Table7360[[#This Row],[CAREA]]</f>
        <v>0.25751734094975048</v>
      </c>
      <c r="AJ408">
        <v>2.0512600000000001</v>
      </c>
      <c r="AK408">
        <f>-(Table8361[[#This Row],[time]]-2)*2</f>
        <v>-0.10252000000000017</v>
      </c>
      <c r="AL408">
        <v>82.992099999999994</v>
      </c>
      <c r="AM408">
        <v>18.259</v>
      </c>
      <c r="AN408">
        <f>Table8361[[#This Row],[CFNM]]/Table8361[[#This Row],[CAREA]]</f>
        <v>0.22000889241265134</v>
      </c>
    </row>
    <row r="409" spans="1:40" x14ac:dyDescent="0.25">
      <c r="A409">
        <v>2.1153300000000002</v>
      </c>
      <c r="B409">
        <f>-(Table1354[[#This Row],[time]]-2)*2</f>
        <v>-0.23066000000000031</v>
      </c>
      <c r="C409">
        <v>90.652600000000007</v>
      </c>
      <c r="D409">
        <v>11.3147</v>
      </c>
      <c r="E409">
        <f>Table1354[[#This Row],[CFNM]]/Table1354[[#This Row],[CAREA]]</f>
        <v>0.12481384979581391</v>
      </c>
      <c r="F409">
        <v>2.1153300000000002</v>
      </c>
      <c r="G409">
        <f>-(Table2355[[#This Row],[time]]-2)*2</f>
        <v>-0.23066000000000031</v>
      </c>
      <c r="H409">
        <v>93.403800000000004</v>
      </c>
      <c r="I409">
        <v>2.0022199999999999</v>
      </c>
      <c r="J409">
        <f>Table2355[[#This Row],[CFNM]]/Table2355[[#This Row],[CAREA]]</f>
        <v>2.1436172832368702E-2</v>
      </c>
      <c r="K409">
        <v>2.1153300000000002</v>
      </c>
      <c r="L409">
        <f>-(Table3356[[#This Row],[time]]-2)*2</f>
        <v>-0.23066000000000031</v>
      </c>
      <c r="M409">
        <v>90.115700000000004</v>
      </c>
      <c r="N409">
        <v>5.2031299999999998</v>
      </c>
      <c r="O409">
        <f>Table3356[[#This Row],[CFNM]]/Table3356[[#This Row],[CAREA]]</f>
        <v>5.7738329725009065E-2</v>
      </c>
      <c r="P409">
        <v>2.1153300000000002</v>
      </c>
      <c r="Q409">
        <f>-(Table4357[[#This Row],[time]]-2)*2</f>
        <v>-0.23066000000000031</v>
      </c>
      <c r="R409">
        <v>82.280600000000007</v>
      </c>
      <c r="S409">
        <v>4.6391400000000003</v>
      </c>
      <c r="T409">
        <f>Table4357[[#This Row],[CFNM]]/Table4357[[#This Row],[CAREA]]</f>
        <v>5.638194179429902E-2</v>
      </c>
      <c r="U409">
        <v>2.1153300000000002</v>
      </c>
      <c r="V409">
        <f>-(Table5358[[#This Row],[time]]-2)*2</f>
        <v>-0.23066000000000031</v>
      </c>
      <c r="W409">
        <v>83.727000000000004</v>
      </c>
      <c r="X409">
        <v>10.743399999999999</v>
      </c>
      <c r="Y409">
        <f>Table5358[[#This Row],[CFNM]]/Table5358[[#This Row],[CAREA]]</f>
        <v>0.12831464163292605</v>
      </c>
      <c r="Z409">
        <v>2.1153300000000002</v>
      </c>
      <c r="AA409">
        <f>-(Table6359[[#This Row],[time]]-2)*2</f>
        <v>-0.23066000000000031</v>
      </c>
      <c r="AB409">
        <v>84.787099999999995</v>
      </c>
      <c r="AC409">
        <v>9.1669300000000007</v>
      </c>
      <c r="AD409">
        <f>Table6359[[#This Row],[CFNM]]/Table6359[[#This Row],[CAREA]]</f>
        <v>0.10811703667185221</v>
      </c>
      <c r="AE409">
        <v>2.1153300000000002</v>
      </c>
      <c r="AF409">
        <f>-(Table7360[[#This Row],[time]]-2)*2</f>
        <v>-0.23066000000000031</v>
      </c>
      <c r="AG409">
        <v>79.961600000000004</v>
      </c>
      <c r="AH409">
        <v>21.668099999999999</v>
      </c>
      <c r="AI409">
        <f>Table7360[[#This Row],[CFNM]]/Table7360[[#This Row],[CAREA]]</f>
        <v>0.27098132103409633</v>
      </c>
      <c r="AJ409">
        <v>2.1153300000000002</v>
      </c>
      <c r="AK409">
        <f>-(Table8361[[#This Row],[time]]-2)*2</f>
        <v>-0.23066000000000031</v>
      </c>
      <c r="AL409">
        <v>82.782499999999999</v>
      </c>
      <c r="AM409">
        <v>17.398900000000001</v>
      </c>
      <c r="AN409">
        <f>Table8361[[#This Row],[CFNM]]/Table8361[[#This Row],[CAREA]]</f>
        <v>0.21017606378159637</v>
      </c>
    </row>
    <row r="410" spans="1:40" x14ac:dyDescent="0.25">
      <c r="A410">
        <v>2.16533</v>
      </c>
      <c r="B410">
        <f>-(Table1354[[#This Row],[time]]-2)*2</f>
        <v>-0.33065999999999995</v>
      </c>
      <c r="C410">
        <v>91.918300000000002</v>
      </c>
      <c r="D410">
        <v>13.061</v>
      </c>
      <c r="E410">
        <f>Table1354[[#This Row],[CFNM]]/Table1354[[#This Row],[CAREA]]</f>
        <v>0.14209357657833097</v>
      </c>
      <c r="F410">
        <v>2.16533</v>
      </c>
      <c r="G410">
        <f>-(Table2355[[#This Row],[time]]-2)*2</f>
        <v>-0.33065999999999995</v>
      </c>
      <c r="H410">
        <v>91.128200000000007</v>
      </c>
      <c r="I410">
        <v>1.6517900000000001</v>
      </c>
      <c r="J410">
        <f>Table2355[[#This Row],[CFNM]]/Table2355[[#This Row],[CAREA]]</f>
        <v>1.8126002708272523E-2</v>
      </c>
      <c r="K410">
        <v>2.16533</v>
      </c>
      <c r="L410">
        <f>-(Table3356[[#This Row],[time]]-2)*2</f>
        <v>-0.33065999999999995</v>
      </c>
      <c r="M410">
        <v>90.575699999999998</v>
      </c>
      <c r="N410">
        <v>7.6799200000000001</v>
      </c>
      <c r="O410">
        <f>Table3356[[#This Row],[CFNM]]/Table3356[[#This Row],[CAREA]]</f>
        <v>8.4790070626006755E-2</v>
      </c>
      <c r="P410">
        <v>2.16533</v>
      </c>
      <c r="Q410">
        <f>-(Table4357[[#This Row],[time]]-2)*2</f>
        <v>-0.33065999999999995</v>
      </c>
      <c r="R410">
        <v>80.669300000000007</v>
      </c>
      <c r="S410">
        <v>4.6116599999999996</v>
      </c>
      <c r="T410">
        <f>Table4357[[#This Row],[CFNM]]/Table4357[[#This Row],[CAREA]]</f>
        <v>5.7167472632091751E-2</v>
      </c>
      <c r="U410">
        <v>2.16533</v>
      </c>
      <c r="V410">
        <f>-(Table5358[[#This Row],[time]]-2)*2</f>
        <v>-0.33065999999999995</v>
      </c>
      <c r="W410">
        <v>84.331000000000003</v>
      </c>
      <c r="X410">
        <v>12.5564</v>
      </c>
      <c r="Y410">
        <f>Table5358[[#This Row],[CFNM]]/Table5358[[#This Row],[CAREA]]</f>
        <v>0.14889423818050301</v>
      </c>
      <c r="Z410">
        <v>2.16533</v>
      </c>
      <c r="AA410">
        <f>-(Table6359[[#This Row],[time]]-2)*2</f>
        <v>-0.33065999999999995</v>
      </c>
      <c r="AB410">
        <v>83.131399999999999</v>
      </c>
      <c r="AC410">
        <v>5.4552899999999998</v>
      </c>
      <c r="AD410">
        <f>Table6359[[#This Row],[CFNM]]/Table6359[[#This Row],[CAREA]]</f>
        <v>6.5622496433357311E-2</v>
      </c>
      <c r="AE410">
        <v>2.16533</v>
      </c>
      <c r="AF410">
        <f>-(Table7360[[#This Row],[time]]-2)*2</f>
        <v>-0.33065999999999995</v>
      </c>
      <c r="AG410">
        <v>80.495500000000007</v>
      </c>
      <c r="AH410">
        <v>23.990500000000001</v>
      </c>
      <c r="AI410">
        <f>Table7360[[#This Row],[CFNM]]/Table7360[[#This Row],[CAREA]]</f>
        <v>0.29803529389841665</v>
      </c>
      <c r="AJ410">
        <v>2.16533</v>
      </c>
      <c r="AK410">
        <f>-(Table8361[[#This Row],[time]]-2)*2</f>
        <v>-0.33065999999999995</v>
      </c>
      <c r="AL410">
        <v>82.627099999999999</v>
      </c>
      <c r="AM410">
        <v>16.174399999999999</v>
      </c>
      <c r="AN410">
        <f>Table8361[[#This Row],[CFNM]]/Table8361[[#This Row],[CAREA]]</f>
        <v>0.19575175699014002</v>
      </c>
    </row>
    <row r="411" spans="1:40" x14ac:dyDescent="0.25">
      <c r="A411">
        <v>2.2246999999999999</v>
      </c>
      <c r="B411">
        <f>-(Table1354[[#This Row],[time]]-2)*2</f>
        <v>-0.4493999999999998</v>
      </c>
      <c r="C411">
        <v>93.330699999999993</v>
      </c>
      <c r="D411">
        <v>13.9939</v>
      </c>
      <c r="E411">
        <f>Table1354[[#This Row],[CFNM]]/Table1354[[#This Row],[CAREA]]</f>
        <v>0.14993887327535313</v>
      </c>
      <c r="F411">
        <v>2.2246999999999999</v>
      </c>
      <c r="G411">
        <f>-(Table2355[[#This Row],[time]]-2)*2</f>
        <v>-0.4493999999999998</v>
      </c>
      <c r="H411">
        <v>89.934299999999993</v>
      </c>
      <c r="I411">
        <v>1.53582</v>
      </c>
      <c r="J411">
        <f>Table2355[[#This Row],[CFNM]]/Table2355[[#This Row],[CAREA]]</f>
        <v>1.7077132973737495E-2</v>
      </c>
      <c r="K411">
        <v>2.2246999999999999</v>
      </c>
      <c r="L411">
        <f>-(Table3356[[#This Row],[time]]-2)*2</f>
        <v>-0.4493999999999998</v>
      </c>
      <c r="M411">
        <v>90.551299999999998</v>
      </c>
      <c r="N411">
        <v>8.9262999999999995</v>
      </c>
      <c r="O411">
        <f>Table3356[[#This Row],[CFNM]]/Table3356[[#This Row],[CAREA]]</f>
        <v>9.8577270563757771E-2</v>
      </c>
      <c r="P411">
        <v>2.2246999999999999</v>
      </c>
      <c r="Q411">
        <f>-(Table4357[[#This Row],[time]]-2)*2</f>
        <v>-0.4493999999999998</v>
      </c>
      <c r="R411">
        <v>79.9114</v>
      </c>
      <c r="S411">
        <v>4.7039799999999996</v>
      </c>
      <c r="T411">
        <f>Table4357[[#This Row],[CFNM]]/Table4357[[#This Row],[CAREA]]</f>
        <v>5.8864942924288642E-2</v>
      </c>
      <c r="U411">
        <v>2.2246999999999999</v>
      </c>
      <c r="V411">
        <f>-(Table5358[[#This Row],[time]]-2)*2</f>
        <v>-0.4493999999999998</v>
      </c>
      <c r="W411">
        <v>84.338300000000004</v>
      </c>
      <c r="X411">
        <v>13.6334</v>
      </c>
      <c r="Y411">
        <f>Table5358[[#This Row],[CFNM]]/Table5358[[#This Row],[CAREA]]</f>
        <v>0.16165134938693332</v>
      </c>
      <c r="Z411">
        <v>2.2246999999999999</v>
      </c>
      <c r="AA411">
        <f>-(Table6359[[#This Row],[time]]-2)*2</f>
        <v>-0.4493999999999998</v>
      </c>
      <c r="AB411">
        <v>82.041300000000007</v>
      </c>
      <c r="AC411">
        <v>4.6513099999999996</v>
      </c>
      <c r="AD411">
        <f>Table6359[[#This Row],[CFNM]]/Table6359[[#This Row],[CAREA]]</f>
        <v>5.6694737894206933E-2</v>
      </c>
      <c r="AE411">
        <v>2.2246999999999999</v>
      </c>
      <c r="AF411">
        <f>-(Table7360[[#This Row],[time]]-2)*2</f>
        <v>-0.4493999999999998</v>
      </c>
      <c r="AG411">
        <v>80.240099999999998</v>
      </c>
      <c r="AH411">
        <v>25.112100000000002</v>
      </c>
      <c r="AI411">
        <f>Table7360[[#This Row],[CFNM]]/Table7360[[#This Row],[CAREA]]</f>
        <v>0.31296197287889721</v>
      </c>
      <c r="AJ411">
        <v>2.2246999999999999</v>
      </c>
      <c r="AK411">
        <f>-(Table8361[[#This Row],[time]]-2)*2</f>
        <v>-0.4493999999999998</v>
      </c>
      <c r="AL411">
        <v>82.544600000000003</v>
      </c>
      <c r="AM411">
        <v>15.639900000000001</v>
      </c>
      <c r="AN411">
        <f>Table8361[[#This Row],[CFNM]]/Table8361[[#This Row],[CAREA]]</f>
        <v>0.18947211568049274</v>
      </c>
    </row>
    <row r="412" spans="1:40" x14ac:dyDescent="0.25">
      <c r="A412">
        <v>2.2668900000000001</v>
      </c>
      <c r="B412">
        <f>-(Table1354[[#This Row],[time]]-2)*2</f>
        <v>-0.53378000000000014</v>
      </c>
      <c r="C412">
        <v>95.459900000000005</v>
      </c>
      <c r="D412">
        <v>15.9634</v>
      </c>
      <c r="E412">
        <f>Table1354[[#This Row],[CFNM]]/Table1354[[#This Row],[CAREA]]</f>
        <v>0.1672262384519573</v>
      </c>
      <c r="F412">
        <v>2.2668900000000001</v>
      </c>
      <c r="G412">
        <f>-(Table2355[[#This Row],[time]]-2)*2</f>
        <v>-0.53378000000000014</v>
      </c>
      <c r="H412">
        <v>88.976200000000006</v>
      </c>
      <c r="I412">
        <v>1.2667600000000001</v>
      </c>
      <c r="J412">
        <f>Table2355[[#This Row],[CFNM]]/Table2355[[#This Row],[CAREA]]</f>
        <v>1.4237065642272877E-2</v>
      </c>
      <c r="K412">
        <v>2.2668900000000001</v>
      </c>
      <c r="L412">
        <f>-(Table3356[[#This Row],[time]]-2)*2</f>
        <v>-0.53378000000000014</v>
      </c>
      <c r="M412">
        <v>90.144199999999998</v>
      </c>
      <c r="N412">
        <v>11.152200000000001</v>
      </c>
      <c r="O412">
        <f>Table3356[[#This Row],[CFNM]]/Table3356[[#This Row],[CAREA]]</f>
        <v>0.12371511422809234</v>
      </c>
      <c r="P412">
        <v>2.2668900000000001</v>
      </c>
      <c r="Q412">
        <f>-(Table4357[[#This Row],[time]]-2)*2</f>
        <v>-0.53378000000000014</v>
      </c>
      <c r="R412">
        <v>78.680400000000006</v>
      </c>
      <c r="S412">
        <v>4.7900700000000001</v>
      </c>
      <c r="T412">
        <f>Table4357[[#This Row],[CFNM]]/Table4357[[#This Row],[CAREA]]</f>
        <v>6.0880092119511335E-2</v>
      </c>
      <c r="U412">
        <v>2.2668900000000001</v>
      </c>
      <c r="V412">
        <f>-(Table5358[[#This Row],[time]]-2)*2</f>
        <v>-0.53378000000000014</v>
      </c>
      <c r="W412">
        <v>84.702100000000002</v>
      </c>
      <c r="X412">
        <v>15.944900000000001</v>
      </c>
      <c r="Y412">
        <f>Table5358[[#This Row],[CFNM]]/Table5358[[#This Row],[CAREA]]</f>
        <v>0.18824680852068604</v>
      </c>
      <c r="Z412">
        <v>2.2668900000000001</v>
      </c>
      <c r="AA412">
        <f>-(Table6359[[#This Row],[time]]-2)*2</f>
        <v>-0.53378000000000014</v>
      </c>
      <c r="AB412">
        <v>80.1875</v>
      </c>
      <c r="AC412">
        <v>3.7010100000000001</v>
      </c>
      <c r="AD412">
        <f>Table6359[[#This Row],[CFNM]]/Table6359[[#This Row],[CAREA]]</f>
        <v>4.6154450506625096E-2</v>
      </c>
      <c r="AE412">
        <v>2.2668900000000001</v>
      </c>
      <c r="AF412">
        <f>-(Table7360[[#This Row],[time]]-2)*2</f>
        <v>-0.53378000000000014</v>
      </c>
      <c r="AG412">
        <v>79.217799999999997</v>
      </c>
      <c r="AH412">
        <v>27.426400000000001</v>
      </c>
      <c r="AI412">
        <f>Table7360[[#This Row],[CFNM]]/Table7360[[#This Row],[CAREA]]</f>
        <v>0.34621511831936763</v>
      </c>
      <c r="AJ412">
        <v>2.2668900000000001</v>
      </c>
      <c r="AK412">
        <f>-(Table8361[[#This Row],[time]]-2)*2</f>
        <v>-0.53378000000000014</v>
      </c>
      <c r="AL412">
        <v>82.571700000000007</v>
      </c>
      <c r="AM412">
        <v>14.695</v>
      </c>
      <c r="AN412">
        <f>Table8361[[#This Row],[CFNM]]/Table8361[[#This Row],[CAREA]]</f>
        <v>0.1779665430165541</v>
      </c>
    </row>
    <row r="413" spans="1:40" x14ac:dyDescent="0.25">
      <c r="A413">
        <v>2.3262700000000001</v>
      </c>
      <c r="B413">
        <f>-(Table1354[[#This Row],[time]]-2)*2</f>
        <v>-0.65254000000000012</v>
      </c>
      <c r="C413">
        <v>97.414599999999993</v>
      </c>
      <c r="D413">
        <v>18.067299999999999</v>
      </c>
      <c r="E413">
        <f>Table1354[[#This Row],[CFNM]]/Table1354[[#This Row],[CAREA]]</f>
        <v>0.18546809205191009</v>
      </c>
      <c r="F413">
        <v>2.3262700000000001</v>
      </c>
      <c r="G413">
        <f>-(Table2355[[#This Row],[time]]-2)*2</f>
        <v>-0.65254000000000012</v>
      </c>
      <c r="H413">
        <v>87.837400000000002</v>
      </c>
      <c r="I413">
        <v>0.99166299999999996</v>
      </c>
      <c r="J413">
        <f>Table2355[[#This Row],[CFNM]]/Table2355[[#This Row],[CAREA]]</f>
        <v>1.1289758121255865E-2</v>
      </c>
      <c r="K413">
        <v>2.3262700000000001</v>
      </c>
      <c r="L413">
        <f>-(Table3356[[#This Row],[time]]-2)*2</f>
        <v>-0.65254000000000012</v>
      </c>
      <c r="M413">
        <v>89.605500000000006</v>
      </c>
      <c r="N413">
        <v>13.1455</v>
      </c>
      <c r="O413">
        <f>Table3356[[#This Row],[CFNM]]/Table3356[[#This Row],[CAREA]]</f>
        <v>0.14670416436491063</v>
      </c>
      <c r="P413">
        <v>2.3262700000000001</v>
      </c>
      <c r="Q413">
        <f>-(Table4357[[#This Row],[time]]-2)*2</f>
        <v>-0.65254000000000012</v>
      </c>
      <c r="R413">
        <v>78.275899999999993</v>
      </c>
      <c r="S413">
        <v>4.8591499999999996</v>
      </c>
      <c r="T413">
        <f>Table4357[[#This Row],[CFNM]]/Table4357[[#This Row],[CAREA]]</f>
        <v>6.207721661456464E-2</v>
      </c>
      <c r="U413">
        <v>2.3262700000000001</v>
      </c>
      <c r="V413">
        <f>-(Table5358[[#This Row],[time]]-2)*2</f>
        <v>-0.65254000000000012</v>
      </c>
      <c r="W413">
        <v>84.638400000000004</v>
      </c>
      <c r="X413">
        <v>18.152200000000001</v>
      </c>
      <c r="Y413">
        <f>Table5358[[#This Row],[CFNM]]/Table5358[[#This Row],[CAREA]]</f>
        <v>0.21446766479517571</v>
      </c>
      <c r="Z413">
        <v>2.3262700000000001</v>
      </c>
      <c r="AA413">
        <f>-(Table6359[[#This Row],[time]]-2)*2</f>
        <v>-0.65254000000000012</v>
      </c>
      <c r="AB413">
        <v>79.860299999999995</v>
      </c>
      <c r="AC413">
        <v>3.1467700000000001</v>
      </c>
      <c r="AD413">
        <f>Table6359[[#This Row],[CFNM]]/Table6359[[#This Row],[CAREA]]</f>
        <v>3.9403433245304618E-2</v>
      </c>
      <c r="AE413">
        <v>2.3262700000000001</v>
      </c>
      <c r="AF413">
        <f>-(Table7360[[#This Row],[time]]-2)*2</f>
        <v>-0.65254000000000012</v>
      </c>
      <c r="AG413">
        <v>78.041399999999996</v>
      </c>
      <c r="AH413">
        <v>29.814299999999999</v>
      </c>
      <c r="AI413">
        <f>Table7360[[#This Row],[CFNM]]/Table7360[[#This Row],[CAREA]]</f>
        <v>0.38203184463630846</v>
      </c>
      <c r="AJ413">
        <v>2.3262700000000001</v>
      </c>
      <c r="AK413">
        <f>-(Table8361[[#This Row],[time]]-2)*2</f>
        <v>-0.65254000000000012</v>
      </c>
      <c r="AL413">
        <v>82.359800000000007</v>
      </c>
      <c r="AM413">
        <v>14.077400000000001</v>
      </c>
      <c r="AN413">
        <f>Table8361[[#This Row],[CFNM]]/Table8361[[#This Row],[CAREA]]</f>
        <v>0.17092562148038243</v>
      </c>
    </row>
    <row r="414" spans="1:40" x14ac:dyDescent="0.25">
      <c r="A414">
        <v>2.3684599999999998</v>
      </c>
      <c r="B414">
        <f>-(Table1354[[#This Row],[time]]-2)*2</f>
        <v>-0.73691999999999958</v>
      </c>
      <c r="C414">
        <v>98.810199999999995</v>
      </c>
      <c r="D414">
        <v>20.6921</v>
      </c>
      <c r="E414">
        <f>Table1354[[#This Row],[CFNM]]/Table1354[[#This Row],[CAREA]]</f>
        <v>0.20941259100781096</v>
      </c>
      <c r="F414">
        <v>2.3684599999999998</v>
      </c>
      <c r="G414">
        <f>-(Table2355[[#This Row],[time]]-2)*2</f>
        <v>-0.73691999999999958</v>
      </c>
      <c r="H414">
        <v>86.667500000000004</v>
      </c>
      <c r="I414">
        <v>0.73054300000000005</v>
      </c>
      <c r="J414">
        <f>Table2355[[#This Row],[CFNM]]/Table2355[[#This Row],[CAREA]]</f>
        <v>8.4292612571032974E-3</v>
      </c>
      <c r="K414">
        <v>2.3684599999999998</v>
      </c>
      <c r="L414">
        <f>-(Table3356[[#This Row],[time]]-2)*2</f>
        <v>-0.73691999999999958</v>
      </c>
      <c r="M414">
        <v>88.932900000000004</v>
      </c>
      <c r="N414">
        <v>15.4839</v>
      </c>
      <c r="O414">
        <f>Table3356[[#This Row],[CFNM]]/Table3356[[#This Row],[CAREA]]</f>
        <v>0.17410766993992099</v>
      </c>
      <c r="P414">
        <v>2.3684599999999998</v>
      </c>
      <c r="Q414">
        <f>-(Table4357[[#This Row],[time]]-2)*2</f>
        <v>-0.73691999999999958</v>
      </c>
      <c r="R414">
        <v>77.072299999999998</v>
      </c>
      <c r="S414">
        <v>4.9474999999999998</v>
      </c>
      <c r="T414">
        <f>Table4357[[#This Row],[CFNM]]/Table4357[[#This Row],[CAREA]]</f>
        <v>6.4192972053513389E-2</v>
      </c>
      <c r="U414">
        <v>2.3684599999999998</v>
      </c>
      <c r="V414">
        <f>-(Table5358[[#This Row],[time]]-2)*2</f>
        <v>-0.73691999999999958</v>
      </c>
      <c r="W414">
        <v>84.470100000000002</v>
      </c>
      <c r="X414">
        <v>20.759899999999998</v>
      </c>
      <c r="Y414">
        <f>Table5358[[#This Row],[CFNM]]/Table5358[[#This Row],[CAREA]]</f>
        <v>0.24576625338433361</v>
      </c>
      <c r="Z414">
        <v>2.3684599999999998</v>
      </c>
      <c r="AA414">
        <f>-(Table6359[[#This Row],[time]]-2)*2</f>
        <v>-0.73691999999999958</v>
      </c>
      <c r="AB414">
        <v>79.012699999999995</v>
      </c>
      <c r="AC414">
        <v>2.7438600000000002</v>
      </c>
      <c r="AD414">
        <f>Table6359[[#This Row],[CFNM]]/Table6359[[#This Row],[CAREA]]</f>
        <v>3.4726822396905818E-2</v>
      </c>
      <c r="AE414">
        <v>2.3684599999999998</v>
      </c>
      <c r="AF414">
        <f>-(Table7360[[#This Row],[time]]-2)*2</f>
        <v>-0.73691999999999958</v>
      </c>
      <c r="AG414">
        <v>76.751300000000001</v>
      </c>
      <c r="AH414">
        <v>32.551499999999997</v>
      </c>
      <c r="AI414">
        <f>Table7360[[#This Row],[CFNM]]/Table7360[[#This Row],[CAREA]]</f>
        <v>0.42411659476777586</v>
      </c>
      <c r="AJ414">
        <v>2.3684599999999998</v>
      </c>
      <c r="AK414">
        <f>-(Table8361[[#This Row],[time]]-2)*2</f>
        <v>-0.73691999999999958</v>
      </c>
      <c r="AL414">
        <v>82.4953</v>
      </c>
      <c r="AM414">
        <v>13.381</v>
      </c>
      <c r="AN414">
        <f>Table8361[[#This Row],[CFNM]]/Table8361[[#This Row],[CAREA]]</f>
        <v>0.16220318005995493</v>
      </c>
    </row>
    <row r="415" spans="1:40" x14ac:dyDescent="0.25">
      <c r="A415">
        <v>2.4278300000000002</v>
      </c>
      <c r="B415">
        <f>-(Table1354[[#This Row],[time]]-2)*2</f>
        <v>-0.85566000000000031</v>
      </c>
      <c r="C415">
        <v>99.560599999999994</v>
      </c>
      <c r="D415">
        <v>23.196200000000001</v>
      </c>
      <c r="E415">
        <f>Table1354[[#This Row],[CFNM]]/Table1354[[#This Row],[CAREA]]</f>
        <v>0.23298573933865407</v>
      </c>
      <c r="F415">
        <v>2.4278300000000002</v>
      </c>
      <c r="G415">
        <f>-(Table2355[[#This Row],[time]]-2)*2</f>
        <v>-0.85566000000000031</v>
      </c>
      <c r="H415">
        <v>85.310400000000001</v>
      </c>
      <c r="I415">
        <v>0.66571499999999995</v>
      </c>
      <c r="J415">
        <f>Table2355[[#This Row],[CFNM]]/Table2355[[#This Row],[CAREA]]</f>
        <v>7.803444832048612E-3</v>
      </c>
      <c r="K415">
        <v>2.4278300000000002</v>
      </c>
      <c r="L415">
        <f>-(Table3356[[#This Row],[time]]-2)*2</f>
        <v>-0.85566000000000031</v>
      </c>
      <c r="M415">
        <v>88.052700000000002</v>
      </c>
      <c r="N415">
        <v>17.661999999999999</v>
      </c>
      <c r="O415">
        <f>Table3356[[#This Row],[CFNM]]/Table3356[[#This Row],[CAREA]]</f>
        <v>0.20058442273774682</v>
      </c>
      <c r="P415">
        <v>2.4278300000000002</v>
      </c>
      <c r="Q415">
        <f>-(Table4357[[#This Row],[time]]-2)*2</f>
        <v>-0.85566000000000031</v>
      </c>
      <c r="R415">
        <v>76.638400000000004</v>
      </c>
      <c r="S415">
        <v>5.0246300000000002</v>
      </c>
      <c r="T415">
        <f>Table4357[[#This Row],[CFNM]]/Table4357[[#This Row],[CAREA]]</f>
        <v>6.55628249023988E-2</v>
      </c>
      <c r="U415">
        <v>2.4278300000000002</v>
      </c>
      <c r="V415">
        <f>-(Table5358[[#This Row],[time]]-2)*2</f>
        <v>-0.85566000000000031</v>
      </c>
      <c r="W415">
        <v>84.638300000000001</v>
      </c>
      <c r="X415">
        <v>23.06</v>
      </c>
      <c r="Y415">
        <f>Table5358[[#This Row],[CFNM]]/Table5358[[#This Row],[CAREA]]</f>
        <v>0.27245348736919334</v>
      </c>
      <c r="Z415">
        <v>2.4278300000000002</v>
      </c>
      <c r="AA415">
        <f>-(Table6359[[#This Row],[time]]-2)*2</f>
        <v>-0.85566000000000031</v>
      </c>
      <c r="AB415">
        <v>77.2834</v>
      </c>
      <c r="AC415">
        <v>2.5320200000000002</v>
      </c>
      <c r="AD415">
        <f>Table6359[[#This Row],[CFNM]]/Table6359[[#This Row],[CAREA]]</f>
        <v>3.2762792527243886E-2</v>
      </c>
      <c r="AE415">
        <v>2.4278300000000002</v>
      </c>
      <c r="AF415">
        <f>-(Table7360[[#This Row],[time]]-2)*2</f>
        <v>-0.85566000000000031</v>
      </c>
      <c r="AG415">
        <v>75.706599999999995</v>
      </c>
      <c r="AH415">
        <v>34.969700000000003</v>
      </c>
      <c r="AI415">
        <f>Table7360[[#This Row],[CFNM]]/Table7360[[#This Row],[CAREA]]</f>
        <v>0.46191085057313375</v>
      </c>
      <c r="AJ415">
        <v>2.4278300000000002</v>
      </c>
      <c r="AK415">
        <f>-(Table8361[[#This Row],[time]]-2)*2</f>
        <v>-0.85566000000000031</v>
      </c>
      <c r="AL415">
        <v>82.557900000000004</v>
      </c>
      <c r="AM415">
        <v>12.701000000000001</v>
      </c>
      <c r="AN415">
        <f>Table8361[[#This Row],[CFNM]]/Table8361[[#This Row],[CAREA]]</f>
        <v>0.15384354495451072</v>
      </c>
    </row>
    <row r="416" spans="1:40" x14ac:dyDescent="0.25">
      <c r="A416">
        <v>2.4542000000000002</v>
      </c>
      <c r="B416">
        <f>-(Table1354[[#This Row],[time]]-2)*2</f>
        <v>-0.90840000000000032</v>
      </c>
      <c r="C416">
        <v>100.593</v>
      </c>
      <c r="D416">
        <v>26.314399999999999</v>
      </c>
      <c r="E416">
        <f>Table1354[[#This Row],[CFNM]]/Table1354[[#This Row],[CAREA]]</f>
        <v>0.261592754963069</v>
      </c>
      <c r="F416">
        <v>2.4542000000000002</v>
      </c>
      <c r="G416">
        <f>-(Table2355[[#This Row],[time]]-2)*2</f>
        <v>-0.90840000000000032</v>
      </c>
      <c r="H416">
        <v>84.266999999999996</v>
      </c>
      <c r="I416">
        <v>0.66667299999999996</v>
      </c>
      <c r="J416">
        <f>Table2355[[#This Row],[CFNM]]/Table2355[[#This Row],[CAREA]]</f>
        <v>7.9114362680527371E-3</v>
      </c>
      <c r="K416">
        <v>2.4542000000000002</v>
      </c>
      <c r="L416">
        <f>-(Table3356[[#This Row],[time]]-2)*2</f>
        <v>-0.90840000000000032</v>
      </c>
      <c r="M416">
        <v>86.821200000000005</v>
      </c>
      <c r="N416">
        <v>20.8552</v>
      </c>
      <c r="O416">
        <f>Table3356[[#This Row],[CFNM]]/Table3356[[#This Row],[CAREA]]</f>
        <v>0.24020861264299501</v>
      </c>
      <c r="P416">
        <v>2.4542000000000002</v>
      </c>
      <c r="Q416">
        <f>-(Table4357[[#This Row],[time]]-2)*2</f>
        <v>-0.90840000000000032</v>
      </c>
      <c r="R416">
        <v>74.386399999999995</v>
      </c>
      <c r="S416">
        <v>5.0446600000000004</v>
      </c>
      <c r="T416">
        <f>Table4357[[#This Row],[CFNM]]/Table4357[[#This Row],[CAREA]]</f>
        <v>6.7816966542271179E-2</v>
      </c>
      <c r="U416">
        <v>2.4542000000000002</v>
      </c>
      <c r="V416">
        <f>-(Table5358[[#This Row],[time]]-2)*2</f>
        <v>-0.90840000000000032</v>
      </c>
      <c r="W416">
        <v>84.376199999999997</v>
      </c>
      <c r="X416">
        <v>25.922000000000001</v>
      </c>
      <c r="Y416">
        <f>Table5358[[#This Row],[CFNM]]/Table5358[[#This Row],[CAREA]]</f>
        <v>0.30721933436205945</v>
      </c>
      <c r="Z416">
        <v>2.4542000000000002</v>
      </c>
      <c r="AA416">
        <f>-(Table6359[[#This Row],[time]]-2)*2</f>
        <v>-0.90840000000000032</v>
      </c>
      <c r="AB416">
        <v>75.592200000000005</v>
      </c>
      <c r="AC416">
        <v>2.33847</v>
      </c>
      <c r="AD416">
        <f>Table6359[[#This Row],[CFNM]]/Table6359[[#This Row],[CAREA]]</f>
        <v>3.0935334598014078E-2</v>
      </c>
      <c r="AE416">
        <v>2.4542000000000002</v>
      </c>
      <c r="AF416">
        <f>-(Table7360[[#This Row],[time]]-2)*2</f>
        <v>-0.90840000000000032</v>
      </c>
      <c r="AG416">
        <v>74.454499999999996</v>
      </c>
      <c r="AH416">
        <v>37.807400000000001</v>
      </c>
      <c r="AI416">
        <f>Table7360[[#This Row],[CFNM]]/Table7360[[#This Row],[CAREA]]</f>
        <v>0.50779200719902762</v>
      </c>
      <c r="AJ416">
        <v>2.4542000000000002</v>
      </c>
      <c r="AK416">
        <f>-(Table8361[[#This Row],[time]]-2)*2</f>
        <v>-0.90840000000000032</v>
      </c>
      <c r="AL416">
        <v>82.037899999999993</v>
      </c>
      <c r="AM416">
        <v>11.8476</v>
      </c>
      <c r="AN416">
        <f>Table8361[[#This Row],[CFNM]]/Table8361[[#This Row],[CAREA]]</f>
        <v>0.14441617837609202</v>
      </c>
    </row>
    <row r="417" spans="1:40" x14ac:dyDescent="0.25">
      <c r="A417">
        <v>2.5061499999999999</v>
      </c>
      <c r="B417">
        <f>-(Table1354[[#This Row],[time]]-2)*2</f>
        <v>-1.0122999999999998</v>
      </c>
      <c r="C417">
        <v>101.087</v>
      </c>
      <c r="D417">
        <v>30.123699999999999</v>
      </c>
      <c r="E417">
        <f>Table1354[[#This Row],[CFNM]]/Table1354[[#This Row],[CAREA]]</f>
        <v>0.29799776430203684</v>
      </c>
      <c r="F417">
        <v>2.5061499999999999</v>
      </c>
      <c r="G417">
        <f>-(Table2355[[#This Row],[time]]-2)*2</f>
        <v>-1.0122999999999998</v>
      </c>
      <c r="H417">
        <v>83.350499999999997</v>
      </c>
      <c r="I417">
        <v>0.524119</v>
      </c>
      <c r="J417">
        <f>Table2355[[#This Row],[CFNM]]/Table2355[[#This Row],[CAREA]]</f>
        <v>6.288132644675197E-3</v>
      </c>
      <c r="K417">
        <v>2.5061499999999999</v>
      </c>
      <c r="L417">
        <f>-(Table3356[[#This Row],[time]]-2)*2</f>
        <v>-1.0122999999999998</v>
      </c>
      <c r="M417">
        <v>85.736099999999993</v>
      </c>
      <c r="N417">
        <v>24.272400000000001</v>
      </c>
      <c r="O417">
        <f>Table3356[[#This Row],[CFNM]]/Table3356[[#This Row],[CAREA]]</f>
        <v>0.28310594953584317</v>
      </c>
      <c r="P417">
        <v>2.5061499999999999</v>
      </c>
      <c r="Q417">
        <f>-(Table4357[[#This Row],[time]]-2)*2</f>
        <v>-1.0122999999999998</v>
      </c>
      <c r="R417">
        <v>73.418700000000001</v>
      </c>
      <c r="S417">
        <v>5.0934799999999996</v>
      </c>
      <c r="T417">
        <f>Table4357[[#This Row],[CFNM]]/Table4357[[#This Row],[CAREA]]</f>
        <v>6.937578573306255E-2</v>
      </c>
      <c r="U417">
        <v>2.5061499999999999</v>
      </c>
      <c r="V417">
        <f>-(Table5358[[#This Row],[time]]-2)*2</f>
        <v>-1.0122999999999998</v>
      </c>
      <c r="W417">
        <v>84.286299999999997</v>
      </c>
      <c r="X417">
        <v>28.8401</v>
      </c>
      <c r="Y417">
        <f>Table5358[[#This Row],[CFNM]]/Table5358[[#This Row],[CAREA]]</f>
        <v>0.34216830018638855</v>
      </c>
      <c r="Z417">
        <v>2.5061499999999999</v>
      </c>
      <c r="AA417">
        <f>-(Table6359[[#This Row],[time]]-2)*2</f>
        <v>-1.0122999999999998</v>
      </c>
      <c r="AB417">
        <v>74.235900000000001</v>
      </c>
      <c r="AC417">
        <v>2.1035400000000002</v>
      </c>
      <c r="AD417">
        <f>Table6359[[#This Row],[CFNM]]/Table6359[[#This Row],[CAREA]]</f>
        <v>2.8335886006635606E-2</v>
      </c>
      <c r="AE417">
        <v>2.5061499999999999</v>
      </c>
      <c r="AF417">
        <f>-(Table7360[[#This Row],[time]]-2)*2</f>
        <v>-1.0122999999999998</v>
      </c>
      <c r="AG417">
        <v>73.3673</v>
      </c>
      <c r="AH417">
        <v>40.556199999999997</v>
      </c>
      <c r="AI417">
        <f>Table7360[[#This Row],[CFNM]]/Table7360[[#This Row],[CAREA]]</f>
        <v>0.55278305185007481</v>
      </c>
      <c r="AJ417">
        <v>2.5061499999999999</v>
      </c>
      <c r="AK417">
        <f>-(Table8361[[#This Row],[time]]-2)*2</f>
        <v>-1.0122999999999998</v>
      </c>
      <c r="AL417">
        <v>81.482399999999998</v>
      </c>
      <c r="AM417">
        <v>10.9948</v>
      </c>
      <c r="AN417">
        <f>Table8361[[#This Row],[CFNM]]/Table8361[[#This Row],[CAREA]]</f>
        <v>0.13493466073655169</v>
      </c>
    </row>
    <row r="418" spans="1:40" x14ac:dyDescent="0.25">
      <c r="A418">
        <v>2.5507599999999999</v>
      </c>
      <c r="B418">
        <f>-(Table1354[[#This Row],[time]]-2)*2</f>
        <v>-1.1015199999999998</v>
      </c>
      <c r="C418">
        <v>101.19199999999999</v>
      </c>
      <c r="D418">
        <v>35.4313</v>
      </c>
      <c r="E418">
        <f>Table1354[[#This Row],[CFNM]]/Table1354[[#This Row],[CAREA]]</f>
        <v>0.35013933907818801</v>
      </c>
      <c r="F418">
        <v>2.5507599999999999</v>
      </c>
      <c r="G418">
        <f>-(Table2355[[#This Row],[time]]-2)*2</f>
        <v>-1.1015199999999998</v>
      </c>
      <c r="H418">
        <v>82.172899999999998</v>
      </c>
      <c r="I418">
        <v>0.38788099999999998</v>
      </c>
      <c r="J418">
        <f>Table2355[[#This Row],[CFNM]]/Table2355[[#This Row],[CAREA]]</f>
        <v>4.7203031656422008E-3</v>
      </c>
      <c r="K418">
        <v>2.5507599999999999</v>
      </c>
      <c r="L418">
        <f>-(Table3356[[#This Row],[time]]-2)*2</f>
        <v>-1.1015199999999998</v>
      </c>
      <c r="M418">
        <v>84.044499999999999</v>
      </c>
      <c r="N418">
        <v>29.3627</v>
      </c>
      <c r="O418">
        <f>Table3356[[#This Row],[CFNM]]/Table3356[[#This Row],[CAREA]]</f>
        <v>0.34937086900392056</v>
      </c>
      <c r="P418">
        <v>2.5507599999999999</v>
      </c>
      <c r="Q418">
        <f>-(Table4357[[#This Row],[time]]-2)*2</f>
        <v>-1.1015199999999998</v>
      </c>
      <c r="R418">
        <v>72.357299999999995</v>
      </c>
      <c r="S418">
        <v>5.0232400000000004</v>
      </c>
      <c r="T418">
        <f>Table4357[[#This Row],[CFNM]]/Table4357[[#This Row],[CAREA]]</f>
        <v>6.9422712013853485E-2</v>
      </c>
      <c r="U418">
        <v>2.5507599999999999</v>
      </c>
      <c r="V418">
        <f>-(Table5358[[#This Row],[time]]-2)*2</f>
        <v>-1.1015199999999998</v>
      </c>
      <c r="W418">
        <v>83.729600000000005</v>
      </c>
      <c r="X418">
        <v>32.932400000000001</v>
      </c>
      <c r="Y418">
        <f>Table5358[[#This Row],[CFNM]]/Table5358[[#This Row],[CAREA]]</f>
        <v>0.39331849190728246</v>
      </c>
      <c r="Z418">
        <v>2.5507599999999999</v>
      </c>
      <c r="AA418">
        <f>-(Table6359[[#This Row],[time]]-2)*2</f>
        <v>-1.1015199999999998</v>
      </c>
      <c r="AB418">
        <v>72.024600000000007</v>
      </c>
      <c r="AC418">
        <v>1.7262999999999999</v>
      </c>
      <c r="AD418">
        <f>Table6359[[#This Row],[CFNM]]/Table6359[[#This Row],[CAREA]]</f>
        <v>2.3968199753972946E-2</v>
      </c>
      <c r="AE418">
        <v>2.5507599999999999</v>
      </c>
      <c r="AF418">
        <f>-(Table7360[[#This Row],[time]]-2)*2</f>
        <v>-1.1015199999999998</v>
      </c>
      <c r="AG418">
        <v>71.9846</v>
      </c>
      <c r="AH418">
        <v>44.619399999999999</v>
      </c>
      <c r="AI418">
        <f>Table7360[[#This Row],[CFNM]]/Table7360[[#This Row],[CAREA]]</f>
        <v>0.61984646716103164</v>
      </c>
      <c r="AJ418">
        <v>2.5507599999999999</v>
      </c>
      <c r="AK418">
        <f>-(Table8361[[#This Row],[time]]-2)*2</f>
        <v>-1.1015199999999998</v>
      </c>
      <c r="AL418">
        <v>80.787499999999994</v>
      </c>
      <c r="AM418">
        <v>9.8505900000000004</v>
      </c>
      <c r="AN418">
        <f>Table8361[[#This Row],[CFNM]]/Table8361[[#This Row],[CAREA]]</f>
        <v>0.12193210583320441</v>
      </c>
    </row>
    <row r="419" spans="1:40" x14ac:dyDescent="0.25">
      <c r="A419">
        <v>2.60453</v>
      </c>
      <c r="B419">
        <f>-(Table1354[[#This Row],[time]]-2)*2</f>
        <v>-1.20906</v>
      </c>
      <c r="C419">
        <v>101.196</v>
      </c>
      <c r="D419">
        <v>38.261299999999999</v>
      </c>
      <c r="E419">
        <f>Table1354[[#This Row],[CFNM]]/Table1354[[#This Row],[CAREA]]</f>
        <v>0.37809103126605792</v>
      </c>
      <c r="F419">
        <v>2.60453</v>
      </c>
      <c r="G419">
        <f>-(Table2355[[#This Row],[time]]-2)*2</f>
        <v>-1.20906</v>
      </c>
      <c r="H419">
        <v>81.604699999999994</v>
      </c>
      <c r="I419">
        <v>0.317355</v>
      </c>
      <c r="J419">
        <f>Table2355[[#This Row],[CFNM]]/Table2355[[#This Row],[CAREA]]</f>
        <v>3.8889304169980408E-3</v>
      </c>
      <c r="K419">
        <v>2.60453</v>
      </c>
      <c r="L419">
        <f>-(Table3356[[#This Row],[time]]-2)*2</f>
        <v>-1.20906</v>
      </c>
      <c r="M419">
        <v>83.297899999999998</v>
      </c>
      <c r="N419">
        <v>32.542299999999997</v>
      </c>
      <c r="O419">
        <f>Table3356[[#This Row],[CFNM]]/Table3356[[#This Row],[CAREA]]</f>
        <v>0.39067371446338983</v>
      </c>
      <c r="P419">
        <v>2.60453</v>
      </c>
      <c r="Q419">
        <f>-(Table4357[[#This Row],[time]]-2)*2</f>
        <v>-1.20906</v>
      </c>
      <c r="R419">
        <v>71.660200000000003</v>
      </c>
      <c r="S419">
        <v>4.7500400000000003</v>
      </c>
      <c r="T419">
        <f>Table4357[[#This Row],[CFNM]]/Table4357[[#This Row],[CAREA]]</f>
        <v>6.6285609027047096E-2</v>
      </c>
      <c r="U419">
        <v>2.60453</v>
      </c>
      <c r="V419">
        <f>-(Table5358[[#This Row],[time]]-2)*2</f>
        <v>-1.20906</v>
      </c>
      <c r="W419">
        <v>83.293999999999997</v>
      </c>
      <c r="X419">
        <v>35.268900000000002</v>
      </c>
      <c r="Y419">
        <f>Table5358[[#This Row],[CFNM]]/Table5358[[#This Row],[CAREA]]</f>
        <v>0.42342665738228447</v>
      </c>
      <c r="Z419">
        <v>2.60453</v>
      </c>
      <c r="AA419">
        <f>-(Table6359[[#This Row],[time]]-2)*2</f>
        <v>-1.20906</v>
      </c>
      <c r="AB419">
        <v>69.780100000000004</v>
      </c>
      <c r="AC419">
        <v>1.5178499999999999</v>
      </c>
      <c r="AD419">
        <f>Table6359[[#This Row],[CFNM]]/Table6359[[#This Row],[CAREA]]</f>
        <v>2.175190347964534E-2</v>
      </c>
      <c r="AE419">
        <v>2.60453</v>
      </c>
      <c r="AF419">
        <f>-(Table7360[[#This Row],[time]]-2)*2</f>
        <v>-1.20906</v>
      </c>
      <c r="AG419">
        <v>71.215400000000002</v>
      </c>
      <c r="AH419">
        <v>47.009799999999998</v>
      </c>
      <c r="AI419">
        <f>Table7360[[#This Row],[CFNM]]/Table7360[[#This Row],[CAREA]]</f>
        <v>0.66010722399930344</v>
      </c>
      <c r="AJ419">
        <v>2.60453</v>
      </c>
      <c r="AK419">
        <f>-(Table8361[[#This Row],[time]]-2)*2</f>
        <v>-1.20906</v>
      </c>
      <c r="AL419">
        <v>80.788700000000006</v>
      </c>
      <c r="AM419">
        <v>9.1655700000000007</v>
      </c>
      <c r="AN419">
        <f>Table8361[[#This Row],[CFNM]]/Table8361[[#This Row],[CAREA]]</f>
        <v>0.11345113858745097</v>
      </c>
    </row>
    <row r="420" spans="1:40" x14ac:dyDescent="0.25">
      <c r="A420">
        <v>2.65273</v>
      </c>
      <c r="B420">
        <f>-(Table1354[[#This Row],[time]]-2)*2</f>
        <v>-1.3054600000000001</v>
      </c>
      <c r="C420">
        <v>100.943</v>
      </c>
      <c r="D420">
        <v>40.829599999999999</v>
      </c>
      <c r="E420">
        <f>Table1354[[#This Row],[CFNM]]/Table1354[[#This Row],[CAREA]]</f>
        <v>0.40448173721803393</v>
      </c>
      <c r="F420">
        <v>2.65273</v>
      </c>
      <c r="G420">
        <f>-(Table2355[[#This Row],[time]]-2)*2</f>
        <v>-1.3054600000000001</v>
      </c>
      <c r="H420">
        <v>79.901799999999994</v>
      </c>
      <c r="I420">
        <v>0.249194</v>
      </c>
      <c r="J420">
        <f>Table2355[[#This Row],[CFNM]]/Table2355[[#This Row],[CAREA]]</f>
        <v>3.1187532696384814E-3</v>
      </c>
      <c r="K420">
        <v>2.65273</v>
      </c>
      <c r="L420">
        <f>-(Table3356[[#This Row],[time]]-2)*2</f>
        <v>-1.3054600000000001</v>
      </c>
      <c r="M420">
        <v>82.586100000000002</v>
      </c>
      <c r="N420">
        <v>35.466099999999997</v>
      </c>
      <c r="O420">
        <f>Table3356[[#This Row],[CFNM]]/Table3356[[#This Row],[CAREA]]</f>
        <v>0.42944393790238305</v>
      </c>
      <c r="P420">
        <v>2.65273</v>
      </c>
      <c r="Q420">
        <f>-(Table4357[[#This Row],[time]]-2)*2</f>
        <v>-1.3054600000000001</v>
      </c>
      <c r="R420">
        <v>69.918300000000002</v>
      </c>
      <c r="S420">
        <v>4.4918399999999998</v>
      </c>
      <c r="T420">
        <f>Table4357[[#This Row],[CFNM]]/Table4357[[#This Row],[CAREA]]</f>
        <v>6.424412492866674E-2</v>
      </c>
      <c r="U420">
        <v>2.65273</v>
      </c>
      <c r="V420">
        <f>-(Table5358[[#This Row],[time]]-2)*2</f>
        <v>-1.3054600000000001</v>
      </c>
      <c r="W420">
        <v>82.966200000000001</v>
      </c>
      <c r="X420">
        <v>37.459600000000002</v>
      </c>
      <c r="Y420">
        <f>Table5358[[#This Row],[CFNM]]/Table5358[[#This Row],[CAREA]]</f>
        <v>0.4515043475535821</v>
      </c>
      <c r="Z420">
        <v>2.65273</v>
      </c>
      <c r="AA420">
        <f>-(Table6359[[#This Row],[time]]-2)*2</f>
        <v>-1.3054600000000001</v>
      </c>
      <c r="AB420">
        <v>69.5822</v>
      </c>
      <c r="AC420">
        <v>1.3292200000000001</v>
      </c>
      <c r="AD420">
        <f>Table6359[[#This Row],[CFNM]]/Table6359[[#This Row],[CAREA]]</f>
        <v>1.9102874010882093E-2</v>
      </c>
      <c r="AE420">
        <v>2.65273</v>
      </c>
      <c r="AF420">
        <f>-(Table7360[[#This Row],[time]]-2)*2</f>
        <v>-1.3054600000000001</v>
      </c>
      <c r="AG420">
        <v>70.507000000000005</v>
      </c>
      <c r="AH420">
        <v>49.206099999999999</v>
      </c>
      <c r="AI420">
        <f>Table7360[[#This Row],[CFNM]]/Table7360[[#This Row],[CAREA]]</f>
        <v>0.6978895712482448</v>
      </c>
      <c r="AJ420">
        <v>2.65273</v>
      </c>
      <c r="AK420">
        <f>-(Table8361[[#This Row],[time]]-2)*2</f>
        <v>-1.3054600000000001</v>
      </c>
      <c r="AL420">
        <v>79.826899999999995</v>
      </c>
      <c r="AM420">
        <v>8.5023400000000002</v>
      </c>
      <c r="AN420">
        <f>Table8361[[#This Row],[CFNM]]/Table8361[[#This Row],[CAREA]]</f>
        <v>0.10650971038584739</v>
      </c>
    </row>
    <row r="421" spans="1:40" x14ac:dyDescent="0.25">
      <c r="A421">
        <v>2.7006199999999998</v>
      </c>
      <c r="B421">
        <f>-(Table1354[[#This Row],[time]]-2)*2</f>
        <v>-1.4012399999999996</v>
      </c>
      <c r="C421">
        <v>100.527</v>
      </c>
      <c r="D421">
        <v>44.923299999999998</v>
      </c>
      <c r="E421">
        <f>Table1354[[#This Row],[CFNM]]/Table1354[[#This Row],[CAREA]]</f>
        <v>0.44687795318670603</v>
      </c>
      <c r="F421">
        <v>2.7006199999999998</v>
      </c>
      <c r="G421">
        <f>-(Table2355[[#This Row],[time]]-2)*2</f>
        <v>-1.4012399999999996</v>
      </c>
      <c r="H421">
        <v>78.048500000000004</v>
      </c>
      <c r="I421">
        <v>0.12263</v>
      </c>
      <c r="J421">
        <f>Table2355[[#This Row],[CFNM]]/Table2355[[#This Row],[CAREA]]</f>
        <v>1.5712025215090617E-3</v>
      </c>
      <c r="K421">
        <v>2.7006199999999998</v>
      </c>
      <c r="L421">
        <f>-(Table3356[[#This Row],[time]]-2)*2</f>
        <v>-1.4012399999999996</v>
      </c>
      <c r="M421">
        <v>81.499399999999994</v>
      </c>
      <c r="N421">
        <v>40.074599999999997</v>
      </c>
      <c r="O421">
        <f>Table3356[[#This Row],[CFNM]]/Table3356[[#This Row],[CAREA]]</f>
        <v>0.49171650343438111</v>
      </c>
      <c r="P421">
        <v>2.7006199999999998</v>
      </c>
      <c r="Q421">
        <f>-(Table4357[[#This Row],[time]]-2)*2</f>
        <v>-1.4012399999999996</v>
      </c>
      <c r="R421">
        <v>68.334199999999996</v>
      </c>
      <c r="S421">
        <v>4.0794300000000003</v>
      </c>
      <c r="T421">
        <f>Table4357[[#This Row],[CFNM]]/Table4357[[#This Row],[CAREA]]</f>
        <v>5.9698218461619518E-2</v>
      </c>
      <c r="U421">
        <v>2.7006199999999998</v>
      </c>
      <c r="V421">
        <f>-(Table5358[[#This Row],[time]]-2)*2</f>
        <v>-1.4012399999999996</v>
      </c>
      <c r="W421">
        <v>82.331800000000001</v>
      </c>
      <c r="X421">
        <v>40.9803</v>
      </c>
      <c r="Y421">
        <f>Table5358[[#This Row],[CFNM]]/Table5358[[#This Row],[CAREA]]</f>
        <v>0.4977457070050697</v>
      </c>
      <c r="Z421">
        <v>2.7006199999999998</v>
      </c>
      <c r="AA421">
        <f>-(Table6359[[#This Row],[time]]-2)*2</f>
        <v>-1.4012399999999996</v>
      </c>
      <c r="AB421">
        <v>68.198599999999999</v>
      </c>
      <c r="AC421">
        <v>1.0387</v>
      </c>
      <c r="AD421">
        <f>Table6359[[#This Row],[CFNM]]/Table6359[[#This Row],[CAREA]]</f>
        <v>1.5230517928520527E-2</v>
      </c>
      <c r="AE421">
        <v>2.7006199999999998</v>
      </c>
      <c r="AF421">
        <f>-(Table7360[[#This Row],[time]]-2)*2</f>
        <v>-1.4012399999999996</v>
      </c>
      <c r="AG421">
        <v>69.372699999999995</v>
      </c>
      <c r="AH421">
        <v>52.738999999999997</v>
      </c>
      <c r="AI421">
        <f>Table7360[[#This Row],[CFNM]]/Table7360[[#This Row],[CAREA]]</f>
        <v>0.7602270057241538</v>
      </c>
      <c r="AJ421">
        <v>2.7006199999999998</v>
      </c>
      <c r="AK421">
        <f>-(Table8361[[#This Row],[time]]-2)*2</f>
        <v>-1.4012399999999996</v>
      </c>
      <c r="AL421">
        <v>79.104699999999994</v>
      </c>
      <c r="AM421">
        <v>7.4024900000000002</v>
      </c>
      <c r="AN421">
        <f>Table8361[[#This Row],[CFNM]]/Table8361[[#This Row],[CAREA]]</f>
        <v>9.3578384090957936E-2</v>
      </c>
    </row>
    <row r="422" spans="1:40" x14ac:dyDescent="0.25">
      <c r="A422">
        <v>2.75176</v>
      </c>
      <c r="B422">
        <f>-(Table1354[[#This Row],[time]]-2)*2</f>
        <v>-1.50352</v>
      </c>
      <c r="C422">
        <v>100.072</v>
      </c>
      <c r="D422">
        <v>47.538699999999999</v>
      </c>
      <c r="E422">
        <f>Table1354[[#This Row],[CFNM]]/Table1354[[#This Row],[CAREA]]</f>
        <v>0.47504496762331117</v>
      </c>
      <c r="F422">
        <v>2.75176</v>
      </c>
      <c r="G422">
        <f>-(Table2355[[#This Row],[time]]-2)*2</f>
        <v>-1.50352</v>
      </c>
      <c r="H422">
        <v>77.827699999999993</v>
      </c>
      <c r="I422">
        <v>4.4535699999999998E-2</v>
      </c>
      <c r="J422">
        <f>Table2355[[#This Row],[CFNM]]/Table2355[[#This Row],[CAREA]]</f>
        <v>5.7223456430037121E-4</v>
      </c>
      <c r="K422">
        <v>2.75176</v>
      </c>
      <c r="L422">
        <f>-(Table3356[[#This Row],[time]]-2)*2</f>
        <v>-1.50352</v>
      </c>
      <c r="M422">
        <v>80.847300000000004</v>
      </c>
      <c r="N422">
        <v>43.005299999999998</v>
      </c>
      <c r="O422">
        <f>Table3356[[#This Row],[CFNM]]/Table3356[[#This Row],[CAREA]]</f>
        <v>0.53193242074874481</v>
      </c>
      <c r="P422">
        <v>2.75176</v>
      </c>
      <c r="Q422">
        <f>-(Table4357[[#This Row],[time]]-2)*2</f>
        <v>-1.50352</v>
      </c>
      <c r="R422">
        <v>67.589100000000002</v>
      </c>
      <c r="S422">
        <v>3.8184900000000002</v>
      </c>
      <c r="T422">
        <f>Table4357[[#This Row],[CFNM]]/Table4357[[#This Row],[CAREA]]</f>
        <v>5.6495647966905906E-2</v>
      </c>
      <c r="U422">
        <v>2.75176</v>
      </c>
      <c r="V422">
        <f>-(Table5358[[#This Row],[time]]-2)*2</f>
        <v>-1.50352</v>
      </c>
      <c r="W422">
        <v>81.9465</v>
      </c>
      <c r="X422">
        <v>43.253300000000003</v>
      </c>
      <c r="Y422">
        <f>Table5358[[#This Row],[CFNM]]/Table5358[[#This Row],[CAREA]]</f>
        <v>0.5278236410340893</v>
      </c>
      <c r="Z422">
        <v>2.75176</v>
      </c>
      <c r="AA422">
        <f>-(Table6359[[#This Row],[time]]-2)*2</f>
        <v>-1.50352</v>
      </c>
      <c r="AB422">
        <v>66.570599999999999</v>
      </c>
      <c r="AC422">
        <v>0.86399300000000001</v>
      </c>
      <c r="AD422">
        <f>Table6359[[#This Row],[CFNM]]/Table6359[[#This Row],[CAREA]]</f>
        <v>1.2978597158505406E-2</v>
      </c>
      <c r="AE422">
        <v>2.75176</v>
      </c>
      <c r="AF422">
        <f>-(Table7360[[#This Row],[time]]-2)*2</f>
        <v>-1.50352</v>
      </c>
      <c r="AG422">
        <v>68.732900000000001</v>
      </c>
      <c r="AH422">
        <v>55.042200000000001</v>
      </c>
      <c r="AI422">
        <f>Table7360[[#This Row],[CFNM]]/Table7360[[#This Row],[CAREA]]</f>
        <v>0.80081300221582385</v>
      </c>
      <c r="AJ422">
        <v>2.75176</v>
      </c>
      <c r="AK422">
        <f>-(Table8361[[#This Row],[time]]-2)*2</f>
        <v>-1.50352</v>
      </c>
      <c r="AL422">
        <v>78.547899999999998</v>
      </c>
      <c r="AM422">
        <v>6.6712100000000003</v>
      </c>
      <c r="AN422">
        <f>Table8361[[#This Row],[CFNM]]/Table8361[[#This Row],[CAREA]]</f>
        <v>8.4931742287190373E-2</v>
      </c>
    </row>
    <row r="423" spans="1:40" x14ac:dyDescent="0.25">
      <c r="A423">
        <v>2.80444</v>
      </c>
      <c r="B423">
        <f>-(Table1354[[#This Row],[time]]-2)*2</f>
        <v>-1.6088800000000001</v>
      </c>
      <c r="C423">
        <v>98.878799999999998</v>
      </c>
      <c r="D423">
        <v>52.490900000000003</v>
      </c>
      <c r="E423">
        <f>Table1354[[#This Row],[CFNM]]/Table1354[[#This Row],[CAREA]]</f>
        <v>0.53086101368544125</v>
      </c>
      <c r="F423">
        <v>2.80444</v>
      </c>
      <c r="G423">
        <f>-(Table2355[[#This Row],[time]]-2)*2</f>
        <v>-1.6088800000000001</v>
      </c>
      <c r="H423">
        <v>72.524199999999993</v>
      </c>
      <c r="I423">
        <v>3.4679400000000001E-3</v>
      </c>
      <c r="J423">
        <f>Table2355[[#This Row],[CFNM]]/Table2355[[#This Row],[CAREA]]</f>
        <v>4.7817693955948505E-5</v>
      </c>
      <c r="K423">
        <v>2.80444</v>
      </c>
      <c r="L423">
        <f>-(Table3356[[#This Row],[time]]-2)*2</f>
        <v>-1.6088800000000001</v>
      </c>
      <c r="M423">
        <v>79.672399999999996</v>
      </c>
      <c r="N423">
        <v>48.570399999999999</v>
      </c>
      <c r="O423">
        <f>Table3356[[#This Row],[CFNM]]/Table3356[[#This Row],[CAREA]]</f>
        <v>0.60962642019068081</v>
      </c>
      <c r="P423">
        <v>2.80444</v>
      </c>
      <c r="Q423">
        <f>-(Table4357[[#This Row],[time]]-2)*2</f>
        <v>-1.6088800000000001</v>
      </c>
      <c r="R423">
        <v>65.554699999999997</v>
      </c>
      <c r="S423">
        <v>3.3187799999999998</v>
      </c>
      <c r="T423">
        <f>Table4357[[#This Row],[CFNM]]/Table4357[[#This Row],[CAREA]]</f>
        <v>5.0626118340866486E-2</v>
      </c>
      <c r="U423">
        <v>2.80444</v>
      </c>
      <c r="V423">
        <f>-(Table5358[[#This Row],[time]]-2)*2</f>
        <v>-1.6088800000000001</v>
      </c>
      <c r="W423">
        <v>81.085400000000007</v>
      </c>
      <c r="X423">
        <v>47.685099999999998</v>
      </c>
      <c r="Y423">
        <f>Table5358[[#This Row],[CFNM]]/Table5358[[#This Row],[CAREA]]</f>
        <v>0.58808490801056656</v>
      </c>
      <c r="Z423">
        <v>2.80444</v>
      </c>
      <c r="AA423">
        <f>-(Table6359[[#This Row],[time]]-2)*2</f>
        <v>-1.6088800000000001</v>
      </c>
      <c r="AB423">
        <v>63.311999999999998</v>
      </c>
      <c r="AC423">
        <v>0.57142899999999996</v>
      </c>
      <c r="AD423">
        <f>Table6359[[#This Row],[CFNM]]/Table6359[[#This Row],[CAREA]]</f>
        <v>9.0256033611321711E-3</v>
      </c>
      <c r="AE423">
        <v>2.80444</v>
      </c>
      <c r="AF423">
        <f>-(Table7360[[#This Row],[time]]-2)*2</f>
        <v>-1.6088800000000001</v>
      </c>
      <c r="AG423">
        <v>67.359800000000007</v>
      </c>
      <c r="AH423">
        <v>59.479300000000002</v>
      </c>
      <c r="AI423">
        <f>Table7360[[#This Row],[CFNM]]/Table7360[[#This Row],[CAREA]]</f>
        <v>0.88300885691465825</v>
      </c>
      <c r="AJ423">
        <v>2.80444</v>
      </c>
      <c r="AK423">
        <f>-(Table8361[[#This Row],[time]]-2)*2</f>
        <v>-1.6088800000000001</v>
      </c>
      <c r="AL423">
        <v>76.996399999999994</v>
      </c>
      <c r="AM423">
        <v>5.3428300000000002</v>
      </c>
      <c r="AN423">
        <f>Table8361[[#This Row],[CFNM]]/Table8361[[#This Row],[CAREA]]</f>
        <v>6.939064683543647E-2</v>
      </c>
    </row>
    <row r="424" spans="1:40" x14ac:dyDescent="0.25">
      <c r="A424">
        <v>2.8583699999999999</v>
      </c>
      <c r="B424">
        <f>-(Table1354[[#This Row],[time]]-2)*2</f>
        <v>-1.7167399999999997</v>
      </c>
      <c r="C424">
        <v>98.257999999999996</v>
      </c>
      <c r="D424">
        <v>54.793399999999998</v>
      </c>
      <c r="E424">
        <f>Table1354[[#This Row],[CFNM]]/Table1354[[#This Row],[CAREA]]</f>
        <v>0.55764823220501125</v>
      </c>
      <c r="F424">
        <v>2.8583699999999999</v>
      </c>
      <c r="G424">
        <f>-(Table2355[[#This Row],[time]]-2)*2</f>
        <v>-1.7167399999999997</v>
      </c>
      <c r="H424">
        <v>70.491699999999994</v>
      </c>
      <c r="I424">
        <v>3.2443400000000001E-3</v>
      </c>
      <c r="J424">
        <f>Table2355[[#This Row],[CFNM]]/Table2355[[#This Row],[CAREA]]</f>
        <v>4.6024425570670025E-5</v>
      </c>
      <c r="K424">
        <v>2.8583699999999999</v>
      </c>
      <c r="L424">
        <f>-(Table3356[[#This Row],[time]]-2)*2</f>
        <v>-1.7167399999999997</v>
      </c>
      <c r="M424">
        <v>79.184899999999999</v>
      </c>
      <c r="N424">
        <v>51.154200000000003</v>
      </c>
      <c r="O424">
        <f>Table3356[[#This Row],[CFNM]]/Table3356[[#This Row],[CAREA]]</f>
        <v>0.64600952959465763</v>
      </c>
      <c r="P424">
        <v>2.8583699999999999</v>
      </c>
      <c r="Q424">
        <f>-(Table4357[[#This Row],[time]]-2)*2</f>
        <v>-1.7167399999999997</v>
      </c>
      <c r="R424">
        <v>65.405299999999997</v>
      </c>
      <c r="S424">
        <v>3.0862400000000001</v>
      </c>
      <c r="T424">
        <f>Table4357[[#This Row],[CFNM]]/Table4357[[#This Row],[CAREA]]</f>
        <v>4.7186390093769161E-2</v>
      </c>
      <c r="U424">
        <v>2.8583699999999999</v>
      </c>
      <c r="V424">
        <f>-(Table5358[[#This Row],[time]]-2)*2</f>
        <v>-1.7167399999999997</v>
      </c>
      <c r="W424">
        <v>80.633300000000006</v>
      </c>
      <c r="X424">
        <v>49.7926</v>
      </c>
      <c r="Y424">
        <f>Table5358[[#This Row],[CFNM]]/Table5358[[#This Row],[CAREA]]</f>
        <v>0.61751906470403661</v>
      </c>
      <c r="Z424">
        <v>2.8583699999999999</v>
      </c>
      <c r="AA424">
        <f>-(Table6359[[#This Row],[time]]-2)*2</f>
        <v>-1.7167399999999997</v>
      </c>
      <c r="AB424">
        <v>62.358199999999997</v>
      </c>
      <c r="AC424">
        <v>0.455067</v>
      </c>
      <c r="AD424">
        <f>Table6359[[#This Row],[CFNM]]/Table6359[[#This Row],[CAREA]]</f>
        <v>7.2976288603583813E-3</v>
      </c>
      <c r="AE424">
        <v>2.8583699999999999</v>
      </c>
      <c r="AF424">
        <f>-(Table7360[[#This Row],[time]]-2)*2</f>
        <v>-1.7167399999999997</v>
      </c>
      <c r="AG424">
        <v>66.7483</v>
      </c>
      <c r="AH424">
        <v>61.5655</v>
      </c>
      <c r="AI424">
        <f>Table7360[[#This Row],[CFNM]]/Table7360[[#This Row],[CAREA]]</f>
        <v>0.92235307865518668</v>
      </c>
      <c r="AJ424">
        <v>2.8583699999999999</v>
      </c>
      <c r="AK424">
        <f>-(Table8361[[#This Row],[time]]-2)*2</f>
        <v>-1.7167399999999997</v>
      </c>
      <c r="AL424">
        <v>75.369200000000006</v>
      </c>
      <c r="AM424">
        <v>4.7202500000000001</v>
      </c>
      <c r="AN424">
        <f>Table8361[[#This Row],[CFNM]]/Table8361[[#This Row],[CAREA]]</f>
        <v>6.2628368086698541E-2</v>
      </c>
    </row>
    <row r="425" spans="1:40" x14ac:dyDescent="0.25">
      <c r="A425">
        <v>2.9134199999999999</v>
      </c>
      <c r="B425">
        <f>-(Table1354[[#This Row],[time]]-2)*2</f>
        <v>-1.8268399999999998</v>
      </c>
      <c r="C425">
        <v>97.536100000000005</v>
      </c>
      <c r="D425">
        <v>57.0837</v>
      </c>
      <c r="E425">
        <f>Table1354[[#This Row],[CFNM]]/Table1354[[#This Row],[CAREA]]</f>
        <v>0.58525715094206143</v>
      </c>
      <c r="F425">
        <v>2.9134199999999999</v>
      </c>
      <c r="G425">
        <f>-(Table2355[[#This Row],[time]]-2)*2</f>
        <v>-1.8268399999999998</v>
      </c>
      <c r="H425">
        <v>69.998000000000005</v>
      </c>
      <c r="I425">
        <v>3.1284199999999998E-3</v>
      </c>
      <c r="J425">
        <f>Table2355[[#This Row],[CFNM]]/Table2355[[#This Row],[CAREA]]</f>
        <v>4.4692991228320803E-5</v>
      </c>
      <c r="K425">
        <v>2.9134199999999999</v>
      </c>
      <c r="L425">
        <f>-(Table3356[[#This Row],[time]]-2)*2</f>
        <v>-1.8268399999999998</v>
      </c>
      <c r="M425">
        <v>78.736400000000003</v>
      </c>
      <c r="N425">
        <v>53.7316</v>
      </c>
      <c r="O425">
        <f>Table3356[[#This Row],[CFNM]]/Table3356[[#This Row],[CAREA]]</f>
        <v>0.68242388526780495</v>
      </c>
      <c r="P425">
        <v>2.9134199999999999</v>
      </c>
      <c r="Q425">
        <f>-(Table4357[[#This Row],[time]]-2)*2</f>
        <v>-1.8268399999999998</v>
      </c>
      <c r="R425">
        <v>64.042400000000001</v>
      </c>
      <c r="S425">
        <v>2.87182</v>
      </c>
      <c r="T425">
        <f>Table4357[[#This Row],[CFNM]]/Table4357[[#This Row],[CAREA]]</f>
        <v>4.4842479357425705E-2</v>
      </c>
      <c r="U425">
        <v>2.9134199999999999</v>
      </c>
      <c r="V425">
        <f>-(Table5358[[#This Row],[time]]-2)*2</f>
        <v>-1.8268399999999998</v>
      </c>
      <c r="W425">
        <v>80.177400000000006</v>
      </c>
      <c r="X425">
        <v>51.927700000000002</v>
      </c>
      <c r="Y425">
        <f>Table5358[[#This Row],[CFNM]]/Table5358[[#This Row],[CAREA]]</f>
        <v>0.6476600638085046</v>
      </c>
      <c r="Z425">
        <v>2.9134199999999999</v>
      </c>
      <c r="AA425">
        <f>-(Table6359[[#This Row],[time]]-2)*2</f>
        <v>-1.8268399999999998</v>
      </c>
      <c r="AB425">
        <v>60.457999999999998</v>
      </c>
      <c r="AC425">
        <v>0.34069500000000003</v>
      </c>
      <c r="AD425">
        <f>Table6359[[#This Row],[CFNM]]/Table6359[[#This Row],[CAREA]]</f>
        <v>5.6352343775844397E-3</v>
      </c>
      <c r="AE425">
        <v>2.9134199999999999</v>
      </c>
      <c r="AF425">
        <f>-(Table7360[[#This Row],[time]]-2)*2</f>
        <v>-1.8268399999999998</v>
      </c>
      <c r="AG425">
        <v>66.229699999999994</v>
      </c>
      <c r="AH425">
        <v>63.630899999999997</v>
      </c>
      <c r="AI425">
        <f>Table7360[[#This Row],[CFNM]]/Table7360[[#This Row],[CAREA]]</f>
        <v>0.96076080670756481</v>
      </c>
      <c r="AJ425">
        <v>2.9134199999999999</v>
      </c>
      <c r="AK425">
        <f>-(Table8361[[#This Row],[time]]-2)*2</f>
        <v>-1.8268399999999998</v>
      </c>
      <c r="AL425">
        <v>74.099699999999999</v>
      </c>
      <c r="AM425">
        <v>4.0936700000000004</v>
      </c>
      <c r="AN425">
        <f>Table8361[[#This Row],[CFNM]]/Table8361[[#This Row],[CAREA]]</f>
        <v>5.5245432842508144E-2</v>
      </c>
    </row>
    <row r="426" spans="1:40" x14ac:dyDescent="0.25">
      <c r="A426">
        <v>2.9619599999999999</v>
      </c>
      <c r="B426">
        <f>-(Table1354[[#This Row],[time]]-2)*2</f>
        <v>-1.9239199999999999</v>
      </c>
      <c r="C426">
        <v>96.87</v>
      </c>
      <c r="D426">
        <v>59.377200000000002</v>
      </c>
      <c r="E426">
        <f>Table1354[[#This Row],[CFNM]]/Table1354[[#This Row],[CAREA]]</f>
        <v>0.61295757200371637</v>
      </c>
      <c r="F426">
        <v>2.9619599999999999</v>
      </c>
      <c r="G426">
        <f>-(Table2355[[#This Row],[time]]-2)*2</f>
        <v>-1.9239199999999999</v>
      </c>
      <c r="H426">
        <v>69.899900000000002</v>
      </c>
      <c r="I426">
        <v>3.0164800000000002E-3</v>
      </c>
      <c r="J426">
        <f>Table2355[[#This Row],[CFNM]]/Table2355[[#This Row],[CAREA]]</f>
        <v>4.3154282051905656E-5</v>
      </c>
      <c r="K426">
        <v>2.9619599999999999</v>
      </c>
      <c r="L426">
        <f>-(Table3356[[#This Row],[time]]-2)*2</f>
        <v>-1.9239199999999999</v>
      </c>
      <c r="M426">
        <v>78.282300000000006</v>
      </c>
      <c r="N426">
        <v>56.280700000000003</v>
      </c>
      <c r="O426">
        <f>Table3356[[#This Row],[CFNM]]/Table3356[[#This Row],[CAREA]]</f>
        <v>0.71894540656061456</v>
      </c>
      <c r="P426">
        <v>2.9619599999999999</v>
      </c>
      <c r="Q426">
        <f>-(Table4357[[#This Row],[time]]-2)*2</f>
        <v>-1.9239199999999999</v>
      </c>
      <c r="R426">
        <v>63.154699999999998</v>
      </c>
      <c r="S426">
        <v>2.6882600000000001</v>
      </c>
      <c r="T426">
        <f>Table4357[[#This Row],[CFNM]]/Table4357[[#This Row],[CAREA]]</f>
        <v>4.2566269810481248E-2</v>
      </c>
      <c r="U426">
        <v>2.9619599999999999</v>
      </c>
      <c r="V426">
        <f>-(Table5358[[#This Row],[time]]-2)*2</f>
        <v>-1.9239199999999999</v>
      </c>
      <c r="W426">
        <v>79.965800000000002</v>
      </c>
      <c r="X426">
        <v>54.054900000000004</v>
      </c>
      <c r="Y426">
        <f>Table5358[[#This Row],[CFNM]]/Table5358[[#This Row],[CAREA]]</f>
        <v>0.67597522941057309</v>
      </c>
      <c r="Z426">
        <v>2.9619599999999999</v>
      </c>
      <c r="AA426">
        <f>-(Table6359[[#This Row],[time]]-2)*2</f>
        <v>-1.9239199999999999</v>
      </c>
      <c r="AB426">
        <v>58.602600000000002</v>
      </c>
      <c r="AC426">
        <v>0.23244100000000001</v>
      </c>
      <c r="AD426">
        <f>Table6359[[#This Row],[CFNM]]/Table6359[[#This Row],[CAREA]]</f>
        <v>3.966393982519547E-3</v>
      </c>
      <c r="AE426">
        <v>2.9619599999999999</v>
      </c>
      <c r="AF426">
        <f>-(Table7360[[#This Row],[time]]-2)*2</f>
        <v>-1.9239199999999999</v>
      </c>
      <c r="AG426">
        <v>65.703699999999998</v>
      </c>
      <c r="AH426">
        <v>65.703800000000001</v>
      </c>
      <c r="AI426">
        <f>Table7360[[#This Row],[CFNM]]/Table7360[[#This Row],[CAREA]]</f>
        <v>1.0000015219843024</v>
      </c>
      <c r="AJ426">
        <v>2.9619599999999999</v>
      </c>
      <c r="AK426">
        <f>-(Table8361[[#This Row],[time]]-2)*2</f>
        <v>-1.9239199999999999</v>
      </c>
      <c r="AL426">
        <v>72.168000000000006</v>
      </c>
      <c r="AM426">
        <v>3.4784899999999999</v>
      </c>
      <c r="AN426">
        <f>Table8361[[#This Row],[CFNM]]/Table8361[[#This Row],[CAREA]]</f>
        <v>4.8199894690167382E-2</v>
      </c>
    </row>
    <row r="427" spans="1:40" x14ac:dyDescent="0.25">
      <c r="A427">
        <v>3</v>
      </c>
      <c r="B427">
        <f>-(Table1354[[#This Row],[time]]-2)*2</f>
        <v>-2</v>
      </c>
      <c r="C427">
        <v>95.982100000000003</v>
      </c>
      <c r="D427">
        <v>62.295499999999997</v>
      </c>
      <c r="E427">
        <f>Table1354[[#This Row],[CFNM]]/Table1354[[#This Row],[CAREA]]</f>
        <v>0.64903247584705892</v>
      </c>
      <c r="F427">
        <v>3</v>
      </c>
      <c r="G427">
        <f>-(Table2355[[#This Row],[time]]-2)*2</f>
        <v>-2</v>
      </c>
      <c r="H427">
        <v>66.694900000000004</v>
      </c>
      <c r="I427">
        <v>2.8898700000000001E-3</v>
      </c>
      <c r="J427">
        <f>Table2355[[#This Row],[CFNM]]/Table2355[[#This Row],[CAREA]]</f>
        <v>4.3329699872104164E-5</v>
      </c>
      <c r="K427">
        <v>3</v>
      </c>
      <c r="L427">
        <f>-(Table3356[[#This Row],[time]]-2)*2</f>
        <v>-2</v>
      </c>
      <c r="M427">
        <v>77.729299999999995</v>
      </c>
      <c r="N427">
        <v>59.537300000000002</v>
      </c>
      <c r="O427">
        <f>Table3356[[#This Row],[CFNM]]/Table3356[[#This Row],[CAREA]]</f>
        <v>0.76595698147288094</v>
      </c>
      <c r="P427">
        <v>3</v>
      </c>
      <c r="Q427">
        <f>-(Table4357[[#This Row],[time]]-2)*2</f>
        <v>-2</v>
      </c>
      <c r="R427">
        <v>62.933599999999998</v>
      </c>
      <c r="S427">
        <v>2.4957600000000002</v>
      </c>
      <c r="T427">
        <f>Table4357[[#This Row],[CFNM]]/Table4357[[#This Row],[CAREA]]</f>
        <v>3.9657035351545127E-2</v>
      </c>
      <c r="U427">
        <v>3</v>
      </c>
      <c r="V427">
        <f>-(Table5358[[#This Row],[time]]-2)*2</f>
        <v>-2</v>
      </c>
      <c r="W427">
        <v>79.383399999999995</v>
      </c>
      <c r="X427">
        <v>56.762</v>
      </c>
      <c r="Y427">
        <f>Table5358[[#This Row],[CFNM]]/Table5358[[#This Row],[CAREA]]</f>
        <v>0.71503614105719837</v>
      </c>
      <c r="Z427">
        <v>3</v>
      </c>
      <c r="AA427">
        <f>-(Table6359[[#This Row],[time]]-2)*2</f>
        <v>-2</v>
      </c>
      <c r="AB427">
        <v>57.752800000000001</v>
      </c>
      <c r="AC427">
        <v>0.107685</v>
      </c>
      <c r="AD427">
        <f>Table6359[[#This Row],[CFNM]]/Table6359[[#This Row],[CAREA]]</f>
        <v>1.8645849205579644E-3</v>
      </c>
      <c r="AE427">
        <v>3</v>
      </c>
      <c r="AF427">
        <f>-(Table7360[[#This Row],[time]]-2)*2</f>
        <v>-2</v>
      </c>
      <c r="AG427">
        <v>65.141800000000003</v>
      </c>
      <c r="AH427">
        <v>68.395700000000005</v>
      </c>
      <c r="AI427">
        <f>Table7360[[#This Row],[CFNM]]/Table7360[[#This Row],[CAREA]]</f>
        <v>1.0499510299070642</v>
      </c>
      <c r="AJ427">
        <v>3</v>
      </c>
      <c r="AK427">
        <f>-(Table8361[[#This Row],[time]]-2)*2</f>
        <v>-2</v>
      </c>
      <c r="AL427">
        <v>71.147599999999997</v>
      </c>
      <c r="AM427">
        <v>2.9141300000000001</v>
      </c>
      <c r="AN427">
        <f>Table8361[[#This Row],[CFNM]]/Table8361[[#This Row],[CAREA]]</f>
        <v>4.0958936070928605E-2</v>
      </c>
    </row>
    <row r="429" spans="1:40" x14ac:dyDescent="0.25">
      <c r="A429" t="s">
        <v>56</v>
      </c>
      <c r="E429" t="s">
        <v>1</v>
      </c>
    </row>
    <row r="430" spans="1:40" x14ac:dyDescent="0.25">
      <c r="A430" t="s">
        <v>57</v>
      </c>
      <c r="E430" t="s">
        <v>2</v>
      </c>
      <c r="F430" t="s">
        <v>3</v>
      </c>
    </row>
    <row r="432" spans="1:40" x14ac:dyDescent="0.25">
      <c r="A432" t="s">
        <v>5</v>
      </c>
      <c r="F432" t="s">
        <v>6</v>
      </c>
      <c r="K432" t="s">
        <v>7</v>
      </c>
      <c r="P432" t="s">
        <v>19</v>
      </c>
      <c r="U432" t="s">
        <v>8</v>
      </c>
      <c r="Z432" t="s">
        <v>9</v>
      </c>
      <c r="AE432" t="s">
        <v>10</v>
      </c>
      <c r="AJ432" t="s">
        <v>11</v>
      </c>
    </row>
    <row r="433" spans="1:40" x14ac:dyDescent="0.25">
      <c r="A433" t="s">
        <v>12</v>
      </c>
      <c r="B433" t="s">
        <v>13</v>
      </c>
      <c r="C433" t="s">
        <v>17</v>
      </c>
      <c r="D433" t="s">
        <v>15</v>
      </c>
      <c r="E433" t="s">
        <v>16</v>
      </c>
      <c r="F433" t="s">
        <v>12</v>
      </c>
      <c r="G433" t="s">
        <v>13</v>
      </c>
      <c r="H433" t="s">
        <v>17</v>
      </c>
      <c r="I433" t="s">
        <v>15</v>
      </c>
      <c r="J433" t="s">
        <v>16</v>
      </c>
      <c r="K433" t="s">
        <v>12</v>
      </c>
      <c r="L433" t="s">
        <v>13</v>
      </c>
      <c r="M433" t="s">
        <v>17</v>
      </c>
      <c r="N433" t="s">
        <v>15</v>
      </c>
      <c r="O433" t="s">
        <v>16</v>
      </c>
      <c r="P433" t="s">
        <v>12</v>
      </c>
      <c r="Q433" t="s">
        <v>13</v>
      </c>
      <c r="R433" t="s">
        <v>17</v>
      </c>
      <c r="S433" t="s">
        <v>15</v>
      </c>
      <c r="T433" t="s">
        <v>16</v>
      </c>
      <c r="U433" t="s">
        <v>12</v>
      </c>
      <c r="V433" t="s">
        <v>13</v>
      </c>
      <c r="W433" t="s">
        <v>17</v>
      </c>
      <c r="X433" t="s">
        <v>15</v>
      </c>
      <c r="Y433" t="s">
        <v>16</v>
      </c>
      <c r="Z433" t="s">
        <v>12</v>
      </c>
      <c r="AA433" t="s">
        <v>13</v>
      </c>
      <c r="AB433" t="s">
        <v>17</v>
      </c>
      <c r="AC433" t="s">
        <v>15</v>
      </c>
      <c r="AD433" t="s">
        <v>16</v>
      </c>
      <c r="AE433" t="s">
        <v>12</v>
      </c>
      <c r="AF433" t="s">
        <v>13</v>
      </c>
      <c r="AG433" t="s">
        <v>17</v>
      </c>
      <c r="AH433" t="s">
        <v>15</v>
      </c>
      <c r="AI433" t="s">
        <v>16</v>
      </c>
      <c r="AJ433" t="s">
        <v>12</v>
      </c>
      <c r="AK433" t="s">
        <v>13</v>
      </c>
      <c r="AL433" t="s">
        <v>17</v>
      </c>
      <c r="AM433" t="s">
        <v>15</v>
      </c>
      <c r="AN433" t="s">
        <v>16</v>
      </c>
    </row>
    <row r="434" spans="1:40" x14ac:dyDescent="0.25">
      <c r="A434">
        <v>2</v>
      </c>
      <c r="B434">
        <f>(Table110362[[#This Row],[time]]-2)*2</f>
        <v>0</v>
      </c>
      <c r="C434">
        <v>80.561000000000007</v>
      </c>
      <c r="D434">
        <v>3.98224</v>
      </c>
      <c r="E434" s="2">
        <f>Table110362[[#This Row],[CFNM]]/Table110362[[#This Row],[CAREA]]</f>
        <v>4.9431362569978023E-2</v>
      </c>
      <c r="F434">
        <v>2</v>
      </c>
      <c r="G434">
        <f>(Table211363[[#This Row],[time]]-2)*2</f>
        <v>0</v>
      </c>
      <c r="H434">
        <v>87.831800000000001</v>
      </c>
      <c r="I434">
        <v>3.8491699999999998E-3</v>
      </c>
      <c r="J434" s="2">
        <f>Table211363[[#This Row],[CFNM]]/Table211363[[#This Row],[CAREA]]</f>
        <v>4.3824332417188305E-5</v>
      </c>
      <c r="K434">
        <v>2</v>
      </c>
      <c r="L434">
        <f>(Table312364[[#This Row],[time]]-2)*2</f>
        <v>0</v>
      </c>
      <c r="M434">
        <v>85.166600000000003</v>
      </c>
      <c r="N434">
        <v>3.7004999999999998E-3</v>
      </c>
      <c r="O434">
        <f>Table312364[[#This Row],[CFNM]]/Table312364[[#This Row],[CAREA]]</f>
        <v>4.3450131859203019E-5</v>
      </c>
      <c r="P434">
        <v>2</v>
      </c>
      <c r="Q434">
        <f>(Table413365[[#This Row],[time]]-2)*2</f>
        <v>0</v>
      </c>
      <c r="R434">
        <v>79.101699999999994</v>
      </c>
      <c r="S434">
        <v>4.52579E-3</v>
      </c>
      <c r="T434">
        <f>Table413365[[#This Row],[CFNM]]/Table413365[[#This Row],[CAREA]]</f>
        <v>5.7214825977191392E-5</v>
      </c>
      <c r="U434">
        <v>2</v>
      </c>
      <c r="V434">
        <f>(Table514366[[#This Row],[time]]-2)*2</f>
        <v>0</v>
      </c>
      <c r="W434">
        <v>83.227800000000002</v>
      </c>
      <c r="X434">
        <v>3.5062700000000002</v>
      </c>
      <c r="Y434">
        <f>Table514366[[#This Row],[CFNM]]/Table514366[[#This Row],[CAREA]]</f>
        <v>4.2128591648463616E-2</v>
      </c>
      <c r="Z434">
        <v>2</v>
      </c>
      <c r="AA434">
        <f>(Table615367[[#This Row],[time]]-2)*2</f>
        <v>0</v>
      </c>
      <c r="AB434">
        <v>83.949600000000004</v>
      </c>
      <c r="AC434">
        <v>6.2740499999999999</v>
      </c>
      <c r="AD434">
        <f>Table615367[[#This Row],[CFNM]]/Table615367[[#This Row],[CAREA]]</f>
        <v>7.4735912976357233E-2</v>
      </c>
      <c r="AE434">
        <v>2</v>
      </c>
      <c r="AF434">
        <f>(Table716368[[#This Row],[time]]-2)*2</f>
        <v>0</v>
      </c>
      <c r="AG434">
        <v>78.459999999999994</v>
      </c>
      <c r="AH434">
        <v>14.7075</v>
      </c>
      <c r="AI434">
        <f>Table716368[[#This Row],[CFNM]]/Table716368[[#This Row],[CAREA]]</f>
        <v>0.18745220494519502</v>
      </c>
      <c r="AJ434">
        <v>2</v>
      </c>
      <c r="AK434">
        <f>(Table817369[[#This Row],[time]]-2)*2</f>
        <v>0</v>
      </c>
      <c r="AL434">
        <v>83.006</v>
      </c>
      <c r="AM434">
        <v>14.6487</v>
      </c>
      <c r="AN434">
        <f>Table817369[[#This Row],[CFNM]]/Table817369[[#This Row],[CAREA]]</f>
        <v>0.17647760402862445</v>
      </c>
    </row>
    <row r="435" spans="1:40" x14ac:dyDescent="0.25">
      <c r="A435">
        <v>2.0512600000000001</v>
      </c>
      <c r="B435">
        <f>(Table110362[[#This Row],[time]]-2)*2</f>
        <v>0.10252000000000017</v>
      </c>
      <c r="C435">
        <v>89.6755</v>
      </c>
      <c r="D435">
        <v>9.3758199999999992</v>
      </c>
      <c r="E435">
        <f>Table110362[[#This Row],[CFNM]]/Table110362[[#This Row],[CAREA]]</f>
        <v>0.10455274852105646</v>
      </c>
      <c r="F435">
        <v>2.0512600000000001</v>
      </c>
      <c r="G435">
        <f>(Table211363[[#This Row],[time]]-2)*2</f>
        <v>0.10252000000000017</v>
      </c>
      <c r="H435">
        <v>95.938699999999997</v>
      </c>
      <c r="I435">
        <v>3.8483200000000002</v>
      </c>
      <c r="J435">
        <f>Table211363[[#This Row],[CFNM]]/Table211363[[#This Row],[CAREA]]</f>
        <v>4.0112280028810066E-2</v>
      </c>
      <c r="K435">
        <v>2.0512600000000001</v>
      </c>
      <c r="L435">
        <f>(Table312364[[#This Row],[time]]-2)*2</f>
        <v>0.10252000000000017</v>
      </c>
      <c r="M435">
        <v>87.165999999999997</v>
      </c>
      <c r="N435">
        <v>3.03165</v>
      </c>
      <c r="O435">
        <f>Table312364[[#This Row],[CFNM]]/Table312364[[#This Row],[CAREA]]</f>
        <v>3.4780189523438039E-2</v>
      </c>
      <c r="P435">
        <v>2.0512600000000001</v>
      </c>
      <c r="Q435">
        <f>(Table413365[[#This Row],[time]]-2)*2</f>
        <v>0.10252000000000017</v>
      </c>
      <c r="R435">
        <v>87.609099999999998</v>
      </c>
      <c r="S435">
        <v>7.7427700000000002</v>
      </c>
      <c r="T435">
        <f>Table413365[[#This Row],[CFNM]]/Table413365[[#This Row],[CAREA]]</f>
        <v>8.8378604505696332E-2</v>
      </c>
      <c r="U435">
        <v>2.0512600000000001</v>
      </c>
      <c r="V435">
        <f>(Table514366[[#This Row],[time]]-2)*2</f>
        <v>0.10252000000000017</v>
      </c>
      <c r="W435">
        <v>82.498000000000005</v>
      </c>
      <c r="X435">
        <v>7.3373200000000001</v>
      </c>
      <c r="Y435">
        <f>Table514366[[#This Row],[CFNM]]/Table514366[[#This Row],[CAREA]]</f>
        <v>8.8939368227108531E-2</v>
      </c>
      <c r="Z435">
        <v>2.0512600000000001</v>
      </c>
      <c r="AA435">
        <f>(Table615367[[#This Row],[time]]-2)*2</f>
        <v>0.10252000000000017</v>
      </c>
      <c r="AB435">
        <v>89.350099999999998</v>
      </c>
      <c r="AC435">
        <v>18.508299999999998</v>
      </c>
      <c r="AD435">
        <f>Table615367[[#This Row],[CFNM]]/Table615367[[#This Row],[CAREA]]</f>
        <v>0.20714358461826007</v>
      </c>
      <c r="AE435">
        <v>2.0512600000000001</v>
      </c>
      <c r="AF435">
        <f>(Table716368[[#This Row],[time]]-2)*2</f>
        <v>0.10252000000000017</v>
      </c>
      <c r="AG435">
        <v>78.417100000000005</v>
      </c>
      <c r="AH435">
        <v>19.404</v>
      </c>
      <c r="AI435">
        <f>Table716368[[#This Row],[CFNM]]/Table716368[[#This Row],[CAREA]]</f>
        <v>0.24744602899112564</v>
      </c>
      <c r="AJ435">
        <v>2.0512600000000001</v>
      </c>
      <c r="AK435">
        <f>(Table817369[[#This Row],[time]]-2)*2</f>
        <v>0.10252000000000017</v>
      </c>
      <c r="AL435">
        <v>83.404899999999998</v>
      </c>
      <c r="AM435">
        <v>21.0122</v>
      </c>
      <c r="AN435">
        <f>Table817369[[#This Row],[CFNM]]/Table817369[[#This Row],[CAREA]]</f>
        <v>0.25193004247951861</v>
      </c>
    </row>
    <row r="436" spans="1:40" x14ac:dyDescent="0.25">
      <c r="A436">
        <v>2.1153300000000002</v>
      </c>
      <c r="B436">
        <f>(Table110362[[#This Row],[time]]-2)*2</f>
        <v>0.23066000000000031</v>
      </c>
      <c r="C436">
        <v>87.267700000000005</v>
      </c>
      <c r="D436">
        <v>9.6391299999999998</v>
      </c>
      <c r="E436">
        <f>Table110362[[#This Row],[CFNM]]/Table110362[[#This Row],[CAREA]]</f>
        <v>0.11045472723585013</v>
      </c>
      <c r="F436">
        <v>2.1153300000000002</v>
      </c>
      <c r="G436">
        <f>(Table211363[[#This Row],[time]]-2)*2</f>
        <v>0.23066000000000031</v>
      </c>
      <c r="H436">
        <v>97.278400000000005</v>
      </c>
      <c r="I436">
        <v>5.21929</v>
      </c>
      <c r="J436">
        <f>Table211363[[#This Row],[CFNM]]/Table211363[[#This Row],[CAREA]]</f>
        <v>5.3653123406634973E-2</v>
      </c>
      <c r="K436">
        <v>2.1153300000000002</v>
      </c>
      <c r="L436">
        <f>(Table312364[[#This Row],[time]]-2)*2</f>
        <v>0.23066000000000031</v>
      </c>
      <c r="M436">
        <v>85.356399999999994</v>
      </c>
      <c r="N436">
        <v>2.8454000000000002</v>
      </c>
      <c r="O436">
        <f>Table312364[[#This Row],[CFNM]]/Table312364[[#This Row],[CAREA]]</f>
        <v>3.3335520242184537E-2</v>
      </c>
      <c r="P436">
        <v>2.1153300000000002</v>
      </c>
      <c r="Q436">
        <f>(Table413365[[#This Row],[time]]-2)*2</f>
        <v>0.23066000000000031</v>
      </c>
      <c r="R436">
        <v>88.986999999999995</v>
      </c>
      <c r="S436">
        <v>9.6986500000000007</v>
      </c>
      <c r="T436">
        <f>Table413365[[#This Row],[CFNM]]/Table413365[[#This Row],[CAREA]]</f>
        <v>0.10898951532246284</v>
      </c>
      <c r="U436">
        <v>2.1153300000000002</v>
      </c>
      <c r="V436">
        <f>(Table514366[[#This Row],[time]]-2)*2</f>
        <v>0.23066000000000031</v>
      </c>
      <c r="W436">
        <v>79.950299999999999</v>
      </c>
      <c r="X436">
        <v>5.93079</v>
      </c>
      <c r="Y436">
        <f>Table514366[[#This Row],[CFNM]]/Table514366[[#This Row],[CAREA]]</f>
        <v>7.4180959921351139E-2</v>
      </c>
      <c r="Z436">
        <v>2.1153300000000002</v>
      </c>
      <c r="AA436">
        <f>(Table615367[[#This Row],[time]]-2)*2</f>
        <v>0.23066000000000031</v>
      </c>
      <c r="AB436">
        <v>91.739099999999993</v>
      </c>
      <c r="AC436">
        <v>21.437100000000001</v>
      </c>
      <c r="AD436">
        <f>Table615367[[#This Row],[CFNM]]/Table615367[[#This Row],[CAREA]]</f>
        <v>0.2336746272854214</v>
      </c>
      <c r="AE436">
        <v>2.1153300000000002</v>
      </c>
      <c r="AF436">
        <f>(Table716368[[#This Row],[time]]-2)*2</f>
        <v>0.23066000000000031</v>
      </c>
      <c r="AG436">
        <v>77.707400000000007</v>
      </c>
      <c r="AH436">
        <v>19.195799999999998</v>
      </c>
      <c r="AI436">
        <f>Table716368[[#This Row],[CFNM]]/Table716368[[#This Row],[CAREA]]</f>
        <v>0.24702666670098339</v>
      </c>
      <c r="AJ436">
        <v>2.1153300000000002</v>
      </c>
      <c r="AK436">
        <f>(Table817369[[#This Row],[time]]-2)*2</f>
        <v>0.23066000000000031</v>
      </c>
      <c r="AL436">
        <v>83.442400000000006</v>
      </c>
      <c r="AM436">
        <v>23.212</v>
      </c>
      <c r="AN436">
        <f>Table817369[[#This Row],[CFNM]]/Table817369[[#This Row],[CAREA]]</f>
        <v>0.2781799181231604</v>
      </c>
    </row>
    <row r="437" spans="1:40" x14ac:dyDescent="0.25">
      <c r="A437">
        <v>2.16533</v>
      </c>
      <c r="B437">
        <f>(Table110362[[#This Row],[time]]-2)*2</f>
        <v>0.33065999999999995</v>
      </c>
      <c r="C437">
        <v>85.503399999999999</v>
      </c>
      <c r="D437">
        <v>9.8495299999999997</v>
      </c>
      <c r="E437">
        <f>Table110362[[#This Row],[CFNM]]/Table110362[[#This Row],[CAREA]]</f>
        <v>0.11519460044863712</v>
      </c>
      <c r="F437">
        <v>2.16533</v>
      </c>
      <c r="G437">
        <f>(Table211363[[#This Row],[time]]-2)*2</f>
        <v>0.33065999999999995</v>
      </c>
      <c r="H437">
        <v>98.602699999999999</v>
      </c>
      <c r="I437">
        <v>7.23353</v>
      </c>
      <c r="J437">
        <f>Table211363[[#This Row],[CFNM]]/Table211363[[#This Row],[CAREA]]</f>
        <v>7.3360364371361023E-2</v>
      </c>
      <c r="K437">
        <v>2.16533</v>
      </c>
      <c r="L437">
        <f>(Table312364[[#This Row],[time]]-2)*2</f>
        <v>0.33065999999999995</v>
      </c>
      <c r="M437">
        <v>84.012900000000002</v>
      </c>
      <c r="N437">
        <v>2.9031600000000002</v>
      </c>
      <c r="O437">
        <f>Table312364[[#This Row],[CFNM]]/Table312364[[#This Row],[CAREA]]</f>
        <v>3.4556121738447312E-2</v>
      </c>
      <c r="P437">
        <v>2.16533</v>
      </c>
      <c r="Q437">
        <f>(Table413365[[#This Row],[time]]-2)*2</f>
        <v>0.33065999999999995</v>
      </c>
      <c r="R437">
        <v>89.848299999999995</v>
      </c>
      <c r="S437">
        <v>11.8276</v>
      </c>
      <c r="T437">
        <f>Table413365[[#This Row],[CFNM]]/Table413365[[#This Row],[CAREA]]</f>
        <v>0.13163966374433353</v>
      </c>
      <c r="U437">
        <v>2.16533</v>
      </c>
      <c r="V437">
        <f>(Table514366[[#This Row],[time]]-2)*2</f>
        <v>0.33065999999999995</v>
      </c>
      <c r="W437">
        <v>76.944500000000005</v>
      </c>
      <c r="X437">
        <v>5.6740300000000001</v>
      </c>
      <c r="Y437">
        <f>Table514366[[#This Row],[CFNM]]/Table514366[[#This Row],[CAREA]]</f>
        <v>7.374185289396902E-2</v>
      </c>
      <c r="Z437">
        <v>2.16533</v>
      </c>
      <c r="AA437">
        <f>(Table615367[[#This Row],[time]]-2)*2</f>
        <v>0.33065999999999995</v>
      </c>
      <c r="AB437">
        <v>92.373400000000004</v>
      </c>
      <c r="AC437">
        <v>24.8962</v>
      </c>
      <c r="AD437">
        <f>Table615367[[#This Row],[CFNM]]/Table615367[[#This Row],[CAREA]]</f>
        <v>0.26951698216153136</v>
      </c>
      <c r="AE437">
        <v>2.16533</v>
      </c>
      <c r="AF437">
        <f>(Table716368[[#This Row],[time]]-2)*2</f>
        <v>0.33065999999999995</v>
      </c>
      <c r="AG437">
        <v>77.596999999999994</v>
      </c>
      <c r="AH437">
        <v>19.050599999999999</v>
      </c>
      <c r="AI437">
        <f>Table716368[[#This Row],[CFNM]]/Table716368[[#This Row],[CAREA]]</f>
        <v>0.24550691392708482</v>
      </c>
      <c r="AJ437">
        <v>2.16533</v>
      </c>
      <c r="AK437">
        <f>(Table817369[[#This Row],[time]]-2)*2</f>
        <v>0.33065999999999995</v>
      </c>
      <c r="AL437">
        <v>83.082800000000006</v>
      </c>
      <c r="AM437">
        <v>25.463899999999999</v>
      </c>
      <c r="AN437">
        <f>Table817369[[#This Row],[CFNM]]/Table817369[[#This Row],[CAREA]]</f>
        <v>0.30648822620325744</v>
      </c>
    </row>
    <row r="438" spans="1:40" x14ac:dyDescent="0.25">
      <c r="A438">
        <v>2.2246999999999999</v>
      </c>
      <c r="B438">
        <f>(Table110362[[#This Row],[time]]-2)*2</f>
        <v>0.4493999999999998</v>
      </c>
      <c r="C438">
        <v>83.672300000000007</v>
      </c>
      <c r="D438">
        <v>9.91404</v>
      </c>
      <c r="E438">
        <f>Table110362[[#This Row],[CFNM]]/Table110362[[#This Row],[CAREA]]</f>
        <v>0.11848652421410669</v>
      </c>
      <c r="F438">
        <v>2.2246999999999999</v>
      </c>
      <c r="G438">
        <f>(Table211363[[#This Row],[time]]-2)*2</f>
        <v>0.4493999999999998</v>
      </c>
      <c r="H438">
        <v>99.403400000000005</v>
      </c>
      <c r="I438">
        <v>8.97532</v>
      </c>
      <c r="J438">
        <f>Table211363[[#This Row],[CFNM]]/Table211363[[#This Row],[CAREA]]</f>
        <v>9.0291881364218923E-2</v>
      </c>
      <c r="K438">
        <v>2.2246999999999999</v>
      </c>
      <c r="L438">
        <f>(Table312364[[#This Row],[time]]-2)*2</f>
        <v>0.4493999999999998</v>
      </c>
      <c r="M438">
        <v>83.031199999999998</v>
      </c>
      <c r="N438">
        <v>2.9121800000000002</v>
      </c>
      <c r="O438">
        <f>Table312364[[#This Row],[CFNM]]/Table312364[[#This Row],[CAREA]]</f>
        <v>3.5073321835647327E-2</v>
      </c>
      <c r="P438">
        <v>2.2246999999999999</v>
      </c>
      <c r="Q438">
        <f>(Table413365[[#This Row],[time]]-2)*2</f>
        <v>0.4493999999999998</v>
      </c>
      <c r="R438">
        <v>89.881900000000002</v>
      </c>
      <c r="S438">
        <v>13.591799999999999</v>
      </c>
      <c r="T438">
        <f>Table413365[[#This Row],[CFNM]]/Table413365[[#This Row],[CAREA]]</f>
        <v>0.15121843218712555</v>
      </c>
      <c r="U438">
        <v>2.2246999999999999</v>
      </c>
      <c r="V438">
        <f>(Table514366[[#This Row],[time]]-2)*2</f>
        <v>0.4493999999999998</v>
      </c>
      <c r="W438">
        <v>75.819199999999995</v>
      </c>
      <c r="X438">
        <v>5.6706700000000003</v>
      </c>
      <c r="Y438">
        <f>Table514366[[#This Row],[CFNM]]/Table514366[[#This Row],[CAREA]]</f>
        <v>7.4792005191297195E-2</v>
      </c>
      <c r="Z438">
        <v>2.2246999999999999</v>
      </c>
      <c r="AA438">
        <f>(Table615367[[#This Row],[time]]-2)*2</f>
        <v>0.4493999999999998</v>
      </c>
      <c r="AB438">
        <v>93.174599999999998</v>
      </c>
      <c r="AC438">
        <v>27.7577</v>
      </c>
      <c r="AD438">
        <f>Table615367[[#This Row],[CFNM]]/Table615367[[#This Row],[CAREA]]</f>
        <v>0.29791058936662995</v>
      </c>
      <c r="AE438">
        <v>2.2246999999999999</v>
      </c>
      <c r="AF438">
        <f>(Table716368[[#This Row],[time]]-2)*2</f>
        <v>0.4493999999999998</v>
      </c>
      <c r="AG438">
        <v>77.606800000000007</v>
      </c>
      <c r="AH438">
        <v>18.8401</v>
      </c>
      <c r="AI438">
        <f>Table716368[[#This Row],[CFNM]]/Table716368[[#This Row],[CAREA]]</f>
        <v>0.24276352072241089</v>
      </c>
      <c r="AJ438">
        <v>2.2246999999999999</v>
      </c>
      <c r="AK438">
        <f>(Table817369[[#This Row],[time]]-2)*2</f>
        <v>0.4493999999999998</v>
      </c>
      <c r="AL438">
        <v>82.488200000000006</v>
      </c>
      <c r="AM438">
        <v>27.3202</v>
      </c>
      <c r="AN438">
        <f>Table817369[[#This Row],[CFNM]]/Table817369[[#This Row],[CAREA]]</f>
        <v>0.33120131121784691</v>
      </c>
    </row>
    <row r="439" spans="1:40" x14ac:dyDescent="0.25">
      <c r="A439">
        <v>2.2668900000000001</v>
      </c>
      <c r="B439">
        <f>(Table110362[[#This Row],[time]]-2)*2</f>
        <v>0.53378000000000014</v>
      </c>
      <c r="C439">
        <v>81.282200000000003</v>
      </c>
      <c r="D439">
        <v>10.0275</v>
      </c>
      <c r="E439">
        <f>Table110362[[#This Row],[CFNM]]/Table110362[[#This Row],[CAREA]]</f>
        <v>0.12336649352502761</v>
      </c>
      <c r="F439">
        <v>2.2668900000000001</v>
      </c>
      <c r="G439">
        <f>(Table211363[[#This Row],[time]]-2)*2</f>
        <v>0.53378000000000014</v>
      </c>
      <c r="H439">
        <v>102.44499999999999</v>
      </c>
      <c r="I439">
        <v>11.5472</v>
      </c>
      <c r="J439">
        <f>Table211363[[#This Row],[CFNM]]/Table211363[[#This Row],[CAREA]]</f>
        <v>0.1127160915613256</v>
      </c>
      <c r="K439">
        <v>2.2668900000000001</v>
      </c>
      <c r="L439">
        <f>(Table312364[[#This Row],[time]]-2)*2</f>
        <v>0.53378000000000014</v>
      </c>
      <c r="M439">
        <v>82.778899999999993</v>
      </c>
      <c r="N439">
        <v>2.9731800000000002</v>
      </c>
      <c r="O439">
        <f>Table312364[[#This Row],[CFNM]]/Table312364[[#This Row],[CAREA]]</f>
        <v>3.5917123808120191E-2</v>
      </c>
      <c r="P439">
        <v>2.2668900000000001</v>
      </c>
      <c r="Q439">
        <f>(Table413365[[#This Row],[time]]-2)*2</f>
        <v>0.53378000000000014</v>
      </c>
      <c r="R439">
        <v>90.024900000000002</v>
      </c>
      <c r="S439">
        <v>16.0459</v>
      </c>
      <c r="T439">
        <f>Table413365[[#This Row],[CFNM]]/Table413365[[#This Row],[CAREA]]</f>
        <v>0.17823846513575686</v>
      </c>
      <c r="U439">
        <v>2.2668900000000001</v>
      </c>
      <c r="V439">
        <f>(Table514366[[#This Row],[time]]-2)*2</f>
        <v>0.53378000000000014</v>
      </c>
      <c r="W439">
        <v>73.1584</v>
      </c>
      <c r="X439">
        <v>5.5908100000000003</v>
      </c>
      <c r="Y439">
        <f>Table514366[[#This Row],[CFNM]]/Table514366[[#This Row],[CAREA]]</f>
        <v>7.6420616087831336E-2</v>
      </c>
      <c r="Z439">
        <v>2.2668900000000001</v>
      </c>
      <c r="AA439">
        <f>(Table615367[[#This Row],[time]]-2)*2</f>
        <v>0.53378000000000014</v>
      </c>
      <c r="AB439">
        <v>94.231800000000007</v>
      </c>
      <c r="AC439">
        <v>31.668399999999998</v>
      </c>
      <c r="AD439">
        <f>Table615367[[#This Row],[CFNM]]/Table615367[[#This Row],[CAREA]]</f>
        <v>0.33606914014165068</v>
      </c>
      <c r="AE439">
        <v>2.2668900000000001</v>
      </c>
      <c r="AF439">
        <f>(Table716368[[#This Row],[time]]-2)*2</f>
        <v>0.53378000000000014</v>
      </c>
      <c r="AG439">
        <v>77.550799999999995</v>
      </c>
      <c r="AH439">
        <v>18.6328</v>
      </c>
      <c r="AI439">
        <f>Table716368[[#This Row],[CFNM]]/Table716368[[#This Row],[CAREA]]</f>
        <v>0.24026573549209035</v>
      </c>
      <c r="AJ439">
        <v>2.2668900000000001</v>
      </c>
      <c r="AK439">
        <f>(Table817369[[#This Row],[time]]-2)*2</f>
        <v>0.53378000000000014</v>
      </c>
      <c r="AL439">
        <v>81.93</v>
      </c>
      <c r="AM439">
        <v>30.038599999999999</v>
      </c>
      <c r="AN439">
        <f>Table817369[[#This Row],[CFNM]]/Table817369[[#This Row],[CAREA]]</f>
        <v>0.36663737336750879</v>
      </c>
    </row>
    <row r="440" spans="1:40" x14ac:dyDescent="0.25">
      <c r="A440">
        <v>2.3262700000000001</v>
      </c>
      <c r="B440">
        <f>(Table110362[[#This Row],[time]]-2)*2</f>
        <v>0.65254000000000012</v>
      </c>
      <c r="C440">
        <v>78.602099999999993</v>
      </c>
      <c r="D440">
        <v>9.9714899999999993</v>
      </c>
      <c r="E440">
        <f>Table110362[[#This Row],[CFNM]]/Table110362[[#This Row],[CAREA]]</f>
        <v>0.12686035105932283</v>
      </c>
      <c r="F440">
        <v>2.3262700000000001</v>
      </c>
      <c r="G440">
        <f>(Table211363[[#This Row],[time]]-2)*2</f>
        <v>0.65254000000000012</v>
      </c>
      <c r="H440">
        <v>105.521</v>
      </c>
      <c r="I440">
        <v>14.459300000000001</v>
      </c>
      <c r="J440">
        <f>Table211363[[#This Row],[CFNM]]/Table211363[[#This Row],[CAREA]]</f>
        <v>0.13702770064726452</v>
      </c>
      <c r="K440">
        <v>2.3262700000000001</v>
      </c>
      <c r="L440">
        <f>(Table312364[[#This Row],[time]]-2)*2</f>
        <v>0.65254000000000012</v>
      </c>
      <c r="M440">
        <v>81.3155</v>
      </c>
      <c r="N440">
        <v>3.09876</v>
      </c>
      <c r="O440">
        <f>Table312364[[#This Row],[CFNM]]/Table312364[[#This Row],[CAREA]]</f>
        <v>3.8107863814401927E-2</v>
      </c>
      <c r="P440">
        <v>2.3262700000000001</v>
      </c>
      <c r="Q440">
        <f>(Table413365[[#This Row],[time]]-2)*2</f>
        <v>0.65254000000000012</v>
      </c>
      <c r="R440">
        <v>90.058199999999999</v>
      </c>
      <c r="S440">
        <v>18.705100000000002</v>
      </c>
      <c r="T440">
        <f>Table413365[[#This Row],[CFNM]]/Table413365[[#This Row],[CAREA]]</f>
        <v>0.20770013169261659</v>
      </c>
      <c r="U440">
        <v>2.3262700000000001</v>
      </c>
      <c r="V440">
        <f>(Table514366[[#This Row],[time]]-2)*2</f>
        <v>0.65254000000000012</v>
      </c>
      <c r="W440">
        <v>71.808199999999999</v>
      </c>
      <c r="X440">
        <v>5.37446</v>
      </c>
      <c r="Y440">
        <f>Table514366[[#This Row],[CFNM]]/Table514366[[#This Row],[CAREA]]</f>
        <v>7.4844655624288034E-2</v>
      </c>
      <c r="Z440">
        <v>2.3262700000000001</v>
      </c>
      <c r="AA440">
        <f>(Table615367[[#This Row],[time]]-2)*2</f>
        <v>0.65254000000000012</v>
      </c>
      <c r="AB440">
        <v>94.629599999999996</v>
      </c>
      <c r="AC440">
        <v>35.7179</v>
      </c>
      <c r="AD440">
        <f>Table615367[[#This Row],[CFNM]]/Table615367[[#This Row],[CAREA]]</f>
        <v>0.37744955066913527</v>
      </c>
      <c r="AE440">
        <v>2.3262700000000001</v>
      </c>
      <c r="AF440">
        <f>(Table716368[[#This Row],[time]]-2)*2</f>
        <v>0.65254000000000012</v>
      </c>
      <c r="AG440">
        <v>76.816400000000002</v>
      </c>
      <c r="AH440">
        <v>18.3782</v>
      </c>
      <c r="AI440">
        <f>Table716368[[#This Row],[CFNM]]/Table716368[[#This Row],[CAREA]]</f>
        <v>0.23924838966678991</v>
      </c>
      <c r="AJ440">
        <v>2.3262700000000001</v>
      </c>
      <c r="AK440">
        <f>(Table817369[[#This Row],[time]]-2)*2</f>
        <v>0.65254000000000012</v>
      </c>
      <c r="AL440">
        <v>81.423699999999997</v>
      </c>
      <c r="AM440">
        <v>33.055900000000001</v>
      </c>
      <c r="AN440">
        <f>Table817369[[#This Row],[CFNM]]/Table817369[[#This Row],[CAREA]]</f>
        <v>0.40597393633548956</v>
      </c>
    </row>
    <row r="441" spans="1:40" x14ac:dyDescent="0.25">
      <c r="A441">
        <v>2.3684599999999998</v>
      </c>
      <c r="B441">
        <f>(Table110362[[#This Row],[time]]-2)*2</f>
        <v>0.73691999999999958</v>
      </c>
      <c r="C441">
        <v>74.915599999999998</v>
      </c>
      <c r="D441">
        <v>9.7293299999999991</v>
      </c>
      <c r="E441">
        <f>Table110362[[#This Row],[CFNM]]/Table110362[[#This Row],[CAREA]]</f>
        <v>0.12987054765629588</v>
      </c>
      <c r="F441">
        <v>2.3684599999999998</v>
      </c>
      <c r="G441">
        <f>(Table211363[[#This Row],[time]]-2)*2</f>
        <v>0.73691999999999958</v>
      </c>
      <c r="H441">
        <v>106.95</v>
      </c>
      <c r="I441">
        <v>17.264800000000001</v>
      </c>
      <c r="J441">
        <f>Table211363[[#This Row],[CFNM]]/Table211363[[#This Row],[CAREA]]</f>
        <v>0.16142870500233755</v>
      </c>
      <c r="K441">
        <v>2.3684599999999998</v>
      </c>
      <c r="L441">
        <f>(Table312364[[#This Row],[time]]-2)*2</f>
        <v>0.73691999999999958</v>
      </c>
      <c r="M441">
        <v>80.627700000000004</v>
      </c>
      <c r="N441">
        <v>3.1736800000000001</v>
      </c>
      <c r="O441">
        <f>Table312364[[#This Row],[CFNM]]/Table312364[[#This Row],[CAREA]]</f>
        <v>3.9362154693734289E-2</v>
      </c>
      <c r="P441">
        <v>2.3684599999999998</v>
      </c>
      <c r="Q441">
        <f>(Table413365[[#This Row],[time]]-2)*2</f>
        <v>0.73691999999999958</v>
      </c>
      <c r="R441">
        <v>89.784000000000006</v>
      </c>
      <c r="S441">
        <v>21.310500000000001</v>
      </c>
      <c r="T441">
        <f>Table413365[[#This Row],[CFNM]]/Table413365[[#This Row],[CAREA]]</f>
        <v>0.23735298048650094</v>
      </c>
      <c r="U441">
        <v>2.3684599999999998</v>
      </c>
      <c r="V441">
        <f>(Table514366[[#This Row],[time]]-2)*2</f>
        <v>0.73691999999999958</v>
      </c>
      <c r="W441">
        <v>70.964500000000001</v>
      </c>
      <c r="X441">
        <v>5.1054599999999999</v>
      </c>
      <c r="Y441">
        <f>Table514366[[#This Row],[CFNM]]/Table514366[[#This Row],[CAREA]]</f>
        <v>7.1943859253570441E-2</v>
      </c>
      <c r="Z441">
        <v>2.3684599999999998</v>
      </c>
      <c r="AA441">
        <f>(Table615367[[#This Row],[time]]-2)*2</f>
        <v>0.73691999999999958</v>
      </c>
      <c r="AB441">
        <v>94.345699999999994</v>
      </c>
      <c r="AC441">
        <v>39.519300000000001</v>
      </c>
      <c r="AD441">
        <f>Table615367[[#This Row],[CFNM]]/Table615367[[#This Row],[CAREA]]</f>
        <v>0.41887759590527185</v>
      </c>
      <c r="AE441">
        <v>2.3684599999999998</v>
      </c>
      <c r="AF441">
        <f>(Table716368[[#This Row],[time]]-2)*2</f>
        <v>0.73691999999999958</v>
      </c>
      <c r="AG441">
        <v>76.863600000000005</v>
      </c>
      <c r="AH441">
        <v>18.122199999999999</v>
      </c>
      <c r="AI441">
        <f>Table716368[[#This Row],[CFNM]]/Table716368[[#This Row],[CAREA]]</f>
        <v>0.23577089805837873</v>
      </c>
      <c r="AJ441">
        <v>2.3684599999999998</v>
      </c>
      <c r="AK441">
        <f>(Table817369[[#This Row],[time]]-2)*2</f>
        <v>0.73691999999999958</v>
      </c>
      <c r="AL441">
        <v>80.923900000000003</v>
      </c>
      <c r="AM441">
        <v>36.016599999999997</v>
      </c>
      <c r="AN441">
        <f>Table817369[[#This Row],[CFNM]]/Table817369[[#This Row],[CAREA]]</f>
        <v>0.4450675264044367</v>
      </c>
    </row>
    <row r="442" spans="1:40" x14ac:dyDescent="0.25">
      <c r="A442">
        <v>2.4278300000000002</v>
      </c>
      <c r="B442">
        <f>(Table110362[[#This Row],[time]]-2)*2</f>
        <v>0.85566000000000031</v>
      </c>
      <c r="C442">
        <v>71.577200000000005</v>
      </c>
      <c r="D442">
        <v>9.4995899999999995</v>
      </c>
      <c r="E442">
        <f>Table110362[[#This Row],[CFNM]]/Table110362[[#This Row],[CAREA]]</f>
        <v>0.13271810017715135</v>
      </c>
      <c r="F442">
        <v>2.4278300000000002</v>
      </c>
      <c r="G442">
        <f>(Table211363[[#This Row],[time]]-2)*2</f>
        <v>0.85566000000000031</v>
      </c>
      <c r="H442">
        <v>105.54900000000001</v>
      </c>
      <c r="I442">
        <v>20.151900000000001</v>
      </c>
      <c r="J442">
        <f>Table211363[[#This Row],[CFNM]]/Table211363[[#This Row],[CAREA]]</f>
        <v>0.19092459426427535</v>
      </c>
      <c r="K442">
        <v>2.4278300000000002</v>
      </c>
      <c r="L442">
        <f>(Table312364[[#This Row],[time]]-2)*2</f>
        <v>0.85566000000000031</v>
      </c>
      <c r="M442">
        <v>79.799400000000006</v>
      </c>
      <c r="N442">
        <v>3.1862599999999999</v>
      </c>
      <c r="O442">
        <f>Table312364[[#This Row],[CFNM]]/Table312364[[#This Row],[CAREA]]</f>
        <v>3.9928370388749787E-2</v>
      </c>
      <c r="P442">
        <v>2.4278300000000002</v>
      </c>
      <c r="Q442">
        <f>(Table413365[[#This Row],[time]]-2)*2</f>
        <v>0.85566000000000031</v>
      </c>
      <c r="R442">
        <v>89.394599999999997</v>
      </c>
      <c r="S442">
        <v>24.287400000000002</v>
      </c>
      <c r="T442">
        <f>Table413365[[#This Row],[CFNM]]/Table413365[[#This Row],[CAREA]]</f>
        <v>0.27168755159707636</v>
      </c>
      <c r="U442">
        <v>2.4278300000000002</v>
      </c>
      <c r="V442">
        <f>(Table514366[[#This Row],[time]]-2)*2</f>
        <v>0.85566000000000031</v>
      </c>
      <c r="W442">
        <v>69.962900000000005</v>
      </c>
      <c r="X442">
        <v>4.7671999999999999</v>
      </c>
      <c r="Y442">
        <f>Table514366[[#This Row],[CFNM]]/Table514366[[#This Row],[CAREA]]</f>
        <v>6.8138970797379753E-2</v>
      </c>
      <c r="Z442">
        <v>2.4278300000000002</v>
      </c>
      <c r="AA442">
        <f>(Table615367[[#This Row],[time]]-2)*2</f>
        <v>0.85566000000000031</v>
      </c>
      <c r="AB442">
        <v>94.534499999999994</v>
      </c>
      <c r="AC442">
        <v>43.623399999999997</v>
      </c>
      <c r="AD442">
        <f>Table615367[[#This Row],[CFNM]]/Table615367[[#This Row],[CAREA]]</f>
        <v>0.46145481279321304</v>
      </c>
      <c r="AE442">
        <v>2.4278300000000002</v>
      </c>
      <c r="AF442">
        <f>(Table716368[[#This Row],[time]]-2)*2</f>
        <v>0.85566000000000031</v>
      </c>
      <c r="AG442">
        <v>76.611999999999995</v>
      </c>
      <c r="AH442">
        <v>17.746300000000002</v>
      </c>
      <c r="AI442">
        <f>Table716368[[#This Row],[CFNM]]/Table716368[[#This Row],[CAREA]]</f>
        <v>0.23163864668720308</v>
      </c>
      <c r="AJ442">
        <v>2.4278300000000002</v>
      </c>
      <c r="AK442">
        <f>(Table817369[[#This Row],[time]]-2)*2</f>
        <v>0.85566000000000031</v>
      </c>
      <c r="AL442">
        <v>80.364599999999996</v>
      </c>
      <c r="AM442">
        <v>39.241500000000002</v>
      </c>
      <c r="AN442">
        <f>Table817369[[#This Row],[CFNM]]/Table817369[[#This Row],[CAREA]]</f>
        <v>0.4882933530435043</v>
      </c>
    </row>
    <row r="443" spans="1:40" x14ac:dyDescent="0.25">
      <c r="A443">
        <v>2.4542000000000002</v>
      </c>
      <c r="B443">
        <f>(Table110362[[#This Row],[time]]-2)*2</f>
        <v>0.90840000000000032</v>
      </c>
      <c r="C443">
        <v>68.998099999999994</v>
      </c>
      <c r="D443">
        <v>9.1471099999999996</v>
      </c>
      <c r="E443">
        <f>Table110362[[#This Row],[CFNM]]/Table110362[[#This Row],[CAREA]]</f>
        <v>0.13257046208518786</v>
      </c>
      <c r="F443">
        <v>2.4542000000000002</v>
      </c>
      <c r="G443">
        <f>(Table211363[[#This Row],[time]]-2)*2</f>
        <v>0.90840000000000032</v>
      </c>
      <c r="H443">
        <v>103.476</v>
      </c>
      <c r="I443">
        <v>23.6065</v>
      </c>
      <c r="J443">
        <f>Table211363[[#This Row],[CFNM]]/Table211363[[#This Row],[CAREA]]</f>
        <v>0.22813502647957015</v>
      </c>
      <c r="K443">
        <v>2.4542000000000002</v>
      </c>
      <c r="L443">
        <f>(Table312364[[#This Row],[time]]-2)*2</f>
        <v>0.90840000000000032</v>
      </c>
      <c r="M443">
        <v>79.116200000000006</v>
      </c>
      <c r="N443">
        <v>3.1573099999999998</v>
      </c>
      <c r="O443">
        <f>Table312364[[#This Row],[CFNM]]/Table312364[[#This Row],[CAREA]]</f>
        <v>3.9907250348221977E-2</v>
      </c>
      <c r="P443">
        <v>2.4542000000000002</v>
      </c>
      <c r="Q443">
        <f>(Table413365[[#This Row],[time]]-2)*2</f>
        <v>0.90840000000000032</v>
      </c>
      <c r="R443">
        <v>88.8994</v>
      </c>
      <c r="S443">
        <v>27.412299999999998</v>
      </c>
      <c r="T443">
        <f>Table413365[[#This Row],[CFNM]]/Table413365[[#This Row],[CAREA]]</f>
        <v>0.30835191238636028</v>
      </c>
      <c r="U443">
        <v>2.4542000000000002</v>
      </c>
      <c r="V443">
        <f>(Table514366[[#This Row],[time]]-2)*2</f>
        <v>0.90840000000000032</v>
      </c>
      <c r="W443">
        <v>68.946200000000005</v>
      </c>
      <c r="X443">
        <v>4.3748100000000001</v>
      </c>
      <c r="Y443">
        <f>Table514366[[#This Row],[CFNM]]/Table514366[[#This Row],[CAREA]]</f>
        <v>6.3452518050305884E-2</v>
      </c>
      <c r="Z443">
        <v>2.4542000000000002</v>
      </c>
      <c r="AA443">
        <f>(Table615367[[#This Row],[time]]-2)*2</f>
        <v>0.90840000000000032</v>
      </c>
      <c r="AB443">
        <v>94.171199999999999</v>
      </c>
      <c r="AC443">
        <v>47.4803</v>
      </c>
      <c r="AD443">
        <f>Table615367[[#This Row],[CFNM]]/Table615367[[#This Row],[CAREA]]</f>
        <v>0.50419130264879286</v>
      </c>
      <c r="AE443">
        <v>2.4542000000000002</v>
      </c>
      <c r="AF443">
        <f>(Table716368[[#This Row],[time]]-2)*2</f>
        <v>0.90840000000000032</v>
      </c>
      <c r="AG443">
        <v>76.592200000000005</v>
      </c>
      <c r="AH443">
        <v>17.348400000000002</v>
      </c>
      <c r="AI443">
        <f>Table716368[[#This Row],[CFNM]]/Table716368[[#This Row],[CAREA]]</f>
        <v>0.22650348207780949</v>
      </c>
      <c r="AJ443">
        <v>2.4542000000000002</v>
      </c>
      <c r="AK443">
        <f>(Table817369[[#This Row],[time]]-2)*2</f>
        <v>0.90840000000000032</v>
      </c>
      <c r="AL443">
        <v>79.877799999999993</v>
      </c>
      <c r="AM443">
        <v>42.343400000000003</v>
      </c>
      <c r="AN443">
        <f>Table817369[[#This Row],[CFNM]]/Table817369[[#This Row],[CAREA]]</f>
        <v>0.53010223115809407</v>
      </c>
    </row>
    <row r="444" spans="1:40" x14ac:dyDescent="0.25">
      <c r="A444">
        <v>2.5061499999999999</v>
      </c>
      <c r="B444">
        <f>(Table110362[[#This Row],[time]]-2)*2</f>
        <v>1.0122999999999998</v>
      </c>
      <c r="C444">
        <v>66.1935</v>
      </c>
      <c r="D444">
        <v>8.69116</v>
      </c>
      <c r="E444">
        <f>Table110362[[#This Row],[CFNM]]/Table110362[[#This Row],[CAREA]]</f>
        <v>0.13129929675874519</v>
      </c>
      <c r="F444">
        <v>2.5061499999999999</v>
      </c>
      <c r="G444">
        <f>(Table211363[[#This Row],[time]]-2)*2</f>
        <v>1.0122999999999998</v>
      </c>
      <c r="H444">
        <v>100.77</v>
      </c>
      <c r="I444">
        <v>27.660799999999998</v>
      </c>
      <c r="J444">
        <f>Table211363[[#This Row],[CFNM]]/Table211363[[#This Row],[CAREA]]</f>
        <v>0.27449439317257118</v>
      </c>
      <c r="K444">
        <v>2.5061499999999999</v>
      </c>
      <c r="L444">
        <f>(Table312364[[#This Row],[time]]-2)*2</f>
        <v>1.0122999999999998</v>
      </c>
      <c r="M444">
        <v>77.891800000000003</v>
      </c>
      <c r="N444">
        <v>2.9033899999999999</v>
      </c>
      <c r="O444">
        <f>Table312364[[#This Row],[CFNM]]/Table312364[[#This Row],[CAREA]]</f>
        <v>3.7274655355249202E-2</v>
      </c>
      <c r="P444">
        <v>2.5061499999999999</v>
      </c>
      <c r="Q444">
        <f>(Table413365[[#This Row],[time]]-2)*2</f>
        <v>1.0122999999999998</v>
      </c>
      <c r="R444">
        <v>88.148700000000005</v>
      </c>
      <c r="S444">
        <v>31.479500000000002</v>
      </c>
      <c r="T444">
        <f>Table413365[[#This Row],[CFNM]]/Table413365[[#This Row],[CAREA]]</f>
        <v>0.35711814241162942</v>
      </c>
      <c r="U444">
        <v>2.5061499999999999</v>
      </c>
      <c r="V444">
        <f>(Table514366[[#This Row],[time]]-2)*2</f>
        <v>1.0122999999999998</v>
      </c>
      <c r="W444">
        <v>67.830399999999997</v>
      </c>
      <c r="X444">
        <v>3.8604699999999998</v>
      </c>
      <c r="Y444">
        <f>Table514366[[#This Row],[CFNM]]/Table514366[[#This Row],[CAREA]]</f>
        <v>5.6913566778317687E-2</v>
      </c>
      <c r="Z444">
        <v>2.5061499999999999</v>
      </c>
      <c r="AA444">
        <f>(Table615367[[#This Row],[time]]-2)*2</f>
        <v>1.0122999999999998</v>
      </c>
      <c r="AB444">
        <v>94.031099999999995</v>
      </c>
      <c r="AC444">
        <v>51.874000000000002</v>
      </c>
      <c r="AD444">
        <f>Table615367[[#This Row],[CFNM]]/Table615367[[#This Row],[CAREA]]</f>
        <v>0.551668543705221</v>
      </c>
      <c r="AE444">
        <v>2.5061499999999999</v>
      </c>
      <c r="AF444">
        <f>(Table716368[[#This Row],[time]]-2)*2</f>
        <v>1.0122999999999998</v>
      </c>
      <c r="AG444">
        <v>75.677999999999997</v>
      </c>
      <c r="AH444">
        <v>16.912299999999998</v>
      </c>
      <c r="AI444">
        <f>Table716368[[#This Row],[CFNM]]/Table716368[[#This Row],[CAREA]]</f>
        <v>0.22347710034620363</v>
      </c>
      <c r="AJ444">
        <v>2.5061499999999999</v>
      </c>
      <c r="AK444">
        <f>(Table817369[[#This Row],[time]]-2)*2</f>
        <v>1.0122999999999998</v>
      </c>
      <c r="AL444">
        <v>79.462199999999996</v>
      </c>
      <c r="AM444">
        <v>46.111400000000003</v>
      </c>
      <c r="AN444">
        <f>Table817369[[#This Row],[CFNM]]/Table817369[[#This Row],[CAREA]]</f>
        <v>0.58029352320977778</v>
      </c>
    </row>
    <row r="445" spans="1:40" x14ac:dyDescent="0.25">
      <c r="A445">
        <v>2.5507599999999999</v>
      </c>
      <c r="B445">
        <f>(Table110362[[#This Row],[time]]-2)*2</f>
        <v>1.1015199999999998</v>
      </c>
      <c r="C445">
        <v>65.460499999999996</v>
      </c>
      <c r="D445">
        <v>8.2408900000000003</v>
      </c>
      <c r="E445">
        <f>Table110362[[#This Row],[CFNM]]/Table110362[[#This Row],[CAREA]]</f>
        <v>0.12589103352403358</v>
      </c>
      <c r="F445">
        <v>2.5507599999999999</v>
      </c>
      <c r="G445">
        <f>(Table211363[[#This Row],[time]]-2)*2</f>
        <v>1.1015199999999998</v>
      </c>
      <c r="H445">
        <v>99.627099999999999</v>
      </c>
      <c r="I445">
        <v>31.043600000000001</v>
      </c>
      <c r="J445">
        <f>Table211363[[#This Row],[CFNM]]/Table211363[[#This Row],[CAREA]]</f>
        <v>0.31159794875089208</v>
      </c>
      <c r="K445">
        <v>2.5507599999999999</v>
      </c>
      <c r="L445">
        <f>(Table312364[[#This Row],[time]]-2)*2</f>
        <v>1.1015199999999998</v>
      </c>
      <c r="M445">
        <v>76.75</v>
      </c>
      <c r="N445">
        <v>2.8297400000000001</v>
      </c>
      <c r="O445">
        <f>Table312364[[#This Row],[CFNM]]/Table312364[[#This Row],[CAREA]]</f>
        <v>3.6869576547231275E-2</v>
      </c>
      <c r="P445">
        <v>2.5507599999999999</v>
      </c>
      <c r="Q445">
        <f>(Table413365[[#This Row],[time]]-2)*2</f>
        <v>1.1015199999999998</v>
      </c>
      <c r="R445">
        <v>87.368600000000001</v>
      </c>
      <c r="S445">
        <v>34.520200000000003</v>
      </c>
      <c r="T445">
        <f>Table413365[[#This Row],[CFNM]]/Table413365[[#This Row],[CAREA]]</f>
        <v>0.3951099136302974</v>
      </c>
      <c r="U445">
        <v>2.5507599999999999</v>
      </c>
      <c r="V445">
        <f>(Table514366[[#This Row],[time]]-2)*2</f>
        <v>1.1015199999999998</v>
      </c>
      <c r="W445">
        <v>67.278300000000002</v>
      </c>
      <c r="X445">
        <v>3.4558</v>
      </c>
      <c r="Y445">
        <f>Table514366[[#This Row],[CFNM]]/Table514366[[#This Row],[CAREA]]</f>
        <v>5.1365744972747526E-2</v>
      </c>
      <c r="Z445">
        <v>2.5507599999999999</v>
      </c>
      <c r="AA445">
        <f>(Table615367[[#This Row],[time]]-2)*2</f>
        <v>1.1015199999999998</v>
      </c>
      <c r="AB445">
        <v>93.548199999999994</v>
      </c>
      <c r="AC445">
        <v>55.045900000000003</v>
      </c>
      <c r="AD445">
        <f>Table615367[[#This Row],[CFNM]]/Table615367[[#This Row],[CAREA]]</f>
        <v>0.58842286650090547</v>
      </c>
      <c r="AE445">
        <v>2.5507599999999999</v>
      </c>
      <c r="AF445">
        <f>(Table716368[[#This Row],[time]]-2)*2</f>
        <v>1.1015199999999998</v>
      </c>
      <c r="AG445">
        <v>75.539000000000001</v>
      </c>
      <c r="AH445">
        <v>16.5288</v>
      </c>
      <c r="AI445">
        <f>Table716368[[#This Row],[CFNM]]/Table716368[[#This Row],[CAREA]]</f>
        <v>0.21881147486728711</v>
      </c>
      <c r="AJ445">
        <v>2.5507599999999999</v>
      </c>
      <c r="AK445">
        <f>(Table817369[[#This Row],[time]]-2)*2</f>
        <v>1.1015199999999998</v>
      </c>
      <c r="AL445">
        <v>78.962199999999996</v>
      </c>
      <c r="AM445">
        <v>48.802900000000001</v>
      </c>
      <c r="AN445">
        <f>Table817369[[#This Row],[CFNM]]/Table817369[[#This Row],[CAREA]]</f>
        <v>0.61805395493033377</v>
      </c>
    </row>
    <row r="446" spans="1:40" x14ac:dyDescent="0.25">
      <c r="A446">
        <v>2.60453</v>
      </c>
      <c r="B446">
        <f>(Table110362[[#This Row],[time]]-2)*2</f>
        <v>1.20906</v>
      </c>
      <c r="C446">
        <v>63.5246</v>
      </c>
      <c r="D446">
        <v>7.68621</v>
      </c>
      <c r="E446">
        <f>Table110362[[#This Row],[CFNM]]/Table110362[[#This Row],[CAREA]]</f>
        <v>0.12099580320064983</v>
      </c>
      <c r="F446">
        <v>2.60453</v>
      </c>
      <c r="G446">
        <f>(Table211363[[#This Row],[time]]-2)*2</f>
        <v>1.20906</v>
      </c>
      <c r="H446">
        <v>98.311999999999998</v>
      </c>
      <c r="I446">
        <v>35.361400000000003</v>
      </c>
      <c r="J446">
        <f>Table211363[[#This Row],[CFNM]]/Table211363[[#This Row],[CAREA]]</f>
        <v>0.35968549108959236</v>
      </c>
      <c r="K446">
        <v>2.60453</v>
      </c>
      <c r="L446">
        <f>(Table312364[[#This Row],[time]]-2)*2</f>
        <v>1.20906</v>
      </c>
      <c r="M446">
        <v>76.005399999999995</v>
      </c>
      <c r="N446">
        <v>2.43933</v>
      </c>
      <c r="O446">
        <f>Table312364[[#This Row],[CFNM]]/Table312364[[#This Row],[CAREA]]</f>
        <v>3.2094166993397837E-2</v>
      </c>
      <c r="P446">
        <v>2.60453</v>
      </c>
      <c r="Q446">
        <f>(Table413365[[#This Row],[time]]-2)*2</f>
        <v>1.20906</v>
      </c>
      <c r="R446">
        <v>86.354699999999994</v>
      </c>
      <c r="S446">
        <v>38.9377</v>
      </c>
      <c r="T446">
        <f>Table413365[[#This Row],[CFNM]]/Table413365[[#This Row],[CAREA]]</f>
        <v>0.45090423566985932</v>
      </c>
      <c r="U446">
        <v>2.60453</v>
      </c>
      <c r="V446">
        <f>(Table514366[[#This Row],[time]]-2)*2</f>
        <v>1.20906</v>
      </c>
      <c r="W446">
        <v>66.343699999999998</v>
      </c>
      <c r="X446">
        <v>2.8513099999999998</v>
      </c>
      <c r="Y446">
        <f>Table514366[[#This Row],[CFNM]]/Table514366[[#This Row],[CAREA]]</f>
        <v>4.2977856224479485E-2</v>
      </c>
      <c r="Z446">
        <v>2.60453</v>
      </c>
      <c r="AA446">
        <f>(Table615367[[#This Row],[time]]-2)*2</f>
        <v>1.20906</v>
      </c>
      <c r="AB446">
        <v>92.866399999999999</v>
      </c>
      <c r="AC446">
        <v>59.458199999999998</v>
      </c>
      <c r="AD446">
        <f>Table615367[[#This Row],[CFNM]]/Table615367[[#This Row],[CAREA]]</f>
        <v>0.64025524839985182</v>
      </c>
      <c r="AE446">
        <v>2.60453</v>
      </c>
      <c r="AF446">
        <f>(Table716368[[#This Row],[time]]-2)*2</f>
        <v>1.20906</v>
      </c>
      <c r="AG446">
        <v>74.765199999999993</v>
      </c>
      <c r="AH446">
        <v>15.882199999999999</v>
      </c>
      <c r="AI446">
        <f>Table716368[[#This Row],[CFNM]]/Table716368[[#This Row],[CAREA]]</f>
        <v>0.21242770700807329</v>
      </c>
      <c r="AJ446">
        <v>2.60453</v>
      </c>
      <c r="AK446">
        <f>(Table817369[[#This Row],[time]]-2)*2</f>
        <v>1.20906</v>
      </c>
      <c r="AL446">
        <v>78.304599999999994</v>
      </c>
      <c r="AM446">
        <v>52.528100000000002</v>
      </c>
      <c r="AN446">
        <f>Table817369[[#This Row],[CFNM]]/Table817369[[#This Row],[CAREA]]</f>
        <v>0.67081755094847562</v>
      </c>
    </row>
    <row r="447" spans="1:40" x14ac:dyDescent="0.25">
      <c r="A447">
        <v>2.65273</v>
      </c>
      <c r="B447">
        <f>(Table110362[[#This Row],[time]]-2)*2</f>
        <v>1.3054600000000001</v>
      </c>
      <c r="C447">
        <v>63.051499999999997</v>
      </c>
      <c r="D447">
        <v>7.2483700000000004</v>
      </c>
      <c r="E447">
        <f>Table110362[[#This Row],[CFNM]]/Table110362[[#This Row],[CAREA]]</f>
        <v>0.11495951722005029</v>
      </c>
      <c r="F447">
        <v>2.65273</v>
      </c>
      <c r="G447">
        <f>(Table211363[[#This Row],[time]]-2)*2</f>
        <v>1.3054600000000001</v>
      </c>
      <c r="H447">
        <v>97.510900000000007</v>
      </c>
      <c r="I447">
        <v>38.512700000000002</v>
      </c>
      <c r="J447">
        <f>Table211363[[#This Row],[CFNM]]/Table211363[[#This Row],[CAREA]]</f>
        <v>0.39495789701459016</v>
      </c>
      <c r="K447">
        <v>2.65273</v>
      </c>
      <c r="L447">
        <f>(Table312364[[#This Row],[time]]-2)*2</f>
        <v>1.3054600000000001</v>
      </c>
      <c r="M447">
        <v>75.197500000000005</v>
      </c>
      <c r="N447">
        <v>2.0823700000000001</v>
      </c>
      <c r="O447">
        <f>Table312364[[#This Row],[CFNM]]/Table312364[[#This Row],[CAREA]]</f>
        <v>2.7692011037600984E-2</v>
      </c>
      <c r="P447">
        <v>2.65273</v>
      </c>
      <c r="Q447">
        <f>(Table413365[[#This Row],[time]]-2)*2</f>
        <v>1.3054600000000001</v>
      </c>
      <c r="R447">
        <v>85.748900000000006</v>
      </c>
      <c r="S447">
        <v>42.263800000000003</v>
      </c>
      <c r="T447">
        <f>Table413365[[#This Row],[CFNM]]/Table413365[[#This Row],[CAREA]]</f>
        <v>0.49287862584826159</v>
      </c>
      <c r="U447">
        <v>2.65273</v>
      </c>
      <c r="V447">
        <f>(Table514366[[#This Row],[time]]-2)*2</f>
        <v>1.3054600000000001</v>
      </c>
      <c r="W447">
        <v>65.586799999999997</v>
      </c>
      <c r="X447">
        <v>2.32531</v>
      </c>
      <c r="Y447">
        <f>Table514366[[#This Row],[CFNM]]/Table514366[[#This Row],[CAREA]]</f>
        <v>3.5453932803551934E-2</v>
      </c>
      <c r="Z447">
        <v>2.65273</v>
      </c>
      <c r="AA447">
        <f>(Table615367[[#This Row],[time]]-2)*2</f>
        <v>1.3054600000000001</v>
      </c>
      <c r="AB447">
        <v>92.470600000000005</v>
      </c>
      <c r="AC447">
        <v>62.849400000000003</v>
      </c>
      <c r="AD447">
        <f>Table615367[[#This Row],[CFNM]]/Table615367[[#This Row],[CAREA]]</f>
        <v>0.67966899749758303</v>
      </c>
      <c r="AE447">
        <v>2.65273</v>
      </c>
      <c r="AF447">
        <f>(Table716368[[#This Row],[time]]-2)*2</f>
        <v>1.3054600000000001</v>
      </c>
      <c r="AG447">
        <v>74.321799999999996</v>
      </c>
      <c r="AH447">
        <v>15.3277</v>
      </c>
      <c r="AI447">
        <f>Table716368[[#This Row],[CFNM]]/Table716368[[#This Row],[CAREA]]</f>
        <v>0.20623424082839761</v>
      </c>
      <c r="AJ447">
        <v>2.65273</v>
      </c>
      <c r="AK447">
        <f>(Table817369[[#This Row],[time]]-2)*2</f>
        <v>1.3054600000000001</v>
      </c>
      <c r="AL447">
        <v>77.577399999999997</v>
      </c>
      <c r="AM447">
        <v>55.460999999999999</v>
      </c>
      <c r="AN447">
        <f>Table817369[[#This Row],[CFNM]]/Table817369[[#This Row],[CAREA]]</f>
        <v>0.7149118171013723</v>
      </c>
    </row>
    <row r="448" spans="1:40" x14ac:dyDescent="0.25">
      <c r="A448">
        <v>2.7006199999999998</v>
      </c>
      <c r="B448">
        <f>(Table110362[[#This Row],[time]]-2)*2</f>
        <v>1.4012399999999996</v>
      </c>
      <c r="C448">
        <v>62.058900000000001</v>
      </c>
      <c r="D448">
        <v>6.8007</v>
      </c>
      <c r="E448">
        <f>Table110362[[#This Row],[CFNM]]/Table110362[[#This Row],[CAREA]]</f>
        <v>0.10958460430333118</v>
      </c>
      <c r="F448">
        <v>2.7006199999999998</v>
      </c>
      <c r="G448">
        <f>(Table211363[[#This Row],[time]]-2)*2</f>
        <v>1.4012399999999996</v>
      </c>
      <c r="H448">
        <v>96.622100000000003</v>
      </c>
      <c r="I448">
        <v>41.788899999999998</v>
      </c>
      <c r="J448">
        <f>Table211363[[#This Row],[CFNM]]/Table211363[[#This Row],[CAREA]]</f>
        <v>0.43249836217594106</v>
      </c>
      <c r="K448">
        <v>2.7006199999999998</v>
      </c>
      <c r="L448">
        <f>(Table312364[[#This Row],[time]]-2)*2</f>
        <v>1.4012399999999996</v>
      </c>
      <c r="M448">
        <v>72.690100000000001</v>
      </c>
      <c r="N448">
        <v>1.7211000000000001</v>
      </c>
      <c r="O448">
        <f>Table312364[[#This Row],[CFNM]]/Table312364[[#This Row],[CAREA]]</f>
        <v>2.3677227022661958E-2</v>
      </c>
      <c r="P448">
        <v>2.7006199999999998</v>
      </c>
      <c r="Q448">
        <f>(Table413365[[#This Row],[time]]-2)*2</f>
        <v>1.4012399999999996</v>
      </c>
      <c r="R448">
        <v>85.151600000000002</v>
      </c>
      <c r="S448">
        <v>45.6982</v>
      </c>
      <c r="T448">
        <f>Table413365[[#This Row],[CFNM]]/Table413365[[#This Row],[CAREA]]</f>
        <v>0.53666871791017434</v>
      </c>
      <c r="U448">
        <v>2.7006199999999998</v>
      </c>
      <c r="V448">
        <f>(Table514366[[#This Row],[time]]-2)*2</f>
        <v>1.4012399999999996</v>
      </c>
      <c r="W448">
        <v>64.744399999999999</v>
      </c>
      <c r="X448">
        <v>1.7197100000000001</v>
      </c>
      <c r="Y448">
        <f>Table514366[[#This Row],[CFNM]]/Table514366[[#This Row],[CAREA]]</f>
        <v>2.6561525012201829E-2</v>
      </c>
      <c r="Z448">
        <v>2.7006199999999998</v>
      </c>
      <c r="AA448">
        <f>(Table615367[[#This Row],[time]]-2)*2</f>
        <v>1.4012399999999996</v>
      </c>
      <c r="AB448">
        <v>91.820700000000002</v>
      </c>
      <c r="AC448">
        <v>66.375200000000007</v>
      </c>
      <c r="AD448">
        <f>Table615367[[#This Row],[CFNM]]/Table615367[[#This Row],[CAREA]]</f>
        <v>0.72287839234508133</v>
      </c>
      <c r="AE448">
        <v>2.7006199999999998</v>
      </c>
      <c r="AF448">
        <f>(Table716368[[#This Row],[time]]-2)*2</f>
        <v>1.4012399999999996</v>
      </c>
      <c r="AG448">
        <v>73.619600000000005</v>
      </c>
      <c r="AH448">
        <v>14.709899999999999</v>
      </c>
      <c r="AI448">
        <f>Table716368[[#This Row],[CFNM]]/Table716368[[#This Row],[CAREA]]</f>
        <v>0.19980956158414334</v>
      </c>
      <c r="AJ448">
        <v>2.7006199999999998</v>
      </c>
      <c r="AK448">
        <f>(Table817369[[#This Row],[time]]-2)*2</f>
        <v>1.4012399999999996</v>
      </c>
      <c r="AL448">
        <v>76.901200000000003</v>
      </c>
      <c r="AM448">
        <v>58.593600000000002</v>
      </c>
      <c r="AN448">
        <f>Table817369[[#This Row],[CFNM]]/Table817369[[#This Row],[CAREA]]</f>
        <v>0.76193349388566112</v>
      </c>
    </row>
    <row r="449" spans="1:40" x14ac:dyDescent="0.25">
      <c r="A449">
        <v>2.75176</v>
      </c>
      <c r="B449">
        <f>(Table110362[[#This Row],[time]]-2)*2</f>
        <v>1.50352</v>
      </c>
      <c r="C449">
        <v>61.181800000000003</v>
      </c>
      <c r="D449">
        <v>6.4070900000000002</v>
      </c>
      <c r="E449">
        <f>Table110362[[#This Row],[CFNM]]/Table110362[[#This Row],[CAREA]]</f>
        <v>0.1047221559352618</v>
      </c>
      <c r="F449">
        <v>2.75176</v>
      </c>
      <c r="G449">
        <f>(Table211363[[#This Row],[time]]-2)*2</f>
        <v>1.50352</v>
      </c>
      <c r="H449">
        <v>95.808700000000002</v>
      </c>
      <c r="I449">
        <v>44.877800000000001</v>
      </c>
      <c r="J449">
        <f>Table211363[[#This Row],[CFNM]]/Table211363[[#This Row],[CAREA]]</f>
        <v>0.46841048881782132</v>
      </c>
      <c r="K449">
        <v>2.75176</v>
      </c>
      <c r="L449">
        <f>(Table312364[[#This Row],[time]]-2)*2</f>
        <v>1.50352</v>
      </c>
      <c r="M449">
        <v>70.343500000000006</v>
      </c>
      <c r="N449">
        <v>1.41347</v>
      </c>
      <c r="O449">
        <f>Table312364[[#This Row],[CFNM]]/Table312364[[#This Row],[CAREA]]</f>
        <v>2.009382530013434E-2</v>
      </c>
      <c r="P449">
        <v>2.75176</v>
      </c>
      <c r="Q449">
        <f>(Table413365[[#This Row],[time]]-2)*2</f>
        <v>1.50352</v>
      </c>
      <c r="R449">
        <v>84.459100000000007</v>
      </c>
      <c r="S449">
        <v>48.9069</v>
      </c>
      <c r="T449">
        <f>Table413365[[#This Row],[CFNM]]/Table413365[[#This Row],[CAREA]]</f>
        <v>0.57906016048004294</v>
      </c>
      <c r="U449">
        <v>2.75176</v>
      </c>
      <c r="V449">
        <f>(Table514366[[#This Row],[time]]-2)*2</f>
        <v>1.50352</v>
      </c>
      <c r="W449">
        <v>63.918700000000001</v>
      </c>
      <c r="X449">
        <v>1.1787799999999999</v>
      </c>
      <c r="Y449">
        <f>Table514366[[#This Row],[CFNM]]/Table514366[[#This Row],[CAREA]]</f>
        <v>1.844186443090989E-2</v>
      </c>
      <c r="Z449">
        <v>2.75176</v>
      </c>
      <c r="AA449">
        <f>(Table615367[[#This Row],[time]]-2)*2</f>
        <v>1.50352</v>
      </c>
      <c r="AB449">
        <v>91.304299999999998</v>
      </c>
      <c r="AC449">
        <v>69.710499999999996</v>
      </c>
      <c r="AD449">
        <f>Table615367[[#This Row],[CFNM]]/Table615367[[#This Row],[CAREA]]</f>
        <v>0.76349635230761304</v>
      </c>
      <c r="AE449">
        <v>2.75176</v>
      </c>
      <c r="AF449">
        <f>(Table716368[[#This Row],[time]]-2)*2</f>
        <v>1.50352</v>
      </c>
      <c r="AG449">
        <v>73.168199999999999</v>
      </c>
      <c r="AH449">
        <v>14.075699999999999</v>
      </c>
      <c r="AI449">
        <f>Table716368[[#This Row],[CFNM]]/Table716368[[#This Row],[CAREA]]</f>
        <v>0.19237455615964311</v>
      </c>
      <c r="AJ449">
        <v>2.75176</v>
      </c>
      <c r="AK449">
        <f>(Table817369[[#This Row],[time]]-2)*2</f>
        <v>1.50352</v>
      </c>
      <c r="AL449">
        <v>76.157799999999995</v>
      </c>
      <c r="AM449">
        <v>61.5871</v>
      </c>
      <c r="AN449">
        <f>Table817369[[#This Row],[CFNM]]/Table817369[[#This Row],[CAREA]]</f>
        <v>0.80867750906670099</v>
      </c>
    </row>
    <row r="450" spans="1:40" x14ac:dyDescent="0.25">
      <c r="A450">
        <v>2.80444</v>
      </c>
      <c r="B450">
        <f>(Table110362[[#This Row],[time]]-2)*2</f>
        <v>1.6088800000000001</v>
      </c>
      <c r="C450">
        <v>59.808900000000001</v>
      </c>
      <c r="D450">
        <v>5.9969400000000004</v>
      </c>
      <c r="E450">
        <f>Table110362[[#This Row],[CFNM]]/Table110362[[#This Row],[CAREA]]</f>
        <v>0.10026835470975055</v>
      </c>
      <c r="F450">
        <v>2.80444</v>
      </c>
      <c r="G450">
        <f>(Table211363[[#This Row],[time]]-2)*2</f>
        <v>1.6088800000000001</v>
      </c>
      <c r="H450">
        <v>94.777799999999999</v>
      </c>
      <c r="I450">
        <v>48.181600000000003</v>
      </c>
      <c r="J450">
        <f>Table211363[[#This Row],[CFNM]]/Table211363[[#This Row],[CAREA]]</f>
        <v>0.50836377295104973</v>
      </c>
      <c r="K450">
        <v>2.80444</v>
      </c>
      <c r="L450">
        <f>(Table312364[[#This Row],[time]]-2)*2</f>
        <v>1.6088800000000001</v>
      </c>
      <c r="M450">
        <v>65.652900000000002</v>
      </c>
      <c r="N450">
        <v>1.14581</v>
      </c>
      <c r="O450">
        <f>Table312364[[#This Row],[CFNM]]/Table312364[[#This Row],[CAREA]]</f>
        <v>1.7452542081157114E-2</v>
      </c>
      <c r="P450">
        <v>2.80444</v>
      </c>
      <c r="Q450">
        <f>(Table413365[[#This Row],[time]]-2)*2</f>
        <v>1.6088800000000001</v>
      </c>
      <c r="R450">
        <v>83.644300000000001</v>
      </c>
      <c r="S450">
        <v>52.3947</v>
      </c>
      <c r="T450">
        <f>Table413365[[#This Row],[CFNM]]/Table413365[[#This Row],[CAREA]]</f>
        <v>0.62639892975373102</v>
      </c>
      <c r="U450">
        <v>2.80444</v>
      </c>
      <c r="V450">
        <f>(Table514366[[#This Row],[time]]-2)*2</f>
        <v>1.6088800000000001</v>
      </c>
      <c r="W450">
        <v>62.555799999999998</v>
      </c>
      <c r="X450">
        <v>0.75415600000000005</v>
      </c>
      <c r="Y450">
        <f>Table514366[[#This Row],[CFNM]]/Table514366[[#This Row],[CAREA]]</f>
        <v>1.2055732641897316E-2</v>
      </c>
      <c r="Z450">
        <v>2.80444</v>
      </c>
      <c r="AA450">
        <f>(Table615367[[#This Row],[time]]-2)*2</f>
        <v>1.6088800000000001</v>
      </c>
      <c r="AB450">
        <v>90.766900000000007</v>
      </c>
      <c r="AC450">
        <v>73.500500000000002</v>
      </c>
      <c r="AD450">
        <f>Table615367[[#This Row],[CFNM]]/Table615367[[#This Row],[CAREA]]</f>
        <v>0.80977206448606265</v>
      </c>
      <c r="AE450">
        <v>2.80444</v>
      </c>
      <c r="AF450">
        <f>(Table716368[[#This Row],[time]]-2)*2</f>
        <v>1.6088800000000001</v>
      </c>
      <c r="AG450">
        <v>72.097700000000003</v>
      </c>
      <c r="AH450">
        <v>13.3748</v>
      </c>
      <c r="AI450">
        <f>Table716368[[#This Row],[CFNM]]/Table716368[[#This Row],[CAREA]]</f>
        <v>0.18550938518149676</v>
      </c>
      <c r="AJ450">
        <v>2.80444</v>
      </c>
      <c r="AK450">
        <f>(Table817369[[#This Row],[time]]-2)*2</f>
        <v>1.6088800000000001</v>
      </c>
      <c r="AL450">
        <v>75.461200000000005</v>
      </c>
      <c r="AM450">
        <v>64.837000000000003</v>
      </c>
      <c r="AN450">
        <f>Table817369[[#This Row],[CFNM]]/Table817369[[#This Row],[CAREA]]</f>
        <v>0.85920976607846145</v>
      </c>
    </row>
    <row r="451" spans="1:40" x14ac:dyDescent="0.25">
      <c r="A451">
        <v>2.8583699999999999</v>
      </c>
      <c r="B451">
        <f>(Table110362[[#This Row],[time]]-2)*2</f>
        <v>1.7167399999999997</v>
      </c>
      <c r="C451">
        <v>59.336799999999997</v>
      </c>
      <c r="D451">
        <v>5.6426600000000002</v>
      </c>
      <c r="E451">
        <f>Table110362[[#This Row],[CFNM]]/Table110362[[#This Row],[CAREA]]</f>
        <v>9.509545509700558E-2</v>
      </c>
      <c r="F451">
        <v>2.8583699999999999</v>
      </c>
      <c r="G451">
        <f>(Table211363[[#This Row],[time]]-2)*2</f>
        <v>1.7167399999999997</v>
      </c>
      <c r="H451">
        <v>93.926900000000003</v>
      </c>
      <c r="I451">
        <v>51.198500000000003</v>
      </c>
      <c r="J451">
        <f>Table211363[[#This Row],[CFNM]]/Table211363[[#This Row],[CAREA]]</f>
        <v>0.54508878713126907</v>
      </c>
      <c r="K451">
        <v>2.8583699999999999</v>
      </c>
      <c r="L451">
        <f>(Table312364[[#This Row],[time]]-2)*2</f>
        <v>1.7167399999999997</v>
      </c>
      <c r="M451">
        <v>64.388999999999996</v>
      </c>
      <c r="N451">
        <v>0.91139300000000001</v>
      </c>
      <c r="O451">
        <f>Table312364[[#This Row],[CFNM]]/Table312364[[#This Row],[CAREA]]</f>
        <v>1.4154482908571341E-2</v>
      </c>
      <c r="P451">
        <v>2.8583699999999999</v>
      </c>
      <c r="Q451">
        <f>(Table413365[[#This Row],[time]]-2)*2</f>
        <v>1.7167399999999997</v>
      </c>
      <c r="R451">
        <v>82.957599999999999</v>
      </c>
      <c r="S451">
        <v>55.627400000000002</v>
      </c>
      <c r="T451">
        <f>Table413365[[#This Row],[CFNM]]/Table413365[[#This Row],[CAREA]]</f>
        <v>0.67055218569486097</v>
      </c>
      <c r="U451">
        <v>2.8583699999999999</v>
      </c>
      <c r="V451">
        <f>(Table514366[[#This Row],[time]]-2)*2</f>
        <v>1.7167399999999997</v>
      </c>
      <c r="W451">
        <v>61.612299999999998</v>
      </c>
      <c r="X451">
        <v>0.510459</v>
      </c>
      <c r="Y451">
        <f>Table514366[[#This Row],[CFNM]]/Table514366[[#This Row],[CAREA]]</f>
        <v>8.285017764310048E-3</v>
      </c>
      <c r="Z451">
        <v>2.8583699999999999</v>
      </c>
      <c r="AA451">
        <f>(Table615367[[#This Row],[time]]-2)*2</f>
        <v>1.7167399999999997</v>
      </c>
      <c r="AB451">
        <v>90.212000000000003</v>
      </c>
      <c r="AC451">
        <v>77.0548</v>
      </c>
      <c r="AD451">
        <f>Table615367[[#This Row],[CFNM]]/Table615367[[#This Row],[CAREA]]</f>
        <v>0.85415244091695119</v>
      </c>
      <c r="AE451">
        <v>2.8583699999999999</v>
      </c>
      <c r="AF451">
        <f>(Table716368[[#This Row],[time]]-2)*2</f>
        <v>1.7167399999999997</v>
      </c>
      <c r="AG451">
        <v>71.069999999999993</v>
      </c>
      <c r="AH451">
        <v>12.6922</v>
      </c>
      <c r="AI451">
        <f>Table716368[[#This Row],[CFNM]]/Table716368[[#This Row],[CAREA]]</f>
        <v>0.17858730828760377</v>
      </c>
      <c r="AJ451">
        <v>2.8583699999999999</v>
      </c>
      <c r="AK451">
        <f>(Table817369[[#This Row],[time]]-2)*2</f>
        <v>1.7167399999999997</v>
      </c>
      <c r="AL451">
        <v>74.6952</v>
      </c>
      <c r="AM451">
        <v>67.778499999999994</v>
      </c>
      <c r="AN451">
        <f>Table817369[[#This Row],[CFNM]]/Table817369[[#This Row],[CAREA]]</f>
        <v>0.90740101104220883</v>
      </c>
    </row>
    <row r="452" spans="1:40" x14ac:dyDescent="0.25">
      <c r="A452">
        <v>2.9134199999999999</v>
      </c>
      <c r="B452">
        <f>(Table110362[[#This Row],[time]]-2)*2</f>
        <v>1.8268399999999998</v>
      </c>
      <c r="C452">
        <v>58.321800000000003</v>
      </c>
      <c r="D452">
        <v>5.2330399999999999</v>
      </c>
      <c r="E452">
        <f>Table110362[[#This Row],[CFNM]]/Table110362[[#This Row],[CAREA]]</f>
        <v>8.9726997452067664E-2</v>
      </c>
      <c r="F452">
        <v>2.9134199999999999</v>
      </c>
      <c r="G452">
        <f>(Table211363[[#This Row],[time]]-2)*2</f>
        <v>1.8268399999999998</v>
      </c>
      <c r="H452">
        <v>92.6738</v>
      </c>
      <c r="I452">
        <v>54.962800000000001</v>
      </c>
      <c r="J452">
        <f>Table211363[[#This Row],[CFNM]]/Table211363[[#This Row],[CAREA]]</f>
        <v>0.59307808679475749</v>
      </c>
      <c r="K452">
        <v>2.9134199999999999</v>
      </c>
      <c r="L452">
        <f>(Table312364[[#This Row],[time]]-2)*2</f>
        <v>1.8268399999999998</v>
      </c>
      <c r="M452">
        <v>59.258699999999997</v>
      </c>
      <c r="N452">
        <v>0.646509</v>
      </c>
      <c r="O452">
        <f>Table312364[[#This Row],[CFNM]]/Table312364[[#This Row],[CAREA]]</f>
        <v>1.0909942337580811E-2</v>
      </c>
      <c r="P452">
        <v>2.9134199999999999</v>
      </c>
      <c r="Q452">
        <f>(Table413365[[#This Row],[time]]-2)*2</f>
        <v>1.8268399999999998</v>
      </c>
      <c r="R452">
        <v>82.079800000000006</v>
      </c>
      <c r="S452">
        <v>59.673000000000002</v>
      </c>
      <c r="T452">
        <f>Table413365[[#This Row],[CFNM]]/Table413365[[#This Row],[CAREA]]</f>
        <v>0.72701200538987665</v>
      </c>
      <c r="U452">
        <v>2.9134199999999999</v>
      </c>
      <c r="V452">
        <f>(Table514366[[#This Row],[time]]-2)*2</f>
        <v>1.8268399999999998</v>
      </c>
      <c r="W452">
        <v>61.1098</v>
      </c>
      <c r="X452">
        <v>0.34672399999999998</v>
      </c>
      <c r="Y452">
        <f>Table514366[[#This Row],[CFNM]]/Table514366[[#This Row],[CAREA]]</f>
        <v>5.6737871830704724E-3</v>
      </c>
      <c r="Z452">
        <v>2.9134199999999999</v>
      </c>
      <c r="AA452">
        <f>(Table615367[[#This Row],[time]]-2)*2</f>
        <v>1.8268399999999998</v>
      </c>
      <c r="AB452">
        <v>89.5381</v>
      </c>
      <c r="AC452">
        <v>81.507800000000003</v>
      </c>
      <c r="AD452">
        <f>Table615367[[#This Row],[CFNM]]/Table615367[[#This Row],[CAREA]]</f>
        <v>0.91031415676678418</v>
      </c>
      <c r="AE452">
        <v>2.9134199999999999</v>
      </c>
      <c r="AF452">
        <f>(Table716368[[#This Row],[time]]-2)*2</f>
        <v>1.8268399999999998</v>
      </c>
      <c r="AG452">
        <v>70.7303</v>
      </c>
      <c r="AH452">
        <v>11.7791</v>
      </c>
      <c r="AI452">
        <f>Table716368[[#This Row],[CFNM]]/Table716368[[#This Row],[CAREA]]</f>
        <v>0.16653541692881269</v>
      </c>
      <c r="AJ452">
        <v>2.9134199999999999</v>
      </c>
      <c r="AK452">
        <f>(Table817369[[#This Row],[time]]-2)*2</f>
        <v>1.8268399999999998</v>
      </c>
      <c r="AL452">
        <v>73.910600000000002</v>
      </c>
      <c r="AM452">
        <v>71.419899999999998</v>
      </c>
      <c r="AN452">
        <f>Table817369[[#This Row],[CFNM]]/Table817369[[#This Row],[CAREA]]</f>
        <v>0.96630118007430599</v>
      </c>
    </row>
    <row r="453" spans="1:40" x14ac:dyDescent="0.25">
      <c r="A453">
        <v>2.9619599999999999</v>
      </c>
      <c r="B453">
        <f>(Table110362[[#This Row],[time]]-2)*2</f>
        <v>1.9239199999999999</v>
      </c>
      <c r="C453">
        <v>57.480200000000004</v>
      </c>
      <c r="D453">
        <v>4.9654199999999999</v>
      </c>
      <c r="E453">
        <f>Table110362[[#This Row],[CFNM]]/Table110362[[#This Row],[CAREA]]</f>
        <v>8.6384876879342792E-2</v>
      </c>
      <c r="F453">
        <v>2.9619599999999999</v>
      </c>
      <c r="G453">
        <f>(Table211363[[#This Row],[time]]-2)*2</f>
        <v>1.9239199999999999</v>
      </c>
      <c r="H453">
        <v>91.652299999999997</v>
      </c>
      <c r="I453">
        <v>57.711599999999997</v>
      </c>
      <c r="J453">
        <f>Table211363[[#This Row],[CFNM]]/Table211363[[#This Row],[CAREA]]</f>
        <v>0.62967977890353</v>
      </c>
      <c r="K453">
        <v>2.9619599999999999</v>
      </c>
      <c r="L453">
        <f>(Table312364[[#This Row],[time]]-2)*2</f>
        <v>1.9239199999999999</v>
      </c>
      <c r="M453">
        <v>57.659199999999998</v>
      </c>
      <c r="N453">
        <v>0.46903299999999998</v>
      </c>
      <c r="O453">
        <f>Table312364[[#This Row],[CFNM]]/Table312364[[#This Row],[CAREA]]</f>
        <v>8.1345734939090378E-3</v>
      </c>
      <c r="P453">
        <v>2.9619599999999999</v>
      </c>
      <c r="Q453">
        <f>(Table413365[[#This Row],[time]]-2)*2</f>
        <v>1.9239199999999999</v>
      </c>
      <c r="R453">
        <v>81.404799999999994</v>
      </c>
      <c r="S453">
        <v>62.645800000000001</v>
      </c>
      <c r="T453">
        <f>Table413365[[#This Row],[CFNM]]/Table413365[[#This Row],[CAREA]]</f>
        <v>0.7695590432013838</v>
      </c>
      <c r="U453">
        <v>2.9619599999999999</v>
      </c>
      <c r="V453">
        <f>(Table514366[[#This Row],[time]]-2)*2</f>
        <v>1.9239199999999999</v>
      </c>
      <c r="W453">
        <v>60.7729</v>
      </c>
      <c r="X453">
        <v>0.24256800000000001</v>
      </c>
      <c r="Y453">
        <f>Table514366[[#This Row],[CFNM]]/Table514366[[#This Row],[CAREA]]</f>
        <v>3.9913843176810722E-3</v>
      </c>
      <c r="Z453">
        <v>2.9619599999999999</v>
      </c>
      <c r="AA453">
        <f>(Table615367[[#This Row],[time]]-2)*2</f>
        <v>1.9239199999999999</v>
      </c>
      <c r="AB453">
        <v>89.082700000000003</v>
      </c>
      <c r="AC453">
        <v>84.717500000000001</v>
      </c>
      <c r="AD453">
        <f>Table615367[[#This Row],[CFNM]]/Table615367[[#This Row],[CAREA]]</f>
        <v>0.95099834199008337</v>
      </c>
      <c r="AE453">
        <v>2.9619599999999999</v>
      </c>
      <c r="AF453">
        <f>(Table716368[[#This Row],[time]]-2)*2</f>
        <v>1.9239199999999999</v>
      </c>
      <c r="AG453">
        <v>70.489400000000003</v>
      </c>
      <c r="AH453">
        <v>11.101000000000001</v>
      </c>
      <c r="AI453">
        <f>Table716368[[#This Row],[CFNM]]/Table716368[[#This Row],[CAREA]]</f>
        <v>0.15748467145414771</v>
      </c>
      <c r="AJ453">
        <v>2.9619599999999999</v>
      </c>
      <c r="AK453">
        <f>(Table817369[[#This Row],[time]]-2)*2</f>
        <v>1.9239199999999999</v>
      </c>
      <c r="AL453">
        <v>73.299300000000002</v>
      </c>
      <c r="AM453">
        <v>74.080799999999996</v>
      </c>
      <c r="AN453">
        <f>Table817369[[#This Row],[CFNM]]/Table817369[[#This Row],[CAREA]]</f>
        <v>1.0106617662105912</v>
      </c>
    </row>
    <row r="454" spans="1:40" x14ac:dyDescent="0.25">
      <c r="A454">
        <v>3</v>
      </c>
      <c r="B454">
        <f>(Table110362[[#This Row],[time]]-2)*2</f>
        <v>2</v>
      </c>
      <c r="C454">
        <v>56.638500000000001</v>
      </c>
      <c r="D454">
        <v>4.7604499999999996</v>
      </c>
      <c r="E454">
        <f>Table110362[[#This Row],[CFNM]]/Table110362[[#This Row],[CAREA]]</f>
        <v>8.4049718830830608E-2</v>
      </c>
      <c r="F454">
        <v>3</v>
      </c>
      <c r="G454">
        <f>(Table211363[[#This Row],[time]]-2)*2</f>
        <v>2</v>
      </c>
      <c r="H454">
        <v>90.806100000000001</v>
      </c>
      <c r="I454">
        <v>60.260300000000001</v>
      </c>
      <c r="J454">
        <f>Table211363[[#This Row],[CFNM]]/Table211363[[#This Row],[CAREA]]</f>
        <v>0.66361510955761782</v>
      </c>
      <c r="K454">
        <v>3</v>
      </c>
      <c r="L454">
        <f>(Table312364[[#This Row],[time]]-2)*2</f>
        <v>2</v>
      </c>
      <c r="M454">
        <v>54.1126</v>
      </c>
      <c r="N454">
        <v>0.332042</v>
      </c>
      <c r="O454">
        <f>Table312364[[#This Row],[CFNM]]/Table312364[[#This Row],[CAREA]]</f>
        <v>6.1361309565609486E-3</v>
      </c>
      <c r="P454">
        <v>3</v>
      </c>
      <c r="Q454">
        <f>(Table413365[[#This Row],[time]]-2)*2</f>
        <v>2</v>
      </c>
      <c r="R454">
        <v>80.818899999999999</v>
      </c>
      <c r="S454">
        <v>65.437600000000003</v>
      </c>
      <c r="T454">
        <f>Table413365[[#This Row],[CFNM]]/Table413365[[#This Row],[CAREA]]</f>
        <v>0.80968189371545518</v>
      </c>
      <c r="U454">
        <v>3</v>
      </c>
      <c r="V454">
        <f>(Table514366[[#This Row],[time]]-2)*2</f>
        <v>2</v>
      </c>
      <c r="W454">
        <v>60.180399999999999</v>
      </c>
      <c r="X454">
        <v>0.131688</v>
      </c>
      <c r="Y454">
        <f>Table514366[[#This Row],[CFNM]]/Table514366[[#This Row],[CAREA]]</f>
        <v>2.1882207496128308E-3</v>
      </c>
      <c r="Z454">
        <v>3</v>
      </c>
      <c r="AA454">
        <f>(Table615367[[#This Row],[time]]-2)*2</f>
        <v>2</v>
      </c>
      <c r="AB454">
        <v>88.604600000000005</v>
      </c>
      <c r="AC454">
        <v>87.589200000000005</v>
      </c>
      <c r="AD454">
        <f>Table615367[[#This Row],[CFNM]]/Table615367[[#This Row],[CAREA]]</f>
        <v>0.98854009836961065</v>
      </c>
      <c r="AE454">
        <v>3</v>
      </c>
      <c r="AF454">
        <f>(Table716368[[#This Row],[time]]-2)*2</f>
        <v>2</v>
      </c>
      <c r="AG454">
        <v>69.361699999999999</v>
      </c>
      <c r="AH454">
        <v>10.482799999999999</v>
      </c>
      <c r="AI454">
        <f>Table716368[[#This Row],[CFNM]]/Table716368[[#This Row],[CAREA]]</f>
        <v>0.15113239727399991</v>
      </c>
      <c r="AJ454">
        <v>3</v>
      </c>
      <c r="AK454">
        <f>(Table817369[[#This Row],[time]]-2)*2</f>
        <v>2</v>
      </c>
      <c r="AL454">
        <v>72.773700000000005</v>
      </c>
      <c r="AM454">
        <v>76.586200000000005</v>
      </c>
      <c r="AN454">
        <f>Table817369[[#This Row],[CFNM]]/Table817369[[#This Row],[CAREA]]</f>
        <v>1.0523884315350189</v>
      </c>
    </row>
    <row r="457" spans="1:40" x14ac:dyDescent="0.25">
      <c r="A457" s="1" t="s">
        <v>26</v>
      </c>
    </row>
    <row r="458" spans="1:40" x14ac:dyDescent="0.25">
      <c r="A458" t="s">
        <v>58</v>
      </c>
      <c r="F458" t="s">
        <v>1</v>
      </c>
    </row>
    <row r="459" spans="1:40" x14ac:dyDescent="0.25">
      <c r="F459" t="s">
        <v>2</v>
      </c>
      <c r="G459" t="s">
        <v>3</v>
      </c>
    </row>
    <row r="462" spans="1:40" x14ac:dyDescent="0.25">
      <c r="A462" t="s">
        <v>5</v>
      </c>
      <c r="F462" t="s">
        <v>6</v>
      </c>
      <c r="K462" t="s">
        <v>7</v>
      </c>
      <c r="P462" t="s">
        <v>19</v>
      </c>
      <c r="U462" t="s">
        <v>8</v>
      </c>
      <c r="Z462" t="s">
        <v>9</v>
      </c>
      <c r="AE462" t="s">
        <v>10</v>
      </c>
      <c r="AJ462" t="s">
        <v>11</v>
      </c>
    </row>
    <row r="463" spans="1:40" x14ac:dyDescent="0.25">
      <c r="A463" t="s">
        <v>12</v>
      </c>
      <c r="B463" t="s">
        <v>13</v>
      </c>
      <c r="C463" t="s">
        <v>17</v>
      </c>
      <c r="D463" t="s">
        <v>15</v>
      </c>
      <c r="E463" t="s">
        <v>16</v>
      </c>
      <c r="F463" t="s">
        <v>12</v>
      </c>
      <c r="G463" t="s">
        <v>13</v>
      </c>
      <c r="H463" t="s">
        <v>17</v>
      </c>
      <c r="I463" t="s">
        <v>15</v>
      </c>
      <c r="J463" t="s">
        <v>16</v>
      </c>
      <c r="K463" t="s">
        <v>12</v>
      </c>
      <c r="L463" t="s">
        <v>13</v>
      </c>
      <c r="M463" t="s">
        <v>17</v>
      </c>
      <c r="N463" t="s">
        <v>15</v>
      </c>
      <c r="O463" t="s">
        <v>16</v>
      </c>
      <c r="P463" t="s">
        <v>12</v>
      </c>
      <c r="Q463" t="s">
        <v>13</v>
      </c>
      <c r="R463" t="s">
        <v>17</v>
      </c>
      <c r="S463" t="s">
        <v>15</v>
      </c>
      <c r="T463" t="s">
        <v>16</v>
      </c>
      <c r="U463" t="s">
        <v>12</v>
      </c>
      <c r="V463" t="s">
        <v>13</v>
      </c>
      <c r="W463" t="s">
        <v>17</v>
      </c>
      <c r="X463" t="s">
        <v>15</v>
      </c>
      <c r="Y463" t="s">
        <v>16</v>
      </c>
      <c r="Z463" t="s">
        <v>12</v>
      </c>
      <c r="AA463" t="s">
        <v>13</v>
      </c>
      <c r="AB463" t="s">
        <v>17</v>
      </c>
      <c r="AC463" t="s">
        <v>15</v>
      </c>
      <c r="AD463" t="s">
        <v>16</v>
      </c>
      <c r="AE463" t="s">
        <v>12</v>
      </c>
      <c r="AF463" t="s">
        <v>13</v>
      </c>
      <c r="AG463" t="s">
        <v>17</v>
      </c>
      <c r="AH463" t="s">
        <v>15</v>
      </c>
      <c r="AI463" t="s">
        <v>16</v>
      </c>
      <c r="AJ463" t="s">
        <v>12</v>
      </c>
      <c r="AK463" t="s">
        <v>13</v>
      </c>
      <c r="AL463" t="s">
        <v>17</v>
      </c>
      <c r="AM463" t="s">
        <v>15</v>
      </c>
      <c r="AN463" t="s">
        <v>16</v>
      </c>
    </row>
    <row r="464" spans="1:40" x14ac:dyDescent="0.25">
      <c r="A464">
        <v>2</v>
      </c>
      <c r="B464">
        <f>-(Table1370[[#This Row],[time]]-2)*2</f>
        <v>0</v>
      </c>
      <c r="C464">
        <v>90.688999999999993</v>
      </c>
      <c r="D464">
        <v>10.0715</v>
      </c>
      <c r="E464" s="2">
        <f>Table1370[[#This Row],[CFNM]]/Table1370[[#This Row],[CAREA]]</f>
        <v>0.11105536503875885</v>
      </c>
      <c r="F464">
        <v>2</v>
      </c>
      <c r="G464">
        <f>-(Table2371[[#This Row],[time]]-2)*2</f>
        <v>0</v>
      </c>
      <c r="H464">
        <v>95.948400000000007</v>
      </c>
      <c r="I464">
        <v>3.4775999999999998</v>
      </c>
      <c r="J464" s="2">
        <f>Table2371[[#This Row],[CFNM]]/Table2371[[#This Row],[CAREA]]</f>
        <v>3.6244481408757204E-2</v>
      </c>
      <c r="K464">
        <v>2</v>
      </c>
      <c r="L464">
        <f>-(Table3372[[#This Row],[time]]-2)*2</f>
        <v>0</v>
      </c>
      <c r="M464">
        <v>88.963399999999993</v>
      </c>
      <c r="N464">
        <v>3.5141100000000001</v>
      </c>
      <c r="O464">
        <f>Table3372[[#This Row],[CFNM]]/Table3372[[#This Row],[CAREA]]</f>
        <v>3.9500626100171535E-2</v>
      </c>
      <c r="P464">
        <v>2</v>
      </c>
      <c r="Q464">
        <f>-(Table4373[[#This Row],[time]]-2)*2</f>
        <v>0</v>
      </c>
      <c r="R464">
        <v>86.444900000000004</v>
      </c>
      <c r="S464">
        <v>6.4569700000000001</v>
      </c>
      <c r="T464">
        <f>Table4373[[#This Row],[CFNM]]/Table4373[[#This Row],[CAREA]]</f>
        <v>7.4694632071990369E-2</v>
      </c>
      <c r="U464">
        <v>2</v>
      </c>
      <c r="V464">
        <f>-(Table5374[[#This Row],[time]]-2)*2</f>
        <v>0</v>
      </c>
      <c r="W464">
        <v>82.746600000000001</v>
      </c>
      <c r="X464">
        <v>8.9821000000000009</v>
      </c>
      <c r="Y464">
        <f>Table5374[[#This Row],[CFNM]]/Table5374[[#This Row],[CAREA]]</f>
        <v>0.10854947514459809</v>
      </c>
      <c r="Z464">
        <v>2</v>
      </c>
      <c r="AA464">
        <f>-(Table6375[[#This Row],[time]]-2)*2</f>
        <v>0</v>
      </c>
      <c r="AB464">
        <v>88.940399999999997</v>
      </c>
      <c r="AC464">
        <v>15.745900000000001</v>
      </c>
      <c r="AD464">
        <f>Table6375[[#This Row],[CFNM]]/Table6375[[#This Row],[CAREA]]</f>
        <v>0.17703878102639523</v>
      </c>
      <c r="AE464">
        <v>2</v>
      </c>
      <c r="AF464">
        <f>-(Table7376[[#This Row],[time]]-2)*2</f>
        <v>0</v>
      </c>
      <c r="AG464">
        <v>78.945400000000006</v>
      </c>
      <c r="AH464">
        <v>19.654699999999998</v>
      </c>
      <c r="AI464">
        <f>Table7376[[#This Row],[CFNM]]/Table7376[[#This Row],[CAREA]]</f>
        <v>0.24896574087913922</v>
      </c>
      <c r="AJ464">
        <v>2</v>
      </c>
      <c r="AK464">
        <f>-(Table8377[[#This Row],[time]]-2)*2</f>
        <v>0</v>
      </c>
      <c r="AL464">
        <v>83.134900000000002</v>
      </c>
      <c r="AM464">
        <v>19.291699999999999</v>
      </c>
      <c r="AN464">
        <f>Table8377[[#This Row],[CFNM]]/Table8377[[#This Row],[CAREA]]</f>
        <v>0.23205296451911289</v>
      </c>
    </row>
    <row r="465" spans="1:40" x14ac:dyDescent="0.25">
      <c r="A465">
        <v>2.0512600000000001</v>
      </c>
      <c r="B465">
        <f>-(Table1370[[#This Row],[time]]-2)*2</f>
        <v>-0.10252000000000017</v>
      </c>
      <c r="C465">
        <v>90.658900000000003</v>
      </c>
      <c r="D465">
        <v>10.6568</v>
      </c>
      <c r="E465">
        <f>Table1370[[#This Row],[CFNM]]/Table1370[[#This Row],[CAREA]]</f>
        <v>0.11754830468933553</v>
      </c>
      <c r="F465">
        <v>2.0512600000000001</v>
      </c>
      <c r="G465">
        <f>-(Table2371[[#This Row],[time]]-2)*2</f>
        <v>-0.10252000000000017</v>
      </c>
      <c r="H465">
        <v>95.950100000000006</v>
      </c>
      <c r="I465">
        <v>3.0608900000000001</v>
      </c>
      <c r="J465">
        <f>Table2371[[#This Row],[CFNM]]/Table2371[[#This Row],[CAREA]]</f>
        <v>3.1900852630690327E-2</v>
      </c>
      <c r="K465">
        <v>2.0512600000000001</v>
      </c>
      <c r="L465">
        <f>-(Table3372[[#This Row],[time]]-2)*2</f>
        <v>-0.10252000000000017</v>
      </c>
      <c r="M465">
        <v>88.943600000000004</v>
      </c>
      <c r="N465">
        <v>4.19252</v>
      </c>
      <c r="O465">
        <f>Table3372[[#This Row],[CFNM]]/Table3372[[#This Row],[CAREA]]</f>
        <v>4.713683727665622E-2</v>
      </c>
      <c r="P465">
        <v>2.0512600000000001</v>
      </c>
      <c r="Q465">
        <f>-(Table4373[[#This Row],[time]]-2)*2</f>
        <v>-0.10252000000000017</v>
      </c>
      <c r="R465">
        <v>86.410600000000002</v>
      </c>
      <c r="S465">
        <v>5.8170700000000002</v>
      </c>
      <c r="T465">
        <f>Table4373[[#This Row],[CFNM]]/Table4373[[#This Row],[CAREA]]</f>
        <v>6.7318940037449107E-2</v>
      </c>
      <c r="U465">
        <v>2.0512600000000001</v>
      </c>
      <c r="V465">
        <f>-(Table5374[[#This Row],[time]]-2)*2</f>
        <v>-0.10252000000000017</v>
      </c>
      <c r="W465">
        <v>82.669600000000003</v>
      </c>
      <c r="X465">
        <v>9.8518500000000007</v>
      </c>
      <c r="Y465">
        <f>Table5374[[#This Row],[CFNM]]/Table5374[[#This Row],[CAREA]]</f>
        <v>0.11917137617697438</v>
      </c>
      <c r="Z465">
        <v>2.0512600000000001</v>
      </c>
      <c r="AA465">
        <f>-(Table6375[[#This Row],[time]]-2)*2</f>
        <v>-0.10252000000000017</v>
      </c>
      <c r="AB465">
        <v>88.9131</v>
      </c>
      <c r="AC465">
        <v>14.811400000000001</v>
      </c>
      <c r="AD465">
        <f>Table6375[[#This Row],[CFNM]]/Table6375[[#This Row],[CAREA]]</f>
        <v>0.16658287698888016</v>
      </c>
      <c r="AE465">
        <v>2.0512600000000001</v>
      </c>
      <c r="AF465">
        <f>-(Table7376[[#This Row],[time]]-2)*2</f>
        <v>-0.10252000000000017</v>
      </c>
      <c r="AG465">
        <v>79.303200000000004</v>
      </c>
      <c r="AH465">
        <v>20.396999999999998</v>
      </c>
      <c r="AI465">
        <f>Table7376[[#This Row],[CFNM]]/Table7376[[#This Row],[CAREA]]</f>
        <v>0.25720273582907116</v>
      </c>
      <c r="AJ465">
        <v>2.0512600000000001</v>
      </c>
      <c r="AK465">
        <f>-(Table8377[[#This Row],[time]]-2)*2</f>
        <v>-0.10252000000000017</v>
      </c>
      <c r="AL465">
        <v>83.053600000000003</v>
      </c>
      <c r="AM465">
        <v>18.229500000000002</v>
      </c>
      <c r="AN465">
        <f>Table8377[[#This Row],[CFNM]]/Table8377[[#This Row],[CAREA]]</f>
        <v>0.21949078667270294</v>
      </c>
    </row>
    <row r="466" spans="1:40" x14ac:dyDescent="0.25">
      <c r="A466">
        <v>2.1153300000000002</v>
      </c>
      <c r="B466">
        <f>-(Table1370[[#This Row],[time]]-2)*2</f>
        <v>-0.23066000000000031</v>
      </c>
      <c r="C466">
        <v>90.541700000000006</v>
      </c>
      <c r="D466">
        <v>11.721299999999999</v>
      </c>
      <c r="E466">
        <f>Table1370[[#This Row],[CFNM]]/Table1370[[#This Row],[CAREA]]</f>
        <v>0.12945747649977854</v>
      </c>
      <c r="F466">
        <v>2.1153300000000002</v>
      </c>
      <c r="G466">
        <f>-(Table2371[[#This Row],[time]]-2)*2</f>
        <v>-0.23066000000000031</v>
      </c>
      <c r="H466">
        <v>95.975300000000004</v>
      </c>
      <c r="I466">
        <v>2.2343899999999999</v>
      </c>
      <c r="J466">
        <f>Table2371[[#This Row],[CFNM]]/Table2371[[#This Row],[CAREA]]</f>
        <v>2.3280885811245183E-2</v>
      </c>
      <c r="K466">
        <v>2.1153300000000002</v>
      </c>
      <c r="L466">
        <f>-(Table3372[[#This Row],[time]]-2)*2</f>
        <v>-0.23066000000000031</v>
      </c>
      <c r="M466">
        <v>89.178700000000006</v>
      </c>
      <c r="N466">
        <v>5.3333300000000001</v>
      </c>
      <c r="O466">
        <f>Table3372[[#This Row],[CFNM]]/Table3372[[#This Row],[CAREA]]</f>
        <v>5.9804975851856998E-2</v>
      </c>
      <c r="P466">
        <v>2.1153300000000002</v>
      </c>
      <c r="Q466">
        <f>-(Table4373[[#This Row],[time]]-2)*2</f>
        <v>-0.23066000000000031</v>
      </c>
      <c r="R466">
        <v>86.068399999999997</v>
      </c>
      <c r="S466">
        <v>4.55382</v>
      </c>
      <c r="T466">
        <f>Table4373[[#This Row],[CFNM]]/Table4373[[#This Row],[CAREA]]</f>
        <v>5.2909313987479729E-2</v>
      </c>
      <c r="U466">
        <v>2.1153300000000002</v>
      </c>
      <c r="V466">
        <f>-(Table5374[[#This Row],[time]]-2)*2</f>
        <v>-0.23066000000000031</v>
      </c>
      <c r="W466">
        <v>82.8459</v>
      </c>
      <c r="X466">
        <v>11.4307</v>
      </c>
      <c r="Y466">
        <f>Table5374[[#This Row],[CFNM]]/Table5374[[#This Row],[CAREA]]</f>
        <v>0.13797544597861813</v>
      </c>
      <c r="Z466">
        <v>2.1153300000000002</v>
      </c>
      <c r="AA466">
        <f>-(Table6375[[#This Row],[time]]-2)*2</f>
        <v>-0.23066000000000031</v>
      </c>
      <c r="AB466">
        <v>88.86</v>
      </c>
      <c r="AC466">
        <v>12.907500000000001</v>
      </c>
      <c r="AD466">
        <f>Table6375[[#This Row],[CFNM]]/Table6375[[#This Row],[CAREA]]</f>
        <v>0.14525658338960162</v>
      </c>
      <c r="AE466">
        <v>2.1153300000000002</v>
      </c>
      <c r="AF466">
        <f>-(Table7376[[#This Row],[time]]-2)*2</f>
        <v>-0.23066000000000031</v>
      </c>
      <c r="AG466">
        <v>79.921300000000002</v>
      </c>
      <c r="AH466">
        <v>21.5273</v>
      </c>
      <c r="AI466">
        <f>Table7376[[#This Row],[CFNM]]/Table7376[[#This Row],[CAREA]]</f>
        <v>0.26935622919046609</v>
      </c>
      <c r="AJ466">
        <v>2.1153300000000002</v>
      </c>
      <c r="AK466">
        <f>-(Table8377[[#This Row],[time]]-2)*2</f>
        <v>-0.23066000000000031</v>
      </c>
      <c r="AL466">
        <v>82.6999</v>
      </c>
      <c r="AM466">
        <v>17.031400000000001</v>
      </c>
      <c r="AN466">
        <f>Table8377[[#This Row],[CFNM]]/Table8377[[#This Row],[CAREA]]</f>
        <v>0.20594220791077136</v>
      </c>
    </row>
    <row r="467" spans="1:40" x14ac:dyDescent="0.25">
      <c r="A467">
        <v>2.16533</v>
      </c>
      <c r="B467">
        <f>-(Table1370[[#This Row],[time]]-2)*2</f>
        <v>-0.33065999999999995</v>
      </c>
      <c r="C467">
        <v>90.438999999999993</v>
      </c>
      <c r="D467">
        <v>12.518700000000001</v>
      </c>
      <c r="E467">
        <f>Table1370[[#This Row],[CFNM]]/Table1370[[#This Row],[CAREA]]</f>
        <v>0.1384214774599454</v>
      </c>
      <c r="F467">
        <v>2.16533</v>
      </c>
      <c r="G467">
        <f>-(Table2371[[#This Row],[time]]-2)*2</f>
        <v>-0.33065999999999995</v>
      </c>
      <c r="H467">
        <v>95.817099999999996</v>
      </c>
      <c r="I467">
        <v>1.66822</v>
      </c>
      <c r="J467">
        <f>Table2371[[#This Row],[CFNM]]/Table2371[[#This Row],[CAREA]]</f>
        <v>1.7410462224383749E-2</v>
      </c>
      <c r="K467">
        <v>2.16533</v>
      </c>
      <c r="L467">
        <f>-(Table3372[[#This Row],[time]]-2)*2</f>
        <v>-0.33065999999999995</v>
      </c>
      <c r="M467">
        <v>89.438199999999995</v>
      </c>
      <c r="N467">
        <v>6.1772999999999998</v>
      </c>
      <c r="O467">
        <f>Table3372[[#This Row],[CFNM]]/Table3372[[#This Row],[CAREA]]</f>
        <v>6.9067803242909634E-2</v>
      </c>
      <c r="P467">
        <v>2.16533</v>
      </c>
      <c r="Q467">
        <f>-(Table4373[[#This Row],[time]]-2)*2</f>
        <v>-0.33065999999999995</v>
      </c>
      <c r="R467">
        <v>85.154399999999995</v>
      </c>
      <c r="S467">
        <v>3.6255999999999999</v>
      </c>
      <c r="T467">
        <f>Table4373[[#This Row],[CFNM]]/Table4373[[#This Row],[CAREA]]</f>
        <v>4.2576778181749861E-2</v>
      </c>
      <c r="U467">
        <v>2.16533</v>
      </c>
      <c r="V467">
        <f>-(Table5374[[#This Row],[time]]-2)*2</f>
        <v>-0.33065999999999995</v>
      </c>
      <c r="W467">
        <v>82.861400000000003</v>
      </c>
      <c r="X467">
        <v>12.773899999999999</v>
      </c>
      <c r="Y467">
        <f>Table5374[[#This Row],[CFNM]]/Table5374[[#This Row],[CAREA]]</f>
        <v>0.15415983799453062</v>
      </c>
      <c r="Z467">
        <v>2.16533</v>
      </c>
      <c r="AA467">
        <f>-(Table6375[[#This Row],[time]]-2)*2</f>
        <v>-0.33065999999999995</v>
      </c>
      <c r="AB467">
        <v>86.8673</v>
      </c>
      <c r="AC467">
        <v>11.3933</v>
      </c>
      <c r="AD467">
        <f>Table6375[[#This Row],[CFNM]]/Table6375[[#This Row],[CAREA]]</f>
        <v>0.13115752417768251</v>
      </c>
      <c r="AE467">
        <v>2.16533</v>
      </c>
      <c r="AF467">
        <f>-(Table7376[[#This Row],[time]]-2)*2</f>
        <v>-0.33065999999999995</v>
      </c>
      <c r="AG467">
        <v>80.387900000000002</v>
      </c>
      <c r="AH467">
        <v>22.801400000000001</v>
      </c>
      <c r="AI467">
        <f>Table7376[[#This Row],[CFNM]]/Table7376[[#This Row],[CAREA]]</f>
        <v>0.28364218993156931</v>
      </c>
      <c r="AJ467">
        <v>2.16533</v>
      </c>
      <c r="AK467">
        <f>-(Table8377[[#This Row],[time]]-2)*2</f>
        <v>-0.33065999999999995</v>
      </c>
      <c r="AL467">
        <v>82.618600000000001</v>
      </c>
      <c r="AM467">
        <v>16.180900000000001</v>
      </c>
      <c r="AN467">
        <f>Table8377[[#This Row],[CFNM]]/Table8377[[#This Row],[CAREA]]</f>
        <v>0.1958505711788871</v>
      </c>
    </row>
    <row r="468" spans="1:40" x14ac:dyDescent="0.25">
      <c r="A468">
        <v>2.2246999999999999</v>
      </c>
      <c r="B468">
        <f>-(Table1370[[#This Row],[time]]-2)*2</f>
        <v>-0.4493999999999998</v>
      </c>
      <c r="C468">
        <v>90.330500000000001</v>
      </c>
      <c r="D468">
        <v>13.274800000000001</v>
      </c>
      <c r="E468">
        <f>Table1370[[#This Row],[CFNM]]/Table1370[[#This Row],[CAREA]]</f>
        <v>0.14695811492242378</v>
      </c>
      <c r="F468">
        <v>2.2246999999999999</v>
      </c>
      <c r="G468">
        <f>-(Table2371[[#This Row],[time]]-2)*2</f>
        <v>-0.4493999999999998</v>
      </c>
      <c r="H468">
        <v>95.607699999999994</v>
      </c>
      <c r="I468">
        <v>1.09762</v>
      </c>
      <c r="J468">
        <f>Table2371[[#This Row],[CFNM]]/Table2371[[#This Row],[CAREA]]</f>
        <v>1.1480456072052775E-2</v>
      </c>
      <c r="K468">
        <v>2.2246999999999999</v>
      </c>
      <c r="L468">
        <f>-(Table3372[[#This Row],[time]]-2)*2</f>
        <v>-0.4493999999999998</v>
      </c>
      <c r="M468">
        <v>89.8245</v>
      </c>
      <c r="N468">
        <v>7.31541</v>
      </c>
      <c r="O468">
        <f>Table3372[[#This Row],[CFNM]]/Table3372[[#This Row],[CAREA]]</f>
        <v>8.1441143563281734E-2</v>
      </c>
      <c r="P468">
        <v>2.2246999999999999</v>
      </c>
      <c r="Q468">
        <f>-(Table4373[[#This Row],[time]]-2)*2</f>
        <v>-0.4493999999999998</v>
      </c>
      <c r="R468">
        <v>84.488200000000006</v>
      </c>
      <c r="S468">
        <v>2.9894500000000002</v>
      </c>
      <c r="T468">
        <f>Table4373[[#This Row],[CFNM]]/Table4373[[#This Row],[CAREA]]</f>
        <v>3.5383047573507305E-2</v>
      </c>
      <c r="U468">
        <v>2.2246999999999999</v>
      </c>
      <c r="V468">
        <f>-(Table5374[[#This Row],[time]]-2)*2</f>
        <v>-0.4493999999999998</v>
      </c>
      <c r="W468">
        <v>83.802700000000002</v>
      </c>
      <c r="X468">
        <v>14.163</v>
      </c>
      <c r="Y468">
        <f>Table5374[[#This Row],[CFNM]]/Table5374[[#This Row],[CAREA]]</f>
        <v>0.16900410129983878</v>
      </c>
      <c r="Z468">
        <v>2.2246999999999999</v>
      </c>
      <c r="AA468">
        <f>-(Table6375[[#This Row],[time]]-2)*2</f>
        <v>-0.4493999999999998</v>
      </c>
      <c r="AB468">
        <v>85.611599999999996</v>
      </c>
      <c r="AC468">
        <v>9.6659799999999994</v>
      </c>
      <c r="AD468">
        <f>Table6375[[#This Row],[CFNM]]/Table6375[[#This Row],[CAREA]]</f>
        <v>0.11290502688887954</v>
      </c>
      <c r="AE468">
        <v>2.2246999999999999</v>
      </c>
      <c r="AF468">
        <f>-(Table7376[[#This Row],[time]]-2)*2</f>
        <v>-0.4493999999999998</v>
      </c>
      <c r="AG468">
        <v>80.466300000000004</v>
      </c>
      <c r="AH468">
        <v>24.3093</v>
      </c>
      <c r="AI468">
        <f>Table7376[[#This Row],[CFNM]]/Table7376[[#This Row],[CAREA]]</f>
        <v>0.30210535342124589</v>
      </c>
      <c r="AJ468">
        <v>2.2246999999999999</v>
      </c>
      <c r="AK468">
        <f>-(Table8377[[#This Row],[time]]-2)*2</f>
        <v>-0.4493999999999998</v>
      </c>
      <c r="AL468">
        <v>82.539599999999993</v>
      </c>
      <c r="AM468">
        <v>15.384600000000001</v>
      </c>
      <c r="AN468">
        <f>Table8377[[#This Row],[CFNM]]/Table8377[[#This Row],[CAREA]]</f>
        <v>0.18639053254437873</v>
      </c>
    </row>
    <row r="469" spans="1:40" x14ac:dyDescent="0.25">
      <c r="A469">
        <v>2.2668900000000001</v>
      </c>
      <c r="B469">
        <f>-(Table1370[[#This Row],[time]]-2)*2</f>
        <v>-0.53378000000000014</v>
      </c>
      <c r="C469">
        <v>90.274900000000002</v>
      </c>
      <c r="D469">
        <v>14.0199</v>
      </c>
      <c r="E469">
        <f>Table1370[[#This Row],[CFNM]]/Table1370[[#This Row],[CAREA]]</f>
        <v>0.15530230440576506</v>
      </c>
      <c r="F469">
        <v>2.2668900000000001</v>
      </c>
      <c r="G469">
        <f>-(Table2371[[#This Row],[time]]-2)*2</f>
        <v>-0.53378000000000014</v>
      </c>
      <c r="H469">
        <v>95.408299999999997</v>
      </c>
      <c r="I469">
        <v>0.58535599999999999</v>
      </c>
      <c r="J469">
        <f>Table2371[[#This Row],[CFNM]]/Table2371[[#This Row],[CAREA]]</f>
        <v>6.1352733462392683E-3</v>
      </c>
      <c r="K469">
        <v>2.2668900000000001</v>
      </c>
      <c r="L469">
        <f>-(Table3372[[#This Row],[time]]-2)*2</f>
        <v>-0.53378000000000014</v>
      </c>
      <c r="M469">
        <v>90.089600000000004</v>
      </c>
      <c r="N469">
        <v>8.5360899999999997</v>
      </c>
      <c r="O469">
        <f>Table3372[[#This Row],[CFNM]]/Table3372[[#This Row],[CAREA]]</f>
        <v>9.4751114446062573E-2</v>
      </c>
      <c r="P469">
        <v>2.2668900000000001</v>
      </c>
      <c r="Q469">
        <f>-(Table4373[[#This Row],[time]]-2)*2</f>
        <v>-0.53378000000000014</v>
      </c>
      <c r="R469">
        <v>83.538200000000003</v>
      </c>
      <c r="S469">
        <v>2.6068699999999998</v>
      </c>
      <c r="T469">
        <f>Table4373[[#This Row],[CFNM]]/Table4373[[#This Row],[CAREA]]</f>
        <v>3.1205723848490866E-2</v>
      </c>
      <c r="U469">
        <v>2.2668900000000001</v>
      </c>
      <c r="V469">
        <f>-(Table5374[[#This Row],[time]]-2)*2</f>
        <v>-0.53378000000000014</v>
      </c>
      <c r="W469">
        <v>83.552999999999997</v>
      </c>
      <c r="X469">
        <v>15.63</v>
      </c>
      <c r="Y469">
        <f>Table5374[[#This Row],[CFNM]]/Table5374[[#This Row],[CAREA]]</f>
        <v>0.18706689167354854</v>
      </c>
      <c r="Z469">
        <v>2.2668900000000001</v>
      </c>
      <c r="AA469">
        <f>-(Table6375[[#This Row],[time]]-2)*2</f>
        <v>-0.53378000000000014</v>
      </c>
      <c r="AB469">
        <v>84.113</v>
      </c>
      <c r="AC469">
        <v>8.0485900000000008</v>
      </c>
      <c r="AD469">
        <f>Table6375[[#This Row],[CFNM]]/Table6375[[#This Row],[CAREA]]</f>
        <v>9.5687824711994593E-2</v>
      </c>
      <c r="AE469">
        <v>2.2668900000000001</v>
      </c>
      <c r="AF469">
        <f>-(Table7376[[#This Row],[time]]-2)*2</f>
        <v>-0.53378000000000014</v>
      </c>
      <c r="AG469">
        <v>80.103499999999997</v>
      </c>
      <c r="AH469">
        <v>26.064699999999998</v>
      </c>
      <c r="AI469">
        <f>Table7376[[#This Row],[CFNM]]/Table7376[[#This Row],[CAREA]]</f>
        <v>0.32538777956019399</v>
      </c>
      <c r="AJ469">
        <v>2.2668900000000001</v>
      </c>
      <c r="AK469">
        <f>-(Table8377[[#This Row],[time]]-2)*2</f>
        <v>-0.53378000000000014</v>
      </c>
      <c r="AL469">
        <v>82.4148</v>
      </c>
      <c r="AM469">
        <v>14.601100000000001</v>
      </c>
      <c r="AN469">
        <f>Table8377[[#This Row],[CFNM]]/Table8377[[#This Row],[CAREA]]</f>
        <v>0.17716599445730621</v>
      </c>
    </row>
    <row r="470" spans="1:40" x14ac:dyDescent="0.25">
      <c r="A470">
        <v>2.3262700000000001</v>
      </c>
      <c r="B470">
        <f>-(Table1370[[#This Row],[time]]-2)*2</f>
        <v>-0.65254000000000012</v>
      </c>
      <c r="C470">
        <v>90.284499999999994</v>
      </c>
      <c r="D470">
        <v>14.7971</v>
      </c>
      <c r="E470">
        <f>Table1370[[#This Row],[CFNM]]/Table1370[[#This Row],[CAREA]]</f>
        <v>0.16389413465212746</v>
      </c>
      <c r="F470">
        <v>2.3262700000000001</v>
      </c>
      <c r="G470">
        <f>-(Table2371[[#This Row],[time]]-2)*2</f>
        <v>-0.65254000000000012</v>
      </c>
      <c r="H470">
        <v>95.025700000000001</v>
      </c>
      <c r="I470">
        <v>0.200568</v>
      </c>
      <c r="J470">
        <f>Table2371[[#This Row],[CFNM]]/Table2371[[#This Row],[CAREA]]</f>
        <v>2.1106711131830651E-3</v>
      </c>
      <c r="K470">
        <v>2.3262700000000001</v>
      </c>
      <c r="L470">
        <f>-(Table3372[[#This Row],[time]]-2)*2</f>
        <v>-0.65254000000000012</v>
      </c>
      <c r="M470">
        <v>90.275899999999993</v>
      </c>
      <c r="N470">
        <v>9.9421099999999996</v>
      </c>
      <c r="O470">
        <f>Table3372[[#This Row],[CFNM]]/Table3372[[#This Row],[CAREA]]</f>
        <v>0.11013027840209846</v>
      </c>
      <c r="P470">
        <v>2.3262700000000001</v>
      </c>
      <c r="Q470">
        <f>-(Table4373[[#This Row],[time]]-2)*2</f>
        <v>-0.65254000000000012</v>
      </c>
      <c r="R470">
        <v>82.295400000000001</v>
      </c>
      <c r="S470">
        <v>2.2650899999999998</v>
      </c>
      <c r="T470">
        <f>Table4373[[#This Row],[CFNM]]/Table4373[[#This Row],[CAREA]]</f>
        <v>2.752389562478583E-2</v>
      </c>
      <c r="U470">
        <v>2.3262700000000001</v>
      </c>
      <c r="V470">
        <f>-(Table5374[[#This Row],[time]]-2)*2</f>
        <v>-0.65254000000000012</v>
      </c>
      <c r="W470">
        <v>84.2119</v>
      </c>
      <c r="X470">
        <v>17.2789</v>
      </c>
      <c r="Y470">
        <f>Table5374[[#This Row],[CFNM]]/Table5374[[#This Row],[CAREA]]</f>
        <v>0.20518359044268092</v>
      </c>
      <c r="Z470">
        <v>2.3262700000000001</v>
      </c>
      <c r="AA470">
        <f>-(Table6375[[#This Row],[time]]-2)*2</f>
        <v>-0.65254000000000012</v>
      </c>
      <c r="AB470">
        <v>83.030500000000004</v>
      </c>
      <c r="AC470">
        <v>6.3170500000000001</v>
      </c>
      <c r="AD470">
        <f>Table6375[[#This Row],[CFNM]]/Table6375[[#This Row],[CAREA]]</f>
        <v>7.608107863977695E-2</v>
      </c>
      <c r="AE470">
        <v>2.3262700000000001</v>
      </c>
      <c r="AF470">
        <f>-(Table7376[[#This Row],[time]]-2)*2</f>
        <v>-0.65254000000000012</v>
      </c>
      <c r="AG470">
        <v>79.115099999999998</v>
      </c>
      <c r="AH470">
        <v>28.669799999999999</v>
      </c>
      <c r="AI470">
        <f>Table7376[[#This Row],[CFNM]]/Table7376[[#This Row],[CAREA]]</f>
        <v>0.3623808855705169</v>
      </c>
      <c r="AJ470">
        <v>2.3262700000000001</v>
      </c>
      <c r="AK470">
        <f>-(Table8377[[#This Row],[time]]-2)*2</f>
        <v>-0.65254000000000012</v>
      </c>
      <c r="AL470">
        <v>82.354200000000006</v>
      </c>
      <c r="AM470">
        <v>13.853</v>
      </c>
      <c r="AN470">
        <f>Table8377[[#This Row],[CFNM]]/Table8377[[#This Row],[CAREA]]</f>
        <v>0.16821242875287476</v>
      </c>
    </row>
    <row r="471" spans="1:40" x14ac:dyDescent="0.25">
      <c r="A471">
        <v>2.3684599999999998</v>
      </c>
      <c r="B471">
        <f>-(Table1370[[#This Row],[time]]-2)*2</f>
        <v>-0.73691999999999958</v>
      </c>
      <c r="C471">
        <v>90.316199999999995</v>
      </c>
      <c r="D471">
        <v>15.1031</v>
      </c>
      <c r="E471">
        <f>Table1370[[#This Row],[CFNM]]/Table1370[[#This Row],[CAREA]]</f>
        <v>0.16722470608816581</v>
      </c>
      <c r="F471">
        <v>2.3684599999999998</v>
      </c>
      <c r="G471">
        <f>-(Table2371[[#This Row],[time]]-2)*2</f>
        <v>-0.73691999999999958</v>
      </c>
      <c r="H471">
        <v>94.512799999999999</v>
      </c>
      <c r="I471">
        <v>0.11677999999999999</v>
      </c>
      <c r="J471">
        <f>Table2371[[#This Row],[CFNM]]/Table2371[[#This Row],[CAREA]]</f>
        <v>1.2355998340965457E-3</v>
      </c>
      <c r="K471">
        <v>2.3684599999999998</v>
      </c>
      <c r="L471">
        <f>-(Table3372[[#This Row],[time]]-2)*2</f>
        <v>-0.73691999999999958</v>
      </c>
      <c r="M471">
        <v>90.175399999999996</v>
      </c>
      <c r="N471">
        <v>10.558</v>
      </c>
      <c r="O471">
        <f>Table3372[[#This Row],[CFNM]]/Table3372[[#This Row],[CAREA]]</f>
        <v>0.11708292949074803</v>
      </c>
      <c r="P471">
        <v>2.3684599999999998</v>
      </c>
      <c r="Q471">
        <f>-(Table4373[[#This Row],[time]]-2)*2</f>
        <v>-0.73691999999999958</v>
      </c>
      <c r="R471">
        <v>81.667599999999993</v>
      </c>
      <c r="S471">
        <v>2.1587200000000002</v>
      </c>
      <c r="T471">
        <f>Table4373[[#This Row],[CFNM]]/Table4373[[#This Row],[CAREA]]</f>
        <v>2.6433004030974344E-2</v>
      </c>
      <c r="U471">
        <v>2.3684599999999998</v>
      </c>
      <c r="V471">
        <f>-(Table5374[[#This Row],[time]]-2)*2</f>
        <v>-0.73691999999999958</v>
      </c>
      <c r="W471">
        <v>84.226500000000001</v>
      </c>
      <c r="X471">
        <v>18.046199999999999</v>
      </c>
      <c r="Y471">
        <f>Table5374[[#This Row],[CFNM]]/Table5374[[#This Row],[CAREA]]</f>
        <v>0.21425798293886128</v>
      </c>
      <c r="Z471">
        <v>2.3684599999999998</v>
      </c>
      <c r="AA471">
        <f>-(Table6375[[#This Row],[time]]-2)*2</f>
        <v>-0.73691999999999958</v>
      </c>
      <c r="AB471">
        <v>82.883200000000002</v>
      </c>
      <c r="AC471">
        <v>5.7346399999999997</v>
      </c>
      <c r="AD471">
        <f>Table6375[[#This Row],[CFNM]]/Table6375[[#This Row],[CAREA]]</f>
        <v>6.9189413536156902E-2</v>
      </c>
      <c r="AE471">
        <v>2.3684599999999998</v>
      </c>
      <c r="AF471">
        <f>-(Table7376[[#This Row],[time]]-2)*2</f>
        <v>-0.73691999999999958</v>
      </c>
      <c r="AG471">
        <v>78.464699999999993</v>
      </c>
      <c r="AH471">
        <v>30.015799999999999</v>
      </c>
      <c r="AI471">
        <f>Table7376[[#This Row],[CFNM]]/Table7376[[#This Row],[CAREA]]</f>
        <v>0.38253889965806281</v>
      </c>
      <c r="AJ471">
        <v>2.3684599999999998</v>
      </c>
      <c r="AK471">
        <f>-(Table8377[[#This Row],[time]]-2)*2</f>
        <v>-0.73691999999999958</v>
      </c>
      <c r="AL471">
        <v>82.418099999999995</v>
      </c>
      <c r="AM471">
        <v>13.581899999999999</v>
      </c>
      <c r="AN471">
        <f>Table8377[[#This Row],[CFNM]]/Table8377[[#This Row],[CAREA]]</f>
        <v>0.16479268510193756</v>
      </c>
    </row>
    <row r="472" spans="1:40" x14ac:dyDescent="0.25">
      <c r="A472">
        <v>2.4278300000000002</v>
      </c>
      <c r="B472">
        <f>-(Table1370[[#This Row],[time]]-2)*2</f>
        <v>-0.85566000000000031</v>
      </c>
      <c r="C472">
        <v>90.550200000000004</v>
      </c>
      <c r="D472">
        <v>15.8546</v>
      </c>
      <c r="E472">
        <f>Table1370[[#This Row],[CFNM]]/Table1370[[#This Row],[CAREA]]</f>
        <v>0.1750918275166703</v>
      </c>
      <c r="F472">
        <v>2.4278300000000002</v>
      </c>
      <c r="G472">
        <f>-(Table2371[[#This Row],[time]]-2)*2</f>
        <v>-0.85566000000000031</v>
      </c>
      <c r="H472">
        <v>94.335999999999999</v>
      </c>
      <c r="I472">
        <v>5.3536699999999996E-3</v>
      </c>
      <c r="J472">
        <f>Table2371[[#This Row],[CFNM]]/Table2371[[#This Row],[CAREA]]</f>
        <v>5.6751081241519669E-5</v>
      </c>
      <c r="K472">
        <v>2.4278300000000002</v>
      </c>
      <c r="L472">
        <f>-(Table3372[[#This Row],[time]]-2)*2</f>
        <v>-0.85566000000000031</v>
      </c>
      <c r="M472">
        <v>89.942499999999995</v>
      </c>
      <c r="N472">
        <v>12.1904</v>
      </c>
      <c r="O472">
        <f>Table3372[[#This Row],[CFNM]]/Table3372[[#This Row],[CAREA]]</f>
        <v>0.13553548100175114</v>
      </c>
      <c r="P472">
        <v>2.4278300000000002</v>
      </c>
      <c r="Q472">
        <f>-(Table4373[[#This Row],[time]]-2)*2</f>
        <v>-0.85566000000000031</v>
      </c>
      <c r="R472">
        <v>81.2898</v>
      </c>
      <c r="S472">
        <v>2.4864600000000001</v>
      </c>
      <c r="T472">
        <f>Table4373[[#This Row],[CFNM]]/Table4373[[#This Row],[CAREA]]</f>
        <v>3.058760139648517E-2</v>
      </c>
      <c r="U472">
        <v>2.4278300000000002</v>
      </c>
      <c r="V472">
        <f>-(Table5374[[#This Row],[time]]-2)*2</f>
        <v>-0.85566000000000031</v>
      </c>
      <c r="W472">
        <v>84.081000000000003</v>
      </c>
      <c r="X472">
        <v>20.064599999999999</v>
      </c>
      <c r="Y472">
        <f>Table5374[[#This Row],[CFNM]]/Table5374[[#This Row],[CAREA]]</f>
        <v>0.23863417418917471</v>
      </c>
      <c r="Z472">
        <v>2.4278300000000002</v>
      </c>
      <c r="AA472">
        <f>-(Table6375[[#This Row],[time]]-2)*2</f>
        <v>-0.85566000000000031</v>
      </c>
      <c r="AB472">
        <v>80.706500000000005</v>
      </c>
      <c r="AC472">
        <v>4.3597099999999998</v>
      </c>
      <c r="AD472">
        <f>Table6375[[#This Row],[CFNM]]/Table6375[[#This Row],[CAREA]]</f>
        <v>5.4019316907560101E-2</v>
      </c>
      <c r="AE472">
        <v>2.4278300000000002</v>
      </c>
      <c r="AF472">
        <f>-(Table7376[[#This Row],[time]]-2)*2</f>
        <v>-0.85566000000000031</v>
      </c>
      <c r="AG472">
        <v>76.944699999999997</v>
      </c>
      <c r="AH472">
        <v>33.585599999999999</v>
      </c>
      <c r="AI472">
        <f>Table7376[[#This Row],[CFNM]]/Table7376[[#This Row],[CAREA]]</f>
        <v>0.4364901026321501</v>
      </c>
      <c r="AJ472">
        <v>2.4278300000000002</v>
      </c>
      <c r="AK472">
        <f>-(Table8377[[#This Row],[time]]-2)*2</f>
        <v>-0.85566000000000031</v>
      </c>
      <c r="AL472">
        <v>82.236699999999999</v>
      </c>
      <c r="AM472">
        <v>12.7997</v>
      </c>
      <c r="AN472">
        <f>Table8377[[#This Row],[CFNM]]/Table8377[[#This Row],[CAREA]]</f>
        <v>0.15564462095390499</v>
      </c>
    </row>
    <row r="473" spans="1:40" x14ac:dyDescent="0.25">
      <c r="A473">
        <v>2.4542000000000002</v>
      </c>
      <c r="B473">
        <f>-(Table1370[[#This Row],[time]]-2)*2</f>
        <v>-0.90840000000000032</v>
      </c>
      <c r="C473">
        <v>90.793400000000005</v>
      </c>
      <c r="D473">
        <v>16.392299999999999</v>
      </c>
      <c r="E473">
        <f>Table1370[[#This Row],[CFNM]]/Table1370[[#This Row],[CAREA]]</f>
        <v>0.18054506164544998</v>
      </c>
      <c r="F473">
        <v>2.4542000000000002</v>
      </c>
      <c r="G473">
        <f>-(Table2371[[#This Row],[time]]-2)*2</f>
        <v>-0.90840000000000032</v>
      </c>
      <c r="H473">
        <v>93.302800000000005</v>
      </c>
      <c r="I473">
        <v>5.1123599999999998E-3</v>
      </c>
      <c r="J473">
        <f>Table2371[[#This Row],[CFNM]]/Table2371[[#This Row],[CAREA]]</f>
        <v>5.4793210921858716E-5</v>
      </c>
      <c r="K473">
        <v>2.4542000000000002</v>
      </c>
      <c r="L473">
        <f>-(Table3372[[#This Row],[time]]-2)*2</f>
        <v>-0.90840000000000032</v>
      </c>
      <c r="M473">
        <v>89.880200000000002</v>
      </c>
      <c r="N473">
        <v>13.2508</v>
      </c>
      <c r="O473">
        <f>Table3372[[#This Row],[CFNM]]/Table3372[[#This Row],[CAREA]]</f>
        <v>0.14742735329916934</v>
      </c>
      <c r="P473">
        <v>2.4542000000000002</v>
      </c>
      <c r="Q473">
        <f>-(Table4373[[#This Row],[time]]-2)*2</f>
        <v>-0.90840000000000032</v>
      </c>
      <c r="R473">
        <v>80.225099999999998</v>
      </c>
      <c r="S473">
        <v>2.79088</v>
      </c>
      <c r="T473">
        <f>Table4373[[#This Row],[CFNM]]/Table4373[[#This Row],[CAREA]]</f>
        <v>3.4788114941583119E-2</v>
      </c>
      <c r="U473">
        <v>2.4542000000000002</v>
      </c>
      <c r="V473">
        <f>-(Table5374[[#This Row],[time]]-2)*2</f>
        <v>-0.90840000000000032</v>
      </c>
      <c r="W473">
        <v>84.537000000000006</v>
      </c>
      <c r="X473">
        <v>21.361899999999999</v>
      </c>
      <c r="Y473">
        <f>Table5374[[#This Row],[CFNM]]/Table5374[[#This Row],[CAREA]]</f>
        <v>0.25269290369897202</v>
      </c>
      <c r="Z473">
        <v>2.4542000000000002</v>
      </c>
      <c r="AA473">
        <f>-(Table6375[[#This Row],[time]]-2)*2</f>
        <v>-0.90840000000000032</v>
      </c>
      <c r="AB473">
        <v>79.5702</v>
      </c>
      <c r="AC473">
        <v>3.8360699999999999</v>
      </c>
      <c r="AD473">
        <f>Table6375[[#This Row],[CFNM]]/Table6375[[#This Row],[CAREA]]</f>
        <v>4.8209882594237537E-2</v>
      </c>
      <c r="AE473">
        <v>2.4542000000000002</v>
      </c>
      <c r="AF473">
        <f>-(Table7376[[#This Row],[time]]-2)*2</f>
        <v>-0.90840000000000032</v>
      </c>
      <c r="AG473">
        <v>75.978999999999999</v>
      </c>
      <c r="AH473">
        <v>35.870399999999997</v>
      </c>
      <c r="AI473">
        <f>Table7376[[#This Row],[CFNM]]/Table7376[[#This Row],[CAREA]]</f>
        <v>0.47210939864962681</v>
      </c>
      <c r="AJ473">
        <v>2.4542000000000002</v>
      </c>
      <c r="AK473">
        <f>-(Table8377[[#This Row],[time]]-2)*2</f>
        <v>-0.90840000000000032</v>
      </c>
      <c r="AL473">
        <v>82.343299999999999</v>
      </c>
      <c r="AM473">
        <v>12.2783</v>
      </c>
      <c r="AN473">
        <f>Table8377[[#This Row],[CFNM]]/Table8377[[#This Row],[CAREA]]</f>
        <v>0.14911109950657794</v>
      </c>
    </row>
    <row r="474" spans="1:40" x14ac:dyDescent="0.25">
      <c r="A474">
        <v>2.5061499999999999</v>
      </c>
      <c r="B474">
        <f>-(Table1370[[#This Row],[time]]-2)*2</f>
        <v>-1.0122999999999998</v>
      </c>
      <c r="C474">
        <v>91.1006</v>
      </c>
      <c r="D474">
        <v>17.165700000000001</v>
      </c>
      <c r="E474">
        <f>Table1370[[#This Row],[CFNM]]/Table1370[[#This Row],[CAREA]]</f>
        <v>0.18842576228916166</v>
      </c>
      <c r="F474">
        <v>2.5061499999999999</v>
      </c>
      <c r="G474">
        <f>-(Table2371[[#This Row],[time]]-2)*2</f>
        <v>-1.0122999999999998</v>
      </c>
      <c r="H474">
        <v>93.016900000000007</v>
      </c>
      <c r="I474">
        <v>4.8751599999999999E-3</v>
      </c>
      <c r="J474">
        <f>Table2371[[#This Row],[CFNM]]/Table2371[[#This Row],[CAREA]]</f>
        <v>5.2411551019223383E-5</v>
      </c>
      <c r="K474">
        <v>2.5061499999999999</v>
      </c>
      <c r="L474">
        <f>-(Table3372[[#This Row],[time]]-2)*2</f>
        <v>-1.0122999999999998</v>
      </c>
      <c r="M474">
        <v>89.680199999999999</v>
      </c>
      <c r="N474">
        <v>14.7873</v>
      </c>
      <c r="O474">
        <f>Table3372[[#This Row],[CFNM]]/Table3372[[#This Row],[CAREA]]</f>
        <v>0.16488923976529937</v>
      </c>
      <c r="P474">
        <v>2.5061499999999999</v>
      </c>
      <c r="Q474">
        <f>-(Table4373[[#This Row],[time]]-2)*2</f>
        <v>-1.0122999999999998</v>
      </c>
      <c r="R474">
        <v>79.209400000000002</v>
      </c>
      <c r="S474">
        <v>3.19963</v>
      </c>
      <c r="T474">
        <f>Table4373[[#This Row],[CFNM]]/Table4373[[#This Row],[CAREA]]</f>
        <v>4.0394574381323427E-2</v>
      </c>
      <c r="U474">
        <v>2.5061499999999999</v>
      </c>
      <c r="V474">
        <f>-(Table5374[[#This Row],[time]]-2)*2</f>
        <v>-1.0122999999999998</v>
      </c>
      <c r="W474">
        <v>84.445099999999996</v>
      </c>
      <c r="X474">
        <v>23.2743</v>
      </c>
      <c r="Y474">
        <f>Table5374[[#This Row],[CFNM]]/Table5374[[#This Row],[CAREA]]</f>
        <v>0.2756145708868839</v>
      </c>
      <c r="Z474">
        <v>2.5061499999999999</v>
      </c>
      <c r="AA474">
        <f>-(Table6375[[#This Row],[time]]-2)*2</f>
        <v>-1.0122999999999998</v>
      </c>
      <c r="AB474">
        <v>79.423500000000004</v>
      </c>
      <c r="AC474">
        <v>3.3365399999999998</v>
      </c>
      <c r="AD474">
        <f>Table6375[[#This Row],[CFNM]]/Table6375[[#This Row],[CAREA]]</f>
        <v>4.2009480821167532E-2</v>
      </c>
      <c r="AE474">
        <v>2.5061499999999999</v>
      </c>
      <c r="AF474">
        <f>-(Table7376[[#This Row],[time]]-2)*2</f>
        <v>-1.0122999999999998</v>
      </c>
      <c r="AG474">
        <v>74.599000000000004</v>
      </c>
      <c r="AH474">
        <v>38.923099999999998</v>
      </c>
      <c r="AI474">
        <f>Table7376[[#This Row],[CFNM]]/Table7376[[#This Row],[CAREA]]</f>
        <v>0.5217643668145685</v>
      </c>
      <c r="AJ474">
        <v>2.5061499999999999</v>
      </c>
      <c r="AK474">
        <f>-(Table8377[[#This Row],[time]]-2)*2</f>
        <v>-1.0122999999999998</v>
      </c>
      <c r="AL474">
        <v>81.821899999999999</v>
      </c>
      <c r="AM474">
        <v>11.473000000000001</v>
      </c>
      <c r="AN474">
        <f>Table8377[[#This Row],[CFNM]]/Table8377[[#This Row],[CAREA]]</f>
        <v>0.14021918337266673</v>
      </c>
    </row>
    <row r="475" spans="1:40" x14ac:dyDescent="0.25">
      <c r="A475">
        <v>2.5507599999999999</v>
      </c>
      <c r="B475">
        <f>-(Table1370[[#This Row],[time]]-2)*2</f>
        <v>-1.1015199999999998</v>
      </c>
      <c r="C475">
        <v>91.352400000000003</v>
      </c>
      <c r="D475">
        <v>18.010899999999999</v>
      </c>
      <c r="E475">
        <f>Table1370[[#This Row],[CFNM]]/Table1370[[#This Row],[CAREA]]</f>
        <v>0.19715847640565545</v>
      </c>
      <c r="F475">
        <v>2.5507599999999999</v>
      </c>
      <c r="G475">
        <f>-(Table2371[[#This Row],[time]]-2)*2</f>
        <v>-1.1015199999999998</v>
      </c>
      <c r="H475">
        <v>91.850300000000004</v>
      </c>
      <c r="I475">
        <v>4.8242399999999996E-3</v>
      </c>
      <c r="J475">
        <f>Table2371[[#This Row],[CFNM]]/Table2371[[#This Row],[CAREA]]</f>
        <v>5.2522855124044223E-5</v>
      </c>
      <c r="K475">
        <v>2.5507599999999999</v>
      </c>
      <c r="L475">
        <f>-(Table3372[[#This Row],[time]]-2)*2</f>
        <v>-1.1015199999999998</v>
      </c>
      <c r="M475">
        <v>89.382099999999994</v>
      </c>
      <c r="N475">
        <v>16.181100000000001</v>
      </c>
      <c r="O475">
        <f>Table3372[[#This Row],[CFNM]]/Table3372[[#This Row],[CAREA]]</f>
        <v>0.18103289137310494</v>
      </c>
      <c r="P475">
        <v>2.5507599999999999</v>
      </c>
      <c r="Q475">
        <f>-(Table4373[[#This Row],[time]]-2)*2</f>
        <v>-1.1015199999999998</v>
      </c>
      <c r="R475">
        <v>78.913899999999998</v>
      </c>
      <c r="S475">
        <v>3.3315700000000001</v>
      </c>
      <c r="T475">
        <f>Table4373[[#This Row],[CFNM]]/Table4373[[#This Row],[CAREA]]</f>
        <v>4.2217784192645408E-2</v>
      </c>
      <c r="U475">
        <v>2.5507599999999999</v>
      </c>
      <c r="V475">
        <f>-(Table5374[[#This Row],[time]]-2)*2</f>
        <v>-1.1015199999999998</v>
      </c>
      <c r="W475">
        <v>84.436400000000006</v>
      </c>
      <c r="X475">
        <v>24.938199999999998</v>
      </c>
      <c r="Y475">
        <f>Table5374[[#This Row],[CFNM]]/Table5374[[#This Row],[CAREA]]</f>
        <v>0.29534892534499335</v>
      </c>
      <c r="Z475">
        <v>2.5507599999999999</v>
      </c>
      <c r="AA475">
        <f>-(Table6375[[#This Row],[time]]-2)*2</f>
        <v>-1.1015199999999998</v>
      </c>
      <c r="AB475">
        <v>78.673299999999998</v>
      </c>
      <c r="AC475">
        <v>2.99133</v>
      </c>
      <c r="AD475">
        <f>Table6375[[#This Row],[CFNM]]/Table6375[[#This Row],[CAREA]]</f>
        <v>3.8022175248781993E-2</v>
      </c>
      <c r="AE475">
        <v>2.5507599999999999</v>
      </c>
      <c r="AF475">
        <f>-(Table7376[[#This Row],[time]]-2)*2</f>
        <v>-1.1015199999999998</v>
      </c>
      <c r="AG475">
        <v>73.703800000000001</v>
      </c>
      <c r="AH475">
        <v>41.206899999999997</v>
      </c>
      <c r="AI475">
        <f>Table7376[[#This Row],[CFNM]]/Table7376[[#This Row],[CAREA]]</f>
        <v>0.55908786249827003</v>
      </c>
      <c r="AJ475">
        <v>2.5507599999999999</v>
      </c>
      <c r="AK475">
        <f>-(Table8377[[#This Row],[time]]-2)*2</f>
        <v>-1.1015199999999998</v>
      </c>
      <c r="AL475">
        <v>81.241</v>
      </c>
      <c r="AM475">
        <v>10.8314</v>
      </c>
      <c r="AN475">
        <f>Table8377[[#This Row],[CFNM]]/Table8377[[#This Row],[CAREA]]</f>
        <v>0.13332430669243364</v>
      </c>
    </row>
    <row r="476" spans="1:40" x14ac:dyDescent="0.25">
      <c r="A476">
        <v>2.60453</v>
      </c>
      <c r="B476">
        <f>-(Table1370[[#This Row],[time]]-2)*2</f>
        <v>-1.20906</v>
      </c>
      <c r="C476">
        <v>91.912099999999995</v>
      </c>
      <c r="D476">
        <v>19.0153</v>
      </c>
      <c r="E476">
        <f>Table1370[[#This Row],[CFNM]]/Table1370[[#This Row],[CAREA]]</f>
        <v>0.20688570928093256</v>
      </c>
      <c r="F476">
        <v>2.60453</v>
      </c>
      <c r="G476">
        <f>-(Table2371[[#This Row],[time]]-2)*2</f>
        <v>-1.20906</v>
      </c>
      <c r="H476">
        <v>91.412300000000002</v>
      </c>
      <c r="I476">
        <v>4.8239800000000003E-3</v>
      </c>
      <c r="J476">
        <f>Table2371[[#This Row],[CFNM]]/Table2371[[#This Row],[CAREA]]</f>
        <v>5.2771672958671868E-5</v>
      </c>
      <c r="K476">
        <v>2.60453</v>
      </c>
      <c r="L476">
        <f>-(Table3372[[#This Row],[time]]-2)*2</f>
        <v>-1.20906</v>
      </c>
      <c r="M476">
        <v>89.179599999999994</v>
      </c>
      <c r="N476">
        <v>17.729700000000001</v>
      </c>
      <c r="O476">
        <f>Table3372[[#This Row],[CFNM]]/Table3372[[#This Row],[CAREA]]</f>
        <v>0.19880892042574763</v>
      </c>
      <c r="P476">
        <v>2.60453</v>
      </c>
      <c r="Q476">
        <f>-(Table4373[[#This Row],[time]]-2)*2</f>
        <v>-1.20906</v>
      </c>
      <c r="R476">
        <v>77.900300000000001</v>
      </c>
      <c r="S476">
        <v>3.55179</v>
      </c>
      <c r="T476">
        <f>Table4373[[#This Row],[CFNM]]/Table4373[[#This Row],[CAREA]]</f>
        <v>4.559404777645272E-2</v>
      </c>
      <c r="U476">
        <v>2.60453</v>
      </c>
      <c r="V476">
        <f>-(Table5374[[#This Row],[time]]-2)*2</f>
        <v>-1.20906</v>
      </c>
      <c r="W476">
        <v>84.532600000000002</v>
      </c>
      <c r="X476">
        <v>26.8858</v>
      </c>
      <c r="Y476">
        <f>Table5374[[#This Row],[CFNM]]/Table5374[[#This Row],[CAREA]]</f>
        <v>0.31805244367261859</v>
      </c>
      <c r="Z476">
        <v>2.60453</v>
      </c>
      <c r="AA476">
        <f>-(Table6375[[#This Row],[time]]-2)*2</f>
        <v>-1.20906</v>
      </c>
      <c r="AB476">
        <v>77.716899999999995</v>
      </c>
      <c r="AC476">
        <v>2.6070799999999998</v>
      </c>
      <c r="AD476">
        <f>Table6375[[#This Row],[CFNM]]/Table6375[[#This Row],[CAREA]]</f>
        <v>3.3545856821360603E-2</v>
      </c>
      <c r="AE476">
        <v>2.60453</v>
      </c>
      <c r="AF476">
        <f>-(Table7376[[#This Row],[time]]-2)*2</f>
        <v>-1.20906</v>
      </c>
      <c r="AG476">
        <v>72.774500000000003</v>
      </c>
      <c r="AH476">
        <v>43.761600000000001</v>
      </c>
      <c r="AI476">
        <f>Table7376[[#This Row],[CFNM]]/Table7376[[#This Row],[CAREA]]</f>
        <v>0.60133151035046617</v>
      </c>
      <c r="AJ476">
        <v>2.60453</v>
      </c>
      <c r="AK476">
        <f>-(Table8377[[#This Row],[time]]-2)*2</f>
        <v>-1.20906</v>
      </c>
      <c r="AL476">
        <v>81.285899999999998</v>
      </c>
      <c r="AM476">
        <v>10.1469</v>
      </c>
      <c r="AN476">
        <f>Table8377[[#This Row],[CFNM]]/Table8377[[#This Row],[CAREA]]</f>
        <v>0.12482976752425698</v>
      </c>
    </row>
    <row r="477" spans="1:40" x14ac:dyDescent="0.25">
      <c r="A477">
        <v>2.65273</v>
      </c>
      <c r="B477">
        <f>-(Table1370[[#This Row],[time]]-2)*2</f>
        <v>-1.3054600000000001</v>
      </c>
      <c r="C477">
        <v>92.704700000000003</v>
      </c>
      <c r="D477">
        <v>20.597200000000001</v>
      </c>
      <c r="E477">
        <f>Table1370[[#This Row],[CFNM]]/Table1370[[#This Row],[CAREA]]</f>
        <v>0.22218075243218521</v>
      </c>
      <c r="F477">
        <v>2.65273</v>
      </c>
      <c r="G477">
        <f>-(Table2371[[#This Row],[time]]-2)*2</f>
        <v>-1.3054600000000001</v>
      </c>
      <c r="H477">
        <v>90.817099999999996</v>
      </c>
      <c r="I477">
        <v>4.8533300000000003E-3</v>
      </c>
      <c r="J477">
        <f>Table2371[[#This Row],[CFNM]]/Table2371[[#This Row],[CAREA]]</f>
        <v>5.3440706651060214E-5</v>
      </c>
      <c r="K477">
        <v>2.65273</v>
      </c>
      <c r="L477">
        <f>-(Table3372[[#This Row],[time]]-2)*2</f>
        <v>-1.3054600000000001</v>
      </c>
      <c r="M477">
        <v>88.909599999999998</v>
      </c>
      <c r="N477">
        <v>20.1082</v>
      </c>
      <c r="O477">
        <f>Table3372[[#This Row],[CFNM]]/Table3372[[#This Row],[CAREA]]</f>
        <v>0.22616455365899746</v>
      </c>
      <c r="P477">
        <v>2.65273</v>
      </c>
      <c r="Q477">
        <f>-(Table4373[[#This Row],[time]]-2)*2</f>
        <v>-1.3054600000000001</v>
      </c>
      <c r="R477">
        <v>77.135900000000007</v>
      </c>
      <c r="S477">
        <v>3.8716499999999998</v>
      </c>
      <c r="T477">
        <f>Table4373[[#This Row],[CFNM]]/Table4373[[#This Row],[CAREA]]</f>
        <v>5.0192582182874632E-2</v>
      </c>
      <c r="U477">
        <v>2.65273</v>
      </c>
      <c r="V477">
        <f>-(Table5374[[#This Row],[time]]-2)*2</f>
        <v>-1.3054600000000001</v>
      </c>
      <c r="W477">
        <v>84.654700000000005</v>
      </c>
      <c r="X477">
        <v>29.6873</v>
      </c>
      <c r="Y477">
        <f>Table5374[[#This Row],[CFNM]]/Table5374[[#This Row],[CAREA]]</f>
        <v>0.35068696717370684</v>
      </c>
      <c r="Z477">
        <v>2.65273</v>
      </c>
      <c r="AA477">
        <f>-(Table6375[[#This Row],[time]]-2)*2</f>
        <v>-1.3054600000000001</v>
      </c>
      <c r="AB477">
        <v>75.365200000000002</v>
      </c>
      <c r="AC477">
        <v>2.2901400000000001</v>
      </c>
      <c r="AD477">
        <f>Table6375[[#This Row],[CFNM]]/Table6375[[#This Row],[CAREA]]</f>
        <v>3.0387234426499234E-2</v>
      </c>
      <c r="AE477">
        <v>2.65273</v>
      </c>
      <c r="AF477">
        <f>-(Table7376[[#This Row],[time]]-2)*2</f>
        <v>-1.3054600000000001</v>
      </c>
      <c r="AG477">
        <v>71.455600000000004</v>
      </c>
      <c r="AH477">
        <v>47.484499999999997</v>
      </c>
      <c r="AI477">
        <f>Table7376[[#This Row],[CFNM]]/Table7376[[#This Row],[CAREA]]</f>
        <v>0.66453154126478531</v>
      </c>
      <c r="AJ477">
        <v>2.65273</v>
      </c>
      <c r="AK477">
        <f>-(Table8377[[#This Row],[time]]-2)*2</f>
        <v>-1.3054600000000001</v>
      </c>
      <c r="AL477">
        <v>80.528400000000005</v>
      </c>
      <c r="AM477">
        <v>9.1815999999999995</v>
      </c>
      <c r="AN477">
        <f>Table8377[[#This Row],[CFNM]]/Table8377[[#This Row],[CAREA]]</f>
        <v>0.1140169182549262</v>
      </c>
    </row>
    <row r="478" spans="1:40" x14ac:dyDescent="0.25">
      <c r="A478">
        <v>2.7006199999999998</v>
      </c>
      <c r="B478">
        <f>-(Table1370[[#This Row],[time]]-2)*2</f>
        <v>-1.4012399999999996</v>
      </c>
      <c r="C478">
        <v>93.139499999999998</v>
      </c>
      <c r="D478">
        <v>21.552600000000002</v>
      </c>
      <c r="E478">
        <f>Table1370[[#This Row],[CFNM]]/Table1370[[#This Row],[CAREA]]</f>
        <v>0.2314012851690207</v>
      </c>
      <c r="F478">
        <v>2.7006199999999998</v>
      </c>
      <c r="G478">
        <f>-(Table2371[[#This Row],[time]]-2)*2</f>
        <v>-1.4012399999999996</v>
      </c>
      <c r="H478">
        <v>90.298599999999993</v>
      </c>
      <c r="I478">
        <v>4.86419E-3</v>
      </c>
      <c r="J478">
        <f>Table2371[[#This Row],[CFNM]]/Table2371[[#This Row],[CAREA]]</f>
        <v>5.3867834052798165E-5</v>
      </c>
      <c r="K478">
        <v>2.7006199999999998</v>
      </c>
      <c r="L478">
        <f>-(Table3372[[#This Row],[time]]-2)*2</f>
        <v>-1.4012399999999996</v>
      </c>
      <c r="M478">
        <v>88.616699999999994</v>
      </c>
      <c r="N478">
        <v>21.554300000000001</v>
      </c>
      <c r="O478">
        <f>Table3372[[#This Row],[CFNM]]/Table3372[[#This Row],[CAREA]]</f>
        <v>0.24323067773907178</v>
      </c>
      <c r="P478">
        <v>2.7006199999999998</v>
      </c>
      <c r="Q478">
        <f>-(Table4373[[#This Row],[time]]-2)*2</f>
        <v>-1.4012399999999996</v>
      </c>
      <c r="R478">
        <v>75.389099999999999</v>
      </c>
      <c r="S478">
        <v>4.0266799999999998</v>
      </c>
      <c r="T478">
        <f>Table4373[[#This Row],[CFNM]]/Table4373[[#This Row],[CAREA]]</f>
        <v>5.3411965390222194E-2</v>
      </c>
      <c r="U478">
        <v>2.7006199999999998</v>
      </c>
      <c r="V478">
        <f>-(Table5374[[#This Row],[time]]-2)*2</f>
        <v>-1.4012399999999996</v>
      </c>
      <c r="W478">
        <v>84.407799999999995</v>
      </c>
      <c r="X478">
        <v>31.2288</v>
      </c>
      <c r="Y478">
        <f>Table5374[[#This Row],[CFNM]]/Table5374[[#This Row],[CAREA]]</f>
        <v>0.36997528664412532</v>
      </c>
      <c r="Z478">
        <v>2.7006199999999998</v>
      </c>
      <c r="AA478">
        <f>-(Table6375[[#This Row],[time]]-2)*2</f>
        <v>-1.4012399999999996</v>
      </c>
      <c r="AB478">
        <v>74.533699999999996</v>
      </c>
      <c r="AC478">
        <v>2.1719400000000002</v>
      </c>
      <c r="AD478">
        <f>Table6375[[#This Row],[CFNM]]/Table6375[[#This Row],[CAREA]]</f>
        <v>2.9140375427491191E-2</v>
      </c>
      <c r="AE478">
        <v>2.7006199999999998</v>
      </c>
      <c r="AF478">
        <f>-(Table7376[[#This Row],[time]]-2)*2</f>
        <v>-1.4012399999999996</v>
      </c>
      <c r="AG478">
        <v>70.815600000000003</v>
      </c>
      <c r="AH478">
        <v>49.516399999999997</v>
      </c>
      <c r="AI478">
        <f>Table7376[[#This Row],[CFNM]]/Table7376[[#This Row],[CAREA]]</f>
        <v>0.69923011313891281</v>
      </c>
      <c r="AJ478">
        <v>2.7006199999999998</v>
      </c>
      <c r="AK478">
        <f>-(Table8377[[#This Row],[time]]-2)*2</f>
        <v>-1.4012399999999996</v>
      </c>
      <c r="AL478">
        <v>79.566699999999997</v>
      </c>
      <c r="AM478">
        <v>8.6367700000000003</v>
      </c>
      <c r="AN478">
        <f>Table8377[[#This Row],[CFNM]]/Table8377[[#This Row],[CAREA]]</f>
        <v>0.10854754564409484</v>
      </c>
    </row>
    <row r="479" spans="1:40" x14ac:dyDescent="0.25">
      <c r="A479">
        <v>2.75176</v>
      </c>
      <c r="B479">
        <f>-(Table1370[[#This Row],[time]]-2)*2</f>
        <v>-1.50352</v>
      </c>
      <c r="C479">
        <v>93.9666</v>
      </c>
      <c r="D479">
        <v>22.9194</v>
      </c>
      <c r="E479">
        <f>Table1370[[#This Row],[CFNM]]/Table1370[[#This Row],[CAREA]]</f>
        <v>0.24391007017387029</v>
      </c>
      <c r="F479">
        <v>2.75176</v>
      </c>
      <c r="G479">
        <f>-(Table2371[[#This Row],[time]]-2)*2</f>
        <v>-1.50352</v>
      </c>
      <c r="H479">
        <v>89.293800000000005</v>
      </c>
      <c r="I479">
        <v>4.86011E-3</v>
      </c>
      <c r="J479">
        <f>Table2371[[#This Row],[CFNM]]/Table2371[[#This Row],[CAREA]]</f>
        <v>5.4428302972882772E-5</v>
      </c>
      <c r="K479">
        <v>2.75176</v>
      </c>
      <c r="L479">
        <f>-(Table3372[[#This Row],[time]]-2)*2</f>
        <v>-1.50352</v>
      </c>
      <c r="M479">
        <v>88.096500000000006</v>
      </c>
      <c r="N479">
        <v>23.738</v>
      </c>
      <c r="O479">
        <f>Table3372[[#This Row],[CFNM]]/Table3372[[#This Row],[CAREA]]</f>
        <v>0.2694545186244629</v>
      </c>
      <c r="P479">
        <v>2.75176</v>
      </c>
      <c r="Q479">
        <f>-(Table4373[[#This Row],[time]]-2)*2</f>
        <v>-1.50352</v>
      </c>
      <c r="R479">
        <v>75.204400000000007</v>
      </c>
      <c r="S479">
        <v>4.1545399999999999</v>
      </c>
      <c r="T479">
        <f>Table4373[[#This Row],[CFNM]]/Table4373[[#This Row],[CAREA]]</f>
        <v>5.5243310231848128E-2</v>
      </c>
      <c r="U479">
        <v>2.75176</v>
      </c>
      <c r="V479">
        <f>-(Table5374[[#This Row],[time]]-2)*2</f>
        <v>-1.50352</v>
      </c>
      <c r="W479">
        <v>83.992599999999996</v>
      </c>
      <c r="X479">
        <v>33.357900000000001</v>
      </c>
      <c r="Y479">
        <f>Table5374[[#This Row],[CFNM]]/Table5374[[#This Row],[CAREA]]</f>
        <v>0.3971528444172463</v>
      </c>
      <c r="Z479">
        <v>2.75176</v>
      </c>
      <c r="AA479">
        <f>-(Table6375[[#This Row],[time]]-2)*2</f>
        <v>-1.50352</v>
      </c>
      <c r="AB479">
        <v>73.842399999999998</v>
      </c>
      <c r="AC479">
        <v>1.9390700000000001</v>
      </c>
      <c r="AD479">
        <f>Table6375[[#This Row],[CFNM]]/Table6375[[#This Row],[CAREA]]</f>
        <v>2.6259574445034291E-2</v>
      </c>
      <c r="AE479">
        <v>2.75176</v>
      </c>
      <c r="AF479">
        <f>-(Table7376[[#This Row],[time]]-2)*2</f>
        <v>-1.50352</v>
      </c>
      <c r="AG479">
        <v>69.946600000000004</v>
      </c>
      <c r="AH479">
        <v>52.276899999999998</v>
      </c>
      <c r="AI479">
        <f>Table7376[[#This Row],[CFNM]]/Table7376[[#This Row],[CAREA]]</f>
        <v>0.74738300360560761</v>
      </c>
      <c r="AJ479">
        <v>2.75176</v>
      </c>
      <c r="AK479">
        <f>-(Table8377[[#This Row],[time]]-2)*2</f>
        <v>-1.50352</v>
      </c>
      <c r="AL479">
        <v>79.509100000000004</v>
      </c>
      <c r="AM479">
        <v>7.9014899999999999</v>
      </c>
      <c r="AN479">
        <f>Table8377[[#This Row],[CFNM]]/Table8377[[#This Row],[CAREA]]</f>
        <v>9.9378435927459874E-2</v>
      </c>
    </row>
    <row r="480" spans="1:40" x14ac:dyDescent="0.25">
      <c r="A480">
        <v>2.80444</v>
      </c>
      <c r="B480">
        <f>-(Table1370[[#This Row],[time]]-2)*2</f>
        <v>-1.6088800000000001</v>
      </c>
      <c r="C480">
        <v>95.316199999999995</v>
      </c>
      <c r="D480">
        <v>24.848099999999999</v>
      </c>
      <c r="E480">
        <f>Table1370[[#This Row],[CFNM]]/Table1370[[#This Row],[CAREA]]</f>
        <v>0.26069125710005225</v>
      </c>
      <c r="F480">
        <v>2.80444</v>
      </c>
      <c r="G480">
        <f>-(Table2371[[#This Row],[time]]-2)*2</f>
        <v>-1.6088800000000001</v>
      </c>
      <c r="H480">
        <v>88.256</v>
      </c>
      <c r="I480">
        <v>4.8240000000000002E-3</v>
      </c>
      <c r="J480">
        <f>Table2371[[#This Row],[CFNM]]/Table2371[[#This Row],[CAREA]]</f>
        <v>5.4659173313995648E-5</v>
      </c>
      <c r="K480">
        <v>2.80444</v>
      </c>
      <c r="L480">
        <f>-(Table3372[[#This Row],[time]]-2)*2</f>
        <v>-1.6088800000000001</v>
      </c>
      <c r="M480">
        <v>87.324399999999997</v>
      </c>
      <c r="N480">
        <v>26.6508</v>
      </c>
      <c r="O480">
        <f>Table3372[[#This Row],[CFNM]]/Table3372[[#This Row],[CAREA]]</f>
        <v>0.30519305028147919</v>
      </c>
      <c r="P480">
        <v>2.80444</v>
      </c>
      <c r="Q480">
        <f>-(Table4373[[#This Row],[time]]-2)*2</f>
        <v>-1.6088800000000001</v>
      </c>
      <c r="R480">
        <v>74.237200000000001</v>
      </c>
      <c r="S480">
        <v>4.3911800000000003</v>
      </c>
      <c r="T480">
        <f>Table4373[[#This Row],[CFNM]]/Table4373[[#This Row],[CAREA]]</f>
        <v>5.9150668398053809E-2</v>
      </c>
      <c r="U480">
        <v>2.80444</v>
      </c>
      <c r="V480">
        <f>-(Table5374[[#This Row],[time]]-2)*2</f>
        <v>-1.6088800000000001</v>
      </c>
      <c r="W480">
        <v>83.556200000000004</v>
      </c>
      <c r="X480">
        <v>36.176900000000003</v>
      </c>
      <c r="Y480">
        <f>Table5374[[#This Row],[CFNM]]/Table5374[[#This Row],[CAREA]]</f>
        <v>0.43296487872832895</v>
      </c>
      <c r="Z480">
        <v>2.80444</v>
      </c>
      <c r="AA480">
        <f>-(Table6375[[#This Row],[time]]-2)*2</f>
        <v>-1.6088800000000001</v>
      </c>
      <c r="AB480">
        <v>71.988200000000006</v>
      </c>
      <c r="AC480">
        <v>1.57856</v>
      </c>
      <c r="AD480">
        <f>Table6375[[#This Row],[CFNM]]/Table6375[[#This Row],[CAREA]]</f>
        <v>2.1928038206261578E-2</v>
      </c>
      <c r="AE480">
        <v>2.80444</v>
      </c>
      <c r="AF480">
        <f>-(Table7376[[#This Row],[time]]-2)*2</f>
        <v>-1.6088800000000001</v>
      </c>
      <c r="AG480">
        <v>68.858500000000006</v>
      </c>
      <c r="AH480">
        <v>55.893000000000001</v>
      </c>
      <c r="AI480">
        <f>Table7376[[#This Row],[CFNM]]/Table7376[[#This Row],[CAREA]]</f>
        <v>0.81170806799451045</v>
      </c>
      <c r="AJ480">
        <v>2.80444</v>
      </c>
      <c r="AK480">
        <f>-(Table8377[[#This Row],[time]]-2)*2</f>
        <v>-1.6088800000000001</v>
      </c>
      <c r="AL480">
        <v>78.266599999999997</v>
      </c>
      <c r="AM480">
        <v>6.9122899999999996</v>
      </c>
      <c r="AN480">
        <f>Table8377[[#This Row],[CFNM]]/Table8377[[#This Row],[CAREA]]</f>
        <v>8.8317238771072212E-2</v>
      </c>
    </row>
    <row r="481" spans="1:40" x14ac:dyDescent="0.25">
      <c r="A481">
        <v>2.8583699999999999</v>
      </c>
      <c r="B481">
        <f>-(Table1370[[#This Row],[time]]-2)*2</f>
        <v>-1.7167399999999997</v>
      </c>
      <c r="C481">
        <v>96.064899999999994</v>
      </c>
      <c r="D481">
        <v>25.928100000000001</v>
      </c>
      <c r="E481">
        <f>Table1370[[#This Row],[CFNM]]/Table1370[[#This Row],[CAREA]]</f>
        <v>0.26990191006288461</v>
      </c>
      <c r="F481">
        <v>2.8583699999999999</v>
      </c>
      <c r="G481">
        <f>-(Table2371[[#This Row],[time]]-2)*2</f>
        <v>-1.7167399999999997</v>
      </c>
      <c r="H481">
        <v>87.841300000000004</v>
      </c>
      <c r="I481">
        <v>4.7618000000000001E-3</v>
      </c>
      <c r="J481">
        <f>Table2371[[#This Row],[CFNM]]/Table2371[[#This Row],[CAREA]]</f>
        <v>5.4209124864955319E-5</v>
      </c>
      <c r="K481">
        <v>2.8583699999999999</v>
      </c>
      <c r="L481">
        <f>-(Table3372[[#This Row],[time]]-2)*2</f>
        <v>-1.7167399999999997</v>
      </c>
      <c r="M481">
        <v>86.912000000000006</v>
      </c>
      <c r="N481">
        <v>28.2439</v>
      </c>
      <c r="O481">
        <f>Table3372[[#This Row],[CFNM]]/Table3372[[#This Row],[CAREA]]</f>
        <v>0.32497123527245947</v>
      </c>
      <c r="P481">
        <v>2.8583699999999999</v>
      </c>
      <c r="Q481">
        <f>-(Table4373[[#This Row],[time]]-2)*2</f>
        <v>-1.7167399999999997</v>
      </c>
      <c r="R481">
        <v>73.227500000000006</v>
      </c>
      <c r="S481">
        <v>4.4751099999999999</v>
      </c>
      <c r="T481">
        <f>Table4373[[#This Row],[CFNM]]/Table4373[[#This Row],[CAREA]]</f>
        <v>6.1112423611348186E-2</v>
      </c>
      <c r="U481">
        <v>2.8583699999999999</v>
      </c>
      <c r="V481">
        <f>-(Table5374[[#This Row],[time]]-2)*2</f>
        <v>-1.7167399999999997</v>
      </c>
      <c r="W481">
        <v>83.313199999999995</v>
      </c>
      <c r="X481">
        <v>37.744599999999998</v>
      </c>
      <c r="Y481">
        <f>Table5374[[#This Row],[CFNM]]/Table5374[[#This Row],[CAREA]]</f>
        <v>0.45304465558879026</v>
      </c>
      <c r="Z481">
        <v>2.8583699999999999</v>
      </c>
      <c r="AA481">
        <f>-(Table6375[[#This Row],[time]]-2)*2</f>
        <v>-1.7167399999999997</v>
      </c>
      <c r="AB481">
        <v>71.053799999999995</v>
      </c>
      <c r="AC481">
        <v>1.3830800000000001</v>
      </c>
      <c r="AD481">
        <f>Table6375[[#This Row],[CFNM]]/Table6375[[#This Row],[CAREA]]</f>
        <v>1.9465250275143627E-2</v>
      </c>
      <c r="AE481">
        <v>2.8583699999999999</v>
      </c>
      <c r="AF481">
        <f>-(Table7376[[#This Row],[time]]-2)*2</f>
        <v>-1.7167399999999997</v>
      </c>
      <c r="AG481">
        <v>68.302300000000002</v>
      </c>
      <c r="AH481">
        <v>57.831200000000003</v>
      </c>
      <c r="AI481">
        <f>Table7376[[#This Row],[CFNM]]/Table7376[[#This Row],[CAREA]]</f>
        <v>0.84669476723331427</v>
      </c>
      <c r="AJ481">
        <v>2.8583699999999999</v>
      </c>
      <c r="AK481">
        <f>-(Table8377[[#This Row],[time]]-2)*2</f>
        <v>-1.7167399999999997</v>
      </c>
      <c r="AL481">
        <v>78.301100000000005</v>
      </c>
      <c r="AM481">
        <v>6.3734099999999998</v>
      </c>
      <c r="AN481">
        <f>Table8377[[#This Row],[CFNM]]/Table8377[[#This Row],[CAREA]]</f>
        <v>8.1396174510958333E-2</v>
      </c>
    </row>
    <row r="482" spans="1:40" x14ac:dyDescent="0.25">
      <c r="A482">
        <v>2.9134199999999999</v>
      </c>
      <c r="B482">
        <f>-(Table1370[[#This Row],[time]]-2)*2</f>
        <v>-1.8268399999999998</v>
      </c>
      <c r="C482">
        <v>97.473500000000001</v>
      </c>
      <c r="D482">
        <v>27.8111</v>
      </c>
      <c r="E482">
        <f>Table1370[[#This Row],[CFNM]]/Table1370[[#This Row],[CAREA]]</f>
        <v>0.28531959968606851</v>
      </c>
      <c r="F482">
        <v>2.9134199999999999</v>
      </c>
      <c r="G482">
        <f>-(Table2371[[#This Row],[time]]-2)*2</f>
        <v>-1.8268399999999998</v>
      </c>
      <c r="H482">
        <v>86.323899999999995</v>
      </c>
      <c r="I482">
        <v>4.6067499999999997E-3</v>
      </c>
      <c r="J482">
        <f>Table2371[[#This Row],[CFNM]]/Table2371[[#This Row],[CAREA]]</f>
        <v>5.336586970699887E-5</v>
      </c>
      <c r="K482">
        <v>2.9134199999999999</v>
      </c>
      <c r="L482">
        <f>-(Table3372[[#This Row],[time]]-2)*2</f>
        <v>-1.8268399999999998</v>
      </c>
      <c r="M482">
        <v>86.187600000000003</v>
      </c>
      <c r="N482">
        <v>30.8507</v>
      </c>
      <c r="O482">
        <f>Table3372[[#This Row],[CFNM]]/Table3372[[#This Row],[CAREA]]</f>
        <v>0.35794824313474327</v>
      </c>
      <c r="P482">
        <v>2.9134199999999999</v>
      </c>
      <c r="Q482">
        <f>-(Table4373[[#This Row],[time]]-2)*2</f>
        <v>-1.8268399999999998</v>
      </c>
      <c r="R482">
        <v>72.888300000000001</v>
      </c>
      <c r="S482">
        <v>4.5747099999999996</v>
      </c>
      <c r="T482">
        <f>Table4373[[#This Row],[CFNM]]/Table4373[[#This Row],[CAREA]]</f>
        <v>6.2763296715659431E-2</v>
      </c>
      <c r="U482">
        <v>2.9134199999999999</v>
      </c>
      <c r="V482">
        <f>-(Table5374[[#This Row],[time]]-2)*2</f>
        <v>-1.8268399999999998</v>
      </c>
      <c r="W482">
        <v>82.932000000000002</v>
      </c>
      <c r="X482">
        <v>40.362099999999998</v>
      </c>
      <c r="Y482">
        <f>Table5374[[#This Row],[CFNM]]/Table5374[[#This Row],[CAREA]]</f>
        <v>0.48668909467997873</v>
      </c>
      <c r="Z482">
        <v>2.9134199999999999</v>
      </c>
      <c r="AA482">
        <f>-(Table6375[[#This Row],[time]]-2)*2</f>
        <v>-1.8268399999999998</v>
      </c>
      <c r="AB482">
        <v>70.299800000000005</v>
      </c>
      <c r="AC482">
        <v>1.0837399999999999</v>
      </c>
      <c r="AD482">
        <f>Table6375[[#This Row],[CFNM]]/Table6375[[#This Row],[CAREA]]</f>
        <v>1.541597557887789E-2</v>
      </c>
      <c r="AE482">
        <v>2.9134199999999999</v>
      </c>
      <c r="AF482">
        <f>-(Table7376[[#This Row],[time]]-2)*2</f>
        <v>-1.8268399999999998</v>
      </c>
      <c r="AG482">
        <v>67.4161</v>
      </c>
      <c r="AH482">
        <v>61.063600000000001</v>
      </c>
      <c r="AI482">
        <f>Table7376[[#This Row],[CFNM]]/Table7376[[#This Row],[CAREA]]</f>
        <v>0.90577176668481274</v>
      </c>
      <c r="AJ482">
        <v>2.9134199999999999</v>
      </c>
      <c r="AK482">
        <f>-(Table8377[[#This Row],[time]]-2)*2</f>
        <v>-1.8268399999999998</v>
      </c>
      <c r="AL482">
        <v>77.386600000000001</v>
      </c>
      <c r="AM482">
        <v>5.5187499999999998</v>
      </c>
      <c r="AN482">
        <f>Table8377[[#This Row],[CFNM]]/Table8377[[#This Row],[CAREA]]</f>
        <v>7.1314025942475823E-2</v>
      </c>
    </row>
    <row r="483" spans="1:40" x14ac:dyDescent="0.25">
      <c r="A483">
        <v>2.9619599999999999</v>
      </c>
      <c r="B483">
        <f>-(Table1370[[#This Row],[time]]-2)*2</f>
        <v>-1.9239199999999999</v>
      </c>
      <c r="C483">
        <v>98.183400000000006</v>
      </c>
      <c r="D483">
        <v>29.300999999999998</v>
      </c>
      <c r="E483">
        <f>Table1370[[#This Row],[CFNM]]/Table1370[[#This Row],[CAREA]]</f>
        <v>0.29843130305122856</v>
      </c>
      <c r="F483">
        <v>2.9619599999999999</v>
      </c>
      <c r="G483">
        <f>-(Table2371[[#This Row],[time]]-2)*2</f>
        <v>-1.9239199999999999</v>
      </c>
      <c r="H483">
        <v>85.212500000000006</v>
      </c>
      <c r="I483">
        <v>4.4554399999999997E-3</v>
      </c>
      <c r="J483">
        <f>Table2371[[#This Row],[CFNM]]/Table2371[[#This Row],[CAREA]]</f>
        <v>5.2286225612439484E-5</v>
      </c>
      <c r="K483">
        <v>2.9619599999999999</v>
      </c>
      <c r="L483">
        <f>-(Table3372[[#This Row],[time]]-2)*2</f>
        <v>-1.9239199999999999</v>
      </c>
      <c r="M483">
        <v>85.603700000000003</v>
      </c>
      <c r="N483">
        <v>32.719700000000003</v>
      </c>
      <c r="O483">
        <f>Table3372[[#This Row],[CFNM]]/Table3372[[#This Row],[CAREA]]</f>
        <v>0.38222296466157424</v>
      </c>
      <c r="P483">
        <v>2.9619599999999999</v>
      </c>
      <c r="Q483">
        <f>-(Table4373[[#This Row],[time]]-2)*2</f>
        <v>-1.9239199999999999</v>
      </c>
      <c r="R483">
        <v>71.150300000000001</v>
      </c>
      <c r="S483">
        <v>4.62859</v>
      </c>
      <c r="T483">
        <f>Table4373[[#This Row],[CFNM]]/Table4373[[#This Row],[CAREA]]</f>
        <v>6.5053696189615498E-2</v>
      </c>
      <c r="U483">
        <v>2.9619599999999999</v>
      </c>
      <c r="V483">
        <f>-(Table5374[[#This Row],[time]]-2)*2</f>
        <v>-1.9239199999999999</v>
      </c>
      <c r="W483">
        <v>82.637900000000002</v>
      </c>
      <c r="X483">
        <v>42.294699999999999</v>
      </c>
      <c r="Y483">
        <f>Table5374[[#This Row],[CFNM]]/Table5374[[#This Row],[CAREA]]</f>
        <v>0.5118075362515262</v>
      </c>
      <c r="Z483">
        <v>2.9619599999999999</v>
      </c>
      <c r="AA483">
        <f>-(Table6375[[#This Row],[time]]-2)*2</f>
        <v>-1.9239199999999999</v>
      </c>
      <c r="AB483">
        <v>70.0505</v>
      </c>
      <c r="AC483">
        <v>0.90597000000000005</v>
      </c>
      <c r="AD483">
        <f>Table6375[[#This Row],[CFNM]]/Table6375[[#This Row],[CAREA]]</f>
        <v>1.2933098264823235E-2</v>
      </c>
      <c r="AE483">
        <v>2.9619599999999999</v>
      </c>
      <c r="AF483">
        <f>-(Table7376[[#This Row],[time]]-2)*2</f>
        <v>-1.9239199999999999</v>
      </c>
      <c r="AG483">
        <v>66.778800000000004</v>
      </c>
      <c r="AH483">
        <v>63.364800000000002</v>
      </c>
      <c r="AI483">
        <f>Table7376[[#This Row],[CFNM]]/Table7376[[#This Row],[CAREA]]</f>
        <v>0.94887599058383798</v>
      </c>
      <c r="AJ483">
        <v>2.9619599999999999</v>
      </c>
      <c r="AK483">
        <f>-(Table8377[[#This Row],[time]]-2)*2</f>
        <v>-1.9239199999999999</v>
      </c>
      <c r="AL483">
        <v>77.414900000000003</v>
      </c>
      <c r="AM483">
        <v>4.9055799999999996</v>
      </c>
      <c r="AN483">
        <f>Table8377[[#This Row],[CFNM]]/Table8377[[#This Row],[CAREA]]</f>
        <v>6.3367387931780567E-2</v>
      </c>
    </row>
    <row r="484" spans="1:40" x14ac:dyDescent="0.25">
      <c r="A484">
        <v>3</v>
      </c>
      <c r="B484">
        <f>-(Table1370[[#This Row],[time]]-2)*2</f>
        <v>-2</v>
      </c>
      <c r="C484">
        <v>98.759699999999995</v>
      </c>
      <c r="D484">
        <v>30.955500000000001</v>
      </c>
      <c r="E484">
        <f>Table1370[[#This Row],[CFNM]]/Table1370[[#This Row],[CAREA]]</f>
        <v>0.31344262892657637</v>
      </c>
      <c r="F484">
        <v>3</v>
      </c>
      <c r="G484">
        <f>-(Table2371[[#This Row],[time]]-2)*2</f>
        <v>-2</v>
      </c>
      <c r="H484">
        <v>83.850800000000007</v>
      </c>
      <c r="I484">
        <v>4.2927199999999999E-3</v>
      </c>
      <c r="J484">
        <f>Table2371[[#This Row],[CFNM]]/Table2371[[#This Row],[CAREA]]</f>
        <v>5.119474113544533E-5</v>
      </c>
      <c r="K484">
        <v>3</v>
      </c>
      <c r="L484">
        <f>-(Table3372[[#This Row],[time]]-2)*2</f>
        <v>-2</v>
      </c>
      <c r="M484">
        <v>85.101500000000001</v>
      </c>
      <c r="N484">
        <v>35.004800000000003</v>
      </c>
      <c r="O484">
        <f>Table3372[[#This Row],[CFNM]]/Table3372[[#This Row],[CAREA]]</f>
        <v>0.41133000005875342</v>
      </c>
      <c r="P484">
        <v>3</v>
      </c>
      <c r="Q484">
        <f>-(Table4373[[#This Row],[time]]-2)*2</f>
        <v>-2</v>
      </c>
      <c r="R484">
        <v>70.386200000000002</v>
      </c>
      <c r="S484">
        <v>4.5426200000000003</v>
      </c>
      <c r="T484">
        <f>Table4373[[#This Row],[CFNM]]/Table4373[[#This Row],[CAREA]]</f>
        <v>6.4538503286155527E-2</v>
      </c>
      <c r="U484">
        <v>3</v>
      </c>
      <c r="V484">
        <f>-(Table5374[[#This Row],[time]]-2)*2</f>
        <v>-2</v>
      </c>
      <c r="W484">
        <v>82.246200000000002</v>
      </c>
      <c r="X484">
        <v>44.339199999999998</v>
      </c>
      <c r="Y484">
        <f>Table5374[[#This Row],[CFNM]]/Table5374[[#This Row],[CAREA]]</f>
        <v>0.53910332635428748</v>
      </c>
      <c r="Z484">
        <v>3</v>
      </c>
      <c r="AA484">
        <f>-(Table6375[[#This Row],[time]]-2)*2</f>
        <v>-2</v>
      </c>
      <c r="AB484">
        <v>67.021799999999999</v>
      </c>
      <c r="AC484">
        <v>0.74018799999999996</v>
      </c>
      <c r="AD484">
        <f>Table6375[[#This Row],[CFNM]]/Table6375[[#This Row],[CAREA]]</f>
        <v>1.1043988672342431E-2</v>
      </c>
      <c r="AE484">
        <v>3</v>
      </c>
      <c r="AF484">
        <f>-(Table7376[[#This Row],[time]]-2)*2</f>
        <v>-2</v>
      </c>
      <c r="AG484">
        <v>66.159599999999998</v>
      </c>
      <c r="AH484">
        <v>65.747200000000007</v>
      </c>
      <c r="AI484">
        <f>Table7376[[#This Row],[CFNM]]/Table7376[[#This Row],[CAREA]]</f>
        <v>0.99376658867345036</v>
      </c>
      <c r="AJ484">
        <v>3</v>
      </c>
      <c r="AK484">
        <f>-(Table8377[[#This Row],[time]]-2)*2</f>
        <v>-2</v>
      </c>
      <c r="AL484">
        <v>75.172799999999995</v>
      </c>
      <c r="AM484">
        <v>4.2340400000000002</v>
      </c>
      <c r="AN484">
        <f>Table8377[[#This Row],[CFNM]]/Table8377[[#This Row],[CAREA]]</f>
        <v>5.63240959495988E-2</v>
      </c>
    </row>
    <row r="486" spans="1:40" x14ac:dyDescent="0.25">
      <c r="A486" t="s">
        <v>59</v>
      </c>
      <c r="E486" t="s">
        <v>1</v>
      </c>
    </row>
    <row r="487" spans="1:40" x14ac:dyDescent="0.25">
      <c r="A487" t="s">
        <v>60</v>
      </c>
      <c r="E487" t="s">
        <v>2</v>
      </c>
      <c r="F487" t="s">
        <v>3</v>
      </c>
    </row>
    <row r="489" spans="1:40" x14ac:dyDescent="0.25">
      <c r="A489" t="s">
        <v>5</v>
      </c>
      <c r="F489" t="s">
        <v>6</v>
      </c>
      <c r="K489" t="s">
        <v>7</v>
      </c>
      <c r="P489" t="s">
        <v>19</v>
      </c>
      <c r="U489" t="s">
        <v>8</v>
      </c>
      <c r="Z489" t="s">
        <v>9</v>
      </c>
      <c r="AE489" t="s">
        <v>10</v>
      </c>
      <c r="AJ489" t="s">
        <v>11</v>
      </c>
    </row>
    <row r="490" spans="1:40" x14ac:dyDescent="0.25">
      <c r="A490" t="s">
        <v>12</v>
      </c>
      <c r="B490" t="s">
        <v>13</v>
      </c>
      <c r="C490" t="s">
        <v>17</v>
      </c>
      <c r="D490" t="s">
        <v>15</v>
      </c>
      <c r="E490" t="s">
        <v>16</v>
      </c>
      <c r="F490" t="s">
        <v>12</v>
      </c>
      <c r="G490" t="s">
        <v>13</v>
      </c>
      <c r="H490" t="s">
        <v>17</v>
      </c>
      <c r="I490" t="s">
        <v>15</v>
      </c>
      <c r="J490" t="s">
        <v>16</v>
      </c>
      <c r="K490" t="s">
        <v>12</v>
      </c>
      <c r="L490" t="s">
        <v>13</v>
      </c>
      <c r="M490" t="s">
        <v>17</v>
      </c>
      <c r="N490" t="s">
        <v>15</v>
      </c>
      <c r="O490" t="s">
        <v>16</v>
      </c>
      <c r="P490" t="s">
        <v>12</v>
      </c>
      <c r="Q490" t="s">
        <v>13</v>
      </c>
      <c r="R490" t="s">
        <v>17</v>
      </c>
      <c r="S490" t="s">
        <v>15</v>
      </c>
      <c r="T490" t="s">
        <v>16</v>
      </c>
      <c r="U490" t="s">
        <v>12</v>
      </c>
      <c r="V490" t="s">
        <v>13</v>
      </c>
      <c r="W490" t="s">
        <v>17</v>
      </c>
      <c r="X490" t="s">
        <v>15</v>
      </c>
      <c r="Y490" t="s">
        <v>16</v>
      </c>
      <c r="Z490" t="s">
        <v>12</v>
      </c>
      <c r="AA490" t="s">
        <v>13</v>
      </c>
      <c r="AB490" t="s">
        <v>17</v>
      </c>
      <c r="AC490" t="s">
        <v>15</v>
      </c>
      <c r="AD490" t="s">
        <v>16</v>
      </c>
      <c r="AE490" t="s">
        <v>12</v>
      </c>
      <c r="AF490" t="s">
        <v>13</v>
      </c>
      <c r="AG490" t="s">
        <v>17</v>
      </c>
      <c r="AH490" t="s">
        <v>15</v>
      </c>
      <c r="AI490" t="s">
        <v>16</v>
      </c>
      <c r="AJ490" t="s">
        <v>12</v>
      </c>
      <c r="AK490" t="s">
        <v>13</v>
      </c>
      <c r="AL490" t="s">
        <v>17</v>
      </c>
      <c r="AM490" t="s">
        <v>15</v>
      </c>
      <c r="AN490" t="s">
        <v>16</v>
      </c>
    </row>
    <row r="491" spans="1:40" x14ac:dyDescent="0.25">
      <c r="A491">
        <v>2</v>
      </c>
      <c r="B491">
        <f>(Table110378[[#This Row],[time]]-2)*2</f>
        <v>0</v>
      </c>
      <c r="C491">
        <v>90.688999999999993</v>
      </c>
      <c r="D491">
        <v>10.0715</v>
      </c>
      <c r="E491" s="2">
        <f>Table110378[[#This Row],[CFNM]]/Table110378[[#This Row],[CAREA]]</f>
        <v>0.11105536503875885</v>
      </c>
      <c r="F491">
        <v>2</v>
      </c>
      <c r="G491">
        <f>(Table211379[[#This Row],[time]]-2)*2</f>
        <v>0</v>
      </c>
      <c r="H491">
        <v>95.948400000000007</v>
      </c>
      <c r="I491">
        <v>3.4775999999999998</v>
      </c>
      <c r="J491" s="2">
        <f>Table211379[[#This Row],[CFNM]]/Table211379[[#This Row],[CAREA]]</f>
        <v>3.6244481408757204E-2</v>
      </c>
      <c r="K491">
        <v>2</v>
      </c>
      <c r="L491">
        <f>(Table312380[[#This Row],[time]]-2)*2</f>
        <v>0</v>
      </c>
      <c r="M491">
        <v>88.963399999999993</v>
      </c>
      <c r="N491">
        <v>3.5141100000000001</v>
      </c>
      <c r="O491">
        <f>Table312380[[#This Row],[CFNM]]/Table312380[[#This Row],[CAREA]]</f>
        <v>3.9500626100171535E-2</v>
      </c>
      <c r="P491">
        <v>2</v>
      </c>
      <c r="Q491">
        <f>(Table413381[[#This Row],[time]]-2)*2</f>
        <v>0</v>
      </c>
      <c r="R491">
        <v>86.444900000000004</v>
      </c>
      <c r="S491">
        <v>6.4569700000000001</v>
      </c>
      <c r="T491">
        <f>Table413381[[#This Row],[CFNM]]/Table413381[[#This Row],[CAREA]]</f>
        <v>7.4694632071990369E-2</v>
      </c>
      <c r="U491">
        <v>2</v>
      </c>
      <c r="V491">
        <f>(Table514382[[#This Row],[time]]-2)*2</f>
        <v>0</v>
      </c>
      <c r="W491">
        <v>82.746600000000001</v>
      </c>
      <c r="X491">
        <v>8.9821000000000009</v>
      </c>
      <c r="Y491">
        <f>Table514382[[#This Row],[CFNM]]/Table514382[[#This Row],[CAREA]]</f>
        <v>0.10854947514459809</v>
      </c>
      <c r="Z491">
        <v>2</v>
      </c>
      <c r="AA491">
        <f>(Table615383[[#This Row],[time]]-2)*2</f>
        <v>0</v>
      </c>
      <c r="AB491">
        <v>88.940399999999997</v>
      </c>
      <c r="AC491">
        <v>15.745900000000001</v>
      </c>
      <c r="AD491">
        <f>Table615383[[#This Row],[CFNM]]/Table615383[[#This Row],[CAREA]]</f>
        <v>0.17703878102639523</v>
      </c>
      <c r="AE491">
        <v>2</v>
      </c>
      <c r="AF491">
        <f>(Table716384[[#This Row],[time]]-2)*2</f>
        <v>0</v>
      </c>
      <c r="AG491">
        <v>78.945400000000006</v>
      </c>
      <c r="AH491">
        <v>19.654699999999998</v>
      </c>
      <c r="AI491">
        <f>Table716384[[#This Row],[CFNM]]/Table716384[[#This Row],[CAREA]]</f>
        <v>0.24896574087913922</v>
      </c>
      <c r="AJ491">
        <v>2</v>
      </c>
      <c r="AK491">
        <f>(Table817385[[#This Row],[time]]-2)*2</f>
        <v>0</v>
      </c>
      <c r="AL491">
        <v>83.134900000000002</v>
      </c>
      <c r="AM491">
        <v>19.291699999999999</v>
      </c>
      <c r="AN491">
        <f>Table817385[[#This Row],[CFNM]]/Table817385[[#This Row],[CAREA]]</f>
        <v>0.23205296451911289</v>
      </c>
    </row>
    <row r="492" spans="1:40" x14ac:dyDescent="0.25">
      <c r="A492">
        <v>2.0512600000000001</v>
      </c>
      <c r="B492">
        <f>(Table110378[[#This Row],[time]]-2)*2</f>
        <v>0.10252000000000017</v>
      </c>
      <c r="C492">
        <v>90.655699999999996</v>
      </c>
      <c r="D492">
        <v>9.6605799999999995</v>
      </c>
      <c r="E492">
        <f>Table110378[[#This Row],[CFNM]]/Table110378[[#This Row],[CAREA]]</f>
        <v>0.10656340417646105</v>
      </c>
      <c r="F492">
        <v>2.0512600000000001</v>
      </c>
      <c r="G492">
        <f>(Table211379[[#This Row],[time]]-2)*2</f>
        <v>0.10252000000000017</v>
      </c>
      <c r="H492">
        <v>95.940899999999999</v>
      </c>
      <c r="I492">
        <v>3.9784600000000001</v>
      </c>
      <c r="J492">
        <f>Table211379[[#This Row],[CFNM]]/Table211379[[#This Row],[CAREA]]</f>
        <v>4.1467820293534872E-2</v>
      </c>
      <c r="K492">
        <v>2.0512600000000001</v>
      </c>
      <c r="L492">
        <f>(Table312380[[#This Row],[time]]-2)*2</f>
        <v>0.10252000000000017</v>
      </c>
      <c r="M492">
        <v>88.954800000000006</v>
      </c>
      <c r="N492">
        <v>3.0012400000000001</v>
      </c>
      <c r="O492">
        <f>Table312380[[#This Row],[CFNM]]/Table312380[[#This Row],[CAREA]]</f>
        <v>3.3738932581490827E-2</v>
      </c>
      <c r="P492">
        <v>2.0512600000000001</v>
      </c>
      <c r="Q492">
        <f>(Table413381[[#This Row],[time]]-2)*2</f>
        <v>0.10252000000000017</v>
      </c>
      <c r="R492">
        <v>86.551599999999993</v>
      </c>
      <c r="S492">
        <v>7.27989</v>
      </c>
      <c r="T492">
        <f>Table413381[[#This Row],[CFNM]]/Table413381[[#This Row],[CAREA]]</f>
        <v>8.4110403504961212E-2</v>
      </c>
      <c r="U492">
        <v>2.0512600000000001</v>
      </c>
      <c r="V492">
        <f>(Table514382[[#This Row],[time]]-2)*2</f>
        <v>0.10252000000000017</v>
      </c>
      <c r="W492">
        <v>82.658199999999994</v>
      </c>
      <c r="X492">
        <v>8.2910699999999995</v>
      </c>
      <c r="Y492">
        <f>Table514382[[#This Row],[CFNM]]/Table514382[[#This Row],[CAREA]]</f>
        <v>0.10030547483492261</v>
      </c>
      <c r="Z492">
        <v>2.0512600000000001</v>
      </c>
      <c r="AA492">
        <f>(Table615383[[#This Row],[time]]-2)*2</f>
        <v>0.10252000000000017</v>
      </c>
      <c r="AB492">
        <v>88.9803</v>
      </c>
      <c r="AC492">
        <v>16.895</v>
      </c>
      <c r="AD492">
        <f>Table615383[[#This Row],[CFNM]]/Table615383[[#This Row],[CAREA]]</f>
        <v>0.18987348885090294</v>
      </c>
      <c r="AE492">
        <v>2.0512600000000001</v>
      </c>
      <c r="AF492">
        <f>(Table716384[[#This Row],[time]]-2)*2</f>
        <v>0.10252000000000017</v>
      </c>
      <c r="AG492">
        <v>78.658699999999996</v>
      </c>
      <c r="AH492">
        <v>19.065899999999999</v>
      </c>
      <c r="AI492">
        <f>Table716384[[#This Row],[CFNM]]/Table716384[[#This Row],[CAREA]]</f>
        <v>0.24238768248140383</v>
      </c>
      <c r="AJ492">
        <v>2.0512600000000001</v>
      </c>
      <c r="AK492">
        <f>(Table817385[[#This Row],[time]]-2)*2</f>
        <v>0.10252000000000017</v>
      </c>
      <c r="AL492">
        <v>83.352900000000005</v>
      </c>
      <c r="AM492">
        <v>20.6035</v>
      </c>
      <c r="AN492">
        <f>Table817385[[#This Row],[CFNM]]/Table817385[[#This Row],[CAREA]]</f>
        <v>0.24718396120590885</v>
      </c>
    </row>
    <row r="493" spans="1:40" x14ac:dyDescent="0.25">
      <c r="A493">
        <v>2.1153300000000002</v>
      </c>
      <c r="B493">
        <f>(Table110378[[#This Row],[time]]-2)*2</f>
        <v>0.23066000000000031</v>
      </c>
      <c r="C493">
        <v>90.612499999999997</v>
      </c>
      <c r="D493">
        <v>8.7242300000000004</v>
      </c>
      <c r="E493">
        <f>Table110378[[#This Row],[CFNM]]/Table110378[[#This Row],[CAREA]]</f>
        <v>9.628064560629053E-2</v>
      </c>
      <c r="F493">
        <v>2.1153300000000002</v>
      </c>
      <c r="G493">
        <f>(Table211379[[#This Row],[time]]-2)*2</f>
        <v>0.23066000000000031</v>
      </c>
      <c r="H493">
        <v>96.003299999999996</v>
      </c>
      <c r="I493">
        <v>5.02508</v>
      </c>
      <c r="J493">
        <f>Table211379[[#This Row],[CFNM]]/Table211379[[#This Row],[CAREA]]</f>
        <v>5.2342784050131611E-2</v>
      </c>
      <c r="K493">
        <v>2.1153300000000002</v>
      </c>
      <c r="L493">
        <f>(Table312380[[#This Row],[time]]-2)*2</f>
        <v>0.23066000000000031</v>
      </c>
      <c r="M493">
        <v>88.519599999999997</v>
      </c>
      <c r="N493">
        <v>2.15822</v>
      </c>
      <c r="O493">
        <f>Table312380[[#This Row],[CFNM]]/Table312380[[#This Row],[CAREA]]</f>
        <v>2.4381266973641996E-2</v>
      </c>
      <c r="P493">
        <v>2.1153300000000002</v>
      </c>
      <c r="Q493">
        <f>(Table413381[[#This Row],[time]]-2)*2</f>
        <v>0.23066000000000031</v>
      </c>
      <c r="R493">
        <v>86.875799999999998</v>
      </c>
      <c r="S493">
        <v>8.7354199999999995</v>
      </c>
      <c r="T493">
        <f>Table413381[[#This Row],[CFNM]]/Table413381[[#This Row],[CAREA]]</f>
        <v>0.10055067118806388</v>
      </c>
      <c r="U493">
        <v>2.1153300000000002</v>
      </c>
      <c r="V493">
        <f>(Table514382[[#This Row],[time]]-2)*2</f>
        <v>0.23066000000000031</v>
      </c>
      <c r="W493">
        <v>82.494500000000002</v>
      </c>
      <c r="X493">
        <v>7.2220800000000001</v>
      </c>
      <c r="Y493">
        <f>Table514382[[#This Row],[CFNM]]/Table514382[[#This Row],[CAREA]]</f>
        <v>8.7546200049700276E-2</v>
      </c>
      <c r="Z493">
        <v>2.1153300000000002</v>
      </c>
      <c r="AA493">
        <f>(Table615383[[#This Row],[time]]-2)*2</f>
        <v>0.23066000000000031</v>
      </c>
      <c r="AB493">
        <v>89.6999</v>
      </c>
      <c r="AC493">
        <v>19.332999999999998</v>
      </c>
      <c r="AD493">
        <f>Table615383[[#This Row],[CFNM]]/Table615383[[#This Row],[CAREA]]</f>
        <v>0.21552978319931235</v>
      </c>
      <c r="AE493">
        <v>2.1153300000000002</v>
      </c>
      <c r="AF493">
        <f>(Table716384[[#This Row],[time]]-2)*2</f>
        <v>0.23066000000000031</v>
      </c>
      <c r="AG493">
        <v>77.876800000000003</v>
      </c>
      <c r="AH493">
        <v>18.574999999999999</v>
      </c>
      <c r="AI493">
        <f>Table716384[[#This Row],[CFNM]]/Table716384[[#This Row],[CAREA]]</f>
        <v>0.23851776138721673</v>
      </c>
      <c r="AJ493">
        <v>2.1153300000000002</v>
      </c>
      <c r="AK493">
        <f>(Table817385[[#This Row],[time]]-2)*2</f>
        <v>0.23066000000000031</v>
      </c>
      <c r="AL493">
        <v>83.540700000000001</v>
      </c>
      <c r="AM493">
        <v>22.7393</v>
      </c>
      <c r="AN493">
        <f>Table817385[[#This Row],[CFNM]]/Table817385[[#This Row],[CAREA]]</f>
        <v>0.27219427177411726</v>
      </c>
    </row>
    <row r="494" spans="1:40" x14ac:dyDescent="0.25">
      <c r="A494">
        <v>2.16533</v>
      </c>
      <c r="B494">
        <f>(Table110378[[#This Row],[time]]-2)*2</f>
        <v>0.33065999999999995</v>
      </c>
      <c r="C494">
        <v>90.575800000000001</v>
      </c>
      <c r="D494">
        <v>7.8183800000000003</v>
      </c>
      <c r="E494">
        <f>Table110378[[#This Row],[CFNM]]/Table110378[[#This Row],[CAREA]]</f>
        <v>8.6318641403112087E-2</v>
      </c>
      <c r="F494">
        <v>2.16533</v>
      </c>
      <c r="G494">
        <f>(Table211379[[#This Row],[time]]-2)*2</f>
        <v>0.33065999999999995</v>
      </c>
      <c r="H494">
        <v>95.455699999999993</v>
      </c>
      <c r="I494">
        <v>6.0987</v>
      </c>
      <c r="J494">
        <f>Table211379[[#This Row],[CFNM]]/Table211379[[#This Row],[CAREA]]</f>
        <v>6.3890370087904658E-2</v>
      </c>
      <c r="K494">
        <v>2.16533</v>
      </c>
      <c r="L494">
        <f>(Table312380[[#This Row],[time]]-2)*2</f>
        <v>0.33065999999999995</v>
      </c>
      <c r="M494">
        <v>87.631100000000004</v>
      </c>
      <c r="N494">
        <v>1.50075</v>
      </c>
      <c r="O494">
        <f>Table312380[[#This Row],[CFNM]]/Table312380[[#This Row],[CAREA]]</f>
        <v>1.7125769275976224E-2</v>
      </c>
      <c r="P494">
        <v>2.16533</v>
      </c>
      <c r="Q494">
        <f>(Table413381[[#This Row],[time]]-2)*2</f>
        <v>0.33065999999999995</v>
      </c>
      <c r="R494">
        <v>87.510800000000003</v>
      </c>
      <c r="S494">
        <v>10.191800000000001</v>
      </c>
      <c r="T494">
        <f>Table413381[[#This Row],[CFNM]]/Table413381[[#This Row],[CAREA]]</f>
        <v>0.11646333938211055</v>
      </c>
      <c r="U494">
        <v>2.16533</v>
      </c>
      <c r="V494">
        <f>(Table514382[[#This Row],[time]]-2)*2</f>
        <v>0.33065999999999995</v>
      </c>
      <c r="W494">
        <v>81.836299999999994</v>
      </c>
      <c r="X494">
        <v>6.27536</v>
      </c>
      <c r="Y494">
        <f>Table514382[[#This Row],[CFNM]]/Table514382[[#This Row],[CAREA]]</f>
        <v>7.6681863671744691E-2</v>
      </c>
      <c r="Z494">
        <v>2.16533</v>
      </c>
      <c r="AA494">
        <f>(Table615383[[#This Row],[time]]-2)*2</f>
        <v>0.33065999999999995</v>
      </c>
      <c r="AB494">
        <v>89.393799999999999</v>
      </c>
      <c r="AC494">
        <v>21.973800000000001</v>
      </c>
      <c r="AD494">
        <f>Table615383[[#This Row],[CFNM]]/Table615383[[#This Row],[CAREA]]</f>
        <v>0.24580899346487117</v>
      </c>
      <c r="AE494">
        <v>2.16533</v>
      </c>
      <c r="AF494">
        <f>(Table716384[[#This Row],[time]]-2)*2</f>
        <v>0.33065999999999995</v>
      </c>
      <c r="AG494">
        <v>77.645600000000002</v>
      </c>
      <c r="AH494">
        <v>18.177199999999999</v>
      </c>
      <c r="AI494">
        <f>Table716384[[#This Row],[CFNM]]/Table716384[[#This Row],[CAREA]]</f>
        <v>0.23410470136105585</v>
      </c>
      <c r="AJ494">
        <v>2.16533</v>
      </c>
      <c r="AK494">
        <f>(Table817385[[#This Row],[time]]-2)*2</f>
        <v>0.33065999999999995</v>
      </c>
      <c r="AL494">
        <v>83.645799999999994</v>
      </c>
      <c r="AM494">
        <v>24.959</v>
      </c>
      <c r="AN494">
        <f>Table817385[[#This Row],[CFNM]]/Table817385[[#This Row],[CAREA]]</f>
        <v>0.29838916000564286</v>
      </c>
    </row>
    <row r="495" spans="1:40" x14ac:dyDescent="0.25">
      <c r="A495">
        <v>2.2246999999999999</v>
      </c>
      <c r="B495">
        <f>(Table110378[[#This Row],[time]]-2)*2</f>
        <v>0.4493999999999998</v>
      </c>
      <c r="C495">
        <v>90.553100000000001</v>
      </c>
      <c r="D495">
        <v>7.4079699999999997</v>
      </c>
      <c r="E495">
        <f>Table110378[[#This Row],[CFNM]]/Table110378[[#This Row],[CAREA]]</f>
        <v>8.1808022033480907E-2</v>
      </c>
      <c r="F495">
        <v>2.2246999999999999</v>
      </c>
      <c r="G495">
        <f>(Table211379[[#This Row],[time]]-2)*2</f>
        <v>0.4493999999999998</v>
      </c>
      <c r="H495">
        <v>95.401899999999998</v>
      </c>
      <c r="I495">
        <v>6.60039</v>
      </c>
      <c r="J495">
        <f>Table211379[[#This Row],[CFNM]]/Table211379[[#This Row],[CAREA]]</f>
        <v>6.9185100087105184E-2</v>
      </c>
      <c r="K495">
        <v>2.2246999999999999</v>
      </c>
      <c r="L495">
        <f>(Table312380[[#This Row],[time]]-2)*2</f>
        <v>0.4493999999999998</v>
      </c>
      <c r="M495">
        <v>87.535799999999995</v>
      </c>
      <c r="N495">
        <v>1.2598100000000001</v>
      </c>
      <c r="O495">
        <f>Table312380[[#This Row],[CFNM]]/Table312380[[#This Row],[CAREA]]</f>
        <v>1.4391940211890452E-2</v>
      </c>
      <c r="P495">
        <v>2.2246999999999999</v>
      </c>
      <c r="Q495">
        <f>(Table413381[[#This Row],[time]]-2)*2</f>
        <v>0.4493999999999998</v>
      </c>
      <c r="R495">
        <v>87.78</v>
      </c>
      <c r="S495">
        <v>10.860099999999999</v>
      </c>
      <c r="T495">
        <f>Table413381[[#This Row],[CFNM]]/Table413381[[#This Row],[CAREA]]</f>
        <v>0.12371952608794713</v>
      </c>
      <c r="U495">
        <v>2.2246999999999999</v>
      </c>
      <c r="V495">
        <f>(Table514382[[#This Row],[time]]-2)*2</f>
        <v>0.4493999999999998</v>
      </c>
      <c r="W495">
        <v>81.362399999999994</v>
      </c>
      <c r="X495">
        <v>5.9234799999999996</v>
      </c>
      <c r="Y495">
        <f>Table514382[[#This Row],[CFNM]]/Table514382[[#This Row],[CAREA]]</f>
        <v>7.2803653776191454E-2</v>
      </c>
      <c r="Z495">
        <v>2.2246999999999999</v>
      </c>
      <c r="AA495">
        <f>(Table615383[[#This Row],[time]]-2)*2</f>
        <v>0.4493999999999998</v>
      </c>
      <c r="AB495">
        <v>89.5535</v>
      </c>
      <c r="AC495">
        <v>23.255700000000001</v>
      </c>
      <c r="AD495">
        <f>Table615383[[#This Row],[CFNM]]/Table615383[[#This Row],[CAREA]]</f>
        <v>0.25968499276968515</v>
      </c>
      <c r="AE495">
        <v>2.2246999999999999</v>
      </c>
      <c r="AF495">
        <f>(Table716384[[#This Row],[time]]-2)*2</f>
        <v>0.4493999999999998</v>
      </c>
      <c r="AG495">
        <v>77.529799999999994</v>
      </c>
      <c r="AH495">
        <v>18.002300000000002</v>
      </c>
      <c r="AI495">
        <f>Table716384[[#This Row],[CFNM]]/Table716384[[#This Row],[CAREA]]</f>
        <v>0.23219845788329135</v>
      </c>
      <c r="AJ495">
        <v>2.2246999999999999</v>
      </c>
      <c r="AK495">
        <f>(Table817385[[#This Row],[time]]-2)*2</f>
        <v>0.4493999999999998</v>
      </c>
      <c r="AL495">
        <v>83.5261</v>
      </c>
      <c r="AM495">
        <v>26.046099999999999</v>
      </c>
      <c r="AN495">
        <f>Table817385[[#This Row],[CFNM]]/Table817385[[#This Row],[CAREA]]</f>
        <v>0.3118318705171198</v>
      </c>
    </row>
    <row r="496" spans="1:40" x14ac:dyDescent="0.25">
      <c r="A496">
        <v>2.2668900000000001</v>
      </c>
      <c r="B496">
        <f>(Table110378[[#This Row],[time]]-2)*2</f>
        <v>0.53378000000000014</v>
      </c>
      <c r="C496">
        <v>90.478099999999998</v>
      </c>
      <c r="D496">
        <v>6.5008900000000001</v>
      </c>
      <c r="E496">
        <f>Table110378[[#This Row],[CFNM]]/Table110378[[#This Row],[CAREA]]</f>
        <v>7.1850425683121111E-2</v>
      </c>
      <c r="F496">
        <v>2.2668900000000001</v>
      </c>
      <c r="G496">
        <f>(Table211379[[#This Row],[time]]-2)*2</f>
        <v>0.53378000000000014</v>
      </c>
      <c r="H496">
        <v>95.226699999999994</v>
      </c>
      <c r="I496">
        <v>7.6730700000000001</v>
      </c>
      <c r="J496">
        <f>Table211379[[#This Row],[CFNM]]/Table211379[[#This Row],[CAREA]]</f>
        <v>8.0576876023216185E-2</v>
      </c>
      <c r="K496">
        <v>2.2668900000000001</v>
      </c>
      <c r="L496">
        <f>(Table312380[[#This Row],[time]]-2)*2</f>
        <v>0.53378000000000014</v>
      </c>
      <c r="M496">
        <v>87.194500000000005</v>
      </c>
      <c r="N496">
        <v>0.77974900000000003</v>
      </c>
      <c r="O496">
        <f>Table312380[[#This Row],[CFNM]]/Table312380[[#This Row],[CAREA]]</f>
        <v>8.9426397307169597E-3</v>
      </c>
      <c r="P496">
        <v>2.2668900000000001</v>
      </c>
      <c r="Q496">
        <f>(Table413381[[#This Row],[time]]-2)*2</f>
        <v>0.53378000000000014</v>
      </c>
      <c r="R496">
        <v>88.415700000000001</v>
      </c>
      <c r="S496">
        <v>12.3689</v>
      </c>
      <c r="T496">
        <f>Table413381[[#This Row],[CFNM]]/Table413381[[#This Row],[CAREA]]</f>
        <v>0.13989483768154298</v>
      </c>
      <c r="U496">
        <v>2.2668900000000001</v>
      </c>
      <c r="V496">
        <f>(Table514382[[#This Row],[time]]-2)*2</f>
        <v>0.53378000000000014</v>
      </c>
      <c r="W496">
        <v>80.962999999999994</v>
      </c>
      <c r="X496">
        <v>5.1545899999999998</v>
      </c>
      <c r="Y496">
        <f>Table514382[[#This Row],[CFNM]]/Table514382[[#This Row],[CAREA]]</f>
        <v>6.3665995578227094E-2</v>
      </c>
      <c r="Z496">
        <v>2.2668900000000001</v>
      </c>
      <c r="AA496">
        <f>(Table615383[[#This Row],[time]]-2)*2</f>
        <v>0.53378000000000014</v>
      </c>
      <c r="AB496">
        <v>91.906300000000002</v>
      </c>
      <c r="AC496">
        <v>26.3231</v>
      </c>
      <c r="AD496">
        <f>Table615383[[#This Row],[CFNM]]/Table615383[[#This Row],[CAREA]]</f>
        <v>0.2864123569330938</v>
      </c>
      <c r="AE496">
        <v>2.2668900000000001</v>
      </c>
      <c r="AF496">
        <f>(Table716384[[#This Row],[time]]-2)*2</f>
        <v>0.53378000000000014</v>
      </c>
      <c r="AG496">
        <v>77.534099999999995</v>
      </c>
      <c r="AH496">
        <v>17.6371</v>
      </c>
      <c r="AI496">
        <f>Table716384[[#This Row],[CFNM]]/Table716384[[#This Row],[CAREA]]</f>
        <v>0.22747539469730094</v>
      </c>
      <c r="AJ496">
        <v>2.2668900000000001</v>
      </c>
      <c r="AK496">
        <f>(Table817385[[#This Row],[time]]-2)*2</f>
        <v>0.53378000000000014</v>
      </c>
      <c r="AL496">
        <v>82.998400000000004</v>
      </c>
      <c r="AM496">
        <v>28.750499999999999</v>
      </c>
      <c r="AN496">
        <f>Table817385[[#This Row],[CFNM]]/Table817385[[#This Row],[CAREA]]</f>
        <v>0.34639824382156764</v>
      </c>
    </row>
    <row r="497" spans="1:40" x14ac:dyDescent="0.25">
      <c r="A497">
        <v>2.3262700000000001</v>
      </c>
      <c r="B497">
        <f>(Table110378[[#This Row],[time]]-2)*2</f>
        <v>0.65254000000000012</v>
      </c>
      <c r="C497">
        <v>90.392399999999995</v>
      </c>
      <c r="D497">
        <v>5.8637600000000001</v>
      </c>
      <c r="E497">
        <f>Table110378[[#This Row],[CFNM]]/Table110378[[#This Row],[CAREA]]</f>
        <v>6.4870055447139363E-2</v>
      </c>
      <c r="F497">
        <v>2.3262700000000001</v>
      </c>
      <c r="G497">
        <f>(Table211379[[#This Row],[time]]-2)*2</f>
        <v>0.65254000000000012</v>
      </c>
      <c r="H497">
        <v>95.162000000000006</v>
      </c>
      <c r="I497">
        <v>8.3851099999999992</v>
      </c>
      <c r="J497">
        <f>Table211379[[#This Row],[CFNM]]/Table211379[[#This Row],[CAREA]]</f>
        <v>8.8114058132447812E-2</v>
      </c>
      <c r="K497">
        <v>2.3262700000000001</v>
      </c>
      <c r="L497">
        <f>(Table312380[[#This Row],[time]]-2)*2</f>
        <v>0.65254000000000012</v>
      </c>
      <c r="M497">
        <v>86.230800000000002</v>
      </c>
      <c r="N497">
        <v>0.641652</v>
      </c>
      <c r="O497">
        <f>Table312380[[#This Row],[CFNM]]/Table312380[[#This Row],[CAREA]]</f>
        <v>7.4410999318109076E-3</v>
      </c>
      <c r="P497">
        <v>2.3262700000000001</v>
      </c>
      <c r="Q497">
        <f>(Table413381[[#This Row],[time]]-2)*2</f>
        <v>0.65254000000000012</v>
      </c>
      <c r="R497">
        <v>88.974199999999996</v>
      </c>
      <c r="S497">
        <v>13.4702</v>
      </c>
      <c r="T497">
        <f>Table413381[[#This Row],[CFNM]]/Table413381[[#This Row],[CAREA]]</f>
        <v>0.151394449177402</v>
      </c>
      <c r="U497">
        <v>2.3262700000000001</v>
      </c>
      <c r="V497">
        <f>(Table514382[[#This Row],[time]]-2)*2</f>
        <v>0.65254000000000012</v>
      </c>
      <c r="W497">
        <v>80.273799999999994</v>
      </c>
      <c r="X497">
        <v>4.7862999999999998</v>
      </c>
      <c r="Y497">
        <f>Table514382[[#This Row],[CFNM]]/Table514382[[#This Row],[CAREA]]</f>
        <v>5.9624684517239748E-2</v>
      </c>
      <c r="Z497">
        <v>2.3262700000000001</v>
      </c>
      <c r="AA497">
        <f>(Table615383[[#This Row],[time]]-2)*2</f>
        <v>0.65254000000000012</v>
      </c>
      <c r="AB497">
        <v>92.584599999999995</v>
      </c>
      <c r="AC497">
        <v>28.728899999999999</v>
      </c>
      <c r="AD497">
        <f>Table615383[[#This Row],[CFNM]]/Table615383[[#This Row],[CAREA]]</f>
        <v>0.31029890500147972</v>
      </c>
      <c r="AE497">
        <v>2.3262700000000001</v>
      </c>
      <c r="AF497">
        <f>(Table716384[[#This Row],[time]]-2)*2</f>
        <v>0.65254000000000012</v>
      </c>
      <c r="AG497">
        <v>77.430700000000002</v>
      </c>
      <c r="AH497">
        <v>17.343299999999999</v>
      </c>
      <c r="AI497">
        <f>Table716384[[#This Row],[CFNM]]/Table716384[[#This Row],[CAREA]]</f>
        <v>0.22398480189382247</v>
      </c>
      <c r="AJ497">
        <v>2.3262700000000001</v>
      </c>
      <c r="AK497">
        <f>(Table817385[[#This Row],[time]]-2)*2</f>
        <v>0.65254000000000012</v>
      </c>
      <c r="AL497">
        <v>82.532300000000006</v>
      </c>
      <c r="AM497">
        <v>30.882400000000001</v>
      </c>
      <c r="AN497">
        <f>Table817385[[#This Row],[CFNM]]/Table817385[[#This Row],[CAREA]]</f>
        <v>0.37418562187167931</v>
      </c>
    </row>
    <row r="498" spans="1:40" x14ac:dyDescent="0.25">
      <c r="A498">
        <v>2.3684599999999998</v>
      </c>
      <c r="B498">
        <f>(Table110378[[#This Row],[time]]-2)*2</f>
        <v>0.73691999999999958</v>
      </c>
      <c r="C498">
        <v>90.097300000000004</v>
      </c>
      <c r="D498">
        <v>5.10602</v>
      </c>
      <c r="E498">
        <f>Table110378[[#This Row],[CFNM]]/Table110378[[#This Row],[CAREA]]</f>
        <v>5.6672286516910052E-2</v>
      </c>
      <c r="F498">
        <v>2.3684599999999998</v>
      </c>
      <c r="G498">
        <f>(Table211379[[#This Row],[time]]-2)*2</f>
        <v>0.73691999999999958</v>
      </c>
      <c r="H498">
        <v>95.174899999999994</v>
      </c>
      <c r="I498">
        <v>9.2251700000000003</v>
      </c>
      <c r="J498">
        <f>Table211379[[#This Row],[CFNM]]/Table211379[[#This Row],[CAREA]]</f>
        <v>9.6928601973839748E-2</v>
      </c>
      <c r="K498">
        <v>2.3684599999999998</v>
      </c>
      <c r="L498">
        <f>(Table312380[[#This Row],[time]]-2)*2</f>
        <v>0.73691999999999958</v>
      </c>
      <c r="M498">
        <v>85.266800000000003</v>
      </c>
      <c r="N498">
        <v>0.72765400000000002</v>
      </c>
      <c r="O498">
        <f>Table312380[[#This Row],[CFNM]]/Table312380[[#This Row],[CAREA]]</f>
        <v>8.5338490479295575E-3</v>
      </c>
      <c r="P498">
        <v>2.3684599999999998</v>
      </c>
      <c r="Q498">
        <f>(Table413381[[#This Row],[time]]-2)*2</f>
        <v>0.73691999999999958</v>
      </c>
      <c r="R498">
        <v>89.787199999999999</v>
      </c>
      <c r="S498">
        <v>15.054500000000001</v>
      </c>
      <c r="T498">
        <f>Table413381[[#This Row],[CFNM]]/Table413381[[#This Row],[CAREA]]</f>
        <v>0.1676686654667926</v>
      </c>
      <c r="U498">
        <v>2.3684599999999998</v>
      </c>
      <c r="V498">
        <f>(Table514382[[#This Row],[time]]-2)*2</f>
        <v>0.73691999999999958</v>
      </c>
      <c r="W498">
        <v>78.169700000000006</v>
      </c>
      <c r="X498">
        <v>4.5076200000000002</v>
      </c>
      <c r="Y498">
        <f>Table514382[[#This Row],[CFNM]]/Table514382[[#This Row],[CAREA]]</f>
        <v>5.7664542655274355E-2</v>
      </c>
      <c r="Z498">
        <v>2.3684599999999998</v>
      </c>
      <c r="AA498">
        <f>(Table615383[[#This Row],[time]]-2)*2</f>
        <v>0.73691999999999958</v>
      </c>
      <c r="AB498">
        <v>92.480800000000002</v>
      </c>
      <c r="AC498">
        <v>31.878499999999999</v>
      </c>
      <c r="AD498">
        <f>Table615383[[#This Row],[CFNM]]/Table615383[[#This Row],[CAREA]]</f>
        <v>0.34470398179946538</v>
      </c>
      <c r="AE498">
        <v>2.3684599999999998</v>
      </c>
      <c r="AF498">
        <f>(Table716384[[#This Row],[time]]-2)*2</f>
        <v>0.73691999999999958</v>
      </c>
      <c r="AG498">
        <v>77.014200000000002</v>
      </c>
      <c r="AH498">
        <v>17.1065</v>
      </c>
      <c r="AI498">
        <f>Table716384[[#This Row],[CFNM]]/Table716384[[#This Row],[CAREA]]</f>
        <v>0.2221213750191523</v>
      </c>
      <c r="AJ498">
        <v>2.3684599999999998</v>
      </c>
      <c r="AK498">
        <f>(Table817385[[#This Row],[time]]-2)*2</f>
        <v>0.73691999999999958</v>
      </c>
      <c r="AL498">
        <v>82.071399999999997</v>
      </c>
      <c r="AM498">
        <v>34.0124</v>
      </c>
      <c r="AN498">
        <f>Table817385[[#This Row],[CFNM]]/Table817385[[#This Row],[CAREA]]</f>
        <v>0.4144245132896478</v>
      </c>
    </row>
    <row r="499" spans="1:40" x14ac:dyDescent="0.25">
      <c r="A499">
        <v>2.4278300000000002</v>
      </c>
      <c r="B499">
        <f>(Table110378[[#This Row],[time]]-2)*2</f>
        <v>0.85566000000000031</v>
      </c>
      <c r="C499">
        <v>89.809799999999996</v>
      </c>
      <c r="D499">
        <v>4.7112100000000003</v>
      </c>
      <c r="E499">
        <f>Table110378[[#This Row],[CFNM]]/Table110378[[#This Row],[CAREA]]</f>
        <v>5.2457638253286393E-2</v>
      </c>
      <c r="F499">
        <v>2.4278300000000002</v>
      </c>
      <c r="G499">
        <f>(Table211379[[#This Row],[time]]-2)*2</f>
        <v>0.85566000000000031</v>
      </c>
      <c r="H499">
        <v>95.225399999999993</v>
      </c>
      <c r="I499">
        <v>9.7283200000000001</v>
      </c>
      <c r="J499">
        <f>Table211379[[#This Row],[CFNM]]/Table211379[[#This Row],[CAREA]]</f>
        <v>0.10216097805837519</v>
      </c>
      <c r="K499">
        <v>2.4278300000000002</v>
      </c>
      <c r="L499">
        <f>(Table312380[[#This Row],[time]]-2)*2</f>
        <v>0.85566000000000031</v>
      </c>
      <c r="M499">
        <v>84.561000000000007</v>
      </c>
      <c r="N499">
        <v>0.90135600000000005</v>
      </c>
      <c r="O499">
        <f>Table312380[[#This Row],[CFNM]]/Table312380[[#This Row],[CAREA]]</f>
        <v>1.0659240075211978E-2</v>
      </c>
      <c r="P499">
        <v>2.4278300000000002</v>
      </c>
      <c r="Q499">
        <f>(Table413381[[#This Row],[time]]-2)*2</f>
        <v>0.85566000000000031</v>
      </c>
      <c r="R499">
        <v>90.342399999999998</v>
      </c>
      <c r="S499">
        <v>16.305499999999999</v>
      </c>
      <c r="T499">
        <f>Table413381[[#This Row],[CFNM]]/Table413381[[#This Row],[CAREA]]</f>
        <v>0.18048557487956926</v>
      </c>
      <c r="U499">
        <v>2.4278300000000002</v>
      </c>
      <c r="V499">
        <f>(Table514382[[#This Row],[time]]-2)*2</f>
        <v>0.85566000000000031</v>
      </c>
      <c r="W499">
        <v>76.683199999999999</v>
      </c>
      <c r="X499">
        <v>4.4681899999999999</v>
      </c>
      <c r="Y499">
        <f>Table514382[[#This Row],[CFNM]]/Table514382[[#This Row],[CAREA]]</f>
        <v>5.8268173472155571E-2</v>
      </c>
      <c r="Z499">
        <v>2.4278300000000002</v>
      </c>
      <c r="AA499">
        <f>(Table615383[[#This Row],[time]]-2)*2</f>
        <v>0.85566000000000031</v>
      </c>
      <c r="AB499">
        <v>93.569500000000005</v>
      </c>
      <c r="AC499">
        <v>34.186599999999999</v>
      </c>
      <c r="AD499">
        <f>Table615383[[#This Row],[CFNM]]/Table615383[[#This Row],[CAREA]]</f>
        <v>0.36536050743030579</v>
      </c>
      <c r="AE499">
        <v>2.4278300000000002</v>
      </c>
      <c r="AF499">
        <f>(Table716384[[#This Row],[time]]-2)*2</f>
        <v>0.85566000000000031</v>
      </c>
      <c r="AG499">
        <v>76.570700000000002</v>
      </c>
      <c r="AH499">
        <v>16.942299999999999</v>
      </c>
      <c r="AI499">
        <f>Table716384[[#This Row],[CFNM]]/Table716384[[#This Row],[CAREA]]</f>
        <v>0.22126348590257108</v>
      </c>
      <c r="AJ499">
        <v>2.4278300000000002</v>
      </c>
      <c r="AK499">
        <f>(Table817385[[#This Row],[time]]-2)*2</f>
        <v>0.85566000000000031</v>
      </c>
      <c r="AL499">
        <v>81.635999999999996</v>
      </c>
      <c r="AM499">
        <v>36.518000000000001</v>
      </c>
      <c r="AN499">
        <f>Table817385[[#This Row],[CFNM]]/Table817385[[#This Row],[CAREA]]</f>
        <v>0.44732715958645697</v>
      </c>
    </row>
    <row r="500" spans="1:40" x14ac:dyDescent="0.25">
      <c r="A500">
        <v>2.4542000000000002</v>
      </c>
      <c r="B500">
        <f>(Table110378[[#This Row],[time]]-2)*2</f>
        <v>0.90840000000000032</v>
      </c>
      <c r="C500">
        <v>89.459699999999998</v>
      </c>
      <c r="D500">
        <v>4.41493</v>
      </c>
      <c r="E500">
        <f>Table110378[[#This Row],[CFNM]]/Table110378[[#This Row],[CAREA]]</f>
        <v>4.9351048572709277E-2</v>
      </c>
      <c r="F500">
        <v>2.4542000000000002</v>
      </c>
      <c r="G500">
        <f>(Table211379[[#This Row],[time]]-2)*2</f>
        <v>0.90840000000000032</v>
      </c>
      <c r="H500">
        <v>95.352599999999995</v>
      </c>
      <c r="I500">
        <v>10.240600000000001</v>
      </c>
      <c r="J500">
        <f>Table211379[[#This Row],[CFNM]]/Table211379[[#This Row],[CAREA]]</f>
        <v>0.10739717637484454</v>
      </c>
      <c r="K500">
        <v>2.4542000000000002</v>
      </c>
      <c r="L500">
        <f>(Table312380[[#This Row],[time]]-2)*2</f>
        <v>0.90840000000000032</v>
      </c>
      <c r="M500">
        <v>84.423400000000001</v>
      </c>
      <c r="N500">
        <v>1.15055</v>
      </c>
      <c r="O500">
        <f>Table312380[[#This Row],[CFNM]]/Table312380[[#This Row],[CAREA]]</f>
        <v>1.3628330533951486E-2</v>
      </c>
      <c r="P500">
        <v>2.4542000000000002</v>
      </c>
      <c r="Q500">
        <f>(Table413381[[#This Row],[time]]-2)*2</f>
        <v>0.90840000000000032</v>
      </c>
      <c r="R500">
        <v>90.682900000000004</v>
      </c>
      <c r="S500">
        <v>17.9621</v>
      </c>
      <c r="T500">
        <f>Table413381[[#This Row],[CFNM]]/Table413381[[#This Row],[CAREA]]</f>
        <v>0.19807593272822108</v>
      </c>
      <c r="U500">
        <v>2.4542000000000002</v>
      </c>
      <c r="V500">
        <f>(Table514382[[#This Row],[time]]-2)*2</f>
        <v>0.90840000000000032</v>
      </c>
      <c r="W500">
        <v>74.286699999999996</v>
      </c>
      <c r="X500">
        <v>4.5435499999999998</v>
      </c>
      <c r="Y500">
        <f>Table514382[[#This Row],[CFNM]]/Table514382[[#This Row],[CAREA]]</f>
        <v>6.1162361499433951E-2</v>
      </c>
      <c r="Z500">
        <v>2.4542000000000002</v>
      </c>
      <c r="AA500">
        <f>(Table615383[[#This Row],[time]]-2)*2</f>
        <v>0.90840000000000032</v>
      </c>
      <c r="AB500">
        <v>94.169600000000003</v>
      </c>
      <c r="AC500">
        <v>36.846499999999999</v>
      </c>
      <c r="AD500">
        <f>Table615383[[#This Row],[CFNM]]/Table615383[[#This Row],[CAREA]]</f>
        <v>0.39127807700149514</v>
      </c>
      <c r="AE500">
        <v>2.4542000000000002</v>
      </c>
      <c r="AF500">
        <f>(Table716384[[#This Row],[time]]-2)*2</f>
        <v>0.90840000000000032</v>
      </c>
      <c r="AG500">
        <v>76.414699999999996</v>
      </c>
      <c r="AH500">
        <v>16.727699999999999</v>
      </c>
      <c r="AI500">
        <f>Table716384[[#This Row],[CFNM]]/Table716384[[#This Row],[CAREA]]</f>
        <v>0.21890683337106603</v>
      </c>
      <c r="AJ500">
        <v>2.4542000000000002</v>
      </c>
      <c r="AK500">
        <f>(Table817385[[#This Row],[time]]-2)*2</f>
        <v>0.90840000000000032</v>
      </c>
      <c r="AL500">
        <v>81.095399999999998</v>
      </c>
      <c r="AM500">
        <v>39.619799999999998</v>
      </c>
      <c r="AN500">
        <f>Table817385[[#This Row],[CFNM]]/Table817385[[#This Row],[CAREA]]</f>
        <v>0.48855792067120946</v>
      </c>
    </row>
    <row r="501" spans="1:40" x14ac:dyDescent="0.25">
      <c r="A501">
        <v>2.5061499999999999</v>
      </c>
      <c r="B501">
        <f>(Table110378[[#This Row],[time]]-2)*2</f>
        <v>1.0122999999999998</v>
      </c>
      <c r="C501">
        <v>89.004000000000005</v>
      </c>
      <c r="D501">
        <v>4.2928699999999997</v>
      </c>
      <c r="E501">
        <f>Table110378[[#This Row],[CFNM]]/Table110378[[#This Row],[CAREA]]</f>
        <v>4.8232326637005073E-2</v>
      </c>
      <c r="F501">
        <v>2.5061499999999999</v>
      </c>
      <c r="G501">
        <f>(Table211379[[#This Row],[time]]-2)*2</f>
        <v>1.0122999999999998</v>
      </c>
      <c r="H501">
        <v>95.802899999999994</v>
      </c>
      <c r="I501">
        <v>10.882199999999999</v>
      </c>
      <c r="J501">
        <f>Table211379[[#This Row],[CFNM]]/Table211379[[#This Row],[CAREA]]</f>
        <v>0.11358946336697533</v>
      </c>
      <c r="K501">
        <v>2.5061499999999999</v>
      </c>
      <c r="L501">
        <f>(Table312380[[#This Row],[time]]-2)*2</f>
        <v>1.0122999999999998</v>
      </c>
      <c r="M501">
        <v>83.474500000000006</v>
      </c>
      <c r="N501">
        <v>1.39002</v>
      </c>
      <c r="O501">
        <f>Table312380[[#This Row],[CFNM]]/Table312380[[#This Row],[CAREA]]</f>
        <v>1.6652031458708947E-2</v>
      </c>
      <c r="P501">
        <v>2.5061499999999999</v>
      </c>
      <c r="Q501">
        <f>(Table413381[[#This Row],[time]]-2)*2</f>
        <v>1.0122999999999998</v>
      </c>
      <c r="R501">
        <v>90.806700000000006</v>
      </c>
      <c r="S501">
        <v>19.892499999999998</v>
      </c>
      <c r="T501">
        <f>Table413381[[#This Row],[CFNM]]/Table413381[[#This Row],[CAREA]]</f>
        <v>0.21906423204455175</v>
      </c>
      <c r="U501">
        <v>2.5061499999999999</v>
      </c>
      <c r="V501">
        <f>(Table514382[[#This Row],[time]]-2)*2</f>
        <v>1.0122999999999998</v>
      </c>
      <c r="W501">
        <v>73.2607</v>
      </c>
      <c r="X501">
        <v>4.5450200000000001</v>
      </c>
      <c r="Y501">
        <f>Table514382[[#This Row],[CFNM]]/Table514382[[#This Row],[CAREA]]</f>
        <v>6.2038992256421246E-2</v>
      </c>
      <c r="Z501">
        <v>2.5061499999999999</v>
      </c>
      <c r="AA501">
        <f>(Table615383[[#This Row],[time]]-2)*2</f>
        <v>1.0122999999999998</v>
      </c>
      <c r="AB501">
        <v>94.628699999999995</v>
      </c>
      <c r="AC501">
        <v>39.884900000000002</v>
      </c>
      <c r="AD501">
        <f>Table615383[[#This Row],[CFNM]]/Table615383[[#This Row],[CAREA]]</f>
        <v>0.4214884067941333</v>
      </c>
      <c r="AE501">
        <v>2.5061499999999999</v>
      </c>
      <c r="AF501">
        <f>(Table716384[[#This Row],[time]]-2)*2</f>
        <v>1.0122999999999998</v>
      </c>
      <c r="AG501">
        <v>76.305000000000007</v>
      </c>
      <c r="AH501">
        <v>16.417000000000002</v>
      </c>
      <c r="AI501">
        <f>Table716384[[#This Row],[CFNM]]/Table716384[[#This Row],[CAREA]]</f>
        <v>0.21514972806500229</v>
      </c>
      <c r="AJ501">
        <v>2.5061499999999999</v>
      </c>
      <c r="AK501">
        <f>(Table817385[[#This Row],[time]]-2)*2</f>
        <v>1.0122999999999998</v>
      </c>
      <c r="AL501">
        <v>80.476200000000006</v>
      </c>
      <c r="AM501">
        <v>43.198700000000002</v>
      </c>
      <c r="AN501">
        <f>Table817385[[#This Row],[CFNM]]/Table817385[[#This Row],[CAREA]]</f>
        <v>0.53678851635638858</v>
      </c>
    </row>
    <row r="502" spans="1:40" x14ac:dyDescent="0.25">
      <c r="A502">
        <v>2.5507599999999999</v>
      </c>
      <c r="B502">
        <f>(Table110378[[#This Row],[time]]-2)*2</f>
        <v>1.1015199999999998</v>
      </c>
      <c r="C502">
        <v>88.385599999999997</v>
      </c>
      <c r="D502">
        <v>4.2821300000000004</v>
      </c>
      <c r="E502">
        <f>Table110378[[#This Row],[CFNM]]/Table110378[[#This Row],[CAREA]]</f>
        <v>4.8448276642348985E-2</v>
      </c>
      <c r="F502">
        <v>2.5507599999999999</v>
      </c>
      <c r="G502">
        <f>(Table211379[[#This Row],[time]]-2)*2</f>
        <v>1.1015199999999998</v>
      </c>
      <c r="H502">
        <v>96.286799999999999</v>
      </c>
      <c r="I502">
        <v>11.6234</v>
      </c>
      <c r="J502">
        <f>Table211379[[#This Row],[CFNM]]/Table211379[[#This Row],[CAREA]]</f>
        <v>0.12071644295999036</v>
      </c>
      <c r="K502">
        <v>2.5507599999999999</v>
      </c>
      <c r="L502">
        <f>(Table312380[[#This Row],[time]]-2)*2</f>
        <v>1.1015199999999998</v>
      </c>
      <c r="M502">
        <v>82.308599999999998</v>
      </c>
      <c r="N502">
        <v>1.63317</v>
      </c>
      <c r="O502">
        <f>Table312380[[#This Row],[CFNM]]/Table312380[[#This Row],[CAREA]]</f>
        <v>1.9842033517761207E-2</v>
      </c>
      <c r="P502">
        <v>2.5507599999999999</v>
      </c>
      <c r="Q502">
        <f>(Table413381[[#This Row],[time]]-2)*2</f>
        <v>1.1015199999999998</v>
      </c>
      <c r="R502">
        <v>90.766300000000001</v>
      </c>
      <c r="S502">
        <v>21.914000000000001</v>
      </c>
      <c r="T502">
        <f>Table413381[[#This Row],[CFNM]]/Table413381[[#This Row],[CAREA]]</f>
        <v>0.24143321915733043</v>
      </c>
      <c r="U502">
        <v>2.5507599999999999</v>
      </c>
      <c r="V502">
        <f>(Table514382[[#This Row],[time]]-2)*2</f>
        <v>1.1015199999999998</v>
      </c>
      <c r="W502">
        <v>71.543099999999995</v>
      </c>
      <c r="X502">
        <v>4.4216300000000004</v>
      </c>
      <c r="Y502">
        <f>Table514382[[#This Row],[CFNM]]/Table514382[[#This Row],[CAREA]]</f>
        <v>6.1803723909084181E-2</v>
      </c>
      <c r="Z502">
        <v>2.5507599999999999</v>
      </c>
      <c r="AA502">
        <f>(Table615383[[#This Row],[time]]-2)*2</f>
        <v>1.1015199999999998</v>
      </c>
      <c r="AB502">
        <v>94.339500000000001</v>
      </c>
      <c r="AC502">
        <v>42.921100000000003</v>
      </c>
      <c r="AD502">
        <f>Table615383[[#This Row],[CFNM]]/Table615383[[#This Row],[CAREA]]</f>
        <v>0.45496425145352692</v>
      </c>
      <c r="AE502">
        <v>2.5507599999999999</v>
      </c>
      <c r="AF502">
        <f>(Table716384[[#This Row],[time]]-2)*2</f>
        <v>1.1015199999999998</v>
      </c>
      <c r="AG502">
        <v>75.458699999999993</v>
      </c>
      <c r="AH502">
        <v>16.114599999999999</v>
      </c>
      <c r="AI502">
        <f>Table716384[[#This Row],[CFNM]]/Table716384[[#This Row],[CAREA]]</f>
        <v>0.21355522954940917</v>
      </c>
      <c r="AJ502">
        <v>2.5507599999999999</v>
      </c>
      <c r="AK502">
        <f>(Table817385[[#This Row],[time]]-2)*2</f>
        <v>1.1015199999999998</v>
      </c>
      <c r="AL502">
        <v>80.047799999999995</v>
      </c>
      <c r="AM502">
        <v>46.787799999999997</v>
      </c>
      <c r="AN502">
        <f>Table817385[[#This Row],[CFNM]]/Table817385[[#This Row],[CAREA]]</f>
        <v>0.58449826228828272</v>
      </c>
    </row>
    <row r="503" spans="1:40" x14ac:dyDescent="0.25">
      <c r="A503">
        <v>2.60453</v>
      </c>
      <c r="B503">
        <f>(Table110378[[#This Row],[time]]-2)*2</f>
        <v>1.20906</v>
      </c>
      <c r="C503">
        <v>88.036199999999994</v>
      </c>
      <c r="D503">
        <v>4.3423800000000004</v>
      </c>
      <c r="E503">
        <f>Table110378[[#This Row],[CFNM]]/Table110378[[#This Row],[CAREA]]</f>
        <v>4.9324936787367026E-2</v>
      </c>
      <c r="F503">
        <v>2.60453</v>
      </c>
      <c r="G503">
        <f>(Table211379[[#This Row],[time]]-2)*2</f>
        <v>1.20906</v>
      </c>
      <c r="H503">
        <v>96.715800000000002</v>
      </c>
      <c r="I503">
        <v>12.2026</v>
      </c>
      <c r="J503">
        <f>Table211379[[#This Row],[CFNM]]/Table211379[[#This Row],[CAREA]]</f>
        <v>0.12616966410865649</v>
      </c>
      <c r="K503">
        <v>2.60453</v>
      </c>
      <c r="L503">
        <f>(Table312380[[#This Row],[time]]-2)*2</f>
        <v>1.20906</v>
      </c>
      <c r="M503">
        <v>81.766900000000007</v>
      </c>
      <c r="N503">
        <v>1.8482799999999999</v>
      </c>
      <c r="O503">
        <f>Table312380[[#This Row],[CFNM]]/Table312380[[#This Row],[CAREA]]</f>
        <v>2.2604256734693375E-2</v>
      </c>
      <c r="P503">
        <v>2.60453</v>
      </c>
      <c r="Q503">
        <f>(Table413381[[#This Row],[time]]-2)*2</f>
        <v>1.20906</v>
      </c>
      <c r="R503">
        <v>90.773600000000002</v>
      </c>
      <c r="S503">
        <v>23.348099999999999</v>
      </c>
      <c r="T503">
        <f>Table413381[[#This Row],[CFNM]]/Table413381[[#This Row],[CAREA]]</f>
        <v>0.25721244943463739</v>
      </c>
      <c r="U503">
        <v>2.60453</v>
      </c>
      <c r="V503">
        <f>(Table514382[[#This Row],[time]]-2)*2</f>
        <v>1.20906</v>
      </c>
      <c r="W503">
        <v>71.141400000000004</v>
      </c>
      <c r="X503">
        <v>4.2951600000000001</v>
      </c>
      <c r="Y503">
        <f>Table514382[[#This Row],[CFNM]]/Table514382[[#This Row],[CAREA]]</f>
        <v>6.0374971535561567E-2</v>
      </c>
      <c r="Z503">
        <v>2.60453</v>
      </c>
      <c r="AA503">
        <f>(Table615383[[#This Row],[time]]-2)*2</f>
        <v>1.20906</v>
      </c>
      <c r="AB503">
        <v>94.239900000000006</v>
      </c>
      <c r="AC503">
        <v>45.086399999999998</v>
      </c>
      <c r="AD503">
        <f>Table615383[[#This Row],[CFNM]]/Table615383[[#This Row],[CAREA]]</f>
        <v>0.47842156029452487</v>
      </c>
      <c r="AE503">
        <v>2.60453</v>
      </c>
      <c r="AF503">
        <f>(Table716384[[#This Row],[time]]-2)*2</f>
        <v>1.20906</v>
      </c>
      <c r="AG503">
        <v>75.392799999999994</v>
      </c>
      <c r="AH503">
        <v>15.898999999999999</v>
      </c>
      <c r="AI503">
        <f>Table716384[[#This Row],[CFNM]]/Table716384[[#This Row],[CAREA]]</f>
        <v>0.21088220625842255</v>
      </c>
      <c r="AJ503">
        <v>2.60453</v>
      </c>
      <c r="AK503">
        <f>(Table817385[[#This Row],[time]]-2)*2</f>
        <v>1.20906</v>
      </c>
      <c r="AL503">
        <v>79.597700000000003</v>
      </c>
      <c r="AM503">
        <v>49.246499999999997</v>
      </c>
      <c r="AN503">
        <f>Table817385[[#This Row],[CFNM]]/Table817385[[#This Row],[CAREA]]</f>
        <v>0.61869249990891695</v>
      </c>
    </row>
    <row r="504" spans="1:40" x14ac:dyDescent="0.25">
      <c r="A504">
        <v>2.65273</v>
      </c>
      <c r="B504">
        <f>(Table110378[[#This Row],[time]]-2)*2</f>
        <v>1.3054600000000001</v>
      </c>
      <c r="C504">
        <v>87.5916</v>
      </c>
      <c r="D504">
        <v>4.4069700000000003</v>
      </c>
      <c r="E504">
        <f>Table110378[[#This Row],[CFNM]]/Table110378[[#This Row],[CAREA]]</f>
        <v>5.0312701217925013E-2</v>
      </c>
      <c r="F504">
        <v>2.65273</v>
      </c>
      <c r="G504">
        <f>(Table211379[[#This Row],[time]]-2)*2</f>
        <v>1.3054600000000001</v>
      </c>
      <c r="H504">
        <v>96.871499999999997</v>
      </c>
      <c r="I504">
        <v>13.074999999999999</v>
      </c>
      <c r="J504">
        <f>Table211379[[#This Row],[CFNM]]/Table211379[[#This Row],[CAREA]]</f>
        <v>0.13497261836556676</v>
      </c>
      <c r="K504">
        <v>2.65273</v>
      </c>
      <c r="L504">
        <f>(Table312380[[#This Row],[time]]-2)*2</f>
        <v>1.3054600000000001</v>
      </c>
      <c r="M504">
        <v>81.712699999999998</v>
      </c>
      <c r="N504">
        <v>2.0587900000000001</v>
      </c>
      <c r="O504">
        <f>Table312380[[#This Row],[CFNM]]/Table312380[[#This Row],[CAREA]]</f>
        <v>2.5195471450582346E-2</v>
      </c>
      <c r="P504">
        <v>2.65273</v>
      </c>
      <c r="Q504">
        <f>(Table413381[[#This Row],[time]]-2)*2</f>
        <v>1.3054600000000001</v>
      </c>
      <c r="R504">
        <v>90.593900000000005</v>
      </c>
      <c r="S504">
        <v>24.9757</v>
      </c>
      <c r="T504">
        <f>Table413381[[#This Row],[CFNM]]/Table413381[[#This Row],[CAREA]]</f>
        <v>0.27568853973611906</v>
      </c>
      <c r="U504">
        <v>2.65273</v>
      </c>
      <c r="V504">
        <f>(Table514382[[#This Row],[time]]-2)*2</f>
        <v>1.3054600000000001</v>
      </c>
      <c r="W504">
        <v>70.138000000000005</v>
      </c>
      <c r="X504">
        <v>4.1314700000000002</v>
      </c>
      <c r="Y504">
        <f>Table514382[[#This Row],[CFNM]]/Table514382[[#This Row],[CAREA]]</f>
        <v>5.8904873249878809E-2</v>
      </c>
      <c r="Z504">
        <v>2.65273</v>
      </c>
      <c r="AA504">
        <f>(Table615383[[#This Row],[time]]-2)*2</f>
        <v>1.3054600000000001</v>
      </c>
      <c r="AB504">
        <v>94.447500000000005</v>
      </c>
      <c r="AC504">
        <v>47.684199999999997</v>
      </c>
      <c r="AD504">
        <f>Table615383[[#This Row],[CFNM]]/Table615383[[#This Row],[CAREA]]</f>
        <v>0.50487519521427238</v>
      </c>
      <c r="AE504">
        <v>2.65273</v>
      </c>
      <c r="AF504">
        <f>(Table716384[[#This Row],[time]]-2)*2</f>
        <v>1.3054600000000001</v>
      </c>
      <c r="AG504">
        <v>75.214100000000002</v>
      </c>
      <c r="AH504">
        <v>15.572699999999999</v>
      </c>
      <c r="AI504">
        <f>Table716384[[#This Row],[CFNM]]/Table716384[[#This Row],[CAREA]]</f>
        <v>0.20704495566655717</v>
      </c>
      <c r="AJ504">
        <v>2.65273</v>
      </c>
      <c r="AK504">
        <f>(Table817385[[#This Row],[time]]-2)*2</f>
        <v>1.3054600000000001</v>
      </c>
      <c r="AL504">
        <v>79.106200000000001</v>
      </c>
      <c r="AM504">
        <v>52.129300000000001</v>
      </c>
      <c r="AN504">
        <f>Table817385[[#This Row],[CFNM]]/Table817385[[#This Row],[CAREA]]</f>
        <v>0.65897868940740423</v>
      </c>
    </row>
    <row r="505" spans="1:40" x14ac:dyDescent="0.25">
      <c r="A505">
        <v>2.7006199999999998</v>
      </c>
      <c r="B505">
        <f>(Table110378[[#This Row],[time]]-2)*2</f>
        <v>1.4012399999999996</v>
      </c>
      <c r="C505">
        <v>86.632999999999996</v>
      </c>
      <c r="D505">
        <v>4.5114900000000002</v>
      </c>
      <c r="E505">
        <f>Table110378[[#This Row],[CFNM]]/Table110378[[#This Row],[CAREA]]</f>
        <v>5.2075883323906599E-2</v>
      </c>
      <c r="F505">
        <v>2.7006199999999998</v>
      </c>
      <c r="G505">
        <f>(Table211379[[#This Row],[time]]-2)*2</f>
        <v>1.4012399999999996</v>
      </c>
      <c r="H505">
        <v>97.048699999999997</v>
      </c>
      <c r="I505">
        <v>14.3748</v>
      </c>
      <c r="J505">
        <f>Table211379[[#This Row],[CFNM]]/Table211379[[#This Row],[CAREA]]</f>
        <v>0.14811944930740958</v>
      </c>
      <c r="K505">
        <v>2.7006199999999998</v>
      </c>
      <c r="L505">
        <f>(Table312380[[#This Row],[time]]-2)*2</f>
        <v>1.4012399999999996</v>
      </c>
      <c r="M505">
        <v>81.09</v>
      </c>
      <c r="N505">
        <v>2.2749100000000002</v>
      </c>
      <c r="O505">
        <f>Table312380[[#This Row],[CFNM]]/Table312380[[#This Row],[CAREA]]</f>
        <v>2.8054137378221732E-2</v>
      </c>
      <c r="P505">
        <v>2.7006199999999998</v>
      </c>
      <c r="Q505">
        <f>(Table413381[[#This Row],[time]]-2)*2</f>
        <v>1.4012399999999996</v>
      </c>
      <c r="R505">
        <v>90.304900000000004</v>
      </c>
      <c r="S505">
        <v>26.9986</v>
      </c>
      <c r="T505">
        <f>Table413381[[#This Row],[CFNM]]/Table413381[[#This Row],[CAREA]]</f>
        <v>0.29897159511831584</v>
      </c>
      <c r="U505">
        <v>2.7006199999999998</v>
      </c>
      <c r="V505">
        <f>(Table514382[[#This Row],[time]]-2)*2</f>
        <v>1.4012399999999996</v>
      </c>
      <c r="W505">
        <v>69.034899999999993</v>
      </c>
      <c r="X505">
        <v>3.87608</v>
      </c>
      <c r="Y505">
        <f>Table514382[[#This Row],[CFNM]]/Table514382[[#This Row],[CAREA]]</f>
        <v>5.6146673638985505E-2</v>
      </c>
      <c r="Z505">
        <v>2.7006199999999998</v>
      </c>
      <c r="AA505">
        <f>(Table615383[[#This Row],[time]]-2)*2</f>
        <v>1.4012399999999996</v>
      </c>
      <c r="AB505">
        <v>94.172600000000003</v>
      </c>
      <c r="AC505">
        <v>50.700400000000002</v>
      </c>
      <c r="AD505">
        <f>Table615383[[#This Row],[CFNM]]/Table615383[[#This Row],[CAREA]]</f>
        <v>0.53837740489271824</v>
      </c>
      <c r="AE505">
        <v>2.7006199999999998</v>
      </c>
      <c r="AF505">
        <f>(Table716384[[#This Row],[time]]-2)*2</f>
        <v>1.4012399999999996</v>
      </c>
      <c r="AG505">
        <v>74.412199999999999</v>
      </c>
      <c r="AH505">
        <v>15.1396</v>
      </c>
      <c r="AI505">
        <f>Table716384[[#This Row],[CFNM]]/Table716384[[#This Row],[CAREA]]</f>
        <v>0.2034558849220961</v>
      </c>
      <c r="AJ505">
        <v>2.7006199999999998</v>
      </c>
      <c r="AK505">
        <f>(Table817385[[#This Row],[time]]-2)*2</f>
        <v>1.4012399999999996</v>
      </c>
      <c r="AL505">
        <v>78.640500000000003</v>
      </c>
      <c r="AM505">
        <v>55.532299999999999</v>
      </c>
      <c r="AN505">
        <f>Table817385[[#This Row],[CFNM]]/Table817385[[#This Row],[CAREA]]</f>
        <v>0.70615395375156564</v>
      </c>
    </row>
    <row r="506" spans="1:40" x14ac:dyDescent="0.25">
      <c r="A506">
        <v>2.75176</v>
      </c>
      <c r="B506">
        <f>(Table110378[[#This Row],[time]]-2)*2</f>
        <v>1.50352</v>
      </c>
      <c r="C506">
        <v>85.108800000000002</v>
      </c>
      <c r="D506">
        <v>4.6248300000000002</v>
      </c>
      <c r="E506">
        <f>Table110378[[#This Row],[CFNM]]/Table110378[[#This Row],[CAREA]]</f>
        <v>5.4340209238057643E-2</v>
      </c>
      <c r="F506">
        <v>2.75176</v>
      </c>
      <c r="G506">
        <f>(Table211379[[#This Row],[time]]-2)*2</f>
        <v>1.50352</v>
      </c>
      <c r="H506">
        <v>97.680400000000006</v>
      </c>
      <c r="I506">
        <v>15.9108</v>
      </c>
      <c r="J506">
        <f>Table211379[[#This Row],[CFNM]]/Table211379[[#This Row],[CAREA]]</f>
        <v>0.16288631086686786</v>
      </c>
      <c r="K506">
        <v>2.75176</v>
      </c>
      <c r="L506">
        <f>(Table312380[[#This Row],[time]]-2)*2</f>
        <v>1.50352</v>
      </c>
      <c r="M506">
        <v>80.144199999999998</v>
      </c>
      <c r="N506">
        <v>2.45004</v>
      </c>
      <c r="O506">
        <f>Table312380[[#This Row],[CFNM]]/Table312380[[#This Row],[CAREA]]</f>
        <v>3.0570396859660464E-2</v>
      </c>
      <c r="P506">
        <v>2.75176</v>
      </c>
      <c r="Q506">
        <f>(Table413381[[#This Row],[time]]-2)*2</f>
        <v>1.50352</v>
      </c>
      <c r="R506">
        <v>90.268100000000004</v>
      </c>
      <c r="S506">
        <v>29.192499999999999</v>
      </c>
      <c r="T506">
        <f>Table413381[[#This Row],[CFNM]]/Table413381[[#This Row],[CAREA]]</f>
        <v>0.32339774516135822</v>
      </c>
      <c r="U506">
        <v>2.75176</v>
      </c>
      <c r="V506">
        <f>(Table514382[[#This Row],[time]]-2)*2</f>
        <v>1.50352</v>
      </c>
      <c r="W506">
        <v>67.952299999999994</v>
      </c>
      <c r="X506">
        <v>3.5490400000000002</v>
      </c>
      <c r="Y506">
        <f>Table514382[[#This Row],[CFNM]]/Table514382[[#This Row],[CAREA]]</f>
        <v>5.2228401393330327E-2</v>
      </c>
      <c r="Z506">
        <v>2.75176</v>
      </c>
      <c r="AA506">
        <f>(Table615383[[#This Row],[time]]-2)*2</f>
        <v>1.50352</v>
      </c>
      <c r="AB506">
        <v>94.220200000000006</v>
      </c>
      <c r="AC506">
        <v>53.8566</v>
      </c>
      <c r="AD506">
        <f>Table615383[[#This Row],[CFNM]]/Table615383[[#This Row],[CAREA]]</f>
        <v>0.57160354149110271</v>
      </c>
      <c r="AE506">
        <v>2.75176</v>
      </c>
      <c r="AF506">
        <f>(Table716384[[#This Row],[time]]-2)*2</f>
        <v>1.50352</v>
      </c>
      <c r="AG506">
        <v>73.684799999999996</v>
      </c>
      <c r="AH506">
        <v>14.592700000000001</v>
      </c>
      <c r="AI506">
        <f>Table716384[[#This Row],[CFNM]]/Table716384[[#This Row],[CAREA]]</f>
        <v>0.19804220137667472</v>
      </c>
      <c r="AJ506">
        <v>2.75176</v>
      </c>
      <c r="AK506">
        <f>(Table817385[[#This Row],[time]]-2)*2</f>
        <v>1.50352</v>
      </c>
      <c r="AL506">
        <v>77.746700000000004</v>
      </c>
      <c r="AM506">
        <v>59.057699999999997</v>
      </c>
      <c r="AN506">
        <f>Table817385[[#This Row],[CFNM]]/Table817385[[#This Row],[CAREA]]</f>
        <v>0.7596168068869803</v>
      </c>
    </row>
    <row r="507" spans="1:40" x14ac:dyDescent="0.25">
      <c r="A507">
        <v>2.80444</v>
      </c>
      <c r="B507">
        <f>(Table110378[[#This Row],[time]]-2)*2</f>
        <v>1.6088800000000001</v>
      </c>
      <c r="C507">
        <v>84.554299999999998</v>
      </c>
      <c r="D507">
        <v>4.8125299999999998</v>
      </c>
      <c r="E507">
        <f>Table110378[[#This Row],[CFNM]]/Table110378[[#This Row],[CAREA]]</f>
        <v>5.6916443043109576E-2</v>
      </c>
      <c r="F507">
        <v>2.80444</v>
      </c>
      <c r="G507">
        <f>(Table211379[[#This Row],[time]]-2)*2</f>
        <v>1.6088800000000001</v>
      </c>
      <c r="H507">
        <v>98.239199999999997</v>
      </c>
      <c r="I507">
        <v>17.453199999999999</v>
      </c>
      <c r="J507">
        <f>Table211379[[#This Row],[CFNM]]/Table211379[[#This Row],[CAREA]]</f>
        <v>0.17766024153291149</v>
      </c>
      <c r="K507">
        <v>2.80444</v>
      </c>
      <c r="L507">
        <f>(Table312380[[#This Row],[time]]-2)*2</f>
        <v>1.6088800000000001</v>
      </c>
      <c r="M507">
        <v>79.481099999999998</v>
      </c>
      <c r="N507">
        <v>2.56331</v>
      </c>
      <c r="O507">
        <f>Table312380[[#This Row],[CFNM]]/Table312380[[#This Row],[CAREA]]</f>
        <v>3.2250560196071774E-2</v>
      </c>
      <c r="P507">
        <v>2.80444</v>
      </c>
      <c r="Q507">
        <f>(Table413381[[#This Row],[time]]-2)*2</f>
        <v>1.6088800000000001</v>
      </c>
      <c r="R507">
        <v>89.948300000000003</v>
      </c>
      <c r="S507">
        <v>31.4026</v>
      </c>
      <c r="T507">
        <f>Table413381[[#This Row],[CFNM]]/Table413381[[#This Row],[CAREA]]</f>
        <v>0.34911832686109684</v>
      </c>
      <c r="U507">
        <v>2.80444</v>
      </c>
      <c r="V507">
        <f>(Table514382[[#This Row],[time]]-2)*2</f>
        <v>1.6088800000000001</v>
      </c>
      <c r="W507">
        <v>67.173100000000005</v>
      </c>
      <c r="X507">
        <v>3.1952500000000001</v>
      </c>
      <c r="Y507">
        <f>Table514382[[#This Row],[CFNM]]/Table514382[[#This Row],[CAREA]]</f>
        <v>4.7567404213889192E-2</v>
      </c>
      <c r="Z507">
        <v>2.80444</v>
      </c>
      <c r="AA507">
        <f>(Table615383[[#This Row],[time]]-2)*2</f>
        <v>1.6088800000000001</v>
      </c>
      <c r="AB507">
        <v>93.844700000000003</v>
      </c>
      <c r="AC507">
        <v>56.747999999999998</v>
      </c>
      <c r="AD507">
        <f>Table615383[[#This Row],[CFNM]]/Table615383[[#This Row],[CAREA]]</f>
        <v>0.604701171190275</v>
      </c>
      <c r="AE507">
        <v>2.80444</v>
      </c>
      <c r="AF507">
        <f>(Table716384[[#This Row],[time]]-2)*2</f>
        <v>1.6088800000000001</v>
      </c>
      <c r="AG507">
        <v>73.203599999999994</v>
      </c>
      <c r="AH507">
        <v>14.0212</v>
      </c>
      <c r="AI507">
        <f>Table716384[[#This Row],[CFNM]]/Table716384[[#This Row],[CAREA]]</f>
        <v>0.19153702823358415</v>
      </c>
      <c r="AJ507">
        <v>2.80444</v>
      </c>
      <c r="AK507">
        <f>(Table817385[[#This Row],[time]]-2)*2</f>
        <v>1.6088800000000001</v>
      </c>
      <c r="AL507">
        <v>77.008799999999994</v>
      </c>
      <c r="AM507">
        <v>62.289400000000001</v>
      </c>
      <c r="AN507">
        <f>Table817385[[#This Row],[CFNM]]/Table817385[[#This Row],[CAREA]]</f>
        <v>0.80886080551833039</v>
      </c>
    </row>
    <row r="508" spans="1:40" x14ac:dyDescent="0.25">
      <c r="A508">
        <v>2.8583699999999999</v>
      </c>
      <c r="B508">
        <f>(Table110378[[#This Row],[time]]-2)*2</f>
        <v>1.7167399999999997</v>
      </c>
      <c r="C508">
        <v>83.894400000000005</v>
      </c>
      <c r="D508">
        <v>4.9708699999999997</v>
      </c>
      <c r="E508">
        <f>Table110378[[#This Row],[CFNM]]/Table110378[[#This Row],[CAREA]]</f>
        <v>5.925151142388526E-2</v>
      </c>
      <c r="F508">
        <v>2.8583699999999999</v>
      </c>
      <c r="G508">
        <f>(Table211379[[#This Row],[time]]-2)*2</f>
        <v>1.7167399999999997</v>
      </c>
      <c r="H508">
        <v>98.696600000000004</v>
      </c>
      <c r="I508">
        <v>18.854099999999999</v>
      </c>
      <c r="J508">
        <f>Table211379[[#This Row],[CFNM]]/Table211379[[#This Row],[CAREA]]</f>
        <v>0.191030896707688</v>
      </c>
      <c r="K508">
        <v>2.8583699999999999</v>
      </c>
      <c r="L508">
        <f>(Table312380[[#This Row],[time]]-2)*2</f>
        <v>1.7167399999999997</v>
      </c>
      <c r="M508">
        <v>79.397900000000007</v>
      </c>
      <c r="N508">
        <v>2.5016799999999999</v>
      </c>
      <c r="O508">
        <f>Table312380[[#This Row],[CFNM]]/Table312380[[#This Row],[CAREA]]</f>
        <v>3.1508138124559965E-2</v>
      </c>
      <c r="P508">
        <v>2.8583699999999999</v>
      </c>
      <c r="Q508">
        <f>(Table413381[[#This Row],[time]]-2)*2</f>
        <v>1.7167399999999997</v>
      </c>
      <c r="R508">
        <v>89.874300000000005</v>
      </c>
      <c r="S508">
        <v>33.576799999999999</v>
      </c>
      <c r="T508">
        <f>Table413381[[#This Row],[CFNM]]/Table413381[[#This Row],[CAREA]]</f>
        <v>0.37359734651618981</v>
      </c>
      <c r="U508">
        <v>2.8583699999999999</v>
      </c>
      <c r="V508">
        <f>(Table514382[[#This Row],[time]]-2)*2</f>
        <v>1.7167399999999997</v>
      </c>
      <c r="W508">
        <v>66.234200000000001</v>
      </c>
      <c r="X508">
        <v>2.84613</v>
      </c>
      <c r="Y508">
        <f>Table514382[[#This Row],[CFNM]]/Table514382[[#This Row],[CAREA]]</f>
        <v>4.2970700936978176E-2</v>
      </c>
      <c r="Z508">
        <v>2.8583699999999999</v>
      </c>
      <c r="AA508">
        <f>(Table615383[[#This Row],[time]]-2)*2</f>
        <v>1.7167399999999997</v>
      </c>
      <c r="AB508">
        <v>93.488299999999995</v>
      </c>
      <c r="AC508">
        <v>59.2806</v>
      </c>
      <c r="AD508">
        <f>Table615383[[#This Row],[CFNM]]/Table615383[[#This Row],[CAREA]]</f>
        <v>0.63409645912911028</v>
      </c>
      <c r="AE508">
        <v>2.8583699999999999</v>
      </c>
      <c r="AF508">
        <f>(Table716384[[#This Row],[time]]-2)*2</f>
        <v>1.7167399999999997</v>
      </c>
      <c r="AG508">
        <v>72.736500000000007</v>
      </c>
      <c r="AH508">
        <v>13.541499999999999</v>
      </c>
      <c r="AI508">
        <f>Table716384[[#This Row],[CFNM]]/Table716384[[#This Row],[CAREA]]</f>
        <v>0.18617200442693829</v>
      </c>
      <c r="AJ508">
        <v>2.8583699999999999</v>
      </c>
      <c r="AK508">
        <f>(Table817385[[#This Row],[time]]-2)*2</f>
        <v>1.7167399999999997</v>
      </c>
      <c r="AL508">
        <v>76.306200000000004</v>
      </c>
      <c r="AM508">
        <v>65.03</v>
      </c>
      <c r="AN508">
        <f>Table817385[[#This Row],[CFNM]]/Table817385[[#This Row],[CAREA]]</f>
        <v>0.85222432777415202</v>
      </c>
    </row>
    <row r="509" spans="1:40" x14ac:dyDescent="0.25">
      <c r="A509">
        <v>2.9134199999999999</v>
      </c>
      <c r="B509">
        <f>(Table110378[[#This Row],[time]]-2)*2</f>
        <v>1.8268399999999998</v>
      </c>
      <c r="C509">
        <v>82.855699999999999</v>
      </c>
      <c r="D509">
        <v>5.0566300000000002</v>
      </c>
      <c r="E509">
        <f>Table110378[[#This Row],[CFNM]]/Table110378[[#This Row],[CAREA]]</f>
        <v>6.1029355856024391E-2</v>
      </c>
      <c r="F509">
        <v>2.9134199999999999</v>
      </c>
      <c r="G509">
        <f>(Table211379[[#This Row],[time]]-2)*2</f>
        <v>1.8268399999999998</v>
      </c>
      <c r="H509">
        <v>99.270600000000002</v>
      </c>
      <c r="I509">
        <v>20.627400000000002</v>
      </c>
      <c r="J509">
        <f>Table211379[[#This Row],[CFNM]]/Table211379[[#This Row],[CAREA]]</f>
        <v>0.20778961746982491</v>
      </c>
      <c r="K509">
        <v>2.9134199999999999</v>
      </c>
      <c r="L509">
        <f>(Table312380[[#This Row],[time]]-2)*2</f>
        <v>1.8268399999999998</v>
      </c>
      <c r="M509">
        <v>78.393600000000006</v>
      </c>
      <c r="N509">
        <v>2.3189299999999999</v>
      </c>
      <c r="O509">
        <f>Table312380[[#This Row],[CFNM]]/Table312380[[#This Row],[CAREA]]</f>
        <v>2.9580603518654582E-2</v>
      </c>
      <c r="P509">
        <v>2.9134199999999999</v>
      </c>
      <c r="Q509">
        <f>(Table413381[[#This Row],[time]]-2)*2</f>
        <v>1.8268399999999998</v>
      </c>
      <c r="R509">
        <v>89.677800000000005</v>
      </c>
      <c r="S509">
        <v>36.174100000000003</v>
      </c>
      <c r="T509">
        <f>Table413381[[#This Row],[CFNM]]/Table413381[[#This Row],[CAREA]]</f>
        <v>0.40337853961627068</v>
      </c>
      <c r="U509">
        <v>2.9134199999999999</v>
      </c>
      <c r="V509">
        <f>(Table514382[[#This Row],[time]]-2)*2</f>
        <v>1.8268399999999998</v>
      </c>
      <c r="W509">
        <v>65.869900000000001</v>
      </c>
      <c r="X509">
        <v>2.3408699999999998</v>
      </c>
      <c r="Y509">
        <f>Table514382[[#This Row],[CFNM]]/Table514382[[#This Row],[CAREA]]</f>
        <v>3.5537779774980675E-2</v>
      </c>
      <c r="Z509">
        <v>2.9134199999999999</v>
      </c>
      <c r="AA509">
        <f>(Table615383[[#This Row],[time]]-2)*2</f>
        <v>1.8268399999999998</v>
      </c>
      <c r="AB509">
        <v>93.146199999999993</v>
      </c>
      <c r="AC509">
        <v>62.382100000000001</v>
      </c>
      <c r="AD509">
        <f>Table615383[[#This Row],[CFNM]]/Table615383[[#This Row],[CAREA]]</f>
        <v>0.66972243634200868</v>
      </c>
      <c r="AE509">
        <v>2.9134199999999999</v>
      </c>
      <c r="AF509">
        <f>(Table716384[[#This Row],[time]]-2)*2</f>
        <v>1.8268399999999998</v>
      </c>
      <c r="AG509">
        <v>71.034499999999994</v>
      </c>
      <c r="AH509">
        <v>12.966200000000001</v>
      </c>
      <c r="AI509">
        <f>Table716384[[#This Row],[CFNM]]/Table716384[[#This Row],[CAREA]]</f>
        <v>0.18253383919081576</v>
      </c>
      <c r="AJ509">
        <v>2.9134199999999999</v>
      </c>
      <c r="AK509">
        <f>(Table817385[[#This Row],[time]]-2)*2</f>
        <v>1.8268399999999998</v>
      </c>
      <c r="AL509">
        <v>75.587999999999994</v>
      </c>
      <c r="AM509">
        <v>68.325500000000005</v>
      </c>
      <c r="AN509">
        <f>Table817385[[#This Row],[CFNM]]/Table817385[[#This Row],[CAREA]]</f>
        <v>0.90391993438111884</v>
      </c>
    </row>
    <row r="510" spans="1:40" x14ac:dyDescent="0.25">
      <c r="A510">
        <v>2.9619599999999999</v>
      </c>
      <c r="B510">
        <f>(Table110378[[#This Row],[time]]-2)*2</f>
        <v>1.9239199999999999</v>
      </c>
      <c r="C510">
        <v>81.045699999999997</v>
      </c>
      <c r="D510">
        <v>5.0651299999999999</v>
      </c>
      <c r="E510">
        <f>Table110378[[#This Row],[CFNM]]/Table110378[[#This Row],[CAREA]]</f>
        <v>6.2497208365156945E-2</v>
      </c>
      <c r="F510">
        <v>2.9619599999999999</v>
      </c>
      <c r="G510">
        <f>(Table211379[[#This Row],[time]]-2)*2</f>
        <v>1.9239199999999999</v>
      </c>
      <c r="H510">
        <v>99.524600000000007</v>
      </c>
      <c r="I510">
        <v>22.148399999999999</v>
      </c>
      <c r="J510">
        <f>Table211379[[#This Row],[CFNM]]/Table211379[[#This Row],[CAREA]]</f>
        <v>0.22254196449922931</v>
      </c>
      <c r="K510">
        <v>2.9619599999999999</v>
      </c>
      <c r="L510">
        <f>(Table312380[[#This Row],[time]]-2)*2</f>
        <v>1.9239199999999999</v>
      </c>
      <c r="M510">
        <v>77.615499999999997</v>
      </c>
      <c r="N510">
        <v>2.1633900000000001</v>
      </c>
      <c r="O510">
        <f>Table312380[[#This Row],[CFNM]]/Table312380[[#This Row],[CAREA]]</f>
        <v>2.7873169663276024E-2</v>
      </c>
      <c r="P510">
        <v>2.9619599999999999</v>
      </c>
      <c r="Q510">
        <f>(Table413381[[#This Row],[time]]-2)*2</f>
        <v>1.9239199999999999</v>
      </c>
      <c r="R510">
        <v>89.3001</v>
      </c>
      <c r="S510">
        <v>38.427599999999998</v>
      </c>
      <c r="T510">
        <f>Table413381[[#This Row],[CFNM]]/Table413381[[#This Row],[CAREA]]</f>
        <v>0.43031978687593853</v>
      </c>
      <c r="U510">
        <v>2.9619599999999999</v>
      </c>
      <c r="V510">
        <f>(Table514382[[#This Row],[time]]-2)*2</f>
        <v>1.9239199999999999</v>
      </c>
      <c r="W510">
        <v>64.464699999999993</v>
      </c>
      <c r="X510">
        <v>1.9259599999999999</v>
      </c>
      <c r="Y510">
        <f>Table514382[[#This Row],[CFNM]]/Table514382[[#This Row],[CAREA]]</f>
        <v>2.9876195809489536E-2</v>
      </c>
      <c r="Z510">
        <v>2.9619599999999999</v>
      </c>
      <c r="AA510">
        <f>(Table615383[[#This Row],[time]]-2)*2</f>
        <v>1.9239199999999999</v>
      </c>
      <c r="AB510">
        <v>92.708500000000001</v>
      </c>
      <c r="AC510">
        <v>65.055999999999997</v>
      </c>
      <c r="AD510">
        <f>Table615383[[#This Row],[CFNM]]/Table615383[[#This Row],[CAREA]]</f>
        <v>0.70172637891886935</v>
      </c>
      <c r="AE510">
        <v>2.9619599999999999</v>
      </c>
      <c r="AF510">
        <f>(Table716384[[#This Row],[time]]-2)*2</f>
        <v>1.9239199999999999</v>
      </c>
      <c r="AG510">
        <v>70.764899999999997</v>
      </c>
      <c r="AH510">
        <v>12.435600000000001</v>
      </c>
      <c r="AI510">
        <f>Table716384[[#This Row],[CFNM]]/Table716384[[#This Row],[CAREA]]</f>
        <v>0.17573118876731264</v>
      </c>
      <c r="AJ510">
        <v>2.9619599999999999</v>
      </c>
      <c r="AK510">
        <f>(Table817385[[#This Row],[time]]-2)*2</f>
        <v>1.9239199999999999</v>
      </c>
      <c r="AL510">
        <v>74.939099999999996</v>
      </c>
      <c r="AM510">
        <v>71.205500000000001</v>
      </c>
      <c r="AN510">
        <f>Table817385[[#This Row],[CFNM]]/Table817385[[#This Row],[CAREA]]</f>
        <v>0.95017821137430269</v>
      </c>
    </row>
    <row r="511" spans="1:40" x14ac:dyDescent="0.25">
      <c r="A511">
        <v>3</v>
      </c>
      <c r="B511">
        <f>(Table110378[[#This Row],[time]]-2)*2</f>
        <v>2</v>
      </c>
      <c r="C511">
        <v>80.075400000000002</v>
      </c>
      <c r="D511">
        <v>5.0289799999999998</v>
      </c>
      <c r="E511">
        <f>Table110378[[#This Row],[CFNM]]/Table110378[[#This Row],[CAREA]]</f>
        <v>6.2803058117724048E-2</v>
      </c>
      <c r="F511">
        <v>3</v>
      </c>
      <c r="G511">
        <f>(Table211379[[#This Row],[time]]-2)*2</f>
        <v>2</v>
      </c>
      <c r="H511">
        <v>101.181</v>
      </c>
      <c r="I511">
        <v>23.660599999999999</v>
      </c>
      <c r="J511">
        <f>Table211379[[#This Row],[CFNM]]/Table211379[[#This Row],[CAREA]]</f>
        <v>0.23384429883080815</v>
      </c>
      <c r="K511">
        <v>3</v>
      </c>
      <c r="L511">
        <f>(Table312380[[#This Row],[time]]-2)*2</f>
        <v>2</v>
      </c>
      <c r="M511">
        <v>76.925399999999996</v>
      </c>
      <c r="N511">
        <v>2.00169</v>
      </c>
      <c r="O511">
        <f>Table312380[[#This Row],[CFNM]]/Table312380[[#This Row],[CAREA]]</f>
        <v>2.602118416023836E-2</v>
      </c>
      <c r="P511">
        <v>3</v>
      </c>
      <c r="Q511">
        <f>(Table413381[[#This Row],[time]]-2)*2</f>
        <v>2</v>
      </c>
      <c r="R511">
        <v>88.875200000000007</v>
      </c>
      <c r="S511">
        <v>40.639000000000003</v>
      </c>
      <c r="T511">
        <f>Table413381[[#This Row],[CFNM]]/Table413381[[#This Row],[CAREA]]</f>
        <v>0.45725916791185844</v>
      </c>
      <c r="U511">
        <v>3</v>
      </c>
      <c r="V511">
        <f>(Table514382[[#This Row],[time]]-2)*2</f>
        <v>2</v>
      </c>
      <c r="W511">
        <v>63.868699999999997</v>
      </c>
      <c r="X511">
        <v>1.5093099999999999</v>
      </c>
      <c r="Y511">
        <f>Table514382[[#This Row],[CFNM]]/Table514382[[#This Row],[CAREA]]</f>
        <v>2.3631450146942085E-2</v>
      </c>
      <c r="Z511">
        <v>3</v>
      </c>
      <c r="AA511">
        <f>(Table615383[[#This Row],[time]]-2)*2</f>
        <v>2</v>
      </c>
      <c r="AB511">
        <v>92.311899999999994</v>
      </c>
      <c r="AC511">
        <v>67.643500000000003</v>
      </c>
      <c r="AD511">
        <f>Table615383[[#This Row],[CFNM]]/Table615383[[#This Row],[CAREA]]</f>
        <v>0.73277118118032458</v>
      </c>
      <c r="AE511">
        <v>3</v>
      </c>
      <c r="AF511">
        <f>(Table716384[[#This Row],[time]]-2)*2</f>
        <v>2</v>
      </c>
      <c r="AG511">
        <v>70.486699999999999</v>
      </c>
      <c r="AH511">
        <v>11.9139</v>
      </c>
      <c r="AI511">
        <f>Table716384[[#This Row],[CFNM]]/Table716384[[#This Row],[CAREA]]</f>
        <v>0.16902337604115386</v>
      </c>
      <c r="AJ511">
        <v>3</v>
      </c>
      <c r="AK511">
        <f>(Table817385[[#This Row],[time]]-2)*2</f>
        <v>2</v>
      </c>
      <c r="AL511">
        <v>74.403300000000002</v>
      </c>
      <c r="AM511">
        <v>73.937899999999999</v>
      </c>
      <c r="AN511">
        <f>Table817385[[#This Row],[CFNM]]/Table817385[[#This Row],[CAREA]]</f>
        <v>0.99374490109981672</v>
      </c>
    </row>
    <row r="514" spans="1:40" x14ac:dyDescent="0.25">
      <c r="A514" s="1" t="s">
        <v>27</v>
      </c>
    </row>
    <row r="515" spans="1:40" x14ac:dyDescent="0.25">
      <c r="A515" t="s">
        <v>61</v>
      </c>
      <c r="F515" t="s">
        <v>1</v>
      </c>
    </row>
    <row r="516" spans="1:40" x14ac:dyDescent="0.25">
      <c r="F516" t="s">
        <v>2</v>
      </c>
      <c r="G516" t="s">
        <v>3</v>
      </c>
    </row>
    <row r="519" spans="1:40" x14ac:dyDescent="0.25">
      <c r="A519" t="s">
        <v>5</v>
      </c>
      <c r="F519" t="s">
        <v>6</v>
      </c>
      <c r="K519" t="s">
        <v>7</v>
      </c>
      <c r="P519" t="s">
        <v>19</v>
      </c>
      <c r="U519" t="s">
        <v>8</v>
      </c>
      <c r="Z519" t="s">
        <v>9</v>
      </c>
      <c r="AE519" t="s">
        <v>10</v>
      </c>
      <c r="AJ519" t="s">
        <v>11</v>
      </c>
    </row>
    <row r="520" spans="1:40" x14ac:dyDescent="0.25">
      <c r="A520" t="s">
        <v>12</v>
      </c>
      <c r="B520" t="s">
        <v>13</v>
      </c>
      <c r="C520" t="s">
        <v>17</v>
      </c>
      <c r="D520" t="s">
        <v>15</v>
      </c>
      <c r="E520" t="s">
        <v>16</v>
      </c>
      <c r="F520" t="s">
        <v>12</v>
      </c>
      <c r="G520" t="s">
        <v>13</v>
      </c>
      <c r="H520" t="s">
        <v>17</v>
      </c>
      <c r="I520" t="s">
        <v>15</v>
      </c>
      <c r="J520" t="s">
        <v>16</v>
      </c>
      <c r="K520" t="s">
        <v>12</v>
      </c>
      <c r="L520" t="s">
        <v>13</v>
      </c>
      <c r="M520" t="s">
        <v>17</v>
      </c>
      <c r="N520" t="s">
        <v>15</v>
      </c>
      <c r="O520" t="s">
        <v>16</v>
      </c>
      <c r="P520" t="s">
        <v>12</v>
      </c>
      <c r="Q520" t="s">
        <v>13</v>
      </c>
      <c r="R520" t="s">
        <v>17</v>
      </c>
      <c r="S520" t="s">
        <v>15</v>
      </c>
      <c r="T520" t="s">
        <v>16</v>
      </c>
      <c r="U520" t="s">
        <v>12</v>
      </c>
      <c r="V520" t="s">
        <v>13</v>
      </c>
      <c r="W520" t="s">
        <v>17</v>
      </c>
      <c r="X520" t="s">
        <v>15</v>
      </c>
      <c r="Y520" t="s">
        <v>16</v>
      </c>
      <c r="Z520" t="s">
        <v>12</v>
      </c>
      <c r="AA520" t="s">
        <v>13</v>
      </c>
      <c r="AB520" t="s">
        <v>17</v>
      </c>
      <c r="AC520" t="s">
        <v>15</v>
      </c>
      <c r="AD520" t="s">
        <v>16</v>
      </c>
      <c r="AE520" t="s">
        <v>12</v>
      </c>
      <c r="AF520" t="s">
        <v>13</v>
      </c>
      <c r="AG520" t="s">
        <v>17</v>
      </c>
      <c r="AH520" t="s">
        <v>15</v>
      </c>
      <c r="AI520" t="s">
        <v>16</v>
      </c>
      <c r="AJ520" t="s">
        <v>12</v>
      </c>
      <c r="AK520" t="s">
        <v>13</v>
      </c>
      <c r="AL520" t="s">
        <v>17</v>
      </c>
      <c r="AM520" t="s">
        <v>15</v>
      </c>
      <c r="AN520" t="s">
        <v>16</v>
      </c>
    </row>
    <row r="521" spans="1:40" x14ac:dyDescent="0.25">
      <c r="A521">
        <v>2</v>
      </c>
      <c r="B521">
        <f>-(Table1386[[#This Row],[time]]-2)*2</f>
        <v>0</v>
      </c>
      <c r="C521">
        <v>88.270499999999998</v>
      </c>
      <c r="D521">
        <v>6.2275299999999998</v>
      </c>
      <c r="E521" s="2">
        <f>Table1386[[#This Row],[CFNM]]/Table1386[[#This Row],[CAREA]]</f>
        <v>7.0550523674387258E-2</v>
      </c>
      <c r="F521">
        <v>2</v>
      </c>
      <c r="G521">
        <f>-(Table2387[[#This Row],[time]]-2)*2</f>
        <v>0</v>
      </c>
      <c r="H521">
        <v>91.525499999999994</v>
      </c>
      <c r="I521">
        <v>4.7580499999999998E-3</v>
      </c>
      <c r="J521" s="2">
        <f>Table2387[[#This Row],[CFNM]]/Table2387[[#This Row],[CAREA]]</f>
        <v>5.1986058530136412E-5</v>
      </c>
      <c r="K521">
        <v>2</v>
      </c>
      <c r="L521">
        <f>-(Table3388[[#This Row],[time]]-2)*2</f>
        <v>0</v>
      </c>
      <c r="M521">
        <v>87.679299999999998</v>
      </c>
      <c r="N521">
        <v>0.66283899999999996</v>
      </c>
      <c r="O521">
        <f>Table3388[[#This Row],[CFNM]]/Table3388[[#This Row],[CAREA]]</f>
        <v>7.55981172294943E-3</v>
      </c>
      <c r="P521">
        <v>2</v>
      </c>
      <c r="Q521">
        <f>-(Table4389[[#This Row],[time]]-2)*2</f>
        <v>0</v>
      </c>
      <c r="R521">
        <v>81.933000000000007</v>
      </c>
      <c r="S521">
        <v>6.07223E-2</v>
      </c>
      <c r="T521">
        <f>Table4389[[#This Row],[CFNM]]/Table4389[[#This Row],[CAREA]]</f>
        <v>7.4112140407406042E-4</v>
      </c>
      <c r="U521">
        <v>2</v>
      </c>
      <c r="V521">
        <f>-(Table5390[[#This Row],[time]]-2)*2</f>
        <v>0</v>
      </c>
      <c r="W521">
        <v>82.935699999999997</v>
      </c>
      <c r="X521">
        <v>5.1279199999999996</v>
      </c>
      <c r="Y521">
        <f>Table5390[[#This Row],[CFNM]]/Table5390[[#This Row],[CAREA]]</f>
        <v>6.1830068354158704E-2</v>
      </c>
      <c r="Z521">
        <v>2</v>
      </c>
      <c r="AA521">
        <f>-(Table6391[[#This Row],[time]]-2)*2</f>
        <v>0</v>
      </c>
      <c r="AB521">
        <v>86.346400000000003</v>
      </c>
      <c r="AC521">
        <v>6.9678800000000001</v>
      </c>
      <c r="AD521">
        <f>Table6391[[#This Row],[CFNM]]/Table6391[[#This Row],[CAREA]]</f>
        <v>8.0696821176099984E-2</v>
      </c>
      <c r="AE521">
        <v>2</v>
      </c>
      <c r="AF521">
        <f>-(Table7392[[#This Row],[time]]-2)*2</f>
        <v>0</v>
      </c>
      <c r="AG521">
        <v>78.678799999999995</v>
      </c>
      <c r="AH521">
        <v>17.726099999999999</v>
      </c>
      <c r="AI521">
        <f>Table7392[[#This Row],[CFNM]]/Table7392[[#This Row],[CAREA]]</f>
        <v>0.22529703045801411</v>
      </c>
      <c r="AJ521">
        <v>2</v>
      </c>
      <c r="AK521">
        <f>-(Table8393[[#This Row],[time]]-2)*2</f>
        <v>0</v>
      </c>
      <c r="AL521">
        <v>86.346400000000003</v>
      </c>
      <c r="AM521">
        <v>16.678599999999999</v>
      </c>
      <c r="AN521">
        <f>Table8393[[#This Row],[CFNM]]/Table8393[[#This Row],[CAREA]]</f>
        <v>0.19315918208518246</v>
      </c>
    </row>
    <row r="522" spans="1:40" x14ac:dyDescent="0.25">
      <c r="A522">
        <v>2.0512600000000001</v>
      </c>
      <c r="B522">
        <f>-(Table1386[[#This Row],[time]]-2)*2</f>
        <v>-0.10252000000000017</v>
      </c>
      <c r="C522">
        <v>89.916700000000006</v>
      </c>
      <c r="D522">
        <v>10.5579</v>
      </c>
      <c r="E522">
        <f>Table1386[[#This Row],[CFNM]]/Table1386[[#This Row],[CAREA]]</f>
        <v>0.1174186775092947</v>
      </c>
      <c r="F522">
        <v>2.0512600000000001</v>
      </c>
      <c r="G522">
        <f>-(Table2387[[#This Row],[time]]-2)*2</f>
        <v>-0.10252000000000017</v>
      </c>
      <c r="H522">
        <v>94.003399999999999</v>
      </c>
      <c r="I522">
        <v>2.3961800000000002</v>
      </c>
      <c r="J522">
        <f>Table2387[[#This Row],[CFNM]]/Table2387[[#This Row],[CAREA]]</f>
        <v>2.5490354604195169E-2</v>
      </c>
      <c r="K522">
        <v>2.0512600000000001</v>
      </c>
      <c r="L522">
        <f>-(Table3388[[#This Row],[time]]-2)*2</f>
        <v>-0.10252000000000017</v>
      </c>
      <c r="M522">
        <v>89.355699999999999</v>
      </c>
      <c r="N522">
        <v>3.8092299999999999</v>
      </c>
      <c r="O522">
        <f>Table3388[[#This Row],[CFNM]]/Table3388[[#This Row],[CAREA]]</f>
        <v>4.2629960931423509E-2</v>
      </c>
      <c r="P522">
        <v>2.0512600000000001</v>
      </c>
      <c r="Q522">
        <f>-(Table4389[[#This Row],[time]]-2)*2</f>
        <v>-0.10252000000000017</v>
      </c>
      <c r="R522">
        <v>83.881200000000007</v>
      </c>
      <c r="S522">
        <v>4.8449200000000001</v>
      </c>
      <c r="T522">
        <f>Table4389[[#This Row],[CFNM]]/Table4389[[#This Row],[CAREA]]</f>
        <v>5.7759307210674141E-2</v>
      </c>
      <c r="U522">
        <v>2.0512600000000001</v>
      </c>
      <c r="V522">
        <f>-(Table5390[[#This Row],[time]]-2)*2</f>
        <v>-0.10252000000000017</v>
      </c>
      <c r="W522">
        <v>82.803899999999999</v>
      </c>
      <c r="X522">
        <v>9.4425399999999993</v>
      </c>
      <c r="Y522">
        <f>Table5390[[#This Row],[CFNM]]/Table5390[[#This Row],[CAREA]]</f>
        <v>0.11403496695203968</v>
      </c>
      <c r="Z522">
        <v>2.0512600000000001</v>
      </c>
      <c r="AA522">
        <f>-(Table6391[[#This Row],[time]]-2)*2</f>
        <v>-0.10252000000000017</v>
      </c>
      <c r="AB522">
        <v>86.545299999999997</v>
      </c>
      <c r="AC522">
        <v>10.974399999999999</v>
      </c>
      <c r="AD522">
        <f>Table6391[[#This Row],[CFNM]]/Table6391[[#This Row],[CAREA]]</f>
        <v>0.1268052684547861</v>
      </c>
      <c r="AE522">
        <v>2.0512600000000001</v>
      </c>
      <c r="AF522">
        <f>-(Table7392[[#This Row],[time]]-2)*2</f>
        <v>-0.10252000000000017</v>
      </c>
      <c r="AG522">
        <v>79.754499999999993</v>
      </c>
      <c r="AH522">
        <v>20.737400000000001</v>
      </c>
      <c r="AI522">
        <f>Table7392[[#This Row],[CFNM]]/Table7392[[#This Row],[CAREA]]</f>
        <v>0.26001542232726682</v>
      </c>
      <c r="AJ522">
        <v>2.0512600000000001</v>
      </c>
      <c r="AK522">
        <f>-(Table8393[[#This Row],[time]]-2)*2</f>
        <v>-0.10252000000000017</v>
      </c>
      <c r="AL522">
        <v>86.545299999999997</v>
      </c>
      <c r="AM522">
        <v>18.159400000000002</v>
      </c>
      <c r="AN522">
        <f>Table8393[[#This Row],[CFNM]]/Table8393[[#This Row],[CAREA]]</f>
        <v>0.20982537468816911</v>
      </c>
    </row>
    <row r="523" spans="1:40" x14ac:dyDescent="0.25">
      <c r="A523">
        <v>2.1153300000000002</v>
      </c>
      <c r="B523">
        <f>-(Table1386[[#This Row],[time]]-2)*2</f>
        <v>-0.23066000000000031</v>
      </c>
      <c r="C523">
        <v>90.575400000000002</v>
      </c>
      <c r="D523">
        <v>11.2281</v>
      </c>
      <c r="E523">
        <f>Table1386[[#This Row],[CFNM]]/Table1386[[#This Row],[CAREA]]</f>
        <v>0.12396412270881497</v>
      </c>
      <c r="F523">
        <v>2.1153300000000002</v>
      </c>
      <c r="G523">
        <f>-(Table2387[[#This Row],[time]]-2)*2</f>
        <v>-0.23066000000000031</v>
      </c>
      <c r="H523">
        <v>92.799199999999999</v>
      </c>
      <c r="I523">
        <v>1.8792500000000001</v>
      </c>
      <c r="J523">
        <f>Table2387[[#This Row],[CFNM]]/Table2387[[#This Row],[CAREA]]</f>
        <v>2.0250713368218692E-2</v>
      </c>
      <c r="K523">
        <v>2.1153300000000002</v>
      </c>
      <c r="L523">
        <f>-(Table3388[[#This Row],[time]]-2)*2</f>
        <v>-0.23066000000000031</v>
      </c>
      <c r="M523">
        <v>89.9542</v>
      </c>
      <c r="N523">
        <v>4.7914899999999996</v>
      </c>
      <c r="O523">
        <f>Table3388[[#This Row],[CFNM]]/Table3388[[#This Row],[CAREA]]</f>
        <v>5.3265884194401147E-2</v>
      </c>
      <c r="P523">
        <v>2.1153300000000002</v>
      </c>
      <c r="Q523">
        <f>-(Table4389[[#This Row],[time]]-2)*2</f>
        <v>-0.23066000000000031</v>
      </c>
      <c r="R523">
        <v>81.941000000000003</v>
      </c>
      <c r="S523">
        <v>4.3458399999999999</v>
      </c>
      <c r="T523">
        <f>Table4389[[#This Row],[CFNM]]/Table4389[[#This Row],[CAREA]]</f>
        <v>5.3036208979631683E-2</v>
      </c>
      <c r="U523">
        <v>2.1153300000000002</v>
      </c>
      <c r="V523">
        <f>-(Table5390[[#This Row],[time]]-2)*2</f>
        <v>-0.23066000000000031</v>
      </c>
      <c r="W523">
        <v>83.774299999999997</v>
      </c>
      <c r="X523">
        <v>9.9403500000000005</v>
      </c>
      <c r="Y523">
        <f>Table5390[[#This Row],[CFNM]]/Table5390[[#This Row],[CAREA]]</f>
        <v>0.11865631822647281</v>
      </c>
      <c r="Z523">
        <v>2.1153300000000002</v>
      </c>
      <c r="AA523">
        <f>-(Table6391[[#This Row],[time]]-2)*2</f>
        <v>-0.23066000000000031</v>
      </c>
      <c r="AB523">
        <v>83.915599999999998</v>
      </c>
      <c r="AC523">
        <v>8.3461200000000009</v>
      </c>
      <c r="AD523">
        <f>Table6391[[#This Row],[CFNM]]/Table6391[[#This Row],[CAREA]]</f>
        <v>9.9458503544037111E-2</v>
      </c>
      <c r="AE523">
        <v>2.1153300000000002</v>
      </c>
      <c r="AF523">
        <f>-(Table7392[[#This Row],[time]]-2)*2</f>
        <v>-0.23066000000000031</v>
      </c>
      <c r="AG523">
        <v>79.949200000000005</v>
      </c>
      <c r="AH523">
        <v>21.6965</v>
      </c>
      <c r="AI523">
        <f>Table7392[[#This Row],[CFNM]]/Table7392[[#This Row],[CAREA]]</f>
        <v>0.27137857539537608</v>
      </c>
      <c r="AJ523">
        <v>2.1153300000000002</v>
      </c>
      <c r="AK523">
        <f>-(Table8393[[#This Row],[time]]-2)*2</f>
        <v>-0.23066000000000031</v>
      </c>
      <c r="AL523">
        <v>83.915599999999998</v>
      </c>
      <c r="AM523">
        <v>17.504200000000001</v>
      </c>
      <c r="AN523">
        <f>Table8393[[#This Row],[CFNM]]/Table8393[[#This Row],[CAREA]]</f>
        <v>0.20859291955250278</v>
      </c>
    </row>
    <row r="524" spans="1:40" x14ac:dyDescent="0.25">
      <c r="A524">
        <v>2.16533</v>
      </c>
      <c r="B524">
        <f>-(Table1386[[#This Row],[time]]-2)*2</f>
        <v>-0.33065999999999995</v>
      </c>
      <c r="C524">
        <v>91.782399999999996</v>
      </c>
      <c r="D524">
        <v>12.7234</v>
      </c>
      <c r="E524">
        <f>Table1386[[#This Row],[CFNM]]/Table1386[[#This Row],[CAREA]]</f>
        <v>0.13862570601771146</v>
      </c>
      <c r="F524">
        <v>2.16533</v>
      </c>
      <c r="G524">
        <f>-(Table2387[[#This Row],[time]]-2)*2</f>
        <v>-0.33065999999999995</v>
      </c>
      <c r="H524">
        <v>91.094099999999997</v>
      </c>
      <c r="I524">
        <v>1.72881</v>
      </c>
      <c r="J524">
        <f>Table2387[[#This Row],[CFNM]]/Table2387[[#This Row],[CAREA]]</f>
        <v>1.8978287287541126E-2</v>
      </c>
      <c r="K524">
        <v>2.16533</v>
      </c>
      <c r="L524">
        <f>-(Table3388[[#This Row],[time]]-2)*2</f>
        <v>-0.33065999999999995</v>
      </c>
      <c r="M524">
        <v>90.490300000000005</v>
      </c>
      <c r="N524">
        <v>7.0175900000000002</v>
      </c>
      <c r="O524">
        <f>Table3388[[#This Row],[CFNM]]/Table3388[[#This Row],[CAREA]]</f>
        <v>7.7550743007814102E-2</v>
      </c>
      <c r="P524">
        <v>2.16533</v>
      </c>
      <c r="Q524">
        <f>-(Table4389[[#This Row],[time]]-2)*2</f>
        <v>-0.33065999999999995</v>
      </c>
      <c r="R524">
        <v>80.708799999999997</v>
      </c>
      <c r="S524">
        <v>4.5280100000000001</v>
      </c>
      <c r="T524">
        <f>Table4389[[#This Row],[CFNM]]/Table4389[[#This Row],[CAREA]]</f>
        <v>5.6103051959637613E-2</v>
      </c>
      <c r="U524">
        <v>2.16533</v>
      </c>
      <c r="V524">
        <f>-(Table5390[[#This Row],[time]]-2)*2</f>
        <v>-0.33065999999999995</v>
      </c>
      <c r="W524">
        <v>84.249499999999998</v>
      </c>
      <c r="X524">
        <v>11.688499999999999</v>
      </c>
      <c r="Y524">
        <f>Table5390[[#This Row],[CFNM]]/Table5390[[#This Row],[CAREA]]</f>
        <v>0.13873672840788373</v>
      </c>
      <c r="Z524">
        <v>2.16533</v>
      </c>
      <c r="AA524">
        <f>-(Table6391[[#This Row],[time]]-2)*2</f>
        <v>-0.33065999999999995</v>
      </c>
      <c r="AB524">
        <v>83.437600000000003</v>
      </c>
      <c r="AC524">
        <v>5.6787400000000003</v>
      </c>
      <c r="AD524">
        <f>Table6391[[#This Row],[CFNM]]/Table6391[[#This Row],[CAREA]]</f>
        <v>6.8059723673739414E-2</v>
      </c>
      <c r="AE524">
        <v>2.16533</v>
      </c>
      <c r="AF524">
        <f>-(Table7392[[#This Row],[time]]-2)*2</f>
        <v>-0.33065999999999995</v>
      </c>
      <c r="AG524">
        <v>80.549899999999994</v>
      </c>
      <c r="AH524">
        <v>23.4054</v>
      </c>
      <c r="AI524">
        <f>Table7392[[#This Row],[CFNM]]/Table7392[[#This Row],[CAREA]]</f>
        <v>0.29057019313493876</v>
      </c>
      <c r="AJ524">
        <v>2.16533</v>
      </c>
      <c r="AK524">
        <f>-(Table8393[[#This Row],[time]]-2)*2</f>
        <v>-0.33065999999999995</v>
      </c>
      <c r="AL524">
        <v>83.437600000000003</v>
      </c>
      <c r="AM524">
        <v>16.5319</v>
      </c>
      <c r="AN524">
        <f>Table8393[[#This Row],[CFNM]]/Table8393[[#This Row],[CAREA]]</f>
        <v>0.19813489362110126</v>
      </c>
    </row>
    <row r="525" spans="1:40" x14ac:dyDescent="0.25">
      <c r="A525">
        <v>2.2246999999999999</v>
      </c>
      <c r="B525">
        <f>-(Table1386[[#This Row],[time]]-2)*2</f>
        <v>-0.4493999999999998</v>
      </c>
      <c r="C525">
        <v>94.113299999999995</v>
      </c>
      <c r="D525">
        <v>14.023300000000001</v>
      </c>
      <c r="E525">
        <f>Table1386[[#This Row],[CFNM]]/Table1386[[#This Row],[CAREA]]</f>
        <v>0.14900444464278695</v>
      </c>
      <c r="F525">
        <v>2.2246999999999999</v>
      </c>
      <c r="G525">
        <f>-(Table2387[[#This Row],[time]]-2)*2</f>
        <v>-0.4493999999999998</v>
      </c>
      <c r="H525">
        <v>89.811700000000002</v>
      </c>
      <c r="I525">
        <v>1.55114</v>
      </c>
      <c r="J525">
        <f>Table2387[[#This Row],[CFNM]]/Table2387[[#This Row],[CAREA]]</f>
        <v>1.7271023708492324E-2</v>
      </c>
      <c r="K525">
        <v>2.2246999999999999</v>
      </c>
      <c r="L525">
        <f>-(Table3388[[#This Row],[time]]-2)*2</f>
        <v>-0.4493999999999998</v>
      </c>
      <c r="M525">
        <v>90.613100000000003</v>
      </c>
      <c r="N525">
        <v>8.8657199999999996</v>
      </c>
      <c r="O525">
        <f>Table3388[[#This Row],[CFNM]]/Table3388[[#This Row],[CAREA]]</f>
        <v>9.7841482081509182E-2</v>
      </c>
      <c r="P525">
        <v>2.2246999999999999</v>
      </c>
      <c r="Q525">
        <f>-(Table4389[[#This Row],[time]]-2)*2</f>
        <v>-0.4493999999999998</v>
      </c>
      <c r="R525">
        <v>79.902000000000001</v>
      </c>
      <c r="S525">
        <v>4.7096600000000004</v>
      </c>
      <c r="T525">
        <f>Table4389[[#This Row],[CFNM]]/Table4389[[#This Row],[CAREA]]</f>
        <v>5.8942955120022032E-2</v>
      </c>
      <c r="U525">
        <v>2.2246999999999999</v>
      </c>
      <c r="V525">
        <f>-(Table5390[[#This Row],[time]]-2)*2</f>
        <v>-0.4493999999999998</v>
      </c>
      <c r="W525">
        <v>84.349900000000005</v>
      </c>
      <c r="X525">
        <v>13.412100000000001</v>
      </c>
      <c r="Y525">
        <f>Table5390[[#This Row],[CFNM]]/Table5390[[#This Row],[CAREA]]</f>
        <v>0.15900552342089319</v>
      </c>
      <c r="Z525">
        <v>2.2246999999999999</v>
      </c>
      <c r="AA525">
        <f>-(Table6391[[#This Row],[time]]-2)*2</f>
        <v>-0.4493999999999998</v>
      </c>
      <c r="AB525">
        <v>82.037499999999994</v>
      </c>
      <c r="AC525">
        <v>4.6865699999999997</v>
      </c>
      <c r="AD525">
        <f>Table6391[[#This Row],[CFNM]]/Table6391[[#This Row],[CAREA]]</f>
        <v>5.7127167453908272E-2</v>
      </c>
      <c r="AE525">
        <v>2.2246999999999999</v>
      </c>
      <c r="AF525">
        <f>-(Table7392[[#This Row],[time]]-2)*2</f>
        <v>-0.4493999999999998</v>
      </c>
      <c r="AG525">
        <v>80.338899999999995</v>
      </c>
      <c r="AH525">
        <v>24.8188</v>
      </c>
      <c r="AI525">
        <f>Table7392[[#This Row],[CFNM]]/Table7392[[#This Row],[CAREA]]</f>
        <v>0.30892631091538469</v>
      </c>
      <c r="AJ525">
        <v>2.2246999999999999</v>
      </c>
      <c r="AK525">
        <f>-(Table8393[[#This Row],[time]]-2)*2</f>
        <v>-0.4493999999999998</v>
      </c>
      <c r="AL525">
        <v>82.037499999999994</v>
      </c>
      <c r="AM525">
        <v>15.784000000000001</v>
      </c>
      <c r="AN525">
        <f>Table8393[[#This Row],[CFNM]]/Table8393[[#This Row],[CAREA]]</f>
        <v>0.19239981715678808</v>
      </c>
    </row>
    <row r="526" spans="1:40" x14ac:dyDescent="0.25">
      <c r="A526">
        <v>2.2668900000000001</v>
      </c>
      <c r="B526">
        <f>-(Table1386[[#This Row],[time]]-2)*2</f>
        <v>-0.53378000000000014</v>
      </c>
      <c r="C526">
        <v>96.248599999999996</v>
      </c>
      <c r="D526">
        <v>16.383099999999999</v>
      </c>
      <c r="E526">
        <f>Table1386[[#This Row],[CFNM]]/Table1386[[#This Row],[CAREA]]</f>
        <v>0.17021650185041651</v>
      </c>
      <c r="F526">
        <v>2.2668900000000001</v>
      </c>
      <c r="G526">
        <f>-(Table2387[[#This Row],[time]]-2)*2</f>
        <v>-0.53378000000000014</v>
      </c>
      <c r="H526">
        <v>88.9726</v>
      </c>
      <c r="I526">
        <v>1.28461</v>
      </c>
      <c r="J526">
        <f>Table2387[[#This Row],[CFNM]]/Table2387[[#This Row],[CAREA]]</f>
        <v>1.4438265263687923E-2</v>
      </c>
      <c r="K526">
        <v>2.2668900000000001</v>
      </c>
      <c r="L526">
        <f>-(Table3388[[#This Row],[time]]-2)*2</f>
        <v>-0.53378000000000014</v>
      </c>
      <c r="M526">
        <v>90.081299999999999</v>
      </c>
      <c r="N526">
        <v>11.325799999999999</v>
      </c>
      <c r="O526">
        <f>Table3388[[#This Row],[CFNM]]/Table3388[[#This Row],[CAREA]]</f>
        <v>0.12572864734412137</v>
      </c>
      <c r="P526">
        <v>2.2668900000000001</v>
      </c>
      <c r="Q526">
        <f>-(Table4389[[#This Row],[time]]-2)*2</f>
        <v>-0.53378000000000014</v>
      </c>
      <c r="R526">
        <v>78.690899999999999</v>
      </c>
      <c r="S526">
        <v>4.8574700000000002</v>
      </c>
      <c r="T526">
        <f>Table4389[[#This Row],[CFNM]]/Table4389[[#This Row],[CAREA]]</f>
        <v>6.1728484488041184E-2</v>
      </c>
      <c r="U526">
        <v>2.2668900000000001</v>
      </c>
      <c r="V526">
        <f>-(Table5390[[#This Row],[time]]-2)*2</f>
        <v>-0.53378000000000014</v>
      </c>
      <c r="W526">
        <v>84.679199999999994</v>
      </c>
      <c r="X526">
        <v>15.9956</v>
      </c>
      <c r="Y526">
        <f>Table5390[[#This Row],[CFNM]]/Table5390[[#This Row],[CAREA]]</f>
        <v>0.18889644682519438</v>
      </c>
      <c r="Z526">
        <v>2.2668900000000001</v>
      </c>
      <c r="AA526">
        <f>-(Table6391[[#This Row],[time]]-2)*2</f>
        <v>-0.53378000000000014</v>
      </c>
      <c r="AB526">
        <v>80.216999999999999</v>
      </c>
      <c r="AC526">
        <v>3.76206</v>
      </c>
      <c r="AD526">
        <f>Table6391[[#This Row],[CFNM]]/Table6391[[#This Row],[CAREA]]</f>
        <v>4.6898537716444144E-2</v>
      </c>
      <c r="AE526">
        <v>2.2668900000000001</v>
      </c>
      <c r="AF526">
        <f>-(Table7392[[#This Row],[time]]-2)*2</f>
        <v>-0.53378000000000014</v>
      </c>
      <c r="AG526">
        <v>79.347499999999997</v>
      </c>
      <c r="AH526">
        <v>27.142700000000001</v>
      </c>
      <c r="AI526">
        <f>Table7392[[#This Row],[CFNM]]/Table7392[[#This Row],[CAREA]]</f>
        <v>0.3420737893443398</v>
      </c>
      <c r="AJ526">
        <v>2.2668900000000001</v>
      </c>
      <c r="AK526">
        <f>-(Table8393[[#This Row],[time]]-2)*2</f>
        <v>-0.53378000000000014</v>
      </c>
      <c r="AL526">
        <v>80.216999999999999</v>
      </c>
      <c r="AM526">
        <v>14.763999999999999</v>
      </c>
      <c r="AN526">
        <f>Table8393[[#This Row],[CFNM]]/Table8393[[#This Row],[CAREA]]</f>
        <v>0.1840507623072416</v>
      </c>
    </row>
    <row r="527" spans="1:40" x14ac:dyDescent="0.25">
      <c r="A527">
        <v>2.3262700000000001</v>
      </c>
      <c r="B527">
        <f>-(Table1386[[#This Row],[time]]-2)*2</f>
        <v>-0.65254000000000012</v>
      </c>
      <c r="C527">
        <v>98.221800000000002</v>
      </c>
      <c r="D527">
        <v>18.973199999999999</v>
      </c>
      <c r="E527">
        <f>Table1386[[#This Row],[CFNM]]/Table1386[[#This Row],[CAREA]]</f>
        <v>0.19316689370384169</v>
      </c>
      <c r="F527">
        <v>2.3262700000000001</v>
      </c>
      <c r="G527">
        <f>-(Table2387[[#This Row],[time]]-2)*2</f>
        <v>-0.65254000000000012</v>
      </c>
      <c r="H527">
        <v>87.770899999999997</v>
      </c>
      <c r="I527">
        <v>1.0375799999999999</v>
      </c>
      <c r="J527">
        <f>Table2387[[#This Row],[CFNM]]/Table2387[[#This Row],[CAREA]]</f>
        <v>1.1821457909170351E-2</v>
      </c>
      <c r="K527">
        <v>2.3262700000000001</v>
      </c>
      <c r="L527">
        <f>-(Table3388[[#This Row],[time]]-2)*2</f>
        <v>-0.65254000000000012</v>
      </c>
      <c r="M527">
        <v>89.335800000000006</v>
      </c>
      <c r="N527">
        <v>13.689299999999999</v>
      </c>
      <c r="O527">
        <f>Table3388[[#This Row],[CFNM]]/Table3388[[#This Row],[CAREA]]</f>
        <v>0.15323420174219068</v>
      </c>
      <c r="P527">
        <v>2.3262700000000001</v>
      </c>
      <c r="Q527">
        <f>-(Table4389[[#This Row],[time]]-2)*2</f>
        <v>-0.65254000000000012</v>
      </c>
      <c r="R527">
        <v>78.286699999999996</v>
      </c>
      <c r="S527">
        <v>5.0167099999999998</v>
      </c>
      <c r="T527">
        <f>Table4389[[#This Row],[CFNM]]/Table4389[[#This Row],[CAREA]]</f>
        <v>6.4081255181275998E-2</v>
      </c>
      <c r="U527">
        <v>2.3262700000000001</v>
      </c>
      <c r="V527">
        <f>-(Table5390[[#This Row],[time]]-2)*2</f>
        <v>-0.65254000000000012</v>
      </c>
      <c r="W527">
        <v>84.554000000000002</v>
      </c>
      <c r="X527">
        <v>18.591100000000001</v>
      </c>
      <c r="Y527">
        <f>Table5390[[#This Row],[CFNM]]/Table5390[[#This Row],[CAREA]]</f>
        <v>0.21987250750999363</v>
      </c>
      <c r="Z527">
        <v>2.3262700000000001</v>
      </c>
      <c r="AA527">
        <f>-(Table6391[[#This Row],[time]]-2)*2</f>
        <v>-0.65254000000000012</v>
      </c>
      <c r="AB527">
        <v>79.906800000000004</v>
      </c>
      <c r="AC527">
        <v>3.1905399999999999</v>
      </c>
      <c r="AD527">
        <f>Table6391[[#This Row],[CFNM]]/Table6391[[#This Row],[CAREA]]</f>
        <v>3.99282664303914E-2</v>
      </c>
      <c r="AE527">
        <v>2.3262700000000001</v>
      </c>
      <c r="AF527">
        <f>-(Table7392[[#This Row],[time]]-2)*2</f>
        <v>-0.65254000000000012</v>
      </c>
      <c r="AG527">
        <v>78.045500000000004</v>
      </c>
      <c r="AH527">
        <v>29.741900000000001</v>
      </c>
      <c r="AI527">
        <f>Table7392[[#This Row],[CFNM]]/Table7392[[#This Row],[CAREA]]</f>
        <v>0.3810841111915485</v>
      </c>
      <c r="AJ527">
        <v>2.3262700000000001</v>
      </c>
      <c r="AK527">
        <f>-(Table8393[[#This Row],[time]]-2)*2</f>
        <v>-0.65254000000000012</v>
      </c>
      <c r="AL527">
        <v>79.906800000000004</v>
      </c>
      <c r="AM527">
        <v>14.067399999999999</v>
      </c>
      <c r="AN527">
        <f>Table8393[[#This Row],[CFNM]]/Table8393[[#This Row],[CAREA]]</f>
        <v>0.17604759544869772</v>
      </c>
    </row>
    <row r="528" spans="1:40" x14ac:dyDescent="0.25">
      <c r="A528">
        <v>2.3684599999999998</v>
      </c>
      <c r="B528">
        <f>-(Table1386[[#This Row],[time]]-2)*2</f>
        <v>-0.73691999999999958</v>
      </c>
      <c r="C528">
        <v>99.288600000000002</v>
      </c>
      <c r="D528">
        <v>21.468499999999999</v>
      </c>
      <c r="E528">
        <f>Table1386[[#This Row],[CFNM]]/Table1386[[#This Row],[CAREA]]</f>
        <v>0.21622321192966765</v>
      </c>
      <c r="F528">
        <v>2.3684599999999998</v>
      </c>
      <c r="G528">
        <f>-(Table2387[[#This Row],[time]]-2)*2</f>
        <v>-0.73691999999999958</v>
      </c>
      <c r="H528">
        <v>86.400700000000001</v>
      </c>
      <c r="I528">
        <v>0.95168799999999998</v>
      </c>
      <c r="J528">
        <f>Table2387[[#This Row],[CFNM]]/Table2387[[#This Row],[CAREA]]</f>
        <v>1.1014818166982443E-2</v>
      </c>
      <c r="K528">
        <v>2.3684599999999998</v>
      </c>
      <c r="L528">
        <f>-(Table3388[[#This Row],[time]]-2)*2</f>
        <v>-0.73691999999999958</v>
      </c>
      <c r="M528">
        <v>88.546800000000005</v>
      </c>
      <c r="N528">
        <v>15.8415</v>
      </c>
      <c r="O528">
        <f>Table3388[[#This Row],[CFNM]]/Table3388[[#This Row],[CAREA]]</f>
        <v>0.17890539240266162</v>
      </c>
      <c r="P528">
        <v>2.3684599999999998</v>
      </c>
      <c r="Q528">
        <f>-(Table4389[[#This Row],[time]]-2)*2</f>
        <v>-0.73691999999999958</v>
      </c>
      <c r="R528">
        <v>76.864199999999997</v>
      </c>
      <c r="S528">
        <v>5.1452999999999998</v>
      </c>
      <c r="T528">
        <f>Table4389[[#This Row],[CFNM]]/Table4389[[#This Row],[CAREA]]</f>
        <v>6.6940135980079155E-2</v>
      </c>
      <c r="U528">
        <v>2.3684599999999998</v>
      </c>
      <c r="V528">
        <f>-(Table5390[[#This Row],[time]]-2)*2</f>
        <v>-0.73691999999999958</v>
      </c>
      <c r="W528">
        <v>84.3767</v>
      </c>
      <c r="X528">
        <v>20.994199999999999</v>
      </c>
      <c r="Y528">
        <f>Table5390[[#This Row],[CFNM]]/Table5390[[#This Row],[CAREA]]</f>
        <v>0.24881513498394697</v>
      </c>
      <c r="Z528">
        <v>2.3684599999999998</v>
      </c>
      <c r="AA528">
        <f>-(Table6391[[#This Row],[time]]-2)*2</f>
        <v>-0.73691999999999958</v>
      </c>
      <c r="AB528">
        <v>78.380300000000005</v>
      </c>
      <c r="AC528">
        <v>2.8189600000000001</v>
      </c>
      <c r="AD528">
        <f>Table6391[[#This Row],[CFNM]]/Table6391[[#This Row],[CAREA]]</f>
        <v>3.5965159612810868E-2</v>
      </c>
      <c r="AE528">
        <v>2.3684599999999998</v>
      </c>
      <c r="AF528">
        <f>-(Table7392[[#This Row],[time]]-2)*2</f>
        <v>-0.73691999999999958</v>
      </c>
      <c r="AG528">
        <v>76.853399999999993</v>
      </c>
      <c r="AH528">
        <v>32.135199999999998</v>
      </c>
      <c r="AI528">
        <f>Table7392[[#This Row],[CFNM]]/Table7392[[#This Row],[CAREA]]</f>
        <v>0.41813634790393139</v>
      </c>
      <c r="AJ528">
        <v>2.3684599999999998</v>
      </c>
      <c r="AK528">
        <f>-(Table8393[[#This Row],[time]]-2)*2</f>
        <v>-0.73691999999999958</v>
      </c>
      <c r="AL528">
        <v>78.380300000000005</v>
      </c>
      <c r="AM528">
        <v>13.4533</v>
      </c>
      <c r="AN528">
        <f>Table8393[[#This Row],[CFNM]]/Table8393[[#This Row],[CAREA]]</f>
        <v>0.1716413435518874</v>
      </c>
    </row>
    <row r="529" spans="1:40" x14ac:dyDescent="0.25">
      <c r="A529">
        <v>2.4278300000000002</v>
      </c>
      <c r="B529">
        <f>-(Table1386[[#This Row],[time]]-2)*2</f>
        <v>-0.85566000000000031</v>
      </c>
      <c r="C529">
        <v>100.536</v>
      </c>
      <c r="D529">
        <v>25.6831</v>
      </c>
      <c r="E529">
        <f>Table1386[[#This Row],[CFNM]]/Table1386[[#This Row],[CAREA]]</f>
        <v>0.25546172515317894</v>
      </c>
      <c r="F529">
        <v>2.4278300000000002</v>
      </c>
      <c r="G529">
        <f>-(Table2387[[#This Row],[time]]-2)*2</f>
        <v>-0.85566000000000031</v>
      </c>
      <c r="H529">
        <v>85.194199999999995</v>
      </c>
      <c r="I529">
        <v>0.88134999999999997</v>
      </c>
      <c r="J529">
        <f>Table2387[[#This Row],[CFNM]]/Table2387[[#This Row],[CAREA]]</f>
        <v>1.0345187817950048E-2</v>
      </c>
      <c r="K529">
        <v>2.4278300000000002</v>
      </c>
      <c r="L529">
        <f>-(Table3388[[#This Row],[time]]-2)*2</f>
        <v>-0.85566000000000031</v>
      </c>
      <c r="M529">
        <v>86.944100000000006</v>
      </c>
      <c r="N529">
        <v>19.879799999999999</v>
      </c>
      <c r="O529">
        <f>Table3388[[#This Row],[CFNM]]/Table3388[[#This Row],[CAREA]]</f>
        <v>0.2286503627043123</v>
      </c>
      <c r="P529">
        <v>2.4278300000000002</v>
      </c>
      <c r="Q529">
        <f>-(Table4389[[#This Row],[time]]-2)*2</f>
        <v>-0.85566000000000031</v>
      </c>
      <c r="R529">
        <v>74.936400000000006</v>
      </c>
      <c r="S529">
        <v>5.2763600000000004</v>
      </c>
      <c r="T529">
        <f>Table4389[[#This Row],[CFNM]]/Table4389[[#This Row],[CAREA]]</f>
        <v>7.0411175343357835E-2</v>
      </c>
      <c r="U529">
        <v>2.4278300000000002</v>
      </c>
      <c r="V529">
        <f>-(Table5390[[#This Row],[time]]-2)*2</f>
        <v>-0.85566000000000031</v>
      </c>
      <c r="W529">
        <v>84.447599999999994</v>
      </c>
      <c r="X529">
        <v>24.856400000000001</v>
      </c>
      <c r="Y529">
        <f>Table5390[[#This Row],[CFNM]]/Table5390[[#This Row],[CAREA]]</f>
        <v>0.29434110620076831</v>
      </c>
      <c r="Z529">
        <v>2.4278300000000002</v>
      </c>
      <c r="AA529">
        <f>-(Table6391[[#This Row],[time]]-2)*2</f>
        <v>-0.85566000000000031</v>
      </c>
      <c r="AB529">
        <v>76.523200000000003</v>
      </c>
      <c r="AC529">
        <v>2.4959199999999999</v>
      </c>
      <c r="AD529">
        <f>Table6391[[#This Row],[CFNM]]/Table6391[[#This Row],[CAREA]]</f>
        <v>3.2616513684738745E-2</v>
      </c>
      <c r="AE529">
        <v>2.4278300000000002</v>
      </c>
      <c r="AF529">
        <f>-(Table7392[[#This Row],[time]]-2)*2</f>
        <v>-0.85566000000000031</v>
      </c>
      <c r="AG529">
        <v>75.116600000000005</v>
      </c>
      <c r="AH529">
        <v>36.021599999999999</v>
      </c>
      <c r="AI529">
        <f>Table7392[[#This Row],[CFNM]]/Table7392[[#This Row],[CAREA]]</f>
        <v>0.47954247130461169</v>
      </c>
      <c r="AJ529">
        <v>2.4278300000000002</v>
      </c>
      <c r="AK529">
        <f>-(Table8393[[#This Row],[time]]-2)*2</f>
        <v>-0.85566000000000031</v>
      </c>
      <c r="AL529">
        <v>76.523200000000003</v>
      </c>
      <c r="AM529">
        <v>12.3489</v>
      </c>
      <c r="AN529">
        <f>Table8393[[#This Row],[CFNM]]/Table8393[[#This Row],[CAREA]]</f>
        <v>0.16137458966692453</v>
      </c>
    </row>
    <row r="530" spans="1:40" x14ac:dyDescent="0.25">
      <c r="A530">
        <v>2.4542000000000002</v>
      </c>
      <c r="B530">
        <f>-(Table1386[[#This Row],[time]]-2)*2</f>
        <v>-0.90840000000000032</v>
      </c>
      <c r="C530">
        <v>100.926</v>
      </c>
      <c r="D530">
        <v>29.021899999999999</v>
      </c>
      <c r="E530">
        <f>Table1386[[#This Row],[CFNM]]/Table1386[[#This Row],[CAREA]]</f>
        <v>0.28755622931652891</v>
      </c>
      <c r="F530">
        <v>2.4542000000000002</v>
      </c>
      <c r="G530">
        <f>-(Table2387[[#This Row],[time]]-2)*2</f>
        <v>-0.90840000000000032</v>
      </c>
      <c r="H530">
        <v>84.212199999999996</v>
      </c>
      <c r="I530">
        <v>0.72660599999999997</v>
      </c>
      <c r="J530">
        <f>Table2387[[#This Row],[CFNM]]/Table2387[[#This Row],[CAREA]]</f>
        <v>8.6282747630390851E-3</v>
      </c>
      <c r="K530">
        <v>2.4542000000000002</v>
      </c>
      <c r="L530">
        <f>-(Table3388[[#This Row],[time]]-2)*2</f>
        <v>-0.90840000000000032</v>
      </c>
      <c r="M530">
        <v>85.975999999999999</v>
      </c>
      <c r="N530">
        <v>22.849699999999999</v>
      </c>
      <c r="O530">
        <f>Table3388[[#This Row],[CFNM]]/Table3388[[#This Row],[CAREA]]</f>
        <v>0.26576835395924442</v>
      </c>
      <c r="P530">
        <v>2.4542000000000002</v>
      </c>
      <c r="Q530">
        <f>-(Table4389[[#This Row],[time]]-2)*2</f>
        <v>-0.90840000000000032</v>
      </c>
      <c r="R530">
        <v>74.378100000000003</v>
      </c>
      <c r="S530">
        <v>5.3102400000000003</v>
      </c>
      <c r="T530">
        <f>Table4389[[#This Row],[CFNM]]/Table4389[[#This Row],[CAREA]]</f>
        <v>7.139520907363861E-2</v>
      </c>
      <c r="U530">
        <v>2.4542000000000002</v>
      </c>
      <c r="V530">
        <f>-(Table5390[[#This Row],[time]]-2)*2</f>
        <v>-0.90840000000000032</v>
      </c>
      <c r="W530">
        <v>83.9559</v>
      </c>
      <c r="X530">
        <v>27.432600000000001</v>
      </c>
      <c r="Y530">
        <f>Table5390[[#This Row],[CFNM]]/Table5390[[#This Row],[CAREA]]</f>
        <v>0.32675011523907194</v>
      </c>
      <c r="Z530">
        <v>2.4542000000000002</v>
      </c>
      <c r="AA530">
        <f>-(Table6391[[#This Row],[time]]-2)*2</f>
        <v>-0.90840000000000032</v>
      </c>
      <c r="AB530">
        <v>74.989500000000007</v>
      </c>
      <c r="AC530">
        <v>2.3255599999999998</v>
      </c>
      <c r="AD530">
        <f>Table6391[[#This Row],[CFNM]]/Table6391[[#This Row],[CAREA]]</f>
        <v>3.1011808319831437E-2</v>
      </c>
      <c r="AE530">
        <v>2.4542000000000002</v>
      </c>
      <c r="AF530">
        <f>-(Table7392[[#This Row],[time]]-2)*2</f>
        <v>-0.90840000000000032</v>
      </c>
      <c r="AG530">
        <v>74.145799999999994</v>
      </c>
      <c r="AH530">
        <v>38.506900000000002</v>
      </c>
      <c r="AI530">
        <f>Table7392[[#This Row],[CFNM]]/Table7392[[#This Row],[CAREA]]</f>
        <v>0.51934027281383444</v>
      </c>
      <c r="AJ530">
        <v>2.4542000000000002</v>
      </c>
      <c r="AK530">
        <f>-(Table8393[[#This Row],[time]]-2)*2</f>
        <v>-0.90840000000000032</v>
      </c>
      <c r="AL530">
        <v>74.989500000000007</v>
      </c>
      <c r="AM530">
        <v>11.585599999999999</v>
      </c>
      <c r="AN530">
        <f>Table8393[[#This Row],[CFNM]]/Table8393[[#This Row],[CAREA]]</f>
        <v>0.15449629614812738</v>
      </c>
    </row>
    <row r="531" spans="1:40" x14ac:dyDescent="0.25">
      <c r="A531">
        <v>2.5061499999999999</v>
      </c>
      <c r="B531">
        <f>-(Table1386[[#This Row],[time]]-2)*2</f>
        <v>-1.0122999999999998</v>
      </c>
      <c r="C531">
        <v>101.004</v>
      </c>
      <c r="D531">
        <v>32.156999999999996</v>
      </c>
      <c r="E531">
        <f>Table1386[[#This Row],[CFNM]]/Table1386[[#This Row],[CAREA]]</f>
        <v>0.31837352976119754</v>
      </c>
      <c r="F531">
        <v>2.5061499999999999</v>
      </c>
      <c r="G531">
        <f>-(Table2387[[#This Row],[time]]-2)*2</f>
        <v>-1.0122999999999998</v>
      </c>
      <c r="H531">
        <v>82.893600000000006</v>
      </c>
      <c r="I531">
        <v>0.55942000000000003</v>
      </c>
      <c r="J531">
        <f>Table2387[[#This Row],[CFNM]]/Table2387[[#This Row],[CAREA]]</f>
        <v>6.7486512830906122E-3</v>
      </c>
      <c r="K531">
        <v>2.5061499999999999</v>
      </c>
      <c r="L531">
        <f>-(Table3388[[#This Row],[time]]-2)*2</f>
        <v>-1.0122999999999998</v>
      </c>
      <c r="M531">
        <v>85.051900000000003</v>
      </c>
      <c r="N531">
        <v>25.707599999999999</v>
      </c>
      <c r="O531">
        <f>Table3388[[#This Row],[CFNM]]/Table3388[[#This Row],[CAREA]]</f>
        <v>0.30225779788576151</v>
      </c>
      <c r="P531">
        <v>2.5061499999999999</v>
      </c>
      <c r="Q531">
        <f>-(Table4389[[#This Row],[time]]-2)*2</f>
        <v>-1.0122999999999998</v>
      </c>
      <c r="R531">
        <v>73.451899999999995</v>
      </c>
      <c r="S531">
        <v>5.3289299999999997</v>
      </c>
      <c r="T531">
        <f>Table4389[[#This Row],[CFNM]]/Table4389[[#This Row],[CAREA]]</f>
        <v>7.254992723129014E-2</v>
      </c>
      <c r="U531">
        <v>2.5061499999999999</v>
      </c>
      <c r="V531">
        <f>-(Table5390[[#This Row],[time]]-2)*2</f>
        <v>-1.0122999999999998</v>
      </c>
      <c r="W531">
        <v>84.029700000000005</v>
      </c>
      <c r="X531">
        <v>29.838799999999999</v>
      </c>
      <c r="Y531">
        <f>Table5390[[#This Row],[CFNM]]/Table5390[[#This Row],[CAREA]]</f>
        <v>0.35509825692582503</v>
      </c>
      <c r="Z531">
        <v>2.5061499999999999</v>
      </c>
      <c r="AA531">
        <f>-(Table6391[[#This Row],[time]]-2)*2</f>
        <v>-1.0122999999999998</v>
      </c>
      <c r="AB531">
        <v>74.277299999999997</v>
      </c>
      <c r="AC531">
        <v>2.12527</v>
      </c>
      <c r="AD531">
        <f>Table6391[[#This Row],[CFNM]]/Table6391[[#This Row],[CAREA]]</f>
        <v>2.8612644778418173E-2</v>
      </c>
      <c r="AE531">
        <v>2.5061499999999999</v>
      </c>
      <c r="AF531">
        <f>-(Table7392[[#This Row],[time]]-2)*2</f>
        <v>-1.0122999999999998</v>
      </c>
      <c r="AG531">
        <v>73.217699999999994</v>
      </c>
      <c r="AH531">
        <v>40.901899999999998</v>
      </c>
      <c r="AI531">
        <f>Table7392[[#This Row],[CFNM]]/Table7392[[#This Row],[CAREA]]</f>
        <v>0.5586340461391166</v>
      </c>
      <c r="AJ531">
        <v>2.5061499999999999</v>
      </c>
      <c r="AK531">
        <f>-(Table8393[[#This Row],[time]]-2)*2</f>
        <v>-1.0122999999999998</v>
      </c>
      <c r="AL531">
        <v>74.277299999999997</v>
      </c>
      <c r="AM531">
        <v>10.848599999999999</v>
      </c>
      <c r="AN531">
        <f>Table8393[[#This Row],[CFNM]]/Table8393[[#This Row],[CAREA]]</f>
        <v>0.1460553897354912</v>
      </c>
    </row>
    <row r="532" spans="1:40" x14ac:dyDescent="0.25">
      <c r="A532">
        <v>2.5507599999999999</v>
      </c>
      <c r="B532">
        <f>-(Table1386[[#This Row],[time]]-2)*2</f>
        <v>-1.1015199999999998</v>
      </c>
      <c r="C532">
        <v>101.09</v>
      </c>
      <c r="D532">
        <v>36.342399999999998</v>
      </c>
      <c r="E532">
        <f>Table1386[[#This Row],[CFNM]]/Table1386[[#This Row],[CAREA]]</f>
        <v>0.35950539123553266</v>
      </c>
      <c r="F532">
        <v>2.5507599999999999</v>
      </c>
      <c r="G532">
        <f>-(Table2387[[#This Row],[time]]-2)*2</f>
        <v>-1.1015199999999998</v>
      </c>
      <c r="H532">
        <v>82.272000000000006</v>
      </c>
      <c r="I532">
        <v>0.422317</v>
      </c>
      <c r="J532">
        <f>Table2387[[#This Row],[CFNM]]/Table2387[[#This Row],[CAREA]]</f>
        <v>5.1331801828082453E-3</v>
      </c>
      <c r="K532">
        <v>2.5507599999999999</v>
      </c>
      <c r="L532">
        <f>-(Table3388[[#This Row],[time]]-2)*2</f>
        <v>-1.1015199999999998</v>
      </c>
      <c r="M532">
        <v>83.773700000000005</v>
      </c>
      <c r="N532">
        <v>30.0791</v>
      </c>
      <c r="O532">
        <f>Table3388[[#This Row],[CFNM]]/Table3388[[#This Row],[CAREA]]</f>
        <v>0.35905182652789597</v>
      </c>
      <c r="P532">
        <v>2.5507599999999999</v>
      </c>
      <c r="Q532">
        <f>-(Table4389[[#This Row],[time]]-2)*2</f>
        <v>-1.1015199999999998</v>
      </c>
      <c r="R532">
        <v>72.410600000000002</v>
      </c>
      <c r="S532">
        <v>5.1062200000000004</v>
      </c>
      <c r="T532">
        <f>Table4389[[#This Row],[CFNM]]/Table4389[[#This Row],[CAREA]]</f>
        <v>7.0517576155977174E-2</v>
      </c>
      <c r="U532">
        <v>2.5507599999999999</v>
      </c>
      <c r="V532">
        <f>-(Table5390[[#This Row],[time]]-2)*2</f>
        <v>-1.1015199999999998</v>
      </c>
      <c r="W532">
        <v>83.628900000000002</v>
      </c>
      <c r="X532">
        <v>33.223100000000002</v>
      </c>
      <c r="Y532">
        <f>Table5390[[#This Row],[CFNM]]/Table5390[[#This Row],[CAREA]]</f>
        <v>0.39726816925727831</v>
      </c>
      <c r="Z532">
        <v>2.5507599999999999</v>
      </c>
      <c r="AA532">
        <f>-(Table6391[[#This Row],[time]]-2)*2</f>
        <v>-1.1015199999999998</v>
      </c>
      <c r="AB532">
        <v>72.100499999999997</v>
      </c>
      <c r="AC532">
        <v>1.7961</v>
      </c>
      <c r="AD532">
        <f>Table6391[[#This Row],[CFNM]]/Table6391[[#This Row],[CAREA]]</f>
        <v>2.4911061643123143E-2</v>
      </c>
      <c r="AE532">
        <v>2.5507599999999999</v>
      </c>
      <c r="AF532">
        <f>-(Table7392[[#This Row],[time]]-2)*2</f>
        <v>-1.1015199999999998</v>
      </c>
      <c r="AG532">
        <v>72.017899999999997</v>
      </c>
      <c r="AH532">
        <v>44.442900000000002</v>
      </c>
      <c r="AI532">
        <f>Table7392[[#This Row],[CFNM]]/Table7392[[#This Row],[CAREA]]</f>
        <v>0.61710907982598773</v>
      </c>
      <c r="AJ532">
        <v>2.5507599999999999</v>
      </c>
      <c r="AK532">
        <f>-(Table8393[[#This Row],[time]]-2)*2</f>
        <v>-1.1015199999999998</v>
      </c>
      <c r="AL532">
        <v>72.100499999999997</v>
      </c>
      <c r="AM532">
        <v>9.8731299999999997</v>
      </c>
      <c r="AN532">
        <f>Table8393[[#This Row],[CFNM]]/Table8393[[#This Row],[CAREA]]</f>
        <v>0.13693566618816791</v>
      </c>
    </row>
    <row r="533" spans="1:40" x14ac:dyDescent="0.25">
      <c r="A533">
        <v>2.60453</v>
      </c>
      <c r="B533">
        <f>-(Table1386[[#This Row],[time]]-2)*2</f>
        <v>-1.20906</v>
      </c>
      <c r="C533">
        <v>101.00700000000001</v>
      </c>
      <c r="D533">
        <v>39.4</v>
      </c>
      <c r="E533">
        <f>Table1386[[#This Row],[CFNM]]/Table1386[[#This Row],[CAREA]]</f>
        <v>0.39007197520963888</v>
      </c>
      <c r="F533">
        <v>2.60453</v>
      </c>
      <c r="G533">
        <f>-(Table2387[[#This Row],[time]]-2)*2</f>
        <v>-1.20906</v>
      </c>
      <c r="H533">
        <v>81.645700000000005</v>
      </c>
      <c r="I533">
        <v>0.33571600000000001</v>
      </c>
      <c r="J533">
        <f>Table2387[[#This Row],[CFNM]]/Table2387[[#This Row],[CAREA]]</f>
        <v>4.11186382136475E-3</v>
      </c>
      <c r="K533">
        <v>2.60453</v>
      </c>
      <c r="L533">
        <f>-(Table3388[[#This Row],[time]]-2)*2</f>
        <v>-1.20906</v>
      </c>
      <c r="M533">
        <v>82.943799999999996</v>
      </c>
      <c r="N533">
        <v>33.597299999999997</v>
      </c>
      <c r="O533">
        <f>Table3388[[#This Row],[CFNM]]/Table3388[[#This Row],[CAREA]]</f>
        <v>0.40506101721888793</v>
      </c>
      <c r="P533">
        <v>2.60453</v>
      </c>
      <c r="Q533">
        <f>-(Table4389[[#This Row],[time]]-2)*2</f>
        <v>-1.20906</v>
      </c>
      <c r="R533">
        <v>71.677300000000002</v>
      </c>
      <c r="S533">
        <v>4.7649699999999999</v>
      </c>
      <c r="T533">
        <f>Table4389[[#This Row],[CFNM]]/Table4389[[#This Row],[CAREA]]</f>
        <v>6.6478089995019335E-2</v>
      </c>
      <c r="U533">
        <v>2.60453</v>
      </c>
      <c r="V533">
        <f>-(Table5390[[#This Row],[time]]-2)*2</f>
        <v>-1.20906</v>
      </c>
      <c r="W533">
        <v>83.163399999999996</v>
      </c>
      <c r="X533">
        <v>35.841500000000003</v>
      </c>
      <c r="Y533">
        <f>Table5390[[#This Row],[CFNM]]/Table5390[[#This Row],[CAREA]]</f>
        <v>0.43097684798841807</v>
      </c>
      <c r="Z533">
        <v>2.60453</v>
      </c>
      <c r="AA533">
        <f>-(Table6391[[#This Row],[time]]-2)*2</f>
        <v>-1.20906</v>
      </c>
      <c r="AB533">
        <v>69.798000000000002</v>
      </c>
      <c r="AC533">
        <v>1.5512300000000001</v>
      </c>
      <c r="AD533">
        <f>Table6391[[#This Row],[CFNM]]/Table6391[[#This Row],[CAREA]]</f>
        <v>2.2224562308375599E-2</v>
      </c>
      <c r="AE533">
        <v>2.60453</v>
      </c>
      <c r="AF533">
        <f>-(Table7392[[#This Row],[time]]-2)*2</f>
        <v>-1.20906</v>
      </c>
      <c r="AG533">
        <v>71.116799999999998</v>
      </c>
      <c r="AH533">
        <v>47.219499999999996</v>
      </c>
      <c r="AI533">
        <f>Table7392[[#This Row],[CFNM]]/Table7392[[#This Row],[CAREA]]</f>
        <v>0.66397110106191504</v>
      </c>
      <c r="AJ533">
        <v>2.60453</v>
      </c>
      <c r="AK533">
        <f>-(Table8393[[#This Row],[time]]-2)*2</f>
        <v>-1.20906</v>
      </c>
      <c r="AL533">
        <v>69.798000000000002</v>
      </c>
      <c r="AM533">
        <v>9.0822099999999999</v>
      </c>
      <c r="AN533">
        <f>Table8393[[#This Row],[CFNM]]/Table8393[[#This Row],[CAREA]]</f>
        <v>0.13012135018195364</v>
      </c>
    </row>
    <row r="534" spans="1:40" x14ac:dyDescent="0.25">
      <c r="A534">
        <v>2.65273</v>
      </c>
      <c r="B534">
        <f>-(Table1386[[#This Row],[time]]-2)*2</f>
        <v>-1.3054600000000001</v>
      </c>
      <c r="C534">
        <v>100.669</v>
      </c>
      <c r="D534">
        <v>42.343499999999999</v>
      </c>
      <c r="E534">
        <f>Table1386[[#This Row],[CFNM]]/Table1386[[#This Row],[CAREA]]</f>
        <v>0.42062104520756144</v>
      </c>
      <c r="F534">
        <v>2.65273</v>
      </c>
      <c r="G534">
        <f>-(Table2387[[#This Row],[time]]-2)*2</f>
        <v>-1.3054600000000001</v>
      </c>
      <c r="H534">
        <v>79.428200000000004</v>
      </c>
      <c r="I534">
        <v>0.243421</v>
      </c>
      <c r="J534">
        <f>Table2387[[#This Row],[CFNM]]/Table2387[[#This Row],[CAREA]]</f>
        <v>3.064667208875437E-3</v>
      </c>
      <c r="K534">
        <v>2.65273</v>
      </c>
      <c r="L534">
        <f>-(Table3388[[#This Row],[time]]-2)*2</f>
        <v>-1.3054600000000001</v>
      </c>
      <c r="M534">
        <v>82.154300000000006</v>
      </c>
      <c r="N534">
        <v>36.954900000000002</v>
      </c>
      <c r="O534">
        <f>Table3388[[#This Row],[CFNM]]/Table3388[[#This Row],[CAREA]]</f>
        <v>0.44982307682008121</v>
      </c>
      <c r="P534">
        <v>2.65273</v>
      </c>
      <c r="Q534">
        <f>-(Table4389[[#This Row],[time]]-2)*2</f>
        <v>-1.3054600000000001</v>
      </c>
      <c r="R534">
        <v>68.569800000000001</v>
      </c>
      <c r="S534">
        <v>4.4466200000000002</v>
      </c>
      <c r="T534">
        <f>Table4389[[#This Row],[CFNM]]/Table4389[[#This Row],[CAREA]]</f>
        <v>6.4848081808609626E-2</v>
      </c>
      <c r="U534">
        <v>2.65273</v>
      </c>
      <c r="V534">
        <f>-(Table5390[[#This Row],[time]]-2)*2</f>
        <v>-1.3054600000000001</v>
      </c>
      <c r="W534">
        <v>82.779600000000002</v>
      </c>
      <c r="X534">
        <v>38.3874</v>
      </c>
      <c r="Y534">
        <f>Table5390[[#This Row],[CFNM]]/Table5390[[#This Row],[CAREA]]</f>
        <v>0.46373019439572066</v>
      </c>
      <c r="Z534">
        <v>2.65273</v>
      </c>
      <c r="AA534">
        <f>-(Table6391[[#This Row],[time]]-2)*2</f>
        <v>-1.3054600000000001</v>
      </c>
      <c r="AB534">
        <v>69.546899999999994</v>
      </c>
      <c r="AC534">
        <v>1.3198300000000001</v>
      </c>
      <c r="AD534">
        <f>Table6391[[#This Row],[CFNM]]/Table6391[[#This Row],[CAREA]]</f>
        <v>1.8977553276997253E-2</v>
      </c>
      <c r="AE534">
        <v>2.65273</v>
      </c>
      <c r="AF534">
        <f>-(Table7392[[#This Row],[time]]-2)*2</f>
        <v>-1.3054600000000001</v>
      </c>
      <c r="AG534">
        <v>70.309200000000004</v>
      </c>
      <c r="AH534">
        <v>49.844900000000003</v>
      </c>
      <c r="AI534">
        <f>Table7392[[#This Row],[CFNM]]/Table7392[[#This Row],[CAREA]]</f>
        <v>0.70893851729218937</v>
      </c>
      <c r="AJ534">
        <v>2.65273</v>
      </c>
      <c r="AK534">
        <f>-(Table8393[[#This Row],[time]]-2)*2</f>
        <v>-1.3054600000000001</v>
      </c>
      <c r="AL534">
        <v>69.546899999999994</v>
      </c>
      <c r="AM534">
        <v>8.2885299999999997</v>
      </c>
      <c r="AN534">
        <f>Table8393[[#This Row],[CFNM]]/Table8393[[#This Row],[CAREA]]</f>
        <v>0.11917900007045606</v>
      </c>
    </row>
    <row r="535" spans="1:40" x14ac:dyDescent="0.25">
      <c r="A535">
        <v>2.7006199999999998</v>
      </c>
      <c r="B535">
        <f>-(Table1386[[#This Row],[time]]-2)*2</f>
        <v>-1.4012399999999996</v>
      </c>
      <c r="C535">
        <v>100.19199999999999</v>
      </c>
      <c r="D535">
        <v>46.312800000000003</v>
      </c>
      <c r="E535">
        <f>Table1386[[#This Row],[CFNM]]/Table1386[[#This Row],[CAREA]]</f>
        <v>0.46224049824337277</v>
      </c>
      <c r="F535">
        <v>2.7006199999999998</v>
      </c>
      <c r="G535">
        <f>-(Table2387[[#This Row],[time]]-2)*2</f>
        <v>-1.4012399999999996</v>
      </c>
      <c r="H535">
        <v>77.891000000000005</v>
      </c>
      <c r="I535">
        <v>0.113748</v>
      </c>
      <c r="J535">
        <f>Table2387[[#This Row],[CFNM]]/Table2387[[#This Row],[CAREA]]</f>
        <v>1.4603484356344122E-3</v>
      </c>
      <c r="K535">
        <v>2.7006199999999998</v>
      </c>
      <c r="L535">
        <f>-(Table3388[[#This Row],[time]]-2)*2</f>
        <v>-1.4012399999999996</v>
      </c>
      <c r="M535">
        <v>81.134900000000002</v>
      </c>
      <c r="N535">
        <v>41.434899999999999</v>
      </c>
      <c r="O535">
        <f>Table3388[[#This Row],[CFNM]]/Table3388[[#This Row],[CAREA]]</f>
        <v>0.51069145336963495</v>
      </c>
      <c r="P535">
        <v>2.7006199999999998</v>
      </c>
      <c r="Q535">
        <f>-(Table4389[[#This Row],[time]]-2)*2</f>
        <v>-1.4012399999999996</v>
      </c>
      <c r="R535">
        <v>68.304299999999998</v>
      </c>
      <c r="S535">
        <v>4.0312900000000003</v>
      </c>
      <c r="T535">
        <f>Table4389[[#This Row],[CFNM]]/Table4389[[#This Row],[CAREA]]</f>
        <v>5.9019563922037124E-2</v>
      </c>
      <c r="U535">
        <v>2.7006199999999998</v>
      </c>
      <c r="V535">
        <f>-(Table5390[[#This Row],[time]]-2)*2</f>
        <v>-1.4012399999999996</v>
      </c>
      <c r="W535">
        <v>82.159899999999993</v>
      </c>
      <c r="X535">
        <v>41.8354</v>
      </c>
      <c r="Y535">
        <f>Table5390[[#This Row],[CFNM]]/Table5390[[#This Row],[CAREA]]</f>
        <v>0.50919487487204829</v>
      </c>
      <c r="Z535">
        <v>2.7006199999999998</v>
      </c>
      <c r="AA535">
        <f>-(Table6391[[#This Row],[time]]-2)*2</f>
        <v>-1.4012399999999996</v>
      </c>
      <c r="AB535">
        <v>68.154200000000003</v>
      </c>
      <c r="AC535">
        <v>1.0266500000000001</v>
      </c>
      <c r="AD535">
        <f>Table6391[[#This Row],[CFNM]]/Table6391[[#This Row],[CAREA]]</f>
        <v>1.5063635109795141E-2</v>
      </c>
      <c r="AE535">
        <v>2.7006199999999998</v>
      </c>
      <c r="AF535">
        <f>-(Table7392[[#This Row],[time]]-2)*2</f>
        <v>-1.4012399999999996</v>
      </c>
      <c r="AG535">
        <v>69.1751</v>
      </c>
      <c r="AH535">
        <v>53.396900000000002</v>
      </c>
      <c r="AI535">
        <f>Table7392[[#This Row],[CFNM]]/Table7392[[#This Row],[CAREA]]</f>
        <v>0.77190925636536845</v>
      </c>
      <c r="AJ535">
        <v>2.7006199999999998</v>
      </c>
      <c r="AK535">
        <f>-(Table8393[[#This Row],[time]]-2)*2</f>
        <v>-1.4012399999999996</v>
      </c>
      <c r="AL535">
        <v>68.154200000000003</v>
      </c>
      <c r="AM535">
        <v>7.1827500000000004</v>
      </c>
      <c r="AN535">
        <f>Table8393[[#This Row],[CFNM]]/Table8393[[#This Row],[CAREA]]</f>
        <v>0.10538968985036873</v>
      </c>
    </row>
    <row r="536" spans="1:40" x14ac:dyDescent="0.25">
      <c r="A536">
        <v>2.75176</v>
      </c>
      <c r="B536">
        <f>-(Table1386[[#This Row],[time]]-2)*2</f>
        <v>-1.50352</v>
      </c>
      <c r="C536">
        <v>99.817700000000002</v>
      </c>
      <c r="D536">
        <v>48.382800000000003</v>
      </c>
      <c r="E536">
        <f>Table1386[[#This Row],[CFNM]]/Table1386[[#This Row],[CAREA]]</f>
        <v>0.48471162930021433</v>
      </c>
      <c r="F536">
        <v>2.75176</v>
      </c>
      <c r="G536">
        <f>-(Table2387[[#This Row],[time]]-2)*2</f>
        <v>-1.50352</v>
      </c>
      <c r="H536">
        <v>77.844200000000001</v>
      </c>
      <c r="I536">
        <v>4.9085299999999998E-2</v>
      </c>
      <c r="J536">
        <f>Table2387[[#This Row],[CFNM]]/Table2387[[#This Row],[CAREA]]</f>
        <v>6.3055821756791131E-4</v>
      </c>
      <c r="K536">
        <v>2.75176</v>
      </c>
      <c r="L536">
        <f>-(Table3388[[#This Row],[time]]-2)*2</f>
        <v>-1.50352</v>
      </c>
      <c r="M536">
        <v>80.638199999999998</v>
      </c>
      <c r="N536">
        <v>43.764600000000002</v>
      </c>
      <c r="O536">
        <f>Table3388[[#This Row],[CFNM]]/Table3388[[#This Row],[CAREA]]</f>
        <v>0.54272788827131557</v>
      </c>
      <c r="P536">
        <v>2.75176</v>
      </c>
      <c r="Q536">
        <f>-(Table4389[[#This Row],[time]]-2)*2</f>
        <v>-1.50352</v>
      </c>
      <c r="R536">
        <v>66.631699999999995</v>
      </c>
      <c r="S536">
        <v>3.8266900000000001</v>
      </c>
      <c r="T536">
        <f>Table4389[[#This Row],[CFNM]]/Table4389[[#This Row],[CAREA]]</f>
        <v>5.7430472282712287E-2</v>
      </c>
      <c r="U536">
        <v>2.75176</v>
      </c>
      <c r="V536">
        <f>-(Table5390[[#This Row],[time]]-2)*2</f>
        <v>-1.50352</v>
      </c>
      <c r="W536">
        <v>81.835099999999997</v>
      </c>
      <c r="X536">
        <v>43.645699999999998</v>
      </c>
      <c r="Y536">
        <f>Table5390[[#This Row],[CFNM]]/Table5390[[#This Row],[CAREA]]</f>
        <v>0.53333716217124438</v>
      </c>
      <c r="Z536">
        <v>2.75176</v>
      </c>
      <c r="AA536">
        <f>-(Table6391[[#This Row],[time]]-2)*2</f>
        <v>-1.50352</v>
      </c>
      <c r="AB536">
        <v>65.894099999999995</v>
      </c>
      <c r="AC536">
        <v>0.88704099999999997</v>
      </c>
      <c r="AD536">
        <f>Table6391[[#This Row],[CFNM]]/Table6391[[#This Row],[CAREA]]</f>
        <v>1.3461614924553186E-2</v>
      </c>
      <c r="AE536">
        <v>2.75176</v>
      </c>
      <c r="AF536">
        <f>-(Table7392[[#This Row],[time]]-2)*2</f>
        <v>-1.50352</v>
      </c>
      <c r="AG536">
        <v>68.655000000000001</v>
      </c>
      <c r="AH536">
        <v>55.239600000000003</v>
      </c>
      <c r="AI536">
        <f>Table7392[[#This Row],[CFNM]]/Table7392[[#This Row],[CAREA]]</f>
        <v>0.80459689753113395</v>
      </c>
      <c r="AJ536">
        <v>2.75176</v>
      </c>
      <c r="AK536">
        <f>-(Table8393[[#This Row],[time]]-2)*2</f>
        <v>-1.50352</v>
      </c>
      <c r="AL536">
        <v>65.894099999999995</v>
      </c>
      <c r="AM536">
        <v>6.5958199999999998</v>
      </c>
      <c r="AN536">
        <f>Table8393[[#This Row],[CFNM]]/Table8393[[#This Row],[CAREA]]</f>
        <v>0.1000972772979675</v>
      </c>
    </row>
    <row r="537" spans="1:40" x14ac:dyDescent="0.25">
      <c r="A537">
        <v>2.80444</v>
      </c>
      <c r="B537">
        <f>-(Table1386[[#This Row],[time]]-2)*2</f>
        <v>-1.6088800000000001</v>
      </c>
      <c r="C537">
        <v>98.987399999999994</v>
      </c>
      <c r="D537">
        <v>51.653399999999998</v>
      </c>
      <c r="E537">
        <f>Table1386[[#This Row],[CFNM]]/Table1386[[#This Row],[CAREA]]</f>
        <v>0.52181792834239515</v>
      </c>
      <c r="F537">
        <v>2.80444</v>
      </c>
      <c r="G537">
        <f>-(Table2387[[#This Row],[time]]-2)*2</f>
        <v>-1.6088800000000001</v>
      </c>
      <c r="H537">
        <v>74.153899999999993</v>
      </c>
      <c r="I537">
        <v>3.64753E-3</v>
      </c>
      <c r="J537">
        <f>Table2387[[#This Row],[CFNM]]/Table2387[[#This Row],[CAREA]]</f>
        <v>4.9188646854717018E-5</v>
      </c>
      <c r="K537">
        <v>2.80444</v>
      </c>
      <c r="L537">
        <f>-(Table3388[[#This Row],[time]]-2)*2</f>
        <v>-1.6088800000000001</v>
      </c>
      <c r="M537">
        <v>79.843000000000004</v>
      </c>
      <c r="N537">
        <v>47.433599999999998</v>
      </c>
      <c r="O537">
        <f>Table3388[[#This Row],[CFNM]]/Table3388[[#This Row],[CAREA]]</f>
        <v>0.59408589356612351</v>
      </c>
      <c r="P537">
        <v>2.80444</v>
      </c>
      <c r="Q537">
        <f>-(Table4389[[#This Row],[time]]-2)*2</f>
        <v>-1.6088800000000001</v>
      </c>
      <c r="R537">
        <v>65.662899999999993</v>
      </c>
      <c r="S537">
        <v>3.4942799999999998</v>
      </c>
      <c r="T537">
        <f>Table4389[[#This Row],[CFNM]]/Table4389[[#This Row],[CAREA]]</f>
        <v>5.3215438245950153E-2</v>
      </c>
      <c r="U537">
        <v>2.80444</v>
      </c>
      <c r="V537">
        <f>-(Table5390[[#This Row],[time]]-2)*2</f>
        <v>-1.6088800000000001</v>
      </c>
      <c r="W537">
        <v>81.262799999999999</v>
      </c>
      <c r="X537">
        <v>46.566800000000001</v>
      </c>
      <c r="Y537">
        <f>Table5390[[#This Row],[CFNM]]/Table5390[[#This Row],[CAREA]]</f>
        <v>0.57303957038152764</v>
      </c>
      <c r="Z537">
        <v>2.80444</v>
      </c>
      <c r="AA537">
        <f>-(Table6391[[#This Row],[time]]-2)*2</f>
        <v>-1.6088800000000001</v>
      </c>
      <c r="AB537">
        <v>63.427300000000002</v>
      </c>
      <c r="AC537">
        <v>0.68050999999999995</v>
      </c>
      <c r="AD537">
        <f>Table6391[[#This Row],[CFNM]]/Table6391[[#This Row],[CAREA]]</f>
        <v>1.0728976324074962E-2</v>
      </c>
      <c r="AE537">
        <v>2.80444</v>
      </c>
      <c r="AF537">
        <f>-(Table7392[[#This Row],[time]]-2)*2</f>
        <v>-1.6088800000000001</v>
      </c>
      <c r="AG537">
        <v>67.709000000000003</v>
      </c>
      <c r="AH537">
        <v>58.194899999999997</v>
      </c>
      <c r="AI537">
        <f>Table7392[[#This Row],[CFNM]]/Table7392[[#This Row],[CAREA]]</f>
        <v>0.85948544506638691</v>
      </c>
      <c r="AJ537">
        <v>2.80444</v>
      </c>
      <c r="AK537">
        <f>-(Table8393[[#This Row],[time]]-2)*2</f>
        <v>-1.6088800000000001</v>
      </c>
      <c r="AL537">
        <v>63.427300000000002</v>
      </c>
      <c r="AM537">
        <v>5.7101499999999996</v>
      </c>
      <c r="AN537">
        <f>Table8393[[#This Row],[CFNM]]/Table8393[[#This Row],[CAREA]]</f>
        <v>9.0026691976483303E-2</v>
      </c>
    </row>
    <row r="538" spans="1:40" x14ac:dyDescent="0.25">
      <c r="A538">
        <v>2.8583699999999999</v>
      </c>
      <c r="B538">
        <f>-(Table1386[[#This Row],[time]]-2)*2</f>
        <v>-1.7167399999999997</v>
      </c>
      <c r="C538">
        <v>97.896799999999999</v>
      </c>
      <c r="D538">
        <v>55.505600000000001</v>
      </c>
      <c r="E538">
        <f>Table1386[[#This Row],[CFNM]]/Table1386[[#This Row],[CAREA]]</f>
        <v>0.56698073890055656</v>
      </c>
      <c r="F538">
        <v>2.8583699999999999</v>
      </c>
      <c r="G538">
        <f>-(Table2387[[#This Row],[time]]-2)*2</f>
        <v>-1.7167399999999997</v>
      </c>
      <c r="H538">
        <v>70.511200000000002</v>
      </c>
      <c r="I538">
        <v>3.2270900000000002E-3</v>
      </c>
      <c r="J538">
        <f>Table2387[[#This Row],[CFNM]]/Table2387[[#This Row],[CAREA]]</f>
        <v>4.5767055446510628E-5</v>
      </c>
      <c r="K538">
        <v>2.8583699999999999</v>
      </c>
      <c r="L538">
        <f>-(Table3388[[#This Row],[time]]-2)*2</f>
        <v>-1.7167399999999997</v>
      </c>
      <c r="M538">
        <v>79.031000000000006</v>
      </c>
      <c r="N538">
        <v>51.776699999999998</v>
      </c>
      <c r="O538">
        <f>Table3388[[#This Row],[CFNM]]/Table3388[[#This Row],[CAREA]]</f>
        <v>0.6551441839278257</v>
      </c>
      <c r="P538">
        <v>2.8583699999999999</v>
      </c>
      <c r="Q538">
        <f>-(Table4389[[#This Row],[time]]-2)*2</f>
        <v>-1.7167399999999997</v>
      </c>
      <c r="R538">
        <v>65.417400000000001</v>
      </c>
      <c r="S538">
        <v>3.10507</v>
      </c>
      <c r="T538">
        <f>Table4389[[#This Row],[CFNM]]/Table4389[[#This Row],[CAREA]]</f>
        <v>4.746550611916707E-2</v>
      </c>
      <c r="U538">
        <v>2.8583699999999999</v>
      </c>
      <c r="V538">
        <f>-(Table5390[[#This Row],[time]]-2)*2</f>
        <v>-1.7167399999999997</v>
      </c>
      <c r="W538">
        <v>80.541799999999995</v>
      </c>
      <c r="X538">
        <v>50.0916</v>
      </c>
      <c r="Y538">
        <f>Table5390[[#This Row],[CFNM]]/Table5390[[#This Row],[CAREA]]</f>
        <v>0.62193295903493595</v>
      </c>
      <c r="Z538">
        <v>2.8583699999999999</v>
      </c>
      <c r="AA538">
        <f>-(Table6391[[#This Row],[time]]-2)*2</f>
        <v>-1.7167399999999997</v>
      </c>
      <c r="AB538">
        <v>62.339599999999997</v>
      </c>
      <c r="AC538">
        <v>0.47259299999999999</v>
      </c>
      <c r="AD538">
        <f>Table6391[[#This Row],[CFNM]]/Table6391[[#This Row],[CAREA]]</f>
        <v>7.5809437339989351E-3</v>
      </c>
      <c r="AE538">
        <v>2.8583699999999999</v>
      </c>
      <c r="AF538">
        <f>-(Table7392[[#This Row],[time]]-2)*2</f>
        <v>-1.7167399999999997</v>
      </c>
      <c r="AG538">
        <v>66.696899999999999</v>
      </c>
      <c r="AH538">
        <v>61.717500000000001</v>
      </c>
      <c r="AI538">
        <f>Table7392[[#This Row],[CFNM]]/Table7392[[#This Row],[CAREA]]</f>
        <v>0.92534285701434404</v>
      </c>
      <c r="AJ538">
        <v>2.8583699999999999</v>
      </c>
      <c r="AK538">
        <f>-(Table8393[[#This Row],[time]]-2)*2</f>
        <v>-1.7167399999999997</v>
      </c>
      <c r="AL538">
        <v>62.339599999999997</v>
      </c>
      <c r="AM538">
        <v>4.6658200000000001</v>
      </c>
      <c r="AN538">
        <f>Table8393[[#This Row],[CFNM]]/Table8393[[#This Row],[CAREA]]</f>
        <v>7.4845202728281865E-2</v>
      </c>
    </row>
    <row r="539" spans="1:40" x14ac:dyDescent="0.25">
      <c r="A539">
        <v>2.9134199999999999</v>
      </c>
      <c r="B539">
        <f>-(Table1386[[#This Row],[time]]-2)*2</f>
        <v>-1.8268399999999998</v>
      </c>
      <c r="C539">
        <v>97.329300000000003</v>
      </c>
      <c r="D539">
        <v>57.426900000000003</v>
      </c>
      <c r="E539">
        <f>Table1386[[#This Row],[CFNM]]/Table1386[[#This Row],[CAREA]]</f>
        <v>0.59002684700290664</v>
      </c>
      <c r="F539">
        <v>2.9134199999999999</v>
      </c>
      <c r="G539">
        <f>-(Table2387[[#This Row],[time]]-2)*2</f>
        <v>-1.8268399999999998</v>
      </c>
      <c r="H539">
        <v>70.026799999999994</v>
      </c>
      <c r="I539">
        <v>3.1304100000000001E-3</v>
      </c>
      <c r="J539">
        <f>Table2387[[#This Row],[CFNM]]/Table2387[[#This Row],[CAREA]]</f>
        <v>4.4703027983572011E-5</v>
      </c>
      <c r="K539">
        <v>2.9134199999999999</v>
      </c>
      <c r="L539">
        <f>-(Table3388[[#This Row],[time]]-2)*2</f>
        <v>-1.8268399999999998</v>
      </c>
      <c r="M539">
        <v>78.6661</v>
      </c>
      <c r="N539">
        <v>53.935099999999998</v>
      </c>
      <c r="O539">
        <f>Table3388[[#This Row],[CFNM]]/Table3388[[#This Row],[CAREA]]</f>
        <v>0.68562061675868002</v>
      </c>
      <c r="P539">
        <v>2.9134199999999999</v>
      </c>
      <c r="Q539">
        <f>-(Table4389[[#This Row],[time]]-2)*2</f>
        <v>-1.8268399999999998</v>
      </c>
      <c r="R539">
        <v>64.075999999999993</v>
      </c>
      <c r="S539">
        <v>2.9310999999999998</v>
      </c>
      <c r="T539">
        <f>Table4389[[#This Row],[CFNM]]/Table4389[[#This Row],[CAREA]]</f>
        <v>4.5744116361820339E-2</v>
      </c>
      <c r="U539">
        <v>2.9134199999999999</v>
      </c>
      <c r="V539">
        <f>-(Table5390[[#This Row],[time]]-2)*2</f>
        <v>-1.8268399999999998</v>
      </c>
      <c r="W539">
        <v>80.165199999999999</v>
      </c>
      <c r="X539">
        <v>51.885199999999998</v>
      </c>
      <c r="Y539">
        <f>Table5390[[#This Row],[CFNM]]/Table5390[[#This Row],[CAREA]]</f>
        <v>0.64722847320283616</v>
      </c>
      <c r="Z539">
        <v>2.9134199999999999</v>
      </c>
      <c r="AA539">
        <f>-(Table6391[[#This Row],[time]]-2)*2</f>
        <v>-1.8268399999999998</v>
      </c>
      <c r="AB539">
        <v>61.179299999999998</v>
      </c>
      <c r="AC539">
        <v>0.37519599999999997</v>
      </c>
      <c r="AD539">
        <f>Table6391[[#This Row],[CFNM]]/Table6391[[#This Row],[CAREA]]</f>
        <v>6.1327278997961726E-3</v>
      </c>
      <c r="AE539">
        <v>2.9134199999999999</v>
      </c>
      <c r="AF539">
        <f>-(Table7392[[#This Row],[time]]-2)*2</f>
        <v>-1.8268399999999998</v>
      </c>
      <c r="AG539">
        <v>66.261899999999997</v>
      </c>
      <c r="AH539">
        <v>63.4587</v>
      </c>
      <c r="AI539">
        <f>Table7392[[#This Row],[CFNM]]/Table7392[[#This Row],[CAREA]]</f>
        <v>0.9576951460794213</v>
      </c>
      <c r="AJ539">
        <v>2.9134199999999999</v>
      </c>
      <c r="AK539">
        <f>-(Table8393[[#This Row],[time]]-2)*2</f>
        <v>-1.8268399999999998</v>
      </c>
      <c r="AL539">
        <v>61.179299999999998</v>
      </c>
      <c r="AM539">
        <v>4.1382199999999996</v>
      </c>
      <c r="AN539">
        <f>Table8393[[#This Row],[CFNM]]/Table8393[[#This Row],[CAREA]]</f>
        <v>6.76408523798082E-2</v>
      </c>
    </row>
    <row r="540" spans="1:40" x14ac:dyDescent="0.25">
      <c r="A540">
        <v>2.9619599999999999</v>
      </c>
      <c r="B540">
        <f>-(Table1386[[#This Row],[time]]-2)*2</f>
        <v>-1.9239199999999999</v>
      </c>
      <c r="C540">
        <v>96.168700000000001</v>
      </c>
      <c r="D540">
        <v>61.270099999999999</v>
      </c>
      <c r="E540">
        <f>Table1386[[#This Row],[CFNM]]/Table1386[[#This Row],[CAREA]]</f>
        <v>0.63711061915155343</v>
      </c>
      <c r="F540">
        <v>2.9619599999999999</v>
      </c>
      <c r="G540">
        <f>-(Table2387[[#This Row],[time]]-2)*2</f>
        <v>-1.9239199999999999</v>
      </c>
      <c r="H540">
        <v>67.261600000000001</v>
      </c>
      <c r="I540">
        <v>2.9504900000000001E-3</v>
      </c>
      <c r="J540">
        <f>Table2387[[#This Row],[CFNM]]/Table2387[[#This Row],[CAREA]]</f>
        <v>4.3865890790584824E-5</v>
      </c>
      <c r="K540">
        <v>2.9619599999999999</v>
      </c>
      <c r="L540">
        <f>-(Table3388[[#This Row],[time]]-2)*2</f>
        <v>-1.9239199999999999</v>
      </c>
      <c r="M540">
        <v>77.915800000000004</v>
      </c>
      <c r="N540">
        <v>58.221699999999998</v>
      </c>
      <c r="O540">
        <f>Table3388[[#This Row],[CFNM]]/Table3388[[#This Row],[CAREA]]</f>
        <v>0.74723868586345765</v>
      </c>
      <c r="P540">
        <v>2.9619599999999999</v>
      </c>
      <c r="Q540">
        <f>-(Table4389[[#This Row],[time]]-2)*2</f>
        <v>-1.9239199999999999</v>
      </c>
      <c r="R540">
        <v>63.037700000000001</v>
      </c>
      <c r="S540">
        <v>2.6430799999999999</v>
      </c>
      <c r="T540">
        <f>Table4389[[#This Row],[CFNM]]/Table4389[[#This Row],[CAREA]]</f>
        <v>4.192856021079449E-2</v>
      </c>
      <c r="U540">
        <v>2.9619599999999999</v>
      </c>
      <c r="V540">
        <f>-(Table5390[[#This Row],[time]]-2)*2</f>
        <v>-1.9239199999999999</v>
      </c>
      <c r="W540">
        <v>79.648399999999995</v>
      </c>
      <c r="X540">
        <v>55.4527</v>
      </c>
      <c r="Y540">
        <f>Table5390[[#This Row],[CFNM]]/Table5390[[#This Row],[CAREA]]</f>
        <v>0.69621863088272962</v>
      </c>
      <c r="Z540">
        <v>2.9619599999999999</v>
      </c>
      <c r="AA540">
        <f>-(Table6391[[#This Row],[time]]-2)*2</f>
        <v>-1.9239199999999999</v>
      </c>
      <c r="AB540">
        <v>58.500500000000002</v>
      </c>
      <c r="AC540">
        <v>0.19544600000000001</v>
      </c>
      <c r="AD540">
        <f>Table6391[[#This Row],[CFNM]]/Table6391[[#This Row],[CAREA]]</f>
        <v>3.3409287100110256E-3</v>
      </c>
      <c r="AE540">
        <v>2.9619599999999999</v>
      </c>
      <c r="AF540">
        <f>-(Table7392[[#This Row],[time]]-2)*2</f>
        <v>-1.9239199999999999</v>
      </c>
      <c r="AG540">
        <v>65.421300000000002</v>
      </c>
      <c r="AH540">
        <v>66.971000000000004</v>
      </c>
      <c r="AI540">
        <f>Table7392[[#This Row],[CFNM]]/Table7392[[#This Row],[CAREA]]</f>
        <v>1.0236880037541289</v>
      </c>
      <c r="AJ540">
        <v>2.9619599999999999</v>
      </c>
      <c r="AK540">
        <f>-(Table8393[[#This Row],[time]]-2)*2</f>
        <v>-1.9239199999999999</v>
      </c>
      <c r="AL540">
        <v>58.500500000000002</v>
      </c>
      <c r="AM540">
        <v>3.1983199999999998</v>
      </c>
      <c r="AN540">
        <f>Table8393[[#This Row],[CFNM]]/Table8393[[#This Row],[CAREA]]</f>
        <v>5.4671669472910481E-2</v>
      </c>
    </row>
    <row r="541" spans="1:40" x14ac:dyDescent="0.25">
      <c r="A541">
        <v>3</v>
      </c>
      <c r="B541">
        <f>-(Table1386[[#This Row],[time]]-2)*2</f>
        <v>-2</v>
      </c>
      <c r="C541">
        <v>95.696299999999994</v>
      </c>
      <c r="D541">
        <v>62.857999999999997</v>
      </c>
      <c r="E541">
        <f>Table1386[[#This Row],[CFNM]]/Table1386[[#This Row],[CAREA]]</f>
        <v>0.65684880188680228</v>
      </c>
      <c r="F541">
        <v>3</v>
      </c>
      <c r="G541">
        <f>-(Table2387[[#This Row],[time]]-2)*2</f>
        <v>-2</v>
      </c>
      <c r="H541">
        <v>66.232500000000002</v>
      </c>
      <c r="I541">
        <v>2.8867200000000002E-3</v>
      </c>
      <c r="J541">
        <f>Table2387[[#This Row],[CFNM]]/Table2387[[#This Row],[CAREA]]</f>
        <v>4.358464500056619E-5</v>
      </c>
      <c r="K541">
        <v>3</v>
      </c>
      <c r="L541">
        <f>-(Table3388[[#This Row],[time]]-2)*2</f>
        <v>-2</v>
      </c>
      <c r="M541">
        <v>77.613500000000002</v>
      </c>
      <c r="N541">
        <v>59.998100000000001</v>
      </c>
      <c r="O541">
        <f>Table3388[[#This Row],[CFNM]]/Table3388[[#This Row],[CAREA]]</f>
        <v>0.7730369072390757</v>
      </c>
      <c r="P541">
        <v>3</v>
      </c>
      <c r="Q541">
        <f>-(Table4389[[#This Row],[time]]-2)*2</f>
        <v>-2</v>
      </c>
      <c r="R541">
        <v>62.954599999999999</v>
      </c>
      <c r="S541">
        <v>2.54521</v>
      </c>
      <c r="T541">
        <f>Table4389[[#This Row],[CFNM]]/Table4389[[#This Row],[CAREA]]</f>
        <v>4.0429293490864847E-2</v>
      </c>
      <c r="U541">
        <v>3</v>
      </c>
      <c r="V541">
        <f>-(Table5390[[#This Row],[time]]-2)*2</f>
        <v>-2</v>
      </c>
      <c r="W541">
        <v>79.3001</v>
      </c>
      <c r="X541">
        <v>56.924900000000001</v>
      </c>
      <c r="Y541">
        <f>Table5390[[#This Row],[CFNM]]/Table5390[[#This Row],[CAREA]]</f>
        <v>0.71784146552148109</v>
      </c>
      <c r="Z541">
        <v>3</v>
      </c>
      <c r="AA541">
        <f>-(Table6391[[#This Row],[time]]-2)*2</f>
        <v>-2</v>
      </c>
      <c r="AB541">
        <v>57.744300000000003</v>
      </c>
      <c r="AC541">
        <v>0.12806500000000001</v>
      </c>
      <c r="AD541">
        <f>Table6391[[#This Row],[CFNM]]/Table6391[[#This Row],[CAREA]]</f>
        <v>2.2177946567886356E-3</v>
      </c>
      <c r="AE541">
        <v>3</v>
      </c>
      <c r="AF541">
        <f>-(Table7392[[#This Row],[time]]-2)*2</f>
        <v>-2</v>
      </c>
      <c r="AG541">
        <v>65.121499999999997</v>
      </c>
      <c r="AH541">
        <v>68.45</v>
      </c>
      <c r="AI541">
        <f>Table7392[[#This Row],[CFNM]]/Table7392[[#This Row],[CAREA]]</f>
        <v>1.0511121519006781</v>
      </c>
      <c r="AJ541">
        <v>3</v>
      </c>
      <c r="AK541">
        <f>-(Table8393[[#This Row],[time]]-2)*2</f>
        <v>-2</v>
      </c>
      <c r="AL541">
        <v>57.744300000000003</v>
      </c>
      <c r="AM541">
        <v>2.8984800000000002</v>
      </c>
      <c r="AN541">
        <f>Table8393[[#This Row],[CFNM]]/Table8393[[#This Row],[CAREA]]</f>
        <v>5.0195084190127859E-2</v>
      </c>
    </row>
    <row r="543" spans="1:40" x14ac:dyDescent="0.25">
      <c r="A543" t="s">
        <v>62</v>
      </c>
      <c r="E543" t="s">
        <v>1</v>
      </c>
    </row>
    <row r="544" spans="1:40" x14ac:dyDescent="0.25">
      <c r="A544" t="s">
        <v>63</v>
      </c>
      <c r="E544" t="s">
        <v>2</v>
      </c>
      <c r="F544" t="s">
        <v>3</v>
      </c>
    </row>
    <row r="546" spans="1:40" x14ac:dyDescent="0.25">
      <c r="A546" t="s">
        <v>5</v>
      </c>
      <c r="F546" t="s">
        <v>6</v>
      </c>
      <c r="K546" t="s">
        <v>7</v>
      </c>
      <c r="P546" t="s">
        <v>19</v>
      </c>
      <c r="U546" t="s">
        <v>8</v>
      </c>
      <c r="Z546" t="s">
        <v>9</v>
      </c>
      <c r="AE546" t="s">
        <v>10</v>
      </c>
      <c r="AJ546" t="s">
        <v>11</v>
      </c>
    </row>
    <row r="547" spans="1:40" x14ac:dyDescent="0.25">
      <c r="A547" t="s">
        <v>12</v>
      </c>
      <c r="B547" t="s">
        <v>13</v>
      </c>
      <c r="C547" t="s">
        <v>17</v>
      </c>
      <c r="D547" t="s">
        <v>15</v>
      </c>
      <c r="E547" t="s">
        <v>16</v>
      </c>
      <c r="F547" t="s">
        <v>12</v>
      </c>
      <c r="G547" t="s">
        <v>13</v>
      </c>
      <c r="H547" t="s">
        <v>17</v>
      </c>
      <c r="I547" t="s">
        <v>15</v>
      </c>
      <c r="J547" t="s">
        <v>16</v>
      </c>
      <c r="K547" t="s">
        <v>12</v>
      </c>
      <c r="L547" t="s">
        <v>13</v>
      </c>
      <c r="M547" t="s">
        <v>17</v>
      </c>
      <c r="N547" t="s">
        <v>15</v>
      </c>
      <c r="O547" t="s">
        <v>16</v>
      </c>
      <c r="P547" t="s">
        <v>12</v>
      </c>
      <c r="Q547" t="s">
        <v>13</v>
      </c>
      <c r="R547" t="s">
        <v>17</v>
      </c>
      <c r="S547" t="s">
        <v>15</v>
      </c>
      <c r="T547" t="s">
        <v>16</v>
      </c>
      <c r="U547" t="s">
        <v>12</v>
      </c>
      <c r="V547" t="s">
        <v>13</v>
      </c>
      <c r="W547" t="s">
        <v>17</v>
      </c>
      <c r="X547" t="s">
        <v>15</v>
      </c>
      <c r="Y547" t="s">
        <v>16</v>
      </c>
      <c r="Z547" t="s">
        <v>12</v>
      </c>
      <c r="AA547" t="s">
        <v>13</v>
      </c>
      <c r="AB547" t="s">
        <v>17</v>
      </c>
      <c r="AC547" t="s">
        <v>15</v>
      </c>
      <c r="AD547" t="s">
        <v>16</v>
      </c>
      <c r="AE547" t="s">
        <v>12</v>
      </c>
      <c r="AF547" t="s">
        <v>13</v>
      </c>
      <c r="AG547" t="s">
        <v>17</v>
      </c>
      <c r="AH547" t="s">
        <v>15</v>
      </c>
      <c r="AI547" t="s">
        <v>16</v>
      </c>
      <c r="AJ547" t="s">
        <v>12</v>
      </c>
      <c r="AK547" t="s">
        <v>13</v>
      </c>
      <c r="AL547" t="s">
        <v>17</v>
      </c>
      <c r="AM547" t="s">
        <v>15</v>
      </c>
      <c r="AN547" t="s">
        <v>16</v>
      </c>
    </row>
    <row r="548" spans="1:40" x14ac:dyDescent="0.25">
      <c r="A548">
        <v>2</v>
      </c>
      <c r="B548">
        <f>(Table110394[[#This Row],[time]]-2)*2</f>
        <v>0</v>
      </c>
      <c r="C548">
        <v>88.270499999999998</v>
      </c>
      <c r="D548">
        <v>6.2275299999999998</v>
      </c>
      <c r="E548" s="2">
        <f>Table110394[[#This Row],[CFNM]]/Table110394[[#This Row],[CAREA]]</f>
        <v>7.0550523674387258E-2</v>
      </c>
      <c r="F548">
        <v>2</v>
      </c>
      <c r="G548">
        <f>(Table211395[[#This Row],[time]]-2)*2</f>
        <v>0</v>
      </c>
      <c r="H548">
        <v>91.525499999999994</v>
      </c>
      <c r="I548">
        <v>4.7580499999999998E-3</v>
      </c>
      <c r="J548" s="2">
        <f>Table211395[[#This Row],[CFNM]]/Table211395[[#This Row],[CAREA]]</f>
        <v>5.1986058530136412E-5</v>
      </c>
      <c r="K548">
        <v>2</v>
      </c>
      <c r="L548">
        <f>(Table312396[[#This Row],[time]]-2)*2</f>
        <v>0</v>
      </c>
      <c r="M548">
        <v>87.679299999999998</v>
      </c>
      <c r="N548">
        <v>0.66283899999999996</v>
      </c>
      <c r="O548">
        <f>Table312396[[#This Row],[CFNM]]/Table312396[[#This Row],[CAREA]]</f>
        <v>7.55981172294943E-3</v>
      </c>
      <c r="P548">
        <v>2</v>
      </c>
      <c r="Q548">
        <f>(Table413397[[#This Row],[time]]-2)*2</f>
        <v>0</v>
      </c>
      <c r="R548">
        <v>81.933000000000007</v>
      </c>
      <c r="S548">
        <v>6.07223E-2</v>
      </c>
      <c r="T548">
        <f>Table413397[[#This Row],[CFNM]]/Table413397[[#This Row],[CAREA]]</f>
        <v>7.4112140407406042E-4</v>
      </c>
      <c r="U548">
        <v>2</v>
      </c>
      <c r="V548">
        <f>(Table514398[[#This Row],[time]]-2)*2</f>
        <v>0</v>
      </c>
      <c r="W548">
        <v>82.935699999999997</v>
      </c>
      <c r="X548">
        <v>5.1279199999999996</v>
      </c>
      <c r="Y548">
        <f>Table514398[[#This Row],[CFNM]]/Table514398[[#This Row],[CAREA]]</f>
        <v>6.1830068354158704E-2</v>
      </c>
      <c r="Z548">
        <v>2</v>
      </c>
      <c r="AA548">
        <f>(Table615399[[#This Row],[time]]-2)*2</f>
        <v>0</v>
      </c>
      <c r="AB548">
        <v>86.346400000000003</v>
      </c>
      <c r="AC548">
        <v>6.9678800000000001</v>
      </c>
      <c r="AD548">
        <f>Table615399[[#This Row],[CFNM]]/Table615399[[#This Row],[CAREA]]</f>
        <v>8.0696821176099984E-2</v>
      </c>
      <c r="AE548">
        <v>2</v>
      </c>
      <c r="AF548">
        <f>(Table716400[[#This Row],[time]]-2)*2</f>
        <v>0</v>
      </c>
      <c r="AG548">
        <v>78.678799999999995</v>
      </c>
      <c r="AH548">
        <v>17.726099999999999</v>
      </c>
      <c r="AI548">
        <f>Table716400[[#This Row],[CFNM]]/Table716400[[#This Row],[CAREA]]</f>
        <v>0.22529703045801411</v>
      </c>
      <c r="AJ548">
        <v>2</v>
      </c>
      <c r="AK548">
        <f>(Table817401[[#This Row],[time]]-2)*2</f>
        <v>0</v>
      </c>
      <c r="AL548">
        <v>83.316699999999997</v>
      </c>
      <c r="AM548">
        <v>16.678599999999999</v>
      </c>
      <c r="AN548">
        <f>Table817401[[#This Row],[CFNM]]/Table817401[[#This Row],[CAREA]]</f>
        <v>0.200183156558049</v>
      </c>
    </row>
    <row r="549" spans="1:40" x14ac:dyDescent="0.25">
      <c r="A549">
        <v>2.0512600000000001</v>
      </c>
      <c r="B549">
        <f>(Table110394[[#This Row],[time]]-2)*2</f>
        <v>0.10252000000000017</v>
      </c>
      <c r="C549">
        <v>88.573400000000007</v>
      </c>
      <c r="D549">
        <v>9.7845800000000001</v>
      </c>
      <c r="E549">
        <f>Table110394[[#This Row],[CFNM]]/Table110394[[#This Row],[CAREA]]</f>
        <v>0.11046860569877637</v>
      </c>
      <c r="F549">
        <v>2.0512600000000001</v>
      </c>
      <c r="G549">
        <f>(Table211395[[#This Row],[time]]-2)*2</f>
        <v>0.10252000000000017</v>
      </c>
      <c r="H549">
        <v>96.224500000000006</v>
      </c>
      <c r="I549">
        <v>3.87825</v>
      </c>
      <c r="J549">
        <f>Table211395[[#This Row],[CFNM]]/Table211395[[#This Row],[CAREA]]</f>
        <v>4.0304184485240244E-2</v>
      </c>
      <c r="K549">
        <v>2.0512600000000001</v>
      </c>
      <c r="L549">
        <f>(Table312396[[#This Row],[time]]-2)*2</f>
        <v>0.10252000000000017</v>
      </c>
      <c r="M549">
        <v>86.452299999999994</v>
      </c>
      <c r="N549">
        <v>2.5103800000000001</v>
      </c>
      <c r="O549">
        <f>Table312396[[#This Row],[CFNM]]/Table312396[[#This Row],[CAREA]]</f>
        <v>2.9037746826862908E-2</v>
      </c>
      <c r="P549">
        <v>2.0512600000000001</v>
      </c>
      <c r="Q549">
        <f>(Table413397[[#This Row],[time]]-2)*2</f>
        <v>0.10252000000000017</v>
      </c>
      <c r="R549">
        <v>87.985600000000005</v>
      </c>
      <c r="S549">
        <v>8.1200500000000009</v>
      </c>
      <c r="T549">
        <f>Table413397[[#This Row],[CFNM]]/Table413397[[#This Row],[CAREA]]</f>
        <v>9.2288397192267835E-2</v>
      </c>
      <c r="U549">
        <v>2.0512600000000001</v>
      </c>
      <c r="V549">
        <f>(Table514398[[#This Row],[time]]-2)*2</f>
        <v>0.10252000000000017</v>
      </c>
      <c r="W549">
        <v>81.188900000000004</v>
      </c>
      <c r="X549">
        <v>6.4223400000000002</v>
      </c>
      <c r="Y549">
        <f>Table514398[[#This Row],[CFNM]]/Table514398[[#This Row],[CAREA]]</f>
        <v>7.9103670575657509E-2</v>
      </c>
      <c r="Z549">
        <v>2.0512600000000001</v>
      </c>
      <c r="AA549">
        <f>(Table615399[[#This Row],[time]]-2)*2</f>
        <v>0.10252000000000017</v>
      </c>
      <c r="AB549">
        <v>89.468400000000003</v>
      </c>
      <c r="AC549">
        <v>18.551600000000001</v>
      </c>
      <c r="AD549">
        <f>Table615399[[#This Row],[CFNM]]/Table615399[[#This Row],[CAREA]]</f>
        <v>0.20735365782779172</v>
      </c>
      <c r="AE549">
        <v>2.0512600000000001</v>
      </c>
      <c r="AF549">
        <f>(Table716400[[#This Row],[time]]-2)*2</f>
        <v>0.10252000000000017</v>
      </c>
      <c r="AG549">
        <v>77.976200000000006</v>
      </c>
      <c r="AH549">
        <v>19.419699999999999</v>
      </c>
      <c r="AI549">
        <f>Table716400[[#This Row],[CFNM]]/Table716400[[#This Row],[CAREA]]</f>
        <v>0.2490465039332514</v>
      </c>
      <c r="AJ549">
        <v>2.0512600000000001</v>
      </c>
      <c r="AK549">
        <f>(Table817401[[#This Row],[time]]-2)*2</f>
        <v>0.10252000000000017</v>
      </c>
      <c r="AL549">
        <v>83.386600000000001</v>
      </c>
      <c r="AM549">
        <v>21.236599999999999</v>
      </c>
      <c r="AN549">
        <f>Table817401[[#This Row],[CFNM]]/Table817401[[#This Row],[CAREA]]</f>
        <v>0.2546764108381922</v>
      </c>
    </row>
    <row r="550" spans="1:40" x14ac:dyDescent="0.25">
      <c r="A550">
        <v>2.1153300000000002</v>
      </c>
      <c r="B550">
        <f>(Table110394[[#This Row],[time]]-2)*2</f>
        <v>0.23066000000000031</v>
      </c>
      <c r="C550">
        <v>86.372799999999998</v>
      </c>
      <c r="D550">
        <v>9.9792199999999998</v>
      </c>
      <c r="E550">
        <f>Table110394[[#This Row],[CFNM]]/Table110394[[#This Row],[CAREA]]</f>
        <v>0.11553660411611062</v>
      </c>
      <c r="F550">
        <v>2.1153300000000002</v>
      </c>
      <c r="G550">
        <f>(Table211395[[#This Row],[time]]-2)*2</f>
        <v>0.23066000000000031</v>
      </c>
      <c r="H550">
        <v>97.356999999999999</v>
      </c>
      <c r="I550">
        <v>5.3119500000000004</v>
      </c>
      <c r="J550">
        <f>Table211395[[#This Row],[CFNM]]/Table211395[[#This Row],[CAREA]]</f>
        <v>5.4561562085931166E-2</v>
      </c>
      <c r="K550">
        <v>2.1153300000000002</v>
      </c>
      <c r="L550">
        <f>(Table312396[[#This Row],[time]]-2)*2</f>
        <v>0.23066000000000031</v>
      </c>
      <c r="M550">
        <v>85.102900000000005</v>
      </c>
      <c r="N550">
        <v>2.7221199999999999</v>
      </c>
      <c r="O550">
        <f>Table312396[[#This Row],[CFNM]]/Table312396[[#This Row],[CAREA]]</f>
        <v>3.1986219036014042E-2</v>
      </c>
      <c r="P550">
        <v>2.1153300000000002</v>
      </c>
      <c r="Q550">
        <f>(Table413397[[#This Row],[time]]-2)*2</f>
        <v>0.23066000000000031</v>
      </c>
      <c r="R550">
        <v>88.9255</v>
      </c>
      <c r="S550">
        <v>9.5886499999999995</v>
      </c>
      <c r="T550">
        <f>Table413397[[#This Row],[CFNM]]/Table413397[[#This Row],[CAREA]]</f>
        <v>0.10782790088332367</v>
      </c>
      <c r="U550">
        <v>2.1153300000000002</v>
      </c>
      <c r="V550">
        <f>(Table514398[[#This Row],[time]]-2)*2</f>
        <v>0.23066000000000031</v>
      </c>
      <c r="W550">
        <v>79.415099999999995</v>
      </c>
      <c r="X550">
        <v>5.7259799999999998</v>
      </c>
      <c r="Y550">
        <f>Table514398[[#This Row],[CFNM]]/Table514398[[#This Row],[CAREA]]</f>
        <v>7.2101905053321091E-2</v>
      </c>
      <c r="Z550">
        <v>2.1153300000000002</v>
      </c>
      <c r="AA550">
        <f>(Table615399[[#This Row],[time]]-2)*2</f>
        <v>0.23066000000000031</v>
      </c>
      <c r="AB550">
        <v>92.369500000000002</v>
      </c>
      <c r="AC550">
        <v>20.722100000000001</v>
      </c>
      <c r="AD550">
        <f>Table615399[[#This Row],[CFNM]]/Table615399[[#This Row],[CAREA]]</f>
        <v>0.22433920287540801</v>
      </c>
      <c r="AE550">
        <v>2.1153300000000002</v>
      </c>
      <c r="AF550">
        <f>(Table716400[[#This Row],[time]]-2)*2</f>
        <v>0.23066000000000031</v>
      </c>
      <c r="AG550">
        <v>77.724500000000006</v>
      </c>
      <c r="AH550">
        <v>19.229800000000001</v>
      </c>
      <c r="AI550">
        <f>Table716400[[#This Row],[CFNM]]/Table716400[[#This Row],[CAREA]]</f>
        <v>0.24740976140084528</v>
      </c>
      <c r="AJ550">
        <v>2.1153300000000002</v>
      </c>
      <c r="AK550">
        <f>(Table817401[[#This Row],[time]]-2)*2</f>
        <v>0.23066000000000031</v>
      </c>
      <c r="AL550">
        <v>83.407399999999996</v>
      </c>
      <c r="AM550">
        <v>22.925699999999999</v>
      </c>
      <c r="AN550">
        <f>Table817401[[#This Row],[CFNM]]/Table817401[[#This Row],[CAREA]]</f>
        <v>0.27486410078722034</v>
      </c>
    </row>
    <row r="551" spans="1:40" x14ac:dyDescent="0.25">
      <c r="A551">
        <v>2.16533</v>
      </c>
      <c r="B551">
        <f>(Table110394[[#This Row],[time]]-2)*2</f>
        <v>0.33065999999999995</v>
      </c>
      <c r="C551">
        <v>84.940899999999999</v>
      </c>
      <c r="D551">
        <v>10.067</v>
      </c>
      <c r="E551">
        <f>Table110394[[#This Row],[CFNM]]/Table110394[[#This Row],[CAREA]]</f>
        <v>0.11851769877644339</v>
      </c>
      <c r="F551">
        <v>2.16533</v>
      </c>
      <c r="G551">
        <f>(Table211395[[#This Row],[time]]-2)*2</f>
        <v>0.33065999999999995</v>
      </c>
      <c r="H551">
        <v>99.356499999999997</v>
      </c>
      <c r="I551">
        <v>7.9447700000000001</v>
      </c>
      <c r="J551">
        <f>Table211395[[#This Row],[CFNM]]/Table211395[[#This Row],[CAREA]]</f>
        <v>7.9962257124596786E-2</v>
      </c>
      <c r="K551">
        <v>2.16533</v>
      </c>
      <c r="L551">
        <f>(Table312396[[#This Row],[time]]-2)*2</f>
        <v>0.33065999999999995</v>
      </c>
      <c r="M551">
        <v>83.418599999999998</v>
      </c>
      <c r="N551">
        <v>2.8883999999999999</v>
      </c>
      <c r="O551">
        <f>Table312396[[#This Row],[CFNM]]/Table312396[[#This Row],[CAREA]]</f>
        <v>3.462537132006531E-2</v>
      </c>
      <c r="P551">
        <v>2.16533</v>
      </c>
      <c r="Q551">
        <f>(Table413397[[#This Row],[time]]-2)*2</f>
        <v>0.33065999999999995</v>
      </c>
      <c r="R551">
        <v>89.838499999999996</v>
      </c>
      <c r="S551">
        <v>12.2417</v>
      </c>
      <c r="T551">
        <f>Table413397[[#This Row],[CFNM]]/Table413397[[#This Row],[CAREA]]</f>
        <v>0.13626340600076806</v>
      </c>
      <c r="U551">
        <v>2.16533</v>
      </c>
      <c r="V551">
        <f>(Table514398[[#This Row],[time]]-2)*2</f>
        <v>0.33065999999999995</v>
      </c>
      <c r="W551">
        <v>76.752399999999994</v>
      </c>
      <c r="X551">
        <v>5.6877399999999998</v>
      </c>
      <c r="Y551">
        <f>Table514398[[#This Row],[CFNM]]/Table514398[[#This Row],[CAREA]]</f>
        <v>7.4105044272231232E-2</v>
      </c>
      <c r="Z551">
        <v>2.16533</v>
      </c>
      <c r="AA551">
        <f>(Table615399[[#This Row],[time]]-2)*2</f>
        <v>0.33065999999999995</v>
      </c>
      <c r="AB551">
        <v>92.342399999999998</v>
      </c>
      <c r="AC551">
        <v>25.314499999999999</v>
      </c>
      <c r="AD551">
        <f>Table615399[[#This Row],[CFNM]]/Table615399[[#This Row],[CAREA]]</f>
        <v>0.27413734102644072</v>
      </c>
      <c r="AE551">
        <v>2.16533</v>
      </c>
      <c r="AF551">
        <f>(Table716400[[#This Row],[time]]-2)*2</f>
        <v>0.33065999999999995</v>
      </c>
      <c r="AG551">
        <v>77.609300000000005</v>
      </c>
      <c r="AH551">
        <v>19.000499999999999</v>
      </c>
      <c r="AI551">
        <f>Table716400[[#This Row],[CFNM]]/Table716400[[#This Row],[CAREA]]</f>
        <v>0.24482246328726065</v>
      </c>
      <c r="AJ551">
        <v>2.16533</v>
      </c>
      <c r="AK551">
        <f>(Table817401[[#This Row],[time]]-2)*2</f>
        <v>0.33065999999999995</v>
      </c>
      <c r="AL551">
        <v>83.016300000000001</v>
      </c>
      <c r="AM551">
        <v>25.522600000000001</v>
      </c>
      <c r="AN551">
        <f>Table817401[[#This Row],[CFNM]]/Table817401[[#This Row],[CAREA]]</f>
        <v>0.307440827885608</v>
      </c>
    </row>
    <row r="552" spans="1:40" x14ac:dyDescent="0.25">
      <c r="A552">
        <v>2.2246999999999999</v>
      </c>
      <c r="B552">
        <f>(Table110394[[#This Row],[time]]-2)*2</f>
        <v>0.4493999999999998</v>
      </c>
      <c r="C552">
        <v>83.471699999999998</v>
      </c>
      <c r="D552">
        <v>10.120799999999999</v>
      </c>
      <c r="E552">
        <f>Table110394[[#This Row],[CFNM]]/Table110394[[#This Row],[CAREA]]</f>
        <v>0.1212482793569557</v>
      </c>
      <c r="F552">
        <v>2.2246999999999999</v>
      </c>
      <c r="G552">
        <f>(Table211395[[#This Row],[time]]-2)*2</f>
        <v>0.4493999999999998</v>
      </c>
      <c r="H552">
        <v>101.17700000000001</v>
      </c>
      <c r="I552">
        <v>9.9276300000000006</v>
      </c>
      <c r="J552">
        <f>Table211395[[#This Row],[CFNM]]/Table211395[[#This Row],[CAREA]]</f>
        <v>9.8121410992616898E-2</v>
      </c>
      <c r="K552">
        <v>2.2246999999999999</v>
      </c>
      <c r="L552">
        <f>(Table312396[[#This Row],[time]]-2)*2</f>
        <v>0.4493999999999998</v>
      </c>
      <c r="M552">
        <v>83.015100000000004</v>
      </c>
      <c r="N552">
        <v>2.9828600000000001</v>
      </c>
      <c r="O552">
        <f>Table312396[[#This Row],[CFNM]]/Table312396[[#This Row],[CAREA]]</f>
        <v>3.5931535347183824E-2</v>
      </c>
      <c r="P552">
        <v>2.2246999999999999</v>
      </c>
      <c r="Q552">
        <f>(Table413397[[#This Row],[time]]-2)*2</f>
        <v>0.4493999999999998</v>
      </c>
      <c r="R552">
        <v>89.91</v>
      </c>
      <c r="S552">
        <v>14.0974</v>
      </c>
      <c r="T552">
        <f>Table413397[[#This Row],[CFNM]]/Table413397[[#This Row],[CAREA]]</f>
        <v>0.15679457235012792</v>
      </c>
      <c r="U552">
        <v>2.2246999999999999</v>
      </c>
      <c r="V552">
        <f>(Table514398[[#This Row],[time]]-2)*2</f>
        <v>0.4493999999999998</v>
      </c>
      <c r="W552">
        <v>75.684799999999996</v>
      </c>
      <c r="X552">
        <v>5.7581499999999997</v>
      </c>
      <c r="Y552">
        <f>Table514398[[#This Row],[CFNM]]/Table514398[[#This Row],[CAREA]]</f>
        <v>7.6080666131112196E-2</v>
      </c>
      <c r="Z552">
        <v>2.2246999999999999</v>
      </c>
      <c r="AA552">
        <f>(Table615399[[#This Row],[time]]-2)*2</f>
        <v>0.4493999999999998</v>
      </c>
      <c r="AB552">
        <v>93.174199999999999</v>
      </c>
      <c r="AC552">
        <v>28.455300000000001</v>
      </c>
      <c r="AD552">
        <f>Table615399[[#This Row],[CFNM]]/Table615399[[#This Row],[CAREA]]</f>
        <v>0.30539891944336522</v>
      </c>
      <c r="AE552">
        <v>2.2246999999999999</v>
      </c>
      <c r="AF552">
        <f>(Table716400[[#This Row],[time]]-2)*2</f>
        <v>0.4493999999999998</v>
      </c>
      <c r="AG552">
        <v>77.607500000000002</v>
      </c>
      <c r="AH552">
        <v>18.823</v>
      </c>
      <c r="AI552">
        <f>Table716400[[#This Row],[CFNM]]/Table716400[[#This Row],[CAREA]]</f>
        <v>0.24254099152788069</v>
      </c>
      <c r="AJ552">
        <v>2.2246999999999999</v>
      </c>
      <c r="AK552">
        <f>(Table817401[[#This Row],[time]]-2)*2</f>
        <v>0.4493999999999998</v>
      </c>
      <c r="AL552">
        <v>82.431299999999993</v>
      </c>
      <c r="AM552">
        <v>27.3674</v>
      </c>
      <c r="AN552">
        <f>Table817401[[#This Row],[CFNM]]/Table817401[[#This Row],[CAREA]]</f>
        <v>0.33200252816587877</v>
      </c>
    </row>
    <row r="553" spans="1:40" x14ac:dyDescent="0.25">
      <c r="A553">
        <v>2.2668900000000001</v>
      </c>
      <c r="B553">
        <f>(Table110394[[#This Row],[time]]-2)*2</f>
        <v>0.53378000000000014</v>
      </c>
      <c r="C553">
        <v>78.962400000000002</v>
      </c>
      <c r="D553">
        <v>10.156700000000001</v>
      </c>
      <c r="E553">
        <f>Table110394[[#This Row],[CFNM]]/Table110394[[#This Row],[CAREA]]</f>
        <v>0.12862704274439479</v>
      </c>
      <c r="F553">
        <v>2.2668900000000001</v>
      </c>
      <c r="G553">
        <f>(Table211395[[#This Row],[time]]-2)*2</f>
        <v>0.53378000000000014</v>
      </c>
      <c r="H553">
        <v>105.111</v>
      </c>
      <c r="I553">
        <v>13.416600000000001</v>
      </c>
      <c r="J553">
        <f>Table211395[[#This Row],[CFNM]]/Table211395[[#This Row],[CAREA]]</f>
        <v>0.12764220680994379</v>
      </c>
      <c r="K553">
        <v>2.2668900000000001</v>
      </c>
      <c r="L553">
        <f>(Table312396[[#This Row],[time]]-2)*2</f>
        <v>0.53378000000000014</v>
      </c>
      <c r="M553">
        <v>82.324700000000007</v>
      </c>
      <c r="N553">
        <v>3.20512</v>
      </c>
      <c r="O553">
        <f>Table312396[[#This Row],[CFNM]]/Table312396[[#This Row],[CAREA]]</f>
        <v>3.8932665409044914E-2</v>
      </c>
      <c r="P553">
        <v>2.2668900000000001</v>
      </c>
      <c r="Q553">
        <f>(Table413397[[#This Row],[time]]-2)*2</f>
        <v>0.53378000000000014</v>
      </c>
      <c r="R553">
        <v>89.975300000000004</v>
      </c>
      <c r="S553">
        <v>17.132200000000001</v>
      </c>
      <c r="T553">
        <f>Table413397[[#This Row],[CFNM]]/Table413397[[#This Row],[CAREA]]</f>
        <v>0.19041003475398249</v>
      </c>
      <c r="U553">
        <v>2.2668900000000001</v>
      </c>
      <c r="V553">
        <f>(Table514398[[#This Row],[time]]-2)*2</f>
        <v>0.53378000000000014</v>
      </c>
      <c r="W553">
        <v>73.037000000000006</v>
      </c>
      <c r="X553">
        <v>5.6959600000000004</v>
      </c>
      <c r="Y553">
        <f>Table514398[[#This Row],[CFNM]]/Table514398[[#This Row],[CAREA]]</f>
        <v>7.7987321494584941E-2</v>
      </c>
      <c r="Z553">
        <v>2.2668900000000001</v>
      </c>
      <c r="AA553">
        <f>(Table615399[[#This Row],[time]]-2)*2</f>
        <v>0.53378000000000014</v>
      </c>
      <c r="AB553">
        <v>94.529700000000005</v>
      </c>
      <c r="AC553">
        <v>33.293799999999997</v>
      </c>
      <c r="AD553">
        <f>Table615399[[#This Row],[CFNM]]/Table615399[[#This Row],[CAREA]]</f>
        <v>0.35220465102502174</v>
      </c>
      <c r="AE553">
        <v>2.2668900000000001</v>
      </c>
      <c r="AF553">
        <f>(Table716400[[#This Row],[time]]-2)*2</f>
        <v>0.53378000000000014</v>
      </c>
      <c r="AG553">
        <v>77.320599999999999</v>
      </c>
      <c r="AH553">
        <v>18.548500000000001</v>
      </c>
      <c r="AI553">
        <f>Table716400[[#This Row],[CFNM]]/Table716400[[#This Row],[CAREA]]</f>
        <v>0.23989079236322533</v>
      </c>
      <c r="AJ553">
        <v>2.2668900000000001</v>
      </c>
      <c r="AK553">
        <f>(Table817401[[#This Row],[time]]-2)*2</f>
        <v>0.53378000000000014</v>
      </c>
      <c r="AL553">
        <v>81.820499999999996</v>
      </c>
      <c r="AM553">
        <v>30.561299999999999</v>
      </c>
      <c r="AN553">
        <f>Table817401[[#This Row],[CFNM]]/Table817401[[#This Row],[CAREA]]</f>
        <v>0.37351641703485067</v>
      </c>
    </row>
    <row r="554" spans="1:40" x14ac:dyDescent="0.25">
      <c r="A554">
        <v>2.3262700000000001</v>
      </c>
      <c r="B554">
        <f>(Table110394[[#This Row],[time]]-2)*2</f>
        <v>0.65254000000000012</v>
      </c>
      <c r="C554">
        <v>76.105800000000002</v>
      </c>
      <c r="D554">
        <v>10.021000000000001</v>
      </c>
      <c r="E554">
        <f>Table110394[[#This Row],[CFNM]]/Table110394[[#This Row],[CAREA]]</f>
        <v>0.13167196192668629</v>
      </c>
      <c r="F554">
        <v>2.3262700000000001</v>
      </c>
      <c r="G554">
        <f>(Table211395[[#This Row],[time]]-2)*2</f>
        <v>0.65254000000000012</v>
      </c>
      <c r="H554">
        <v>106.82899999999999</v>
      </c>
      <c r="I554">
        <v>16.084499999999998</v>
      </c>
      <c r="J554">
        <f>Table211395[[#This Row],[CFNM]]/Table211395[[#This Row],[CAREA]]</f>
        <v>0.15056304935925638</v>
      </c>
      <c r="K554">
        <v>2.3262700000000001</v>
      </c>
      <c r="L554">
        <f>(Table312396[[#This Row],[time]]-2)*2</f>
        <v>0.65254000000000012</v>
      </c>
      <c r="M554">
        <v>81.384699999999995</v>
      </c>
      <c r="N554">
        <v>3.3588800000000001</v>
      </c>
      <c r="O554">
        <f>Table312396[[#This Row],[CFNM]]/Table312396[[#This Row],[CAREA]]</f>
        <v>4.1271639509637567E-2</v>
      </c>
      <c r="P554">
        <v>2.3262700000000001</v>
      </c>
      <c r="Q554">
        <f>(Table413397[[#This Row],[time]]-2)*2</f>
        <v>0.65254000000000012</v>
      </c>
      <c r="R554">
        <v>89.823899999999995</v>
      </c>
      <c r="S554">
        <v>19.639600000000002</v>
      </c>
      <c r="T554">
        <f>Table413397[[#This Row],[CFNM]]/Table413397[[#This Row],[CAREA]]</f>
        <v>0.2186455943240051</v>
      </c>
      <c r="U554">
        <v>2.3262700000000001</v>
      </c>
      <c r="V554">
        <f>(Table514398[[#This Row],[time]]-2)*2</f>
        <v>0.65254000000000012</v>
      </c>
      <c r="W554">
        <v>71.854799999999997</v>
      </c>
      <c r="X554">
        <v>5.5150199999999998</v>
      </c>
      <c r="Y554">
        <f>Table514398[[#This Row],[CFNM]]/Table514398[[#This Row],[CAREA]]</f>
        <v>7.6752283772274082E-2</v>
      </c>
      <c r="Z554">
        <v>2.3262700000000001</v>
      </c>
      <c r="AA554">
        <f>(Table615399[[#This Row],[time]]-2)*2</f>
        <v>0.65254000000000012</v>
      </c>
      <c r="AB554">
        <v>94.536699999999996</v>
      </c>
      <c r="AC554">
        <v>37.065800000000003</v>
      </c>
      <c r="AD554">
        <f>Table615399[[#This Row],[CFNM]]/Table615399[[#This Row],[CAREA]]</f>
        <v>0.39207842033834484</v>
      </c>
      <c r="AE554">
        <v>2.3262700000000001</v>
      </c>
      <c r="AF554">
        <f>(Table716400[[#This Row],[time]]-2)*2</f>
        <v>0.65254000000000012</v>
      </c>
      <c r="AG554">
        <v>76.823700000000002</v>
      </c>
      <c r="AH554">
        <v>18.287099999999999</v>
      </c>
      <c r="AI554">
        <f>Table716400[[#This Row],[CFNM]]/Table716400[[#This Row],[CAREA]]</f>
        <v>0.23803982364817106</v>
      </c>
      <c r="AJ554">
        <v>2.3262700000000001</v>
      </c>
      <c r="AK554">
        <f>(Table817401[[#This Row],[time]]-2)*2</f>
        <v>0.65254000000000012</v>
      </c>
      <c r="AL554">
        <v>81.360799999999998</v>
      </c>
      <c r="AM554">
        <v>33.191499999999998</v>
      </c>
      <c r="AN554">
        <f>Table817401[[#This Row],[CFNM]]/Table817401[[#This Row],[CAREA]]</f>
        <v>0.40795444489238059</v>
      </c>
    </row>
    <row r="555" spans="1:40" x14ac:dyDescent="0.25">
      <c r="A555">
        <v>2.3684599999999998</v>
      </c>
      <c r="B555">
        <f>(Table110394[[#This Row],[time]]-2)*2</f>
        <v>0.73691999999999958</v>
      </c>
      <c r="C555">
        <v>72.997</v>
      </c>
      <c r="D555">
        <v>9.8543599999999998</v>
      </c>
      <c r="E555">
        <f>Table110394[[#This Row],[CFNM]]/Table110394[[#This Row],[CAREA]]</f>
        <v>0.13499678068961737</v>
      </c>
      <c r="F555">
        <v>2.3684599999999998</v>
      </c>
      <c r="G555">
        <f>(Table211395[[#This Row],[time]]-2)*2</f>
        <v>0.73691999999999958</v>
      </c>
      <c r="H555">
        <v>106.042</v>
      </c>
      <c r="I555">
        <v>18.743099999999998</v>
      </c>
      <c r="J555">
        <f>Table211395[[#This Row],[CFNM]]/Table211395[[#This Row],[CAREA]]</f>
        <v>0.17675166443484655</v>
      </c>
      <c r="K555">
        <v>2.3684599999999998</v>
      </c>
      <c r="L555">
        <f>(Table312396[[#This Row],[time]]-2)*2</f>
        <v>0.73691999999999958</v>
      </c>
      <c r="M555">
        <v>80.548199999999994</v>
      </c>
      <c r="N555">
        <v>3.44828</v>
      </c>
      <c r="O555">
        <f>Table312396[[#This Row],[CFNM]]/Table312396[[#This Row],[CAREA]]</f>
        <v>4.281014349172297E-2</v>
      </c>
      <c r="P555">
        <v>2.3684599999999998</v>
      </c>
      <c r="Q555">
        <f>(Table413397[[#This Row],[time]]-2)*2</f>
        <v>0.73691999999999958</v>
      </c>
      <c r="R555">
        <v>89.480999999999995</v>
      </c>
      <c r="S555">
        <v>22.3367</v>
      </c>
      <c r="T555">
        <f>Table413397[[#This Row],[CFNM]]/Table413397[[#This Row],[CAREA]]</f>
        <v>0.24962506006861793</v>
      </c>
      <c r="U555">
        <v>2.3684599999999998</v>
      </c>
      <c r="V555">
        <f>(Table514398[[#This Row],[time]]-2)*2</f>
        <v>0.73691999999999958</v>
      </c>
      <c r="W555">
        <v>71.023700000000005</v>
      </c>
      <c r="X555">
        <v>5.2254699999999996</v>
      </c>
      <c r="Y555">
        <f>Table514398[[#This Row],[CFNM]]/Table514398[[#This Row],[CAREA]]</f>
        <v>7.3573609935838308E-2</v>
      </c>
      <c r="Z555">
        <v>2.3684599999999998</v>
      </c>
      <c r="AA555">
        <f>(Table615399[[#This Row],[time]]-2)*2</f>
        <v>0.73691999999999958</v>
      </c>
      <c r="AB555">
        <v>94.176299999999998</v>
      </c>
      <c r="AC555">
        <v>40.880899999999997</v>
      </c>
      <c r="AD555">
        <f>Table615399[[#This Row],[CFNM]]/Table615399[[#This Row],[CAREA]]</f>
        <v>0.43408904363412026</v>
      </c>
      <c r="AE555">
        <v>2.3684599999999998</v>
      </c>
      <c r="AF555">
        <f>(Table716400[[#This Row],[time]]-2)*2</f>
        <v>0.73691999999999958</v>
      </c>
      <c r="AG555">
        <v>76.866100000000003</v>
      </c>
      <c r="AH555">
        <v>18.0289</v>
      </c>
      <c r="AI555">
        <f>Table716400[[#This Row],[CFNM]]/Table716400[[#This Row],[CAREA]]</f>
        <v>0.23454943076336643</v>
      </c>
      <c r="AJ555">
        <v>2.3684599999999998</v>
      </c>
      <c r="AK555">
        <f>(Table817401[[#This Row],[time]]-2)*2</f>
        <v>0.73691999999999958</v>
      </c>
      <c r="AL555">
        <v>80.8459</v>
      </c>
      <c r="AM555">
        <v>36.1173</v>
      </c>
      <c r="AN555">
        <f>Table817401[[#This Row],[CFNM]]/Table817401[[#This Row],[CAREA]]</f>
        <v>0.44674250642271285</v>
      </c>
    </row>
    <row r="556" spans="1:40" x14ac:dyDescent="0.25">
      <c r="A556">
        <v>2.4278300000000002</v>
      </c>
      <c r="B556">
        <f>(Table110394[[#This Row],[time]]-2)*2</f>
        <v>0.85566000000000031</v>
      </c>
      <c r="C556">
        <v>70.042100000000005</v>
      </c>
      <c r="D556">
        <v>9.6190999999999995</v>
      </c>
      <c r="E556">
        <f>Table110394[[#This Row],[CFNM]]/Table110394[[#This Row],[CAREA]]</f>
        <v>0.13733311822461061</v>
      </c>
      <c r="F556">
        <v>2.4278300000000002</v>
      </c>
      <c r="G556">
        <f>(Table211395[[#This Row],[time]]-2)*2</f>
        <v>0.85566000000000031</v>
      </c>
      <c r="H556">
        <v>103.825</v>
      </c>
      <c r="I556">
        <v>21.898900000000001</v>
      </c>
      <c r="J556">
        <f>Table211395[[#This Row],[CFNM]]/Table211395[[#This Row],[CAREA]]</f>
        <v>0.21092126173850229</v>
      </c>
      <c r="K556">
        <v>2.4278300000000002</v>
      </c>
      <c r="L556">
        <f>(Table312396[[#This Row],[time]]-2)*2</f>
        <v>0.85566000000000031</v>
      </c>
      <c r="M556">
        <v>79.918999999999997</v>
      </c>
      <c r="N556">
        <v>3.5100500000000001</v>
      </c>
      <c r="O556">
        <f>Table312396[[#This Row],[CFNM]]/Table312396[[#This Row],[CAREA]]</f>
        <v>4.3920094095271464E-2</v>
      </c>
      <c r="P556">
        <v>2.4278300000000002</v>
      </c>
      <c r="Q556">
        <f>(Table413397[[#This Row],[time]]-2)*2</f>
        <v>0.85566000000000031</v>
      </c>
      <c r="R556">
        <v>89.074200000000005</v>
      </c>
      <c r="S556">
        <v>25.238700000000001</v>
      </c>
      <c r="T556">
        <f>Table413397[[#This Row],[CFNM]]/Table413397[[#This Row],[CAREA]]</f>
        <v>0.28334467219464221</v>
      </c>
      <c r="U556">
        <v>2.4278300000000002</v>
      </c>
      <c r="V556">
        <f>(Table514398[[#This Row],[time]]-2)*2</f>
        <v>0.85566000000000031</v>
      </c>
      <c r="W556">
        <v>70.05</v>
      </c>
      <c r="X556">
        <v>4.8804999999999996</v>
      </c>
      <c r="Y556">
        <f>Table514398[[#This Row],[CFNM]]/Table514398[[#This Row],[CAREA]]</f>
        <v>6.9671663097787287E-2</v>
      </c>
      <c r="Z556">
        <v>2.4278300000000002</v>
      </c>
      <c r="AA556">
        <f>(Table615399[[#This Row],[time]]-2)*2</f>
        <v>0.85566000000000031</v>
      </c>
      <c r="AB556">
        <v>94.354200000000006</v>
      </c>
      <c r="AC556">
        <v>44.800600000000003</v>
      </c>
      <c r="AD556">
        <f>Table615399[[#This Row],[CFNM]]/Table615399[[#This Row],[CAREA]]</f>
        <v>0.47481299189649218</v>
      </c>
      <c r="AE556">
        <v>2.4278300000000002</v>
      </c>
      <c r="AF556">
        <f>(Table716400[[#This Row],[time]]-2)*2</f>
        <v>0.85566000000000031</v>
      </c>
      <c r="AG556">
        <v>76.624499999999998</v>
      </c>
      <c r="AH556">
        <v>17.663399999999999</v>
      </c>
      <c r="AI556">
        <f>Table716400[[#This Row],[CFNM]]/Table716400[[#This Row],[CAREA]]</f>
        <v>0.23051895934068084</v>
      </c>
      <c r="AJ556">
        <v>2.4278300000000002</v>
      </c>
      <c r="AK556">
        <f>(Table817401[[#This Row],[time]]-2)*2</f>
        <v>0.85566000000000031</v>
      </c>
      <c r="AL556">
        <v>80.305499999999995</v>
      </c>
      <c r="AM556">
        <v>39.171700000000001</v>
      </c>
      <c r="AN556">
        <f>Table817401[[#This Row],[CFNM]]/Table817401[[#This Row],[CAREA]]</f>
        <v>0.48778352665757641</v>
      </c>
    </row>
    <row r="557" spans="1:40" x14ac:dyDescent="0.25">
      <c r="A557">
        <v>2.4542000000000002</v>
      </c>
      <c r="B557">
        <f>(Table110394[[#This Row],[time]]-2)*2</f>
        <v>0.90840000000000032</v>
      </c>
      <c r="C557">
        <v>68.0488</v>
      </c>
      <c r="D557">
        <v>9.2579499999999992</v>
      </c>
      <c r="E557">
        <f>Table110394[[#This Row],[CFNM]]/Table110394[[#This Row],[CAREA]]</f>
        <v>0.13604868858818964</v>
      </c>
      <c r="F557">
        <v>2.4542000000000002</v>
      </c>
      <c r="G557">
        <f>(Table211395[[#This Row],[time]]-2)*2</f>
        <v>0.90840000000000032</v>
      </c>
      <c r="H557">
        <v>101.70699999999999</v>
      </c>
      <c r="I557">
        <v>25.269300000000001</v>
      </c>
      <c r="J557">
        <f>Table211395[[#This Row],[CFNM]]/Table211395[[#This Row],[CAREA]]</f>
        <v>0.24845192562950438</v>
      </c>
      <c r="K557">
        <v>2.4542000000000002</v>
      </c>
      <c r="L557">
        <f>(Table312396[[#This Row],[time]]-2)*2</f>
        <v>0.90840000000000032</v>
      </c>
      <c r="M557">
        <v>79.215800000000002</v>
      </c>
      <c r="N557">
        <v>3.3577499999999998</v>
      </c>
      <c r="O557">
        <f>Table312396[[#This Row],[CFNM]]/Table312396[[#This Row],[CAREA]]</f>
        <v>4.2387377265646495E-2</v>
      </c>
      <c r="P557">
        <v>2.4542000000000002</v>
      </c>
      <c r="Q557">
        <f>(Table413397[[#This Row],[time]]-2)*2</f>
        <v>0.90840000000000032</v>
      </c>
      <c r="R557">
        <v>88.506699999999995</v>
      </c>
      <c r="S557">
        <v>28.5609</v>
      </c>
      <c r="T557">
        <f>Table413397[[#This Row],[CFNM]]/Table413397[[#This Row],[CAREA]]</f>
        <v>0.32269760368424089</v>
      </c>
      <c r="U557">
        <v>2.4542000000000002</v>
      </c>
      <c r="V557">
        <f>(Table514398[[#This Row],[time]]-2)*2</f>
        <v>0.90840000000000032</v>
      </c>
      <c r="W557">
        <v>69.037999999999997</v>
      </c>
      <c r="X557">
        <v>4.4641500000000001</v>
      </c>
      <c r="Y557">
        <f>Table514398[[#This Row],[CFNM]]/Table514398[[#This Row],[CAREA]]</f>
        <v>6.4662215012022364E-2</v>
      </c>
      <c r="Z557">
        <v>2.4542000000000002</v>
      </c>
      <c r="AA557">
        <f>(Table615399[[#This Row],[time]]-2)*2</f>
        <v>0.90840000000000032</v>
      </c>
      <c r="AB557">
        <v>93.988399999999999</v>
      </c>
      <c r="AC557">
        <v>48.546799999999998</v>
      </c>
      <c r="AD557">
        <f>Table615399[[#This Row],[CFNM]]/Table615399[[#This Row],[CAREA]]</f>
        <v>0.51651905979886881</v>
      </c>
      <c r="AE557">
        <v>2.4542000000000002</v>
      </c>
      <c r="AF557">
        <f>(Table716400[[#This Row],[time]]-2)*2</f>
        <v>0.90840000000000032</v>
      </c>
      <c r="AG557">
        <v>76.597800000000007</v>
      </c>
      <c r="AH557">
        <v>17.269300000000001</v>
      </c>
      <c r="AI557">
        <f>Table716400[[#This Row],[CFNM]]/Table716400[[#This Row],[CAREA]]</f>
        <v>0.22545425586635648</v>
      </c>
      <c r="AJ557">
        <v>2.4542000000000002</v>
      </c>
      <c r="AK557">
        <f>(Table817401[[#This Row],[time]]-2)*2</f>
        <v>0.90840000000000032</v>
      </c>
      <c r="AL557">
        <v>79.822100000000006</v>
      </c>
      <c r="AM557">
        <v>42.285400000000003</v>
      </c>
      <c r="AN557">
        <f>Table817401[[#This Row],[CFNM]]/Table817401[[#This Row],[CAREA]]</f>
        <v>0.52974552160366617</v>
      </c>
    </row>
    <row r="558" spans="1:40" x14ac:dyDescent="0.25">
      <c r="A558">
        <v>2.5061499999999999</v>
      </c>
      <c r="B558">
        <f>(Table110394[[#This Row],[time]]-2)*2</f>
        <v>1.0122999999999998</v>
      </c>
      <c r="C558">
        <v>65.694000000000003</v>
      </c>
      <c r="D558">
        <v>8.8137299999999996</v>
      </c>
      <c r="E558">
        <f>Table110394[[#This Row],[CFNM]]/Table110394[[#This Row],[CAREA]]</f>
        <v>0.13416339391725271</v>
      </c>
      <c r="F558">
        <v>2.5061499999999999</v>
      </c>
      <c r="G558">
        <f>(Table211395[[#This Row],[time]]-2)*2</f>
        <v>1.0122999999999998</v>
      </c>
      <c r="H558">
        <v>100.089</v>
      </c>
      <c r="I558">
        <v>28.891100000000002</v>
      </c>
      <c r="J558">
        <f>Table211395[[#This Row],[CFNM]]/Table211395[[#This Row],[CAREA]]</f>
        <v>0.28865409785291091</v>
      </c>
      <c r="K558">
        <v>2.5061499999999999</v>
      </c>
      <c r="L558">
        <f>(Table312396[[#This Row],[time]]-2)*2</f>
        <v>1.0122999999999998</v>
      </c>
      <c r="M558">
        <v>77.976399999999998</v>
      </c>
      <c r="N558">
        <v>3.1543800000000002</v>
      </c>
      <c r="O558">
        <f>Table312396[[#This Row],[CFNM]]/Table312396[[#This Row],[CAREA]]</f>
        <v>4.04530088590907E-2</v>
      </c>
      <c r="P558">
        <v>2.5061499999999999</v>
      </c>
      <c r="Q558">
        <f>(Table413397[[#This Row],[time]]-2)*2</f>
        <v>1.0122999999999998</v>
      </c>
      <c r="R558">
        <v>87.881299999999996</v>
      </c>
      <c r="S558">
        <v>32.096499999999999</v>
      </c>
      <c r="T558">
        <f>Table413397[[#This Row],[CFNM]]/Table413397[[#This Row],[CAREA]]</f>
        <v>0.36522559406836269</v>
      </c>
      <c r="U558">
        <v>2.5061499999999999</v>
      </c>
      <c r="V558">
        <f>(Table514398[[#This Row],[time]]-2)*2</f>
        <v>1.0122999999999998</v>
      </c>
      <c r="W558">
        <v>68.026300000000006</v>
      </c>
      <c r="X558">
        <v>3.9868700000000001</v>
      </c>
      <c r="Y558">
        <f>Table514398[[#This Row],[CFNM]]/Table514398[[#This Row],[CAREA]]</f>
        <v>5.860777375809062E-2</v>
      </c>
      <c r="Z558">
        <v>2.5061499999999999</v>
      </c>
      <c r="AA558">
        <f>(Table615399[[#This Row],[time]]-2)*2</f>
        <v>1.0122999999999998</v>
      </c>
      <c r="AB558">
        <v>93.907399999999996</v>
      </c>
      <c r="AC558">
        <v>52.349200000000003</v>
      </c>
      <c r="AD558">
        <f>Table615399[[#This Row],[CFNM]]/Table615399[[#This Row],[CAREA]]</f>
        <v>0.55745553598544961</v>
      </c>
      <c r="AE558">
        <v>2.5061499999999999</v>
      </c>
      <c r="AF558">
        <f>(Table716400[[#This Row],[time]]-2)*2</f>
        <v>1.0122999999999998</v>
      </c>
      <c r="AG558">
        <v>75.700400000000002</v>
      </c>
      <c r="AH558">
        <v>16.8948</v>
      </c>
      <c r="AI558">
        <f>Table716400[[#This Row],[CFNM]]/Table716400[[#This Row],[CAREA]]</f>
        <v>0.22317979825734077</v>
      </c>
      <c r="AJ558">
        <v>2.5061499999999999</v>
      </c>
      <c r="AK558">
        <f>(Table817401[[#This Row],[time]]-2)*2</f>
        <v>1.0122999999999998</v>
      </c>
      <c r="AL558">
        <v>79.490499999999997</v>
      </c>
      <c r="AM558">
        <v>45.637</v>
      </c>
      <c r="AN558">
        <f>Table817401[[#This Row],[CFNM]]/Table817401[[#This Row],[CAREA]]</f>
        <v>0.574118919870928</v>
      </c>
    </row>
    <row r="559" spans="1:40" x14ac:dyDescent="0.25">
      <c r="A559">
        <v>2.5507599999999999</v>
      </c>
      <c r="B559">
        <f>(Table110394[[#This Row],[time]]-2)*2</f>
        <v>1.1015199999999998</v>
      </c>
      <c r="C559">
        <v>64.843699999999998</v>
      </c>
      <c r="D559">
        <v>8.2516300000000005</v>
      </c>
      <c r="E559">
        <f>Table110394[[#This Row],[CFNM]]/Table110394[[#This Row],[CAREA]]</f>
        <v>0.12725415113573102</v>
      </c>
      <c r="F559">
        <v>2.5507599999999999</v>
      </c>
      <c r="G559">
        <f>(Table211395[[#This Row],[time]]-2)*2</f>
        <v>1.1015199999999998</v>
      </c>
      <c r="H559">
        <v>98.902799999999999</v>
      </c>
      <c r="I559">
        <v>32.6798</v>
      </c>
      <c r="J559">
        <f>Table211395[[#This Row],[CFNM]]/Table211395[[#This Row],[CAREA]]</f>
        <v>0.33042340560631245</v>
      </c>
      <c r="K559">
        <v>2.5507599999999999</v>
      </c>
      <c r="L559">
        <f>(Table312396[[#This Row],[time]]-2)*2</f>
        <v>1.1015199999999998</v>
      </c>
      <c r="M559">
        <v>76.786000000000001</v>
      </c>
      <c r="N559">
        <v>2.9494799999999999</v>
      </c>
      <c r="O559">
        <f>Table312396[[#This Row],[CFNM]]/Table312396[[#This Row],[CAREA]]</f>
        <v>3.8411689630922299E-2</v>
      </c>
      <c r="P559">
        <v>2.5507599999999999</v>
      </c>
      <c r="Q559">
        <f>(Table413397[[#This Row],[time]]-2)*2</f>
        <v>1.1015199999999998</v>
      </c>
      <c r="R559">
        <v>86.836500000000001</v>
      </c>
      <c r="S559">
        <v>35.815100000000001</v>
      </c>
      <c r="T559">
        <f>Table413397[[#This Row],[CFNM]]/Table413397[[#This Row],[CAREA]]</f>
        <v>0.41244292434632901</v>
      </c>
      <c r="U559">
        <v>2.5507599999999999</v>
      </c>
      <c r="V559">
        <f>(Table514398[[#This Row],[time]]-2)*2</f>
        <v>1.1015199999999998</v>
      </c>
      <c r="W559">
        <v>67.3172</v>
      </c>
      <c r="X559">
        <v>3.4493900000000002</v>
      </c>
      <c r="Y559">
        <f>Table514398[[#This Row],[CFNM]]/Table514398[[#This Row],[CAREA]]</f>
        <v>5.1240841865080544E-2</v>
      </c>
      <c r="Z559">
        <v>2.5507599999999999</v>
      </c>
      <c r="AA559">
        <f>(Table615399[[#This Row],[time]]-2)*2</f>
        <v>1.1015199999999998</v>
      </c>
      <c r="AB559">
        <v>93.363600000000005</v>
      </c>
      <c r="AC559">
        <v>56.241500000000002</v>
      </c>
      <c r="AD559">
        <f>Table615399[[#This Row],[CFNM]]/Table615399[[#This Row],[CAREA]]</f>
        <v>0.60239215283043923</v>
      </c>
      <c r="AE559">
        <v>2.5507599999999999</v>
      </c>
      <c r="AF559">
        <f>(Table716400[[#This Row],[time]]-2)*2</f>
        <v>1.1015199999999998</v>
      </c>
      <c r="AG559">
        <v>75.520200000000003</v>
      </c>
      <c r="AH559">
        <v>16.415400000000002</v>
      </c>
      <c r="AI559">
        <f>Table716400[[#This Row],[CFNM]]/Table716400[[#This Row],[CAREA]]</f>
        <v>0.21736436079353605</v>
      </c>
      <c r="AJ559">
        <v>2.5507599999999999</v>
      </c>
      <c r="AK559">
        <f>(Table817401[[#This Row],[time]]-2)*2</f>
        <v>1.1015199999999998</v>
      </c>
      <c r="AL559">
        <v>78.856899999999996</v>
      </c>
      <c r="AM559">
        <v>49.158099999999997</v>
      </c>
      <c r="AN559">
        <f>Table817401[[#This Row],[CFNM]]/Table817401[[#This Row],[CAREA]]</f>
        <v>0.62338362273941783</v>
      </c>
    </row>
    <row r="560" spans="1:40" x14ac:dyDescent="0.25">
      <c r="A560">
        <v>2.60453</v>
      </c>
      <c r="B560">
        <f>(Table110394[[#This Row],[time]]-2)*2</f>
        <v>1.20906</v>
      </c>
      <c r="C560">
        <v>63.646500000000003</v>
      </c>
      <c r="D560">
        <v>7.7430000000000003</v>
      </c>
      <c r="E560">
        <f>Table110394[[#This Row],[CFNM]]/Table110394[[#This Row],[CAREA]]</f>
        <v>0.12165633616931017</v>
      </c>
      <c r="F560">
        <v>2.60453</v>
      </c>
      <c r="G560">
        <f>(Table211395[[#This Row],[time]]-2)*2</f>
        <v>1.20906</v>
      </c>
      <c r="H560">
        <v>97.973799999999997</v>
      </c>
      <c r="I560">
        <v>36.138500000000001</v>
      </c>
      <c r="J560">
        <f>Table211395[[#This Row],[CFNM]]/Table211395[[#This Row],[CAREA]]</f>
        <v>0.36885881735729348</v>
      </c>
      <c r="K560">
        <v>2.60453</v>
      </c>
      <c r="L560">
        <f>(Table312396[[#This Row],[time]]-2)*2</f>
        <v>1.20906</v>
      </c>
      <c r="M560">
        <v>76.016900000000007</v>
      </c>
      <c r="N560">
        <v>2.5188999999999999</v>
      </c>
      <c r="O560">
        <f>Table312396[[#This Row],[CFNM]]/Table312396[[#This Row],[CAREA]]</f>
        <v>3.3136052640925895E-2</v>
      </c>
      <c r="P560">
        <v>2.60453</v>
      </c>
      <c r="Q560">
        <f>(Table413397[[#This Row],[time]]-2)*2</f>
        <v>1.20906</v>
      </c>
      <c r="R560">
        <v>86.171899999999994</v>
      </c>
      <c r="S560">
        <v>39.497</v>
      </c>
      <c r="T560">
        <f>Table413397[[#This Row],[CFNM]]/Table413397[[#This Row],[CAREA]]</f>
        <v>0.45835127228249584</v>
      </c>
      <c r="U560">
        <v>2.60453</v>
      </c>
      <c r="V560">
        <f>(Table514398[[#This Row],[time]]-2)*2</f>
        <v>1.20906</v>
      </c>
      <c r="W560">
        <v>66.399900000000002</v>
      </c>
      <c r="X560">
        <v>2.8837299999999999</v>
      </c>
      <c r="Y560">
        <f>Table514398[[#This Row],[CFNM]]/Table514398[[#This Row],[CAREA]]</f>
        <v>4.342973408092482E-2</v>
      </c>
      <c r="Z560">
        <v>2.60453</v>
      </c>
      <c r="AA560">
        <f>(Table615399[[#This Row],[time]]-2)*2</f>
        <v>1.20906</v>
      </c>
      <c r="AB560">
        <v>92.766199999999998</v>
      </c>
      <c r="AC560">
        <v>59.957299999999996</v>
      </c>
      <c r="AD560">
        <f>Table615399[[#This Row],[CFNM]]/Table615399[[#This Row],[CAREA]]</f>
        <v>0.6463270027229745</v>
      </c>
      <c r="AE560">
        <v>2.60453</v>
      </c>
      <c r="AF560">
        <f>(Table716400[[#This Row],[time]]-2)*2</f>
        <v>1.20906</v>
      </c>
      <c r="AG560">
        <v>74.787800000000004</v>
      </c>
      <c r="AH560">
        <v>15.855700000000001</v>
      </c>
      <c r="AI560">
        <f>Table716400[[#This Row],[CFNM]]/Table716400[[#This Row],[CAREA]]</f>
        <v>0.21200917796752947</v>
      </c>
      <c r="AJ560">
        <v>2.60453</v>
      </c>
      <c r="AK560">
        <f>(Table817401[[#This Row],[time]]-2)*2</f>
        <v>1.20906</v>
      </c>
      <c r="AL560">
        <v>78.284700000000001</v>
      </c>
      <c r="AM560">
        <v>52.457000000000001</v>
      </c>
      <c r="AN560">
        <f>Table817401[[#This Row],[CFNM]]/Table817401[[#This Row],[CAREA]]</f>
        <v>0.67007984957469335</v>
      </c>
    </row>
    <row r="561" spans="1:40" x14ac:dyDescent="0.25">
      <c r="A561">
        <v>2.65273</v>
      </c>
      <c r="B561">
        <f>(Table110394[[#This Row],[time]]-2)*2</f>
        <v>1.3054600000000001</v>
      </c>
      <c r="C561">
        <v>62.409700000000001</v>
      </c>
      <c r="D561">
        <v>7.2130200000000002</v>
      </c>
      <c r="E561">
        <f>Table110394[[#This Row],[CFNM]]/Table110394[[#This Row],[CAREA]]</f>
        <v>0.11557530319806056</v>
      </c>
      <c r="F561">
        <v>2.65273</v>
      </c>
      <c r="G561">
        <f>(Table211395[[#This Row],[time]]-2)*2</f>
        <v>1.3054600000000001</v>
      </c>
      <c r="H561">
        <v>97.004400000000004</v>
      </c>
      <c r="I561">
        <v>39.688600000000001</v>
      </c>
      <c r="J561">
        <f>Table211395[[#This Row],[CFNM]]/Table211395[[#This Row],[CAREA]]</f>
        <v>0.40914226571165846</v>
      </c>
      <c r="K561">
        <v>2.65273</v>
      </c>
      <c r="L561">
        <f>(Table312396[[#This Row],[time]]-2)*2</f>
        <v>1.3054600000000001</v>
      </c>
      <c r="M561">
        <v>75.202399999999997</v>
      </c>
      <c r="N561">
        <v>2.07334</v>
      </c>
      <c r="O561">
        <f>Table312396[[#This Row],[CFNM]]/Table312396[[#This Row],[CAREA]]</f>
        <v>2.7570130740508281E-2</v>
      </c>
      <c r="P561">
        <v>2.65273</v>
      </c>
      <c r="Q561">
        <f>(Table413397[[#This Row],[time]]-2)*2</f>
        <v>1.3054600000000001</v>
      </c>
      <c r="R561">
        <v>85.522499999999994</v>
      </c>
      <c r="S561">
        <v>43.295299999999997</v>
      </c>
      <c r="T561">
        <f>Table413397[[#This Row],[CFNM]]/Table413397[[#This Row],[CAREA]]</f>
        <v>0.50624455552632353</v>
      </c>
      <c r="U561">
        <v>2.65273</v>
      </c>
      <c r="V561">
        <f>(Table514398[[#This Row],[time]]-2)*2</f>
        <v>1.3054600000000001</v>
      </c>
      <c r="W561">
        <v>64.974400000000003</v>
      </c>
      <c r="X561">
        <v>2.2324799999999998</v>
      </c>
      <c r="Y561">
        <f>Table514398[[#This Row],[CFNM]]/Table514398[[#This Row],[CAREA]]</f>
        <v>3.435937846290231E-2</v>
      </c>
      <c r="Z561">
        <v>2.65273</v>
      </c>
      <c r="AA561">
        <f>(Table615399[[#This Row],[time]]-2)*2</f>
        <v>1.3054600000000001</v>
      </c>
      <c r="AB561">
        <v>92.313000000000002</v>
      </c>
      <c r="AC561">
        <v>63.8825</v>
      </c>
      <c r="AD561">
        <f>Table615399[[#This Row],[CFNM]]/Table615399[[#This Row],[CAREA]]</f>
        <v>0.69202062548070153</v>
      </c>
      <c r="AE561">
        <v>2.65273</v>
      </c>
      <c r="AF561">
        <f>(Table716400[[#This Row],[time]]-2)*2</f>
        <v>1.3054600000000001</v>
      </c>
      <c r="AG561">
        <v>74.262100000000004</v>
      </c>
      <c r="AH561">
        <v>15.2056</v>
      </c>
      <c r="AI561">
        <f>Table716400[[#This Row],[CFNM]]/Table716400[[#This Row],[CAREA]]</f>
        <v>0.20475585796792711</v>
      </c>
      <c r="AJ561">
        <v>2.65273</v>
      </c>
      <c r="AK561">
        <f>(Table817401[[#This Row],[time]]-2)*2</f>
        <v>1.3054600000000001</v>
      </c>
      <c r="AL561">
        <v>77.436999999999998</v>
      </c>
      <c r="AM561">
        <v>55.937600000000003</v>
      </c>
      <c r="AN561">
        <f>Table817401[[#This Row],[CFNM]]/Table817401[[#This Row],[CAREA]]</f>
        <v>0.72236269483580207</v>
      </c>
    </row>
    <row r="562" spans="1:40" x14ac:dyDescent="0.25">
      <c r="A562">
        <v>2.7006199999999998</v>
      </c>
      <c r="B562">
        <f>(Table110394[[#This Row],[time]]-2)*2</f>
        <v>1.4012399999999996</v>
      </c>
      <c r="C562">
        <v>61.7239</v>
      </c>
      <c r="D562">
        <v>6.7956300000000001</v>
      </c>
      <c r="E562">
        <f>Table110394[[#This Row],[CFNM]]/Table110394[[#This Row],[CAREA]]</f>
        <v>0.11009722327979923</v>
      </c>
      <c r="F562">
        <v>2.7006199999999998</v>
      </c>
      <c r="G562">
        <f>(Table211395[[#This Row],[time]]-2)*2</f>
        <v>1.4012399999999996</v>
      </c>
      <c r="H562">
        <v>96.321899999999999</v>
      </c>
      <c r="I562">
        <v>42.681699999999999</v>
      </c>
      <c r="J562">
        <f>Table211395[[#This Row],[CFNM]]/Table211395[[#This Row],[CAREA]]</f>
        <v>0.4431152209414474</v>
      </c>
      <c r="K562">
        <v>2.7006199999999998</v>
      </c>
      <c r="L562">
        <f>(Table312396[[#This Row],[time]]-2)*2</f>
        <v>1.4012399999999996</v>
      </c>
      <c r="M562">
        <v>71.551100000000005</v>
      </c>
      <c r="N562">
        <v>1.72682</v>
      </c>
      <c r="O562">
        <f>Table312396[[#This Row],[CFNM]]/Table312396[[#This Row],[CAREA]]</f>
        <v>2.4134080398484439E-2</v>
      </c>
      <c r="P562">
        <v>2.7006199999999998</v>
      </c>
      <c r="Q562">
        <f>(Table413397[[#This Row],[time]]-2)*2</f>
        <v>1.4012399999999996</v>
      </c>
      <c r="R562">
        <v>84.936199999999999</v>
      </c>
      <c r="S562">
        <v>46.426400000000001</v>
      </c>
      <c r="T562">
        <f>Table413397[[#This Row],[CFNM]]/Table413397[[#This Row],[CAREA]]</f>
        <v>0.54660321511911292</v>
      </c>
      <c r="U562">
        <v>2.7006199999999998</v>
      </c>
      <c r="V562">
        <f>(Table514398[[#This Row],[time]]-2)*2</f>
        <v>1.4012399999999996</v>
      </c>
      <c r="W562">
        <v>64.763400000000004</v>
      </c>
      <c r="X562">
        <v>1.6469100000000001</v>
      </c>
      <c r="Y562">
        <f>Table514398[[#This Row],[CFNM]]/Table514398[[#This Row],[CAREA]]</f>
        <v>2.5429640815645874E-2</v>
      </c>
      <c r="Z562">
        <v>2.7006199999999998</v>
      </c>
      <c r="AA562">
        <f>(Table615399[[#This Row],[time]]-2)*2</f>
        <v>1.4012399999999996</v>
      </c>
      <c r="AB562">
        <v>91.774799999999999</v>
      </c>
      <c r="AC562">
        <v>67.128900000000002</v>
      </c>
      <c r="AD562">
        <f>Table615399[[#This Row],[CFNM]]/Table615399[[#This Row],[CAREA]]</f>
        <v>0.73145242484865125</v>
      </c>
      <c r="AE562">
        <v>2.7006199999999998</v>
      </c>
      <c r="AF562">
        <f>(Table716400[[#This Row],[time]]-2)*2</f>
        <v>1.4012399999999996</v>
      </c>
      <c r="AG562">
        <v>73.591200000000001</v>
      </c>
      <c r="AH562">
        <v>14.6311</v>
      </c>
      <c r="AI562">
        <f>Table716400[[#This Row],[CFNM]]/Table716400[[#This Row],[CAREA]]</f>
        <v>0.1988158910304493</v>
      </c>
      <c r="AJ562">
        <v>2.7006199999999998</v>
      </c>
      <c r="AK562">
        <f>(Table817401[[#This Row],[time]]-2)*2</f>
        <v>1.4012399999999996</v>
      </c>
      <c r="AL562">
        <v>76.799899999999994</v>
      </c>
      <c r="AM562">
        <v>58.862900000000003</v>
      </c>
      <c r="AN562">
        <f>Table817401[[#This Row],[CFNM]]/Table817401[[#This Row],[CAREA]]</f>
        <v>0.76644500839193808</v>
      </c>
    </row>
    <row r="563" spans="1:40" x14ac:dyDescent="0.25">
      <c r="A563">
        <v>2.75176</v>
      </c>
      <c r="B563">
        <f>(Table110394[[#This Row],[time]]-2)*2</f>
        <v>1.50352</v>
      </c>
      <c r="C563">
        <v>60.865000000000002</v>
      </c>
      <c r="D563">
        <v>6.4210500000000001</v>
      </c>
      <c r="E563">
        <f>Table110394[[#This Row],[CFNM]]/Table110394[[#This Row],[CAREA]]</f>
        <v>0.10549659081573975</v>
      </c>
      <c r="F563">
        <v>2.75176</v>
      </c>
      <c r="G563">
        <f>(Table211395[[#This Row],[time]]-2)*2</f>
        <v>1.50352</v>
      </c>
      <c r="H563">
        <v>95.443299999999994</v>
      </c>
      <c r="I563">
        <v>45.548400000000001</v>
      </c>
      <c r="J563">
        <f>Table211395[[#This Row],[CFNM]]/Table211395[[#This Row],[CAREA]]</f>
        <v>0.47722993651728307</v>
      </c>
      <c r="K563">
        <v>2.75176</v>
      </c>
      <c r="L563">
        <f>(Table312396[[#This Row],[time]]-2)*2</f>
        <v>1.50352</v>
      </c>
      <c r="M563">
        <v>68.817599999999999</v>
      </c>
      <c r="N563">
        <v>1.43587</v>
      </c>
      <c r="O563">
        <f>Table312396[[#This Row],[CFNM]]/Table312396[[#This Row],[CAREA]]</f>
        <v>2.0864865964520703E-2</v>
      </c>
      <c r="P563">
        <v>2.75176</v>
      </c>
      <c r="Q563">
        <f>(Table413397[[#This Row],[time]]-2)*2</f>
        <v>1.50352</v>
      </c>
      <c r="R563">
        <v>84.272599999999997</v>
      </c>
      <c r="S563">
        <v>49.434800000000003</v>
      </c>
      <c r="T563">
        <f>Table413397[[#This Row],[CFNM]]/Table413397[[#This Row],[CAREA]]</f>
        <v>0.58660584816417205</v>
      </c>
      <c r="U563">
        <v>2.75176</v>
      </c>
      <c r="V563">
        <f>(Table514398[[#This Row],[time]]-2)*2</f>
        <v>1.50352</v>
      </c>
      <c r="W563">
        <v>63.943899999999999</v>
      </c>
      <c r="X563">
        <v>1.1341600000000001</v>
      </c>
      <c r="Y563">
        <f>Table514398[[#This Row],[CFNM]]/Table514398[[#This Row],[CAREA]]</f>
        <v>1.7736797411481004E-2</v>
      </c>
      <c r="Z563">
        <v>2.75176</v>
      </c>
      <c r="AA563">
        <f>(Table615399[[#This Row],[time]]-2)*2</f>
        <v>1.50352</v>
      </c>
      <c r="AB563">
        <v>91.241100000000003</v>
      </c>
      <c r="AC563">
        <v>70.286100000000005</v>
      </c>
      <c r="AD563">
        <f>Table615399[[#This Row],[CFNM]]/Table615399[[#This Row],[CAREA]]</f>
        <v>0.77033376406027554</v>
      </c>
      <c r="AE563">
        <v>2.75176</v>
      </c>
      <c r="AF563">
        <f>(Table716400[[#This Row],[time]]-2)*2</f>
        <v>1.50352</v>
      </c>
      <c r="AG563">
        <v>73.156999999999996</v>
      </c>
      <c r="AH563">
        <v>14.0311</v>
      </c>
      <c r="AI563">
        <f>Table716400[[#This Row],[CFNM]]/Table716400[[#This Row],[CAREA]]</f>
        <v>0.19179436007490741</v>
      </c>
      <c r="AJ563">
        <v>2.75176</v>
      </c>
      <c r="AK563">
        <f>(Table817401[[#This Row],[time]]-2)*2</f>
        <v>1.50352</v>
      </c>
      <c r="AL563">
        <v>76.111699999999999</v>
      </c>
      <c r="AM563">
        <v>61.703800000000001</v>
      </c>
      <c r="AN563">
        <f>Table817401[[#This Row],[CFNM]]/Table817401[[#This Row],[CAREA]]</f>
        <v>0.81070058873997031</v>
      </c>
    </row>
    <row r="564" spans="1:40" x14ac:dyDescent="0.25">
      <c r="A564">
        <v>2.80444</v>
      </c>
      <c r="B564">
        <f>(Table110394[[#This Row],[time]]-2)*2</f>
        <v>1.6088800000000001</v>
      </c>
      <c r="C564">
        <v>59.903199999999998</v>
      </c>
      <c r="D564">
        <v>6.0223899999999997</v>
      </c>
      <c r="E564">
        <f>Table110394[[#This Row],[CFNM]]/Table110394[[#This Row],[CAREA]]</f>
        <v>0.10053536372013515</v>
      </c>
      <c r="F564">
        <v>2.80444</v>
      </c>
      <c r="G564">
        <f>(Table211395[[#This Row],[time]]-2)*2</f>
        <v>1.6088800000000001</v>
      </c>
      <c r="H564">
        <v>94.527500000000003</v>
      </c>
      <c r="I564">
        <v>48.7759</v>
      </c>
      <c r="J564">
        <f>Table211395[[#This Row],[CFNM]]/Table211395[[#This Row],[CAREA]]</f>
        <v>0.51599693210970354</v>
      </c>
      <c r="K564">
        <v>2.80444</v>
      </c>
      <c r="L564">
        <f>(Table312396[[#This Row],[time]]-2)*2</f>
        <v>1.6088800000000001</v>
      </c>
      <c r="M564">
        <v>65.650999999999996</v>
      </c>
      <c r="N564">
        <v>1.1643399999999999</v>
      </c>
      <c r="O564">
        <f>Table312396[[#This Row],[CFNM]]/Table312396[[#This Row],[CAREA]]</f>
        <v>1.7735297253659504E-2</v>
      </c>
      <c r="P564">
        <v>2.80444</v>
      </c>
      <c r="Q564">
        <f>(Table413397[[#This Row],[time]]-2)*2</f>
        <v>1.6088800000000001</v>
      </c>
      <c r="R564">
        <v>83.480999999999995</v>
      </c>
      <c r="S564">
        <v>52.872900000000001</v>
      </c>
      <c r="T564">
        <f>Table413397[[#This Row],[CFNM]]/Table413397[[#This Row],[CAREA]]</f>
        <v>0.63335249937111449</v>
      </c>
      <c r="U564">
        <v>2.80444</v>
      </c>
      <c r="V564">
        <f>(Table514398[[#This Row],[time]]-2)*2</f>
        <v>1.6088800000000001</v>
      </c>
      <c r="W564">
        <v>62.576500000000003</v>
      </c>
      <c r="X564">
        <v>0.70580900000000002</v>
      </c>
      <c r="Y564">
        <f>Table514398[[#This Row],[CFNM]]/Table514398[[#This Row],[CAREA]]</f>
        <v>1.1279138334678354E-2</v>
      </c>
      <c r="Z564">
        <v>2.80444</v>
      </c>
      <c r="AA564">
        <f>(Table615399[[#This Row],[time]]-2)*2</f>
        <v>1.6088800000000001</v>
      </c>
      <c r="AB564">
        <v>90.707099999999997</v>
      </c>
      <c r="AC564">
        <v>74.028000000000006</v>
      </c>
      <c r="AD564">
        <f>Table615399[[#This Row],[CFNM]]/Table615399[[#This Row],[CAREA]]</f>
        <v>0.81612134000535796</v>
      </c>
      <c r="AE564">
        <v>2.80444</v>
      </c>
      <c r="AF564">
        <f>(Table716400[[#This Row],[time]]-2)*2</f>
        <v>1.6088800000000001</v>
      </c>
      <c r="AG564">
        <v>72.093999999999994</v>
      </c>
      <c r="AH564">
        <v>13.340199999999999</v>
      </c>
      <c r="AI564">
        <f>Table716400[[#This Row],[CFNM]]/Table716400[[#This Row],[CAREA]]</f>
        <v>0.18503897689128082</v>
      </c>
      <c r="AJ564">
        <v>2.80444</v>
      </c>
      <c r="AK564">
        <f>(Table817401[[#This Row],[time]]-2)*2</f>
        <v>1.6088800000000001</v>
      </c>
      <c r="AL564">
        <v>75.417599999999993</v>
      </c>
      <c r="AM564">
        <v>64.911100000000005</v>
      </c>
      <c r="AN564">
        <f>Table817401[[#This Row],[CFNM]]/Table817401[[#This Row],[CAREA]]</f>
        <v>0.86068901688730493</v>
      </c>
    </row>
    <row r="565" spans="1:40" x14ac:dyDescent="0.25">
      <c r="A565">
        <v>2.8583699999999999</v>
      </c>
      <c r="B565">
        <f>(Table110394[[#This Row],[time]]-2)*2</f>
        <v>1.7167399999999997</v>
      </c>
      <c r="C565">
        <v>59.430700000000002</v>
      </c>
      <c r="D565">
        <v>5.6725899999999996</v>
      </c>
      <c r="E565">
        <f>Table110394[[#This Row],[CFNM]]/Table110394[[#This Row],[CAREA]]</f>
        <v>9.5448816857280822E-2</v>
      </c>
      <c r="F565">
        <v>2.8583699999999999</v>
      </c>
      <c r="G565">
        <f>(Table211395[[#This Row],[time]]-2)*2</f>
        <v>1.7167399999999997</v>
      </c>
      <c r="H565">
        <v>93.621700000000004</v>
      </c>
      <c r="I565">
        <v>51.728999999999999</v>
      </c>
      <c r="J565">
        <f>Table211395[[#This Row],[CFNM]]/Table211395[[#This Row],[CAREA]]</f>
        <v>0.55253215867688787</v>
      </c>
      <c r="K565">
        <v>2.8583699999999999</v>
      </c>
      <c r="L565">
        <f>(Table312396[[#This Row],[time]]-2)*2</f>
        <v>1.7167399999999997</v>
      </c>
      <c r="M565">
        <v>64.385400000000004</v>
      </c>
      <c r="N565">
        <v>0.93234799999999995</v>
      </c>
      <c r="O565">
        <f>Table312396[[#This Row],[CFNM]]/Table312396[[#This Row],[CAREA]]</f>
        <v>1.4480736315997103E-2</v>
      </c>
      <c r="P565">
        <v>2.8583699999999999</v>
      </c>
      <c r="Q565">
        <f>(Table413397[[#This Row],[time]]-2)*2</f>
        <v>1.7167399999999997</v>
      </c>
      <c r="R565">
        <v>82.812299999999993</v>
      </c>
      <c r="S565">
        <v>56.051000000000002</v>
      </c>
      <c r="T565">
        <f>Table413397[[#This Row],[CFNM]]/Table413397[[#This Row],[CAREA]]</f>
        <v>0.67684389879281226</v>
      </c>
      <c r="U565">
        <v>2.8583699999999999</v>
      </c>
      <c r="V565">
        <f>(Table514398[[#This Row],[time]]-2)*2</f>
        <v>1.7167399999999997</v>
      </c>
      <c r="W565">
        <v>61.644599999999997</v>
      </c>
      <c r="X565">
        <v>0.46151900000000001</v>
      </c>
      <c r="Y565">
        <f>Table514398[[#This Row],[CFNM]]/Table514398[[#This Row],[CAREA]]</f>
        <v>7.4867709418180994E-3</v>
      </c>
      <c r="Z565">
        <v>2.8583699999999999</v>
      </c>
      <c r="AA565">
        <f>(Table615399[[#This Row],[time]]-2)*2</f>
        <v>1.7167399999999997</v>
      </c>
      <c r="AB565">
        <v>90.159499999999994</v>
      </c>
      <c r="AC565">
        <v>77.530500000000004</v>
      </c>
      <c r="AD565">
        <f>Table615399[[#This Row],[CFNM]]/Table615399[[#This Row],[CAREA]]</f>
        <v>0.85992601999789275</v>
      </c>
      <c r="AE565">
        <v>2.8583699999999999</v>
      </c>
      <c r="AF565">
        <f>(Table716400[[#This Row],[time]]-2)*2</f>
        <v>1.7167399999999997</v>
      </c>
      <c r="AG565">
        <v>71.070899999999995</v>
      </c>
      <c r="AH565">
        <v>12.665699999999999</v>
      </c>
      <c r="AI565">
        <f>Table716400[[#This Row],[CFNM]]/Table716400[[#This Row],[CAREA]]</f>
        <v>0.17821217966847192</v>
      </c>
      <c r="AJ565">
        <v>2.8583699999999999</v>
      </c>
      <c r="AK565">
        <f>(Table817401[[#This Row],[time]]-2)*2</f>
        <v>1.7167399999999997</v>
      </c>
      <c r="AL565">
        <v>74.665499999999994</v>
      </c>
      <c r="AM565">
        <v>67.8142</v>
      </c>
      <c r="AN565">
        <f>Table817401[[#This Row],[CFNM]]/Table817401[[#This Row],[CAREA]]</f>
        <v>0.90824008410845714</v>
      </c>
    </row>
    <row r="566" spans="1:40" x14ac:dyDescent="0.25">
      <c r="A566">
        <v>2.9134199999999999</v>
      </c>
      <c r="B566">
        <f>(Table110394[[#This Row],[time]]-2)*2</f>
        <v>1.8268399999999998</v>
      </c>
      <c r="C566">
        <v>58.0396</v>
      </c>
      <c r="D566">
        <v>5.2699100000000003</v>
      </c>
      <c r="E566">
        <f>Table110394[[#This Row],[CFNM]]/Table110394[[#This Row],[CAREA]]</f>
        <v>9.0798523766531816E-2</v>
      </c>
      <c r="F566">
        <v>2.9134199999999999</v>
      </c>
      <c r="G566">
        <f>(Table211395[[#This Row],[time]]-2)*2</f>
        <v>1.8268399999999998</v>
      </c>
      <c r="H566">
        <v>92.409499999999994</v>
      </c>
      <c r="I566">
        <v>55.424100000000003</v>
      </c>
      <c r="J566">
        <f>Table211395[[#This Row],[CFNM]]/Table211395[[#This Row],[CAREA]]</f>
        <v>0.59976625779817017</v>
      </c>
      <c r="K566">
        <v>2.9134199999999999</v>
      </c>
      <c r="L566">
        <f>(Table312396[[#This Row],[time]]-2)*2</f>
        <v>1.8268399999999998</v>
      </c>
      <c r="M566">
        <v>58.367800000000003</v>
      </c>
      <c r="N566">
        <v>0.67343299999999995</v>
      </c>
      <c r="O566">
        <f>Table312396[[#This Row],[CFNM]]/Table312396[[#This Row],[CAREA]]</f>
        <v>1.15377485531406E-2</v>
      </c>
      <c r="P566">
        <v>2.9134199999999999</v>
      </c>
      <c r="Q566">
        <f>(Table413397[[#This Row],[time]]-2)*2</f>
        <v>1.8268399999999998</v>
      </c>
      <c r="R566">
        <v>81.947000000000003</v>
      </c>
      <c r="S566">
        <v>60.024299999999997</v>
      </c>
      <c r="T566">
        <f>Table413397[[#This Row],[CFNM]]/Table413397[[#This Row],[CAREA]]</f>
        <v>0.73247708885011042</v>
      </c>
      <c r="U566">
        <v>2.9134199999999999</v>
      </c>
      <c r="V566">
        <f>(Table514398[[#This Row],[time]]-2)*2</f>
        <v>1.8268399999999998</v>
      </c>
      <c r="W566">
        <v>61.147399999999998</v>
      </c>
      <c r="X566">
        <v>0.31630200000000003</v>
      </c>
      <c r="Y566">
        <f>Table514398[[#This Row],[CFNM]]/Table514398[[#This Row],[CAREA]]</f>
        <v>5.1727792187402904E-3</v>
      </c>
      <c r="Z566">
        <v>2.9134199999999999</v>
      </c>
      <c r="AA566">
        <f>(Table615399[[#This Row],[time]]-2)*2</f>
        <v>1.8268399999999998</v>
      </c>
      <c r="AB566">
        <v>89.514200000000002</v>
      </c>
      <c r="AC566">
        <v>81.910899999999998</v>
      </c>
      <c r="AD566">
        <f>Table615399[[#This Row],[CFNM]]/Table615399[[#This Row],[CAREA]]</f>
        <v>0.91506040382419773</v>
      </c>
      <c r="AE566">
        <v>2.9134199999999999</v>
      </c>
      <c r="AF566">
        <f>(Table716400[[#This Row],[time]]-2)*2</f>
        <v>1.8268399999999998</v>
      </c>
      <c r="AG566">
        <v>70.733800000000002</v>
      </c>
      <c r="AH566">
        <v>11.7661</v>
      </c>
      <c r="AI566">
        <f>Table716400[[#This Row],[CFNM]]/Table716400[[#This Row],[CAREA]]</f>
        <v>0.16634338887490846</v>
      </c>
      <c r="AJ566">
        <v>2.9134199999999999</v>
      </c>
      <c r="AK566">
        <f>(Table817401[[#This Row],[time]]-2)*2</f>
        <v>1.8268399999999998</v>
      </c>
      <c r="AL566">
        <v>73.890199999999993</v>
      </c>
      <c r="AM566">
        <v>71.410499999999999</v>
      </c>
      <c r="AN566">
        <f>Table817401[[#This Row],[CFNM]]/Table817401[[#This Row],[CAREA]]</f>
        <v>0.96644074586345696</v>
      </c>
    </row>
    <row r="567" spans="1:40" x14ac:dyDescent="0.25">
      <c r="A567">
        <v>2.9619599999999999</v>
      </c>
      <c r="B567">
        <f>(Table110394[[#This Row],[time]]-2)*2</f>
        <v>1.9239199999999999</v>
      </c>
      <c r="C567">
        <v>57.519300000000001</v>
      </c>
      <c r="D567">
        <v>5.0139699999999996</v>
      </c>
      <c r="E567">
        <f>Table110394[[#This Row],[CFNM]]/Table110394[[#This Row],[CAREA]]</f>
        <v>8.7170219387231754E-2</v>
      </c>
      <c r="F567">
        <v>2.9619599999999999</v>
      </c>
      <c r="G567">
        <f>(Table211395[[#This Row],[time]]-2)*2</f>
        <v>1.9239199999999999</v>
      </c>
      <c r="H567">
        <v>91.398399999999995</v>
      </c>
      <c r="I567">
        <v>58.122999999999998</v>
      </c>
      <c r="J567">
        <f>Table211395[[#This Row],[CFNM]]/Table211395[[#This Row],[CAREA]]</f>
        <v>0.63593016945592051</v>
      </c>
      <c r="K567">
        <v>2.9619599999999999</v>
      </c>
      <c r="L567">
        <f>(Table312396[[#This Row],[time]]-2)*2</f>
        <v>1.9239199999999999</v>
      </c>
      <c r="M567">
        <v>56.782499999999999</v>
      </c>
      <c r="N567">
        <v>0.500556</v>
      </c>
      <c r="O567">
        <f>Table312396[[#This Row],[CFNM]]/Table312396[[#This Row],[CAREA]]</f>
        <v>8.8153216219786033E-3</v>
      </c>
      <c r="P567">
        <v>2.9619599999999999</v>
      </c>
      <c r="Q567">
        <f>(Table413397[[#This Row],[time]]-2)*2</f>
        <v>1.9239199999999999</v>
      </c>
      <c r="R567">
        <v>81.291300000000007</v>
      </c>
      <c r="S567">
        <v>62.954099999999997</v>
      </c>
      <c r="T567">
        <f>Table413397[[#This Row],[CFNM]]/Table413397[[#This Row],[CAREA]]</f>
        <v>0.77442604559159456</v>
      </c>
      <c r="U567">
        <v>2.9619599999999999</v>
      </c>
      <c r="V567">
        <f>(Table514398[[#This Row],[time]]-2)*2</f>
        <v>1.9239199999999999</v>
      </c>
      <c r="W567">
        <v>60.8095</v>
      </c>
      <c r="X567">
        <v>0.210421</v>
      </c>
      <c r="Y567">
        <f>Table514398[[#This Row],[CFNM]]/Table514398[[#This Row],[CAREA]]</f>
        <v>3.460331033802284E-3</v>
      </c>
      <c r="Z567">
        <v>2.9619599999999999</v>
      </c>
      <c r="AA567">
        <f>(Table615399[[#This Row],[time]]-2)*2</f>
        <v>1.9239199999999999</v>
      </c>
      <c r="AB567">
        <v>89.053600000000003</v>
      </c>
      <c r="AC567">
        <v>85.039199999999994</v>
      </c>
      <c r="AD567">
        <f>Table615399[[#This Row],[CFNM]]/Table615399[[#This Row],[CAREA]]</f>
        <v>0.95492153040416095</v>
      </c>
      <c r="AE567">
        <v>2.9619599999999999</v>
      </c>
      <c r="AF567">
        <f>(Table716400[[#This Row],[time]]-2)*2</f>
        <v>1.9239199999999999</v>
      </c>
      <c r="AG567">
        <v>70.498199999999997</v>
      </c>
      <c r="AH567">
        <v>11.099</v>
      </c>
      <c r="AI567">
        <f>Table716400[[#This Row],[CFNM]]/Table716400[[#This Row],[CAREA]]</f>
        <v>0.15743664377246513</v>
      </c>
      <c r="AJ567">
        <v>2.9619599999999999</v>
      </c>
      <c r="AK567">
        <f>(Table817401[[#This Row],[time]]-2)*2</f>
        <v>1.9239199999999999</v>
      </c>
      <c r="AL567">
        <v>73.288499999999999</v>
      </c>
      <c r="AM567">
        <v>74.040000000000006</v>
      </c>
      <c r="AN567">
        <f>Table817401[[#This Row],[CFNM]]/Table817401[[#This Row],[CAREA]]</f>
        <v>1.0102539961931272</v>
      </c>
    </row>
    <row r="568" spans="1:40" x14ac:dyDescent="0.25">
      <c r="A568">
        <v>3</v>
      </c>
      <c r="B568">
        <f>(Table110394[[#This Row],[time]]-2)*2</f>
        <v>2</v>
      </c>
      <c r="C568">
        <v>56.675199999999997</v>
      </c>
      <c r="D568">
        <v>4.8115399999999999</v>
      </c>
      <c r="E568">
        <f>Table110394[[#This Row],[CFNM]]/Table110394[[#This Row],[CAREA]]</f>
        <v>8.4896744960758858E-2</v>
      </c>
      <c r="F568">
        <v>3</v>
      </c>
      <c r="G568">
        <f>(Table211395[[#This Row],[time]]-2)*2</f>
        <v>2</v>
      </c>
      <c r="H568">
        <v>90.545699999999997</v>
      </c>
      <c r="I568">
        <v>60.74</v>
      </c>
      <c r="J568">
        <f>Table211395[[#This Row],[CFNM]]/Table211395[[#This Row],[CAREA]]</f>
        <v>0.67082147468074138</v>
      </c>
      <c r="K568">
        <v>3</v>
      </c>
      <c r="L568">
        <f>(Table312396[[#This Row],[time]]-2)*2</f>
        <v>2</v>
      </c>
      <c r="M568">
        <v>54.109699999999997</v>
      </c>
      <c r="N568">
        <v>0.35034399999999999</v>
      </c>
      <c r="O568">
        <f>Table312396[[#This Row],[CFNM]]/Table312396[[#This Row],[CAREA]]</f>
        <v>6.4746986215040931E-3</v>
      </c>
      <c r="P568">
        <v>3</v>
      </c>
      <c r="Q568">
        <f>(Table413397[[#This Row],[time]]-2)*2</f>
        <v>2</v>
      </c>
      <c r="R568">
        <v>80.686000000000007</v>
      </c>
      <c r="S568">
        <v>65.834900000000005</v>
      </c>
      <c r="T568">
        <f>Table413397[[#This Row],[CFNM]]/Table413397[[#This Row],[CAREA]]</f>
        <v>0.81593956820266211</v>
      </c>
      <c r="U568">
        <v>3</v>
      </c>
      <c r="V568">
        <f>(Table514398[[#This Row],[time]]-2)*2</f>
        <v>2</v>
      </c>
      <c r="W568">
        <v>60.206099999999999</v>
      </c>
      <c r="X568">
        <v>8.5369399999999998E-2</v>
      </c>
      <c r="Y568">
        <f>Table514398[[#This Row],[CFNM]]/Table514398[[#This Row],[CAREA]]</f>
        <v>1.4179526659258779E-3</v>
      </c>
      <c r="Z568">
        <v>3</v>
      </c>
      <c r="AA568">
        <f>(Table615399[[#This Row],[time]]-2)*2</f>
        <v>2</v>
      </c>
      <c r="AB568">
        <v>88.545000000000002</v>
      </c>
      <c r="AC568">
        <v>87.913700000000006</v>
      </c>
      <c r="AD568">
        <f>Table615399[[#This Row],[CFNM]]/Table615399[[#This Row],[CAREA]]</f>
        <v>0.99287029194195042</v>
      </c>
      <c r="AE568">
        <v>3</v>
      </c>
      <c r="AF568">
        <f>(Table716400[[#This Row],[time]]-2)*2</f>
        <v>2</v>
      </c>
      <c r="AG568">
        <v>69.361900000000006</v>
      </c>
      <c r="AH568">
        <v>10.462400000000001</v>
      </c>
      <c r="AI568">
        <f>Table716400[[#This Row],[CFNM]]/Table716400[[#This Row],[CAREA]]</f>
        <v>0.1508378519042875</v>
      </c>
      <c r="AJ568">
        <v>3</v>
      </c>
      <c r="AK568">
        <f>(Table817401[[#This Row],[time]]-2)*2</f>
        <v>2</v>
      </c>
      <c r="AL568">
        <v>72.746799999999993</v>
      </c>
      <c r="AM568">
        <v>76.631200000000007</v>
      </c>
      <c r="AN568">
        <f>Table817401[[#This Row],[CFNM]]/Table817401[[#This Row],[CAREA]]</f>
        <v>1.0533961631301998</v>
      </c>
    </row>
    <row r="571" spans="1:40" x14ac:dyDescent="0.25">
      <c r="A571" s="1" t="s">
        <v>28</v>
      </c>
    </row>
    <row r="572" spans="1:40" x14ac:dyDescent="0.25">
      <c r="A572" t="s">
        <v>64</v>
      </c>
      <c r="F572" t="s">
        <v>1</v>
      </c>
    </row>
    <row r="573" spans="1:40" x14ac:dyDescent="0.25">
      <c r="F573" t="s">
        <v>2</v>
      </c>
      <c r="G573" t="s">
        <v>3</v>
      </c>
    </row>
    <row r="576" spans="1:40" x14ac:dyDescent="0.25">
      <c r="A576" t="s">
        <v>5</v>
      </c>
      <c r="F576" t="s">
        <v>6</v>
      </c>
      <c r="K576" t="s">
        <v>7</v>
      </c>
      <c r="P576" t="s">
        <v>19</v>
      </c>
      <c r="U576" t="s">
        <v>8</v>
      </c>
      <c r="Z576" t="s">
        <v>9</v>
      </c>
      <c r="AE576" t="s">
        <v>10</v>
      </c>
      <c r="AJ576" t="s">
        <v>11</v>
      </c>
    </row>
    <row r="577" spans="1:40" x14ac:dyDescent="0.25">
      <c r="A577" t="s">
        <v>12</v>
      </c>
      <c r="B577" t="s">
        <v>13</v>
      </c>
      <c r="C577" t="s">
        <v>17</v>
      </c>
      <c r="D577" t="s">
        <v>15</v>
      </c>
      <c r="E577" t="s">
        <v>16</v>
      </c>
      <c r="F577" t="s">
        <v>12</v>
      </c>
      <c r="G577" t="s">
        <v>13</v>
      </c>
      <c r="H577" t="s">
        <v>17</v>
      </c>
      <c r="I577" t="s">
        <v>15</v>
      </c>
      <c r="J577" t="s">
        <v>16</v>
      </c>
      <c r="K577" t="s">
        <v>12</v>
      </c>
      <c r="L577" t="s">
        <v>13</v>
      </c>
      <c r="M577" t="s">
        <v>17</v>
      </c>
      <c r="N577" t="s">
        <v>15</v>
      </c>
      <c r="O577" t="s">
        <v>16</v>
      </c>
      <c r="P577" t="s">
        <v>12</v>
      </c>
      <c r="Q577" t="s">
        <v>13</v>
      </c>
      <c r="R577" t="s">
        <v>17</v>
      </c>
      <c r="S577" t="s">
        <v>15</v>
      </c>
      <c r="T577" t="s">
        <v>16</v>
      </c>
      <c r="U577" t="s">
        <v>12</v>
      </c>
      <c r="V577" t="s">
        <v>13</v>
      </c>
      <c r="W577" t="s">
        <v>17</v>
      </c>
      <c r="X577" t="s">
        <v>15</v>
      </c>
      <c r="Y577" t="s">
        <v>16</v>
      </c>
      <c r="Z577" t="s">
        <v>12</v>
      </c>
      <c r="AA577" t="s">
        <v>13</v>
      </c>
      <c r="AB577" t="s">
        <v>17</v>
      </c>
      <c r="AC577" t="s">
        <v>15</v>
      </c>
      <c r="AD577" t="s">
        <v>16</v>
      </c>
      <c r="AE577" t="s">
        <v>12</v>
      </c>
      <c r="AF577" t="s">
        <v>13</v>
      </c>
      <c r="AG577" t="s">
        <v>17</v>
      </c>
      <c r="AH577" t="s">
        <v>15</v>
      </c>
      <c r="AI577" t="s">
        <v>16</v>
      </c>
      <c r="AJ577" t="s">
        <v>12</v>
      </c>
      <c r="AK577" t="s">
        <v>13</v>
      </c>
      <c r="AL577" t="s">
        <v>17</v>
      </c>
      <c r="AM577" t="s">
        <v>15</v>
      </c>
      <c r="AN577" t="s">
        <v>16</v>
      </c>
    </row>
    <row r="578" spans="1:40" x14ac:dyDescent="0.25">
      <c r="A578">
        <v>2</v>
      </c>
      <c r="B578">
        <f>-(Table1402[[#This Row],[time]]-2)*2</f>
        <v>0</v>
      </c>
      <c r="C578">
        <v>91.082599999999999</v>
      </c>
      <c r="D578">
        <v>10.202299999999999</v>
      </c>
      <c r="E578" s="2">
        <f>Table1402[[#This Row],[CFNM]]/Table1402[[#This Row],[CAREA]]</f>
        <v>0.11201151482280917</v>
      </c>
      <c r="F578">
        <v>2</v>
      </c>
      <c r="G578">
        <f>-(Table2403[[#This Row],[time]]-2)*2</f>
        <v>0</v>
      </c>
      <c r="H578">
        <v>95.835700000000003</v>
      </c>
      <c r="I578">
        <v>3.5654499999999998</v>
      </c>
      <c r="J578" s="2">
        <f>Table2403[[#This Row],[CFNM]]/Table2403[[#This Row],[CAREA]]</f>
        <v>3.7203776880640513E-2</v>
      </c>
      <c r="K578">
        <v>2</v>
      </c>
      <c r="L578">
        <f>-(Table3404[[#This Row],[time]]-2)*2</f>
        <v>0</v>
      </c>
      <c r="M578">
        <v>89.253699999999995</v>
      </c>
      <c r="N578">
        <v>3.6436600000000001</v>
      </c>
      <c r="O578">
        <f>Table3404[[#This Row],[CFNM]]/Table3404[[#This Row],[CAREA]]</f>
        <v>4.0823629720672647E-2</v>
      </c>
      <c r="P578">
        <v>2</v>
      </c>
      <c r="Q578">
        <f>-(Table4405[[#This Row],[time]]-2)*2</f>
        <v>0</v>
      </c>
      <c r="R578">
        <v>86.409400000000005</v>
      </c>
      <c r="S578">
        <v>6.4346899999999998</v>
      </c>
      <c r="T578">
        <f>Table4405[[#This Row],[CFNM]]/Table4405[[#This Row],[CAREA]]</f>
        <v>7.4467476918020484E-2</v>
      </c>
      <c r="U578">
        <v>2</v>
      </c>
      <c r="V578">
        <f>-(Table5406[[#This Row],[time]]-2)*2</f>
        <v>0</v>
      </c>
      <c r="W578">
        <v>82.628699999999995</v>
      </c>
      <c r="X578">
        <v>8.5542400000000001</v>
      </c>
      <c r="Y578">
        <f>Table5406[[#This Row],[CFNM]]/Table5406[[#This Row],[CAREA]]</f>
        <v>0.1035262566154375</v>
      </c>
      <c r="Z578">
        <v>2</v>
      </c>
      <c r="AA578">
        <f>-(Table6407[[#This Row],[time]]-2)*2</f>
        <v>0</v>
      </c>
      <c r="AB578">
        <v>88.863399999999999</v>
      </c>
      <c r="AC578">
        <v>15.0844</v>
      </c>
      <c r="AD578">
        <f>Table6407[[#This Row],[CFNM]]/Table6407[[#This Row],[CAREA]]</f>
        <v>0.1697481752892642</v>
      </c>
      <c r="AE578">
        <v>2</v>
      </c>
      <c r="AF578">
        <f>-(Table7408[[#This Row],[time]]-2)*2</f>
        <v>0</v>
      </c>
      <c r="AG578">
        <v>78.953900000000004</v>
      </c>
      <c r="AH578">
        <v>19.6159</v>
      </c>
      <c r="AI578">
        <f>Table7408[[#This Row],[CFNM]]/Table7408[[#This Row],[CAREA]]</f>
        <v>0.24844751177585905</v>
      </c>
      <c r="AJ578">
        <v>2</v>
      </c>
      <c r="AK578">
        <f>-(Table8409[[#This Row],[time]]-2)*2</f>
        <v>0</v>
      </c>
      <c r="AL578">
        <v>83.137299999999996</v>
      </c>
      <c r="AM578">
        <v>19.2331</v>
      </c>
      <c r="AN578">
        <f>Table8409[[#This Row],[CFNM]]/Table8409[[#This Row],[CAREA]]</f>
        <v>0.23134140752706669</v>
      </c>
    </row>
    <row r="579" spans="1:40" x14ac:dyDescent="0.25">
      <c r="A579">
        <v>2.0512600000000001</v>
      </c>
      <c r="B579">
        <f>-(Table1402[[#This Row],[time]]-2)*2</f>
        <v>-0.10252000000000017</v>
      </c>
      <c r="C579">
        <v>91.059700000000007</v>
      </c>
      <c r="D579">
        <v>10.8323</v>
      </c>
      <c r="E579">
        <f>Table1402[[#This Row],[CFNM]]/Table1402[[#This Row],[CAREA]]</f>
        <v>0.11895822191375548</v>
      </c>
      <c r="F579">
        <v>2.0512600000000001</v>
      </c>
      <c r="G579">
        <f>-(Table2403[[#This Row],[time]]-2)*2</f>
        <v>-0.10252000000000017</v>
      </c>
      <c r="H579">
        <v>95.844899999999996</v>
      </c>
      <c r="I579">
        <v>3.13585</v>
      </c>
      <c r="J579">
        <f>Table2403[[#This Row],[CFNM]]/Table2403[[#This Row],[CAREA]]</f>
        <v>3.2717964127460093E-2</v>
      </c>
      <c r="K579">
        <v>2.0512600000000001</v>
      </c>
      <c r="L579">
        <f>-(Table3404[[#This Row],[time]]-2)*2</f>
        <v>-0.10252000000000017</v>
      </c>
      <c r="M579">
        <v>89.250500000000002</v>
      </c>
      <c r="N579">
        <v>4.3897899999999996</v>
      </c>
      <c r="O579">
        <f>Table3404[[#This Row],[CFNM]]/Table3404[[#This Row],[CAREA]]</f>
        <v>4.9185046582372084E-2</v>
      </c>
      <c r="P579">
        <v>2.0512600000000001</v>
      </c>
      <c r="Q579">
        <f>-(Table4405[[#This Row],[time]]-2)*2</f>
        <v>-0.10252000000000017</v>
      </c>
      <c r="R579">
        <v>86.386499999999998</v>
      </c>
      <c r="S579">
        <v>5.7912100000000004</v>
      </c>
      <c r="T579">
        <f>Table4405[[#This Row],[CFNM]]/Table4405[[#This Row],[CAREA]]</f>
        <v>6.7038368263559703E-2</v>
      </c>
      <c r="U579">
        <v>2.0512600000000001</v>
      </c>
      <c r="V579">
        <f>-(Table5406[[#This Row],[time]]-2)*2</f>
        <v>-0.10252000000000017</v>
      </c>
      <c r="W579">
        <v>82.585499999999996</v>
      </c>
      <c r="X579">
        <v>9.4878900000000002</v>
      </c>
      <c r="Y579">
        <f>Table5406[[#This Row],[CFNM]]/Table5406[[#This Row],[CAREA]]</f>
        <v>0.11488566394827179</v>
      </c>
      <c r="Z579">
        <v>2.0512600000000001</v>
      </c>
      <c r="AA579">
        <f>-(Table6407[[#This Row],[time]]-2)*2</f>
        <v>-0.10252000000000017</v>
      </c>
      <c r="AB579">
        <v>88.865399999999994</v>
      </c>
      <c r="AC579">
        <v>14.1159</v>
      </c>
      <c r="AD579">
        <f>Table6407[[#This Row],[CFNM]]/Table6407[[#This Row],[CAREA]]</f>
        <v>0.15884585001586671</v>
      </c>
      <c r="AE579">
        <v>2.0512600000000001</v>
      </c>
      <c r="AF579">
        <f>-(Table7408[[#This Row],[time]]-2)*2</f>
        <v>-0.10252000000000017</v>
      </c>
      <c r="AG579">
        <v>79.305800000000005</v>
      </c>
      <c r="AH579">
        <v>20.397600000000001</v>
      </c>
      <c r="AI579">
        <f>Table7408[[#This Row],[CFNM]]/Table7408[[#This Row],[CAREA]]</f>
        <v>0.25720186922015792</v>
      </c>
      <c r="AJ579">
        <v>2.0512600000000001</v>
      </c>
      <c r="AK579">
        <f>-(Table8409[[#This Row],[time]]-2)*2</f>
        <v>-0.10252000000000017</v>
      </c>
      <c r="AL579">
        <v>83.059399999999997</v>
      </c>
      <c r="AM579">
        <v>18.1524</v>
      </c>
      <c r="AN579">
        <f>Table8409[[#This Row],[CFNM]]/Table8409[[#This Row],[CAREA]]</f>
        <v>0.21854720838339792</v>
      </c>
    </row>
    <row r="580" spans="1:40" x14ac:dyDescent="0.25">
      <c r="A580">
        <v>2.1153300000000002</v>
      </c>
      <c r="B580">
        <f>-(Table1402[[#This Row],[time]]-2)*2</f>
        <v>-0.23066000000000031</v>
      </c>
      <c r="C580">
        <v>90.950800000000001</v>
      </c>
      <c r="D580">
        <v>11.919700000000001</v>
      </c>
      <c r="E580">
        <f>Table1402[[#This Row],[CFNM]]/Table1402[[#This Row],[CAREA]]</f>
        <v>0.13105657124511275</v>
      </c>
      <c r="F580">
        <v>2.1153300000000002</v>
      </c>
      <c r="G580">
        <f>-(Table2403[[#This Row],[time]]-2)*2</f>
        <v>-0.23066000000000031</v>
      </c>
      <c r="H580">
        <v>95.838700000000003</v>
      </c>
      <c r="I580">
        <v>2.2962099999999999</v>
      </c>
      <c r="J580">
        <f>Table2403[[#This Row],[CFNM]]/Table2403[[#This Row],[CAREA]]</f>
        <v>2.3959110463727073E-2</v>
      </c>
      <c r="K580">
        <v>2.1153300000000002</v>
      </c>
      <c r="L580">
        <f>-(Table3404[[#This Row],[time]]-2)*2</f>
        <v>-0.23066000000000031</v>
      </c>
      <c r="M580">
        <v>89.465000000000003</v>
      </c>
      <c r="N580">
        <v>5.5688500000000003</v>
      </c>
      <c r="O580">
        <f>Table3404[[#This Row],[CFNM]]/Table3404[[#This Row],[CAREA]]</f>
        <v>6.2246129771418988E-2</v>
      </c>
      <c r="P580">
        <v>2.1153300000000002</v>
      </c>
      <c r="Q580">
        <f>-(Table4405[[#This Row],[time]]-2)*2</f>
        <v>-0.23066000000000031</v>
      </c>
      <c r="R580">
        <v>86.073599999999999</v>
      </c>
      <c r="S580">
        <v>4.5135199999999998</v>
      </c>
      <c r="T580">
        <f>Table4405[[#This Row],[CFNM]]/Table4405[[#This Row],[CAREA]]</f>
        <v>5.2437913599524127E-2</v>
      </c>
      <c r="U580">
        <v>2.1153300000000002</v>
      </c>
      <c r="V580">
        <f>-(Table5406[[#This Row],[time]]-2)*2</f>
        <v>-0.23066000000000031</v>
      </c>
      <c r="W580">
        <v>82.695099999999996</v>
      </c>
      <c r="X580">
        <v>11.027799999999999</v>
      </c>
      <c r="Y580">
        <f>Table5406[[#This Row],[CFNM]]/Table5406[[#This Row],[CAREA]]</f>
        <v>0.1333549388053222</v>
      </c>
      <c r="Z580">
        <v>2.1153300000000002</v>
      </c>
      <c r="AA580">
        <f>-(Table6407[[#This Row],[time]]-2)*2</f>
        <v>-0.23066000000000031</v>
      </c>
      <c r="AB580">
        <v>88.819699999999997</v>
      </c>
      <c r="AC580">
        <v>12.0268</v>
      </c>
      <c r="AD580">
        <f>Table6407[[#This Row],[CFNM]]/Table6407[[#This Row],[CAREA]]</f>
        <v>0.13540689734371991</v>
      </c>
      <c r="AE580">
        <v>2.1153300000000002</v>
      </c>
      <c r="AF580">
        <f>-(Table7408[[#This Row],[time]]-2)*2</f>
        <v>-0.23066000000000031</v>
      </c>
      <c r="AG580">
        <v>79.917400000000001</v>
      </c>
      <c r="AH580">
        <v>21.5444</v>
      </c>
      <c r="AI580">
        <f>Table7408[[#This Row],[CFNM]]/Table7408[[#This Row],[CAREA]]</f>
        <v>0.26958334480350959</v>
      </c>
      <c r="AJ580">
        <v>2.1153300000000002</v>
      </c>
      <c r="AK580">
        <f>-(Table8409[[#This Row],[time]]-2)*2</f>
        <v>-0.23066000000000031</v>
      </c>
      <c r="AL580">
        <v>82.709100000000007</v>
      </c>
      <c r="AM580">
        <v>16.946000000000002</v>
      </c>
      <c r="AN580">
        <f>Table8409[[#This Row],[CFNM]]/Table8409[[#This Row],[CAREA]]</f>
        <v>0.20488676578514337</v>
      </c>
    </row>
    <row r="581" spans="1:40" x14ac:dyDescent="0.25">
      <c r="A581">
        <v>2.16533</v>
      </c>
      <c r="B581">
        <f>-(Table1402[[#This Row],[time]]-2)*2</f>
        <v>-0.33065999999999995</v>
      </c>
      <c r="C581">
        <v>90.856499999999997</v>
      </c>
      <c r="D581">
        <v>12.7082</v>
      </c>
      <c r="E581">
        <f>Table1402[[#This Row],[CFNM]]/Table1402[[#This Row],[CAREA]]</f>
        <v>0.13987111544028222</v>
      </c>
      <c r="F581">
        <v>2.16533</v>
      </c>
      <c r="G581">
        <f>-(Table2403[[#This Row],[time]]-2)*2</f>
        <v>-0.33065999999999995</v>
      </c>
      <c r="H581">
        <v>95.6798</v>
      </c>
      <c r="I581">
        <v>1.7142500000000001</v>
      </c>
      <c r="J581">
        <f>Table2403[[#This Row],[CFNM]]/Table2403[[#This Row],[CAREA]]</f>
        <v>1.7916529925856867E-2</v>
      </c>
      <c r="K581">
        <v>2.16533</v>
      </c>
      <c r="L581">
        <f>-(Table3404[[#This Row],[time]]-2)*2</f>
        <v>-0.33065999999999995</v>
      </c>
      <c r="M581">
        <v>89.724400000000003</v>
      </c>
      <c r="N581">
        <v>6.5150899999999998</v>
      </c>
      <c r="O581">
        <f>Table3404[[#This Row],[CFNM]]/Table3404[[#This Row],[CAREA]]</f>
        <v>7.2612243715198976E-2</v>
      </c>
      <c r="P581">
        <v>2.16533</v>
      </c>
      <c r="Q581">
        <f>-(Table4405[[#This Row],[time]]-2)*2</f>
        <v>-0.33065999999999995</v>
      </c>
      <c r="R581">
        <v>85.186499999999995</v>
      </c>
      <c r="S581">
        <v>3.5861299999999998</v>
      </c>
      <c r="T581">
        <f>Table4405[[#This Row],[CFNM]]/Table4405[[#This Row],[CAREA]]</f>
        <v>4.209739806189948E-2</v>
      </c>
      <c r="U581">
        <v>2.16533</v>
      </c>
      <c r="V581">
        <f>-(Table5406[[#This Row],[time]]-2)*2</f>
        <v>-0.33065999999999995</v>
      </c>
      <c r="W581">
        <v>82.780199999999994</v>
      </c>
      <c r="X581">
        <v>12.3088</v>
      </c>
      <c r="Y581">
        <f>Table5406[[#This Row],[CFNM]]/Table5406[[#This Row],[CAREA]]</f>
        <v>0.14869256174785758</v>
      </c>
      <c r="Z581">
        <v>2.16533</v>
      </c>
      <c r="AA581">
        <f>-(Table6407[[#This Row],[time]]-2)*2</f>
        <v>-0.33065999999999995</v>
      </c>
      <c r="AB581">
        <v>87.489500000000007</v>
      </c>
      <c r="AC581">
        <v>10.4557</v>
      </c>
      <c r="AD581">
        <f>Table6407[[#This Row],[CFNM]]/Table6407[[#This Row],[CAREA]]</f>
        <v>0.11950805525234456</v>
      </c>
      <c r="AE581">
        <v>2.16533</v>
      </c>
      <c r="AF581">
        <f>-(Table7408[[#This Row],[time]]-2)*2</f>
        <v>-0.33065999999999995</v>
      </c>
      <c r="AG581">
        <v>80.381399999999999</v>
      </c>
      <c r="AH581">
        <v>22.815100000000001</v>
      </c>
      <c r="AI581">
        <f>Table7408[[#This Row],[CFNM]]/Table7408[[#This Row],[CAREA]]</f>
        <v>0.28383556394887377</v>
      </c>
      <c r="AJ581">
        <v>2.16533</v>
      </c>
      <c r="AK581">
        <f>-(Table8409[[#This Row],[time]]-2)*2</f>
        <v>-0.33065999999999995</v>
      </c>
      <c r="AL581">
        <v>82.624799999999993</v>
      </c>
      <c r="AM581">
        <v>16.097300000000001</v>
      </c>
      <c r="AN581">
        <f>Table8409[[#This Row],[CFNM]]/Table8409[[#This Row],[CAREA]]</f>
        <v>0.19482407219140019</v>
      </c>
    </row>
    <row r="582" spans="1:40" x14ac:dyDescent="0.25">
      <c r="A582">
        <v>2.2246999999999999</v>
      </c>
      <c r="B582">
        <f>-(Table1402[[#This Row],[time]]-2)*2</f>
        <v>-0.4493999999999998</v>
      </c>
      <c r="C582">
        <v>90.784300000000002</v>
      </c>
      <c r="D582">
        <v>13.462899999999999</v>
      </c>
      <c r="E582">
        <f>Table1402[[#This Row],[CFNM]]/Table1402[[#This Row],[CAREA]]</f>
        <v>0.14829546518505951</v>
      </c>
      <c r="F582">
        <v>2.2246999999999999</v>
      </c>
      <c r="G582">
        <f>-(Table2403[[#This Row],[time]]-2)*2</f>
        <v>-0.4493999999999998</v>
      </c>
      <c r="H582">
        <v>95.678100000000001</v>
      </c>
      <c r="I582">
        <v>1.1430800000000001</v>
      </c>
      <c r="J582">
        <f>Table2403[[#This Row],[CFNM]]/Table2403[[#This Row],[CAREA]]</f>
        <v>1.1947143599214451E-2</v>
      </c>
      <c r="K582">
        <v>2.2246999999999999</v>
      </c>
      <c r="L582">
        <f>-(Table3404[[#This Row],[time]]-2)*2</f>
        <v>-0.4493999999999998</v>
      </c>
      <c r="M582">
        <v>90.043199999999999</v>
      </c>
      <c r="N582">
        <v>7.6533699999999998</v>
      </c>
      <c r="O582">
        <f>Table3404[[#This Row],[CFNM]]/Table3404[[#This Row],[CAREA]]</f>
        <v>8.4996646054338362E-2</v>
      </c>
      <c r="P582">
        <v>2.2246999999999999</v>
      </c>
      <c r="Q582">
        <f>-(Table4405[[#This Row],[time]]-2)*2</f>
        <v>-0.4493999999999998</v>
      </c>
      <c r="R582">
        <v>84.529799999999994</v>
      </c>
      <c r="S582">
        <v>2.9408699999999999</v>
      </c>
      <c r="T582">
        <f>Table4405[[#This Row],[CFNM]]/Table4405[[#This Row],[CAREA]]</f>
        <v>3.4790925803681066E-2</v>
      </c>
      <c r="U582">
        <v>2.2246999999999999</v>
      </c>
      <c r="V582">
        <f>-(Table5406[[#This Row],[time]]-2)*2</f>
        <v>-0.4493999999999998</v>
      </c>
      <c r="W582">
        <v>82.918999999999997</v>
      </c>
      <c r="X582">
        <v>13.629200000000001</v>
      </c>
      <c r="Y582">
        <f>Table5406[[#This Row],[CFNM]]/Table5406[[#This Row],[CAREA]]</f>
        <v>0.16436763588562334</v>
      </c>
      <c r="Z582">
        <v>2.2246999999999999</v>
      </c>
      <c r="AA582">
        <f>-(Table6407[[#This Row],[time]]-2)*2</f>
        <v>-0.4493999999999998</v>
      </c>
      <c r="AB582">
        <v>86.724599999999995</v>
      </c>
      <c r="AC582">
        <v>8.7217800000000008</v>
      </c>
      <c r="AD582">
        <f>Table6407[[#This Row],[CFNM]]/Table6407[[#This Row],[CAREA]]</f>
        <v>0.10056869677115837</v>
      </c>
      <c r="AE582">
        <v>2.2246999999999999</v>
      </c>
      <c r="AF582">
        <f>-(Table7408[[#This Row],[time]]-2)*2</f>
        <v>-0.4493999999999998</v>
      </c>
      <c r="AG582">
        <v>80.474500000000006</v>
      </c>
      <c r="AH582">
        <v>24.3184</v>
      </c>
      <c r="AI582">
        <f>Table7408[[#This Row],[CFNM]]/Table7408[[#This Row],[CAREA]]</f>
        <v>0.30218764950388011</v>
      </c>
      <c r="AJ582">
        <v>2.2246999999999999</v>
      </c>
      <c r="AK582">
        <f>-(Table8409[[#This Row],[time]]-2)*2</f>
        <v>-0.4493999999999998</v>
      </c>
      <c r="AL582">
        <v>82.542000000000002</v>
      </c>
      <c r="AM582">
        <v>15.3065</v>
      </c>
      <c r="AN582">
        <f>Table8409[[#This Row],[CFNM]]/Table8409[[#This Row],[CAREA]]</f>
        <v>0.18543892806086598</v>
      </c>
    </row>
    <row r="583" spans="1:40" x14ac:dyDescent="0.25">
      <c r="A583">
        <v>2.2668900000000001</v>
      </c>
      <c r="B583">
        <f>-(Table1402[[#This Row],[time]]-2)*2</f>
        <v>-0.53378000000000014</v>
      </c>
      <c r="C583">
        <v>90.738200000000006</v>
      </c>
      <c r="D583">
        <v>14.2263</v>
      </c>
      <c r="E583">
        <f>Table1402[[#This Row],[CFNM]]/Table1402[[#This Row],[CAREA]]</f>
        <v>0.15678402260569418</v>
      </c>
      <c r="F583">
        <v>2.2668900000000001</v>
      </c>
      <c r="G583">
        <f>-(Table2403[[#This Row],[time]]-2)*2</f>
        <v>-0.53378000000000014</v>
      </c>
      <c r="H583">
        <v>95.253500000000003</v>
      </c>
      <c r="I583">
        <v>0.62235099999999999</v>
      </c>
      <c r="J583">
        <f>Table2403[[#This Row],[CFNM]]/Table2403[[#This Row],[CAREA]]</f>
        <v>6.5336286855601101E-3</v>
      </c>
      <c r="K583">
        <v>2.2668900000000001</v>
      </c>
      <c r="L583">
        <f>-(Table3404[[#This Row],[time]]-2)*2</f>
        <v>-0.53378000000000014</v>
      </c>
      <c r="M583">
        <v>90.198300000000003</v>
      </c>
      <c r="N583">
        <v>8.8701600000000003</v>
      </c>
      <c r="O583">
        <f>Table3404[[#This Row],[CFNM]]/Table3404[[#This Row],[CAREA]]</f>
        <v>9.8340656087753317E-2</v>
      </c>
      <c r="P583">
        <v>2.2668900000000001</v>
      </c>
      <c r="Q583">
        <f>-(Table4405[[#This Row],[time]]-2)*2</f>
        <v>-0.53378000000000014</v>
      </c>
      <c r="R583">
        <v>83.624799999999993</v>
      </c>
      <c r="S583">
        <v>2.5580099999999999</v>
      </c>
      <c r="T583">
        <f>Table4405[[#This Row],[CFNM]]/Table4405[[#This Row],[CAREA]]</f>
        <v>3.0589131453827096E-2</v>
      </c>
      <c r="U583">
        <v>2.2668900000000001</v>
      </c>
      <c r="V583">
        <f>-(Table5406[[#This Row],[time]]-2)*2</f>
        <v>-0.53378000000000014</v>
      </c>
      <c r="W583">
        <v>83.434600000000003</v>
      </c>
      <c r="X583">
        <v>15.090299999999999</v>
      </c>
      <c r="Y583">
        <f>Table5406[[#This Row],[CFNM]]/Table5406[[#This Row],[CAREA]]</f>
        <v>0.18086381429287129</v>
      </c>
      <c r="Z583">
        <v>2.2668900000000001</v>
      </c>
      <c r="AA583">
        <f>-(Table6407[[#This Row],[time]]-2)*2</f>
        <v>-0.53378000000000014</v>
      </c>
      <c r="AB583">
        <v>84.3</v>
      </c>
      <c r="AC583">
        <v>7.1176300000000001</v>
      </c>
      <c r="AD583">
        <f>Table6407[[#This Row],[CFNM]]/Table6407[[#This Row],[CAREA]]</f>
        <v>8.4432147093712939E-2</v>
      </c>
      <c r="AE583">
        <v>2.2668900000000001</v>
      </c>
      <c r="AF583">
        <f>-(Table7408[[#This Row],[time]]-2)*2</f>
        <v>-0.53378000000000014</v>
      </c>
      <c r="AG583">
        <v>80.117500000000007</v>
      </c>
      <c r="AH583">
        <v>26.066500000000001</v>
      </c>
      <c r="AI583">
        <f>Table7408[[#This Row],[CFNM]]/Table7408[[#This Row],[CAREA]]</f>
        <v>0.3253533872125316</v>
      </c>
      <c r="AJ583">
        <v>2.2668900000000001</v>
      </c>
      <c r="AK583">
        <f>-(Table8409[[#This Row],[time]]-2)*2</f>
        <v>-0.53378000000000014</v>
      </c>
      <c r="AL583">
        <v>82.417100000000005</v>
      </c>
      <c r="AM583">
        <v>14.5268</v>
      </c>
      <c r="AN583">
        <f>Table8409[[#This Row],[CFNM]]/Table8409[[#This Row],[CAREA]]</f>
        <v>0.17625953837249791</v>
      </c>
    </row>
    <row r="584" spans="1:40" x14ac:dyDescent="0.25">
      <c r="A584">
        <v>2.3262700000000001</v>
      </c>
      <c r="B584">
        <f>-(Table1402[[#This Row],[time]]-2)*2</f>
        <v>-0.65254000000000012</v>
      </c>
      <c r="C584">
        <v>90.69</v>
      </c>
      <c r="D584">
        <v>15.0252</v>
      </c>
      <c r="E584">
        <f>Table1402[[#This Row],[CFNM]]/Table1402[[#This Row],[CAREA]]</f>
        <v>0.16567648031756532</v>
      </c>
      <c r="F584">
        <v>2.3262700000000001</v>
      </c>
      <c r="G584">
        <f>-(Table2403[[#This Row],[time]]-2)*2</f>
        <v>-0.65254000000000012</v>
      </c>
      <c r="H584">
        <v>94.62</v>
      </c>
      <c r="I584">
        <v>0.21882199999999999</v>
      </c>
      <c r="J584">
        <f>Table2403[[#This Row],[CFNM]]/Table2403[[#This Row],[CAREA]]</f>
        <v>2.3126400338194884E-3</v>
      </c>
      <c r="K584">
        <v>2.3262700000000001</v>
      </c>
      <c r="L584">
        <f>-(Table3404[[#This Row],[time]]-2)*2</f>
        <v>-0.65254000000000012</v>
      </c>
      <c r="M584">
        <v>90.367500000000007</v>
      </c>
      <c r="N584">
        <v>10.2493</v>
      </c>
      <c r="O584">
        <f>Table3404[[#This Row],[CFNM]]/Table3404[[#This Row],[CAREA]]</f>
        <v>0.11341798766149333</v>
      </c>
      <c r="P584">
        <v>2.3262700000000001</v>
      </c>
      <c r="Q584">
        <f>-(Table4405[[#This Row],[time]]-2)*2</f>
        <v>-0.65254000000000012</v>
      </c>
      <c r="R584">
        <v>82.420699999999997</v>
      </c>
      <c r="S584">
        <v>2.2228699999999999</v>
      </c>
      <c r="T584">
        <f>Table4405[[#This Row],[CFNM]]/Table4405[[#This Row],[CAREA]]</f>
        <v>2.6969802488937853E-2</v>
      </c>
      <c r="U584">
        <v>2.3262700000000001</v>
      </c>
      <c r="V584">
        <f>-(Table5406[[#This Row],[time]]-2)*2</f>
        <v>-0.65254000000000012</v>
      </c>
      <c r="W584">
        <v>84.139700000000005</v>
      </c>
      <c r="X584">
        <v>16.7804</v>
      </c>
      <c r="Y584">
        <f>Table5406[[#This Row],[CFNM]]/Table5406[[#This Row],[CAREA]]</f>
        <v>0.19943498728899675</v>
      </c>
      <c r="Z584">
        <v>2.3262700000000001</v>
      </c>
      <c r="AA584">
        <f>-(Table6407[[#This Row],[time]]-2)*2</f>
        <v>-0.65254000000000012</v>
      </c>
      <c r="AB584">
        <v>83.105599999999995</v>
      </c>
      <c r="AC584">
        <v>5.50176</v>
      </c>
      <c r="AD584">
        <f>Table6407[[#This Row],[CFNM]]/Table6407[[#This Row],[CAREA]]</f>
        <v>6.6202036926512775E-2</v>
      </c>
      <c r="AE584">
        <v>2.3262700000000001</v>
      </c>
      <c r="AF584">
        <f>-(Table7408[[#This Row],[time]]-2)*2</f>
        <v>-0.65254000000000012</v>
      </c>
      <c r="AG584">
        <v>79.153300000000002</v>
      </c>
      <c r="AH584">
        <v>28.6584</v>
      </c>
      <c r="AI584">
        <f>Table7408[[#This Row],[CFNM]]/Table7408[[#This Row],[CAREA]]</f>
        <v>0.36206197341108964</v>
      </c>
      <c r="AJ584">
        <v>2.3262700000000001</v>
      </c>
      <c r="AK584">
        <f>-(Table8409[[#This Row],[time]]-2)*2</f>
        <v>-0.65254000000000012</v>
      </c>
      <c r="AL584">
        <v>82.343400000000003</v>
      </c>
      <c r="AM584">
        <v>13.7902</v>
      </c>
      <c r="AN584">
        <f>Table8409[[#This Row],[CFNM]]/Table8409[[#This Row],[CAREA]]</f>
        <v>0.16747183137932123</v>
      </c>
    </row>
    <row r="585" spans="1:40" x14ac:dyDescent="0.25">
      <c r="A585">
        <v>2.3684599999999998</v>
      </c>
      <c r="B585">
        <f>-(Table1402[[#This Row],[time]]-2)*2</f>
        <v>-0.73691999999999958</v>
      </c>
      <c r="C585">
        <v>90.691299999999998</v>
      </c>
      <c r="D585">
        <v>15.35</v>
      </c>
      <c r="E585">
        <f>Table1402[[#This Row],[CFNM]]/Table1402[[#This Row],[CAREA]]</f>
        <v>0.16925548536629204</v>
      </c>
      <c r="F585">
        <v>2.3684599999999998</v>
      </c>
      <c r="G585">
        <f>-(Table2403[[#This Row],[time]]-2)*2</f>
        <v>-0.73691999999999958</v>
      </c>
      <c r="H585">
        <v>94.570800000000006</v>
      </c>
      <c r="I585">
        <v>0.13094900000000001</v>
      </c>
      <c r="J585">
        <f>Table2403[[#This Row],[CFNM]]/Table2403[[#This Row],[CAREA]]</f>
        <v>1.3846663029180254E-3</v>
      </c>
      <c r="K585">
        <v>2.3684599999999998</v>
      </c>
      <c r="L585">
        <f>-(Table3404[[#This Row],[time]]-2)*2</f>
        <v>-0.73691999999999958</v>
      </c>
      <c r="M585">
        <v>90.295000000000002</v>
      </c>
      <c r="N585">
        <v>10.878</v>
      </c>
      <c r="O585">
        <f>Table3404[[#This Row],[CFNM]]/Table3404[[#This Row],[CAREA]]</f>
        <v>0.12047178692064898</v>
      </c>
      <c r="P585">
        <v>2.3684599999999998</v>
      </c>
      <c r="Q585">
        <f>-(Table4405[[#This Row],[time]]-2)*2</f>
        <v>-0.73691999999999958</v>
      </c>
      <c r="R585">
        <v>81.800899999999999</v>
      </c>
      <c r="S585">
        <v>2.11022</v>
      </c>
      <c r="T585">
        <f>Table4405[[#This Row],[CFNM]]/Table4405[[#This Row],[CAREA]]</f>
        <v>2.5797026683080503E-2</v>
      </c>
      <c r="U585">
        <v>2.3684599999999998</v>
      </c>
      <c r="V585">
        <f>-(Table5406[[#This Row],[time]]-2)*2</f>
        <v>-0.73691999999999958</v>
      </c>
      <c r="W585">
        <v>84.141999999999996</v>
      </c>
      <c r="X585">
        <v>17.6143</v>
      </c>
      <c r="Y585">
        <f>Table5406[[#This Row],[CFNM]]/Table5406[[#This Row],[CAREA]]</f>
        <v>0.20934016305768821</v>
      </c>
      <c r="Z585">
        <v>2.3684599999999998</v>
      </c>
      <c r="AA585">
        <f>-(Table6407[[#This Row],[time]]-2)*2</f>
        <v>-0.73691999999999958</v>
      </c>
      <c r="AB585">
        <v>82.9923</v>
      </c>
      <c r="AC585">
        <v>4.9809200000000002</v>
      </c>
      <c r="AD585">
        <f>Table6407[[#This Row],[CFNM]]/Table6407[[#This Row],[CAREA]]</f>
        <v>6.0016652147247398E-2</v>
      </c>
      <c r="AE585">
        <v>2.3684599999999998</v>
      </c>
      <c r="AF585">
        <f>-(Table7408[[#This Row],[time]]-2)*2</f>
        <v>-0.73691999999999958</v>
      </c>
      <c r="AG585">
        <v>78.507199999999997</v>
      </c>
      <c r="AH585">
        <v>30.006</v>
      </c>
      <c r="AI585">
        <f>Table7408[[#This Row],[CFNM]]/Table7408[[#This Row],[CAREA]]</f>
        <v>0.38220698228952249</v>
      </c>
      <c r="AJ585">
        <v>2.3684599999999998</v>
      </c>
      <c r="AK585">
        <f>-(Table8409[[#This Row],[time]]-2)*2</f>
        <v>-0.73691999999999958</v>
      </c>
      <c r="AL585">
        <v>82.409400000000005</v>
      </c>
      <c r="AM585">
        <v>13.5189</v>
      </c>
      <c r="AN585">
        <f>Table8409[[#This Row],[CFNM]]/Table8409[[#This Row],[CAREA]]</f>
        <v>0.16404560644780813</v>
      </c>
    </row>
    <row r="586" spans="1:40" x14ac:dyDescent="0.25">
      <c r="A586">
        <v>2.4278300000000002</v>
      </c>
      <c r="B586">
        <f>-(Table1402[[#This Row],[time]]-2)*2</f>
        <v>-0.85566000000000031</v>
      </c>
      <c r="C586">
        <v>90.833500000000001</v>
      </c>
      <c r="D586">
        <v>16.115500000000001</v>
      </c>
      <c r="E586">
        <f>Table1402[[#This Row],[CFNM]]/Table1402[[#This Row],[CAREA]]</f>
        <v>0.17741802308619617</v>
      </c>
      <c r="F586">
        <v>2.4278300000000002</v>
      </c>
      <c r="G586">
        <f>-(Table2403[[#This Row],[time]]-2)*2</f>
        <v>-0.85566000000000031</v>
      </c>
      <c r="H586">
        <v>94.289500000000004</v>
      </c>
      <c r="I586">
        <v>5.37828E-3</v>
      </c>
      <c r="J586">
        <f>Table2403[[#This Row],[CFNM]]/Table2403[[#This Row],[CAREA]]</f>
        <v>5.7040073390992634E-5</v>
      </c>
      <c r="K586">
        <v>2.4278300000000002</v>
      </c>
      <c r="L586">
        <f>-(Table3404[[#This Row],[time]]-2)*2</f>
        <v>-0.85566000000000031</v>
      </c>
      <c r="M586">
        <v>90.016900000000007</v>
      </c>
      <c r="N586">
        <v>12.480399999999999</v>
      </c>
      <c r="O586">
        <f>Table3404[[#This Row],[CFNM]]/Table3404[[#This Row],[CAREA]]</f>
        <v>0.13864507664671855</v>
      </c>
      <c r="P586">
        <v>2.4278300000000002</v>
      </c>
      <c r="Q586">
        <f>-(Table4405[[#This Row],[time]]-2)*2</f>
        <v>-0.85566000000000031</v>
      </c>
      <c r="R586">
        <v>81.372600000000006</v>
      </c>
      <c r="S586">
        <v>2.3302800000000001</v>
      </c>
      <c r="T586">
        <f>Table4405[[#This Row],[CFNM]]/Table4405[[#This Row],[CAREA]]</f>
        <v>2.8637157962262481E-2</v>
      </c>
      <c r="U586">
        <v>2.4278300000000002</v>
      </c>
      <c r="V586">
        <f>-(Table5406[[#This Row],[time]]-2)*2</f>
        <v>-0.85566000000000031</v>
      </c>
      <c r="W586">
        <v>84.019800000000004</v>
      </c>
      <c r="X586">
        <v>19.7334</v>
      </c>
      <c r="Y586">
        <f>Table5406[[#This Row],[CFNM]]/Table5406[[#This Row],[CAREA]]</f>
        <v>0.23486606728414014</v>
      </c>
      <c r="Z586">
        <v>2.4278300000000002</v>
      </c>
      <c r="AA586">
        <f>-(Table6407[[#This Row],[time]]-2)*2</f>
        <v>-0.85566000000000031</v>
      </c>
      <c r="AB586">
        <v>80.747</v>
      </c>
      <c r="AC586">
        <v>3.6996500000000001</v>
      </c>
      <c r="AD586">
        <f>Table6407[[#This Row],[CFNM]]/Table6407[[#This Row],[CAREA]]</f>
        <v>4.5817801280542934E-2</v>
      </c>
      <c r="AE586">
        <v>2.4278300000000002</v>
      </c>
      <c r="AF586">
        <f>-(Table7408[[#This Row],[time]]-2)*2</f>
        <v>-0.85566000000000031</v>
      </c>
      <c r="AG586">
        <v>76.992900000000006</v>
      </c>
      <c r="AH586">
        <v>33.569800000000001</v>
      </c>
      <c r="AI586">
        <f>Table7408[[#This Row],[CFNM]]/Table7408[[#This Row],[CAREA]]</f>
        <v>0.43601163224141443</v>
      </c>
      <c r="AJ586">
        <v>2.4278300000000002</v>
      </c>
      <c r="AK586">
        <f>-(Table8409[[#This Row],[time]]-2)*2</f>
        <v>-0.85566000000000031</v>
      </c>
      <c r="AL586">
        <v>82.214399999999998</v>
      </c>
      <c r="AM586">
        <v>12.7447</v>
      </c>
      <c r="AN586">
        <f>Table8409[[#This Row],[CFNM]]/Table8409[[#This Row],[CAREA]]</f>
        <v>0.1550178557527635</v>
      </c>
    </row>
    <row r="587" spans="1:40" x14ac:dyDescent="0.25">
      <c r="A587">
        <v>2.4542000000000002</v>
      </c>
      <c r="B587">
        <f>-(Table1402[[#This Row],[time]]-2)*2</f>
        <v>-0.90840000000000032</v>
      </c>
      <c r="C587">
        <v>90.991699999999994</v>
      </c>
      <c r="D587">
        <v>16.604700000000001</v>
      </c>
      <c r="E587">
        <f>Table1402[[#This Row],[CFNM]]/Table1402[[#This Row],[CAREA]]</f>
        <v>0.18248587508531</v>
      </c>
      <c r="F587">
        <v>2.4542000000000002</v>
      </c>
      <c r="G587">
        <f>-(Table2403[[#This Row],[time]]-2)*2</f>
        <v>-0.90840000000000032</v>
      </c>
      <c r="H587">
        <v>93.223399999999998</v>
      </c>
      <c r="I587">
        <v>5.0688799999999996E-3</v>
      </c>
      <c r="J587">
        <f>Table2403[[#This Row],[CFNM]]/Table2403[[#This Row],[CAREA]]</f>
        <v>5.4373472754694634E-5</v>
      </c>
      <c r="K587">
        <v>2.4542000000000002</v>
      </c>
      <c r="L587">
        <f>-(Table3404[[#This Row],[time]]-2)*2</f>
        <v>-0.90840000000000032</v>
      </c>
      <c r="M587">
        <v>89.953699999999998</v>
      </c>
      <c r="N587">
        <v>13.5014</v>
      </c>
      <c r="O587">
        <f>Table3404[[#This Row],[CFNM]]/Table3404[[#This Row],[CAREA]]</f>
        <v>0.15009276994720619</v>
      </c>
      <c r="P587">
        <v>2.4542000000000002</v>
      </c>
      <c r="Q587">
        <f>-(Table4405[[#This Row],[time]]-2)*2</f>
        <v>-0.90840000000000032</v>
      </c>
      <c r="R587">
        <v>80.302400000000006</v>
      </c>
      <c r="S587">
        <v>2.5713300000000001</v>
      </c>
      <c r="T587">
        <f>Table4405[[#This Row],[CFNM]]/Table4405[[#This Row],[CAREA]]</f>
        <v>3.2020587180457867E-2</v>
      </c>
      <c r="U587">
        <v>2.4542000000000002</v>
      </c>
      <c r="V587">
        <f>-(Table5406[[#This Row],[time]]-2)*2</f>
        <v>-0.90840000000000032</v>
      </c>
      <c r="W587">
        <v>83.9803</v>
      </c>
      <c r="X587">
        <v>21.071899999999999</v>
      </c>
      <c r="Y587">
        <f>Table5406[[#This Row],[CFNM]]/Table5406[[#This Row],[CAREA]]</f>
        <v>0.25091479787521598</v>
      </c>
      <c r="Z587">
        <v>2.4542000000000002</v>
      </c>
      <c r="AA587">
        <f>-(Table6407[[#This Row],[time]]-2)*2</f>
        <v>-0.90840000000000032</v>
      </c>
      <c r="AB587">
        <v>80.207700000000003</v>
      </c>
      <c r="AC587">
        <v>3.04312</v>
      </c>
      <c r="AD587">
        <f>Table6407[[#This Row],[CFNM]]/Table6407[[#This Row],[CAREA]]</f>
        <v>3.7940496984703462E-2</v>
      </c>
      <c r="AE587">
        <v>2.4542000000000002</v>
      </c>
      <c r="AF587">
        <f>-(Table7408[[#This Row],[time]]-2)*2</f>
        <v>-0.90840000000000032</v>
      </c>
      <c r="AG587">
        <v>76.049199999999999</v>
      </c>
      <c r="AH587">
        <v>35.845799999999997</v>
      </c>
      <c r="AI587">
        <f>Table7408[[#This Row],[CFNM]]/Table7408[[#This Row],[CAREA]]</f>
        <v>0.47135012597108183</v>
      </c>
      <c r="AJ587">
        <v>2.4542000000000002</v>
      </c>
      <c r="AK587">
        <f>-(Table8409[[#This Row],[time]]-2)*2</f>
        <v>-0.90840000000000032</v>
      </c>
      <c r="AL587">
        <v>82.326700000000002</v>
      </c>
      <c r="AM587">
        <v>12.2195</v>
      </c>
      <c r="AN587">
        <f>Table8409[[#This Row],[CFNM]]/Table8409[[#This Row],[CAREA]]</f>
        <v>0.14842693804075713</v>
      </c>
    </row>
    <row r="588" spans="1:40" x14ac:dyDescent="0.25">
      <c r="A588">
        <v>2.5061499999999999</v>
      </c>
      <c r="B588">
        <f>-(Table1402[[#This Row],[time]]-2)*2</f>
        <v>-1.0122999999999998</v>
      </c>
      <c r="C588">
        <v>91.2928</v>
      </c>
      <c r="D588">
        <v>17.354099999999999</v>
      </c>
      <c r="E588">
        <f>Table1402[[#This Row],[CFNM]]/Table1402[[#This Row],[CAREA]]</f>
        <v>0.19009275649339269</v>
      </c>
      <c r="F588">
        <v>2.5061499999999999</v>
      </c>
      <c r="G588">
        <f>-(Table2403[[#This Row],[time]]-2)*2</f>
        <v>-1.0122999999999998</v>
      </c>
      <c r="H588">
        <v>93.011300000000006</v>
      </c>
      <c r="I588">
        <v>4.7980000000000002E-3</v>
      </c>
      <c r="J588">
        <f>Table2403[[#This Row],[CFNM]]/Table2403[[#This Row],[CAREA]]</f>
        <v>5.158512997883053E-5</v>
      </c>
      <c r="K588">
        <v>2.5061499999999999</v>
      </c>
      <c r="L588">
        <f>-(Table3404[[#This Row],[time]]-2)*2</f>
        <v>-1.0122999999999998</v>
      </c>
      <c r="M588">
        <v>89.690899999999999</v>
      </c>
      <c r="N588">
        <v>14.9877</v>
      </c>
      <c r="O588">
        <f>Table3404[[#This Row],[CFNM]]/Table3404[[#This Row],[CAREA]]</f>
        <v>0.16710390909222675</v>
      </c>
      <c r="P588">
        <v>2.5061499999999999</v>
      </c>
      <c r="Q588">
        <f>-(Table4405[[#This Row],[time]]-2)*2</f>
        <v>-1.0122999999999998</v>
      </c>
      <c r="R588">
        <v>79.297399999999996</v>
      </c>
      <c r="S588">
        <v>2.9888699999999999</v>
      </c>
      <c r="T588">
        <f>Table4405[[#This Row],[CFNM]]/Table4405[[#This Row],[CAREA]]</f>
        <v>3.7691904148181403E-2</v>
      </c>
      <c r="U588">
        <v>2.5061499999999999</v>
      </c>
      <c r="V588">
        <f>-(Table5406[[#This Row],[time]]-2)*2</f>
        <v>-1.0122999999999998</v>
      </c>
      <c r="W588">
        <v>84.405500000000004</v>
      </c>
      <c r="X588">
        <v>23.003</v>
      </c>
      <c r="Y588">
        <f>Table5406[[#This Row],[CFNM]]/Table5406[[#This Row],[CAREA]]</f>
        <v>0.27252963373239897</v>
      </c>
      <c r="Z588">
        <v>2.5061499999999999</v>
      </c>
      <c r="AA588">
        <f>-(Table6407[[#This Row],[time]]-2)*2</f>
        <v>-1.0122999999999998</v>
      </c>
      <c r="AB588">
        <v>79.474800000000002</v>
      </c>
      <c r="AC588">
        <v>2.52203</v>
      </c>
      <c r="AD588">
        <f>Table6407[[#This Row],[CFNM]]/Table6407[[#This Row],[CAREA]]</f>
        <v>3.1733706785043815E-2</v>
      </c>
      <c r="AE588">
        <v>2.5061499999999999</v>
      </c>
      <c r="AF588">
        <f>-(Table7408[[#This Row],[time]]-2)*2</f>
        <v>-1.0122999999999998</v>
      </c>
      <c r="AG588">
        <v>74.651300000000006</v>
      </c>
      <c r="AH588">
        <v>38.894500000000001</v>
      </c>
      <c r="AI588">
        <f>Table7408[[#This Row],[CFNM]]/Table7408[[#This Row],[CAREA]]</f>
        <v>0.52101570903654726</v>
      </c>
      <c r="AJ588">
        <v>2.5061499999999999</v>
      </c>
      <c r="AK588">
        <f>-(Table8409[[#This Row],[time]]-2)*2</f>
        <v>-1.0122999999999998</v>
      </c>
      <c r="AL588">
        <v>81.811300000000003</v>
      </c>
      <c r="AM588">
        <v>11.4277</v>
      </c>
      <c r="AN588">
        <f>Table8409[[#This Row],[CFNM]]/Table8409[[#This Row],[CAREA]]</f>
        <v>0.13968363783487123</v>
      </c>
    </row>
    <row r="589" spans="1:40" x14ac:dyDescent="0.25">
      <c r="A589">
        <v>2.5507599999999999</v>
      </c>
      <c r="B589">
        <f>-(Table1402[[#This Row],[time]]-2)*2</f>
        <v>-1.1015199999999998</v>
      </c>
      <c r="C589">
        <v>91.567700000000002</v>
      </c>
      <c r="D589">
        <v>18.112500000000001</v>
      </c>
      <c r="E589">
        <f>Table1402[[#This Row],[CFNM]]/Table1402[[#This Row],[CAREA]]</f>
        <v>0.19780446598527648</v>
      </c>
      <c r="F589">
        <v>2.5507599999999999</v>
      </c>
      <c r="G589">
        <f>-(Table2403[[#This Row],[time]]-2)*2</f>
        <v>-1.1015199999999998</v>
      </c>
      <c r="H589">
        <v>92.1768</v>
      </c>
      <c r="I589">
        <v>4.6842300000000002E-3</v>
      </c>
      <c r="J589">
        <f>Table2403[[#This Row],[CFNM]]/Table2403[[#This Row],[CAREA]]</f>
        <v>5.0817884760590521E-5</v>
      </c>
      <c r="K589">
        <v>2.5507599999999999</v>
      </c>
      <c r="L589">
        <f>-(Table3404[[#This Row],[time]]-2)*2</f>
        <v>-1.1015199999999998</v>
      </c>
      <c r="M589">
        <v>89.434899999999999</v>
      </c>
      <c r="N589">
        <v>16.287099999999999</v>
      </c>
      <c r="O589">
        <f>Table3404[[#This Row],[CFNM]]/Table3404[[#This Row],[CAREA]]</f>
        <v>0.18211123398136519</v>
      </c>
      <c r="P589">
        <v>2.5507599999999999</v>
      </c>
      <c r="Q589">
        <f>-(Table4405[[#This Row],[time]]-2)*2</f>
        <v>-1.1015199999999998</v>
      </c>
      <c r="R589">
        <v>79.0244</v>
      </c>
      <c r="S589">
        <v>3.1823100000000002</v>
      </c>
      <c r="T589">
        <f>Table4405[[#This Row],[CFNM]]/Table4405[[#This Row],[CAREA]]</f>
        <v>4.0269967250621333E-2</v>
      </c>
      <c r="U589">
        <v>2.5507599999999999</v>
      </c>
      <c r="V589">
        <f>-(Table5406[[#This Row],[time]]-2)*2</f>
        <v>-1.1015199999999998</v>
      </c>
      <c r="W589">
        <v>84.158100000000005</v>
      </c>
      <c r="X589">
        <v>24.624400000000001</v>
      </c>
      <c r="Y589">
        <f>Table5406[[#This Row],[CFNM]]/Table5406[[#This Row],[CAREA]]</f>
        <v>0.29259690986369702</v>
      </c>
      <c r="Z589">
        <v>2.5507599999999999</v>
      </c>
      <c r="AA589">
        <f>-(Table6407[[#This Row],[time]]-2)*2</f>
        <v>-1.1015199999999998</v>
      </c>
      <c r="AB589">
        <v>77.450199999999995</v>
      </c>
      <c r="AC589">
        <v>2.29277</v>
      </c>
      <c r="AD589">
        <f>Table6407[[#This Row],[CFNM]]/Table6407[[#This Row],[CAREA]]</f>
        <v>2.9603151444412022E-2</v>
      </c>
      <c r="AE589">
        <v>2.5507599999999999</v>
      </c>
      <c r="AF589">
        <f>-(Table7408[[#This Row],[time]]-2)*2</f>
        <v>-1.1015199999999998</v>
      </c>
      <c r="AG589">
        <v>73.758899999999997</v>
      </c>
      <c r="AH589">
        <v>41.173499999999997</v>
      </c>
      <c r="AI589">
        <f>Table7408[[#This Row],[CFNM]]/Table7408[[#This Row],[CAREA]]</f>
        <v>0.55821738122450304</v>
      </c>
      <c r="AJ589">
        <v>2.5507599999999999</v>
      </c>
      <c r="AK589">
        <f>-(Table8409[[#This Row],[time]]-2)*2</f>
        <v>-1.1015199999999998</v>
      </c>
      <c r="AL589">
        <v>81.231099999999998</v>
      </c>
      <c r="AM589">
        <v>10.7986</v>
      </c>
      <c r="AN589">
        <f>Table8409[[#This Row],[CFNM]]/Table8409[[#This Row],[CAREA]]</f>
        <v>0.13293676929156445</v>
      </c>
    </row>
    <row r="590" spans="1:40" x14ac:dyDescent="0.25">
      <c r="A590">
        <v>2.60453</v>
      </c>
      <c r="B590">
        <f>-(Table1402[[#This Row],[time]]-2)*2</f>
        <v>-1.20906</v>
      </c>
      <c r="C590">
        <v>92.059399999999997</v>
      </c>
      <c r="D590">
        <v>19.118400000000001</v>
      </c>
      <c r="E590">
        <f>Table1402[[#This Row],[CFNM]]/Table1402[[#This Row],[CAREA]]</f>
        <v>0.20767461008870361</v>
      </c>
      <c r="F590">
        <v>2.60453</v>
      </c>
      <c r="G590">
        <f>-(Table2403[[#This Row],[time]]-2)*2</f>
        <v>-1.20906</v>
      </c>
      <c r="H590">
        <v>91.674700000000001</v>
      </c>
      <c r="I590">
        <v>4.65125E-3</v>
      </c>
      <c r="J590">
        <f>Table2403[[#This Row],[CFNM]]/Table2403[[#This Row],[CAREA]]</f>
        <v>5.0736462731811503E-5</v>
      </c>
      <c r="K590">
        <v>2.60453</v>
      </c>
      <c r="L590">
        <f>-(Table3404[[#This Row],[time]]-2)*2</f>
        <v>-1.20906</v>
      </c>
      <c r="M590">
        <v>89.181299999999993</v>
      </c>
      <c r="N590">
        <v>17.811</v>
      </c>
      <c r="O590">
        <f>Table3404[[#This Row],[CFNM]]/Table3404[[#This Row],[CAREA]]</f>
        <v>0.19971675676403014</v>
      </c>
      <c r="P590">
        <v>2.60453</v>
      </c>
      <c r="Q590">
        <f>-(Table4405[[#This Row],[time]]-2)*2</f>
        <v>-1.20906</v>
      </c>
      <c r="R590">
        <v>78.1143</v>
      </c>
      <c r="S590">
        <v>3.3902899999999998</v>
      </c>
      <c r="T590">
        <f>Table4405[[#This Row],[CFNM]]/Table4405[[#This Row],[CAREA]]</f>
        <v>4.3401656290845594E-2</v>
      </c>
      <c r="U590">
        <v>2.60453</v>
      </c>
      <c r="V590">
        <f>-(Table5406[[#This Row],[time]]-2)*2</f>
        <v>-1.20906</v>
      </c>
      <c r="W590">
        <v>84.279899999999998</v>
      </c>
      <c r="X590">
        <v>26.576499999999999</v>
      </c>
      <c r="Y590">
        <f>Table5406[[#This Row],[CFNM]]/Table5406[[#This Row],[CAREA]]</f>
        <v>0.31533615962999484</v>
      </c>
      <c r="Z590">
        <v>2.60453</v>
      </c>
      <c r="AA590">
        <f>-(Table6407[[#This Row],[time]]-2)*2</f>
        <v>-1.20906</v>
      </c>
      <c r="AB590">
        <v>75.748099999999994</v>
      </c>
      <c r="AC590">
        <v>2.0279400000000001</v>
      </c>
      <c r="AD590">
        <f>Table6407[[#This Row],[CFNM]]/Table6407[[#This Row],[CAREA]]</f>
        <v>2.6772156661355205E-2</v>
      </c>
      <c r="AE590">
        <v>2.60453</v>
      </c>
      <c r="AF590">
        <f>-(Table7408[[#This Row],[time]]-2)*2</f>
        <v>-1.20906</v>
      </c>
      <c r="AG590">
        <v>72.817700000000002</v>
      </c>
      <c r="AH590">
        <v>43.7333</v>
      </c>
      <c r="AI590">
        <f>Table7408[[#This Row],[CFNM]]/Table7408[[#This Row],[CAREA]]</f>
        <v>0.60058612123151378</v>
      </c>
      <c r="AJ590">
        <v>2.60453</v>
      </c>
      <c r="AK590">
        <f>-(Table8409[[#This Row],[time]]-2)*2</f>
        <v>-1.20906</v>
      </c>
      <c r="AL590">
        <v>81.266599999999997</v>
      </c>
      <c r="AM590">
        <v>10.116899999999999</v>
      </c>
      <c r="AN590">
        <f>Table8409[[#This Row],[CFNM]]/Table8409[[#This Row],[CAREA]]</f>
        <v>0.1244902579903675</v>
      </c>
    </row>
    <row r="591" spans="1:40" x14ac:dyDescent="0.25">
      <c r="A591">
        <v>2.65273</v>
      </c>
      <c r="B591">
        <f>-(Table1402[[#This Row],[time]]-2)*2</f>
        <v>-1.3054600000000001</v>
      </c>
      <c r="C591">
        <v>92.740899999999996</v>
      </c>
      <c r="D591">
        <v>20.606200000000001</v>
      </c>
      <c r="E591">
        <f>Table1402[[#This Row],[CFNM]]/Table1402[[#This Row],[CAREA]]</f>
        <v>0.22219107211597042</v>
      </c>
      <c r="F591">
        <v>2.65273</v>
      </c>
      <c r="G591">
        <f>-(Table2403[[#This Row],[time]]-2)*2</f>
        <v>-1.3054600000000001</v>
      </c>
      <c r="H591">
        <v>91.143600000000006</v>
      </c>
      <c r="I591">
        <v>4.6481700000000001E-3</v>
      </c>
      <c r="J591">
        <f>Table2403[[#This Row],[CFNM]]/Table2403[[#This Row],[CAREA]]</f>
        <v>5.0998314747277919E-5</v>
      </c>
      <c r="K591">
        <v>2.65273</v>
      </c>
      <c r="L591">
        <f>-(Table3404[[#This Row],[time]]-2)*2</f>
        <v>-1.3054600000000001</v>
      </c>
      <c r="M591">
        <v>88.839799999999997</v>
      </c>
      <c r="N591">
        <v>20.1234</v>
      </c>
      <c r="O591">
        <f>Table3404[[#This Row],[CFNM]]/Table3404[[#This Row],[CAREA]]</f>
        <v>0.22651334199311571</v>
      </c>
      <c r="P591">
        <v>2.65273</v>
      </c>
      <c r="Q591">
        <f>-(Table4405[[#This Row],[time]]-2)*2</f>
        <v>-1.3054600000000001</v>
      </c>
      <c r="R591">
        <v>77.252600000000001</v>
      </c>
      <c r="S591">
        <v>3.7039</v>
      </c>
      <c r="T591">
        <f>Table4405[[#This Row],[CFNM]]/Table4405[[#This Row],[CAREA]]</f>
        <v>4.7945311872998449E-2</v>
      </c>
      <c r="U591">
        <v>2.65273</v>
      </c>
      <c r="V591">
        <f>-(Table5406[[#This Row],[time]]-2)*2</f>
        <v>-1.3054600000000001</v>
      </c>
      <c r="W591">
        <v>84.19</v>
      </c>
      <c r="X591">
        <v>29.351700000000001</v>
      </c>
      <c r="Y591">
        <f>Table5406[[#This Row],[CFNM]]/Table5406[[#This Row],[CAREA]]</f>
        <v>0.34863641762679654</v>
      </c>
      <c r="Z591">
        <v>2.65273</v>
      </c>
      <c r="AA591">
        <f>-(Table6407[[#This Row],[time]]-2)*2</f>
        <v>-1.3054600000000001</v>
      </c>
      <c r="AB591">
        <v>74.617599999999996</v>
      </c>
      <c r="AC591">
        <v>1.7212499999999999</v>
      </c>
      <c r="AD591">
        <f>Table6407[[#This Row],[CFNM]]/Table6407[[#This Row],[CAREA]]</f>
        <v>2.3067614074963549E-2</v>
      </c>
      <c r="AE591">
        <v>2.65273</v>
      </c>
      <c r="AF591">
        <f>-(Table7408[[#This Row],[time]]-2)*2</f>
        <v>-1.3054600000000001</v>
      </c>
      <c r="AG591">
        <v>71.494</v>
      </c>
      <c r="AH591">
        <v>47.452100000000002</v>
      </c>
      <c r="AI591">
        <f>Table7408[[#This Row],[CFNM]]/Table7408[[#This Row],[CAREA]]</f>
        <v>0.66372143116904914</v>
      </c>
      <c r="AJ591">
        <v>2.65273</v>
      </c>
      <c r="AK591">
        <f>-(Table8409[[#This Row],[time]]-2)*2</f>
        <v>-1.3054600000000001</v>
      </c>
      <c r="AL591">
        <v>80.503100000000003</v>
      </c>
      <c r="AM591">
        <v>9.1495200000000008</v>
      </c>
      <c r="AN591">
        <f>Table8409[[#This Row],[CFNM]]/Table8409[[#This Row],[CAREA]]</f>
        <v>0.11365425679259557</v>
      </c>
    </row>
    <row r="592" spans="1:40" x14ac:dyDescent="0.25">
      <c r="A592">
        <v>2.7006199999999998</v>
      </c>
      <c r="B592">
        <f>-(Table1402[[#This Row],[time]]-2)*2</f>
        <v>-1.4012399999999996</v>
      </c>
      <c r="C592">
        <v>93.113600000000005</v>
      </c>
      <c r="D592">
        <v>21.495899999999999</v>
      </c>
      <c r="E592">
        <f>Table1402[[#This Row],[CFNM]]/Table1402[[#This Row],[CAREA]]</f>
        <v>0.23085671695649182</v>
      </c>
      <c r="F592">
        <v>2.7006199999999998</v>
      </c>
      <c r="G592">
        <f>-(Table2403[[#This Row],[time]]-2)*2</f>
        <v>-1.4012399999999996</v>
      </c>
      <c r="H592">
        <v>90.504800000000003</v>
      </c>
      <c r="I592">
        <v>4.6548400000000004E-3</v>
      </c>
      <c r="J592">
        <f>Table2403[[#This Row],[CFNM]]/Table2403[[#This Row],[CAREA]]</f>
        <v>5.1431968249197836E-5</v>
      </c>
      <c r="K592">
        <v>2.7006199999999998</v>
      </c>
      <c r="L592">
        <f>-(Table3404[[#This Row],[time]]-2)*2</f>
        <v>-1.4012399999999996</v>
      </c>
      <c r="M592">
        <v>88.629499999999993</v>
      </c>
      <c r="N592">
        <v>21.521000000000001</v>
      </c>
      <c r="O592">
        <f>Table3404[[#This Row],[CFNM]]/Table3404[[#This Row],[CAREA]]</f>
        <v>0.2428198286123695</v>
      </c>
      <c r="P592">
        <v>2.7006199999999998</v>
      </c>
      <c r="Q592">
        <f>-(Table4405[[#This Row],[time]]-2)*2</f>
        <v>-1.4012399999999996</v>
      </c>
      <c r="R592">
        <v>75.843199999999996</v>
      </c>
      <c r="S592">
        <v>3.8581500000000002</v>
      </c>
      <c r="T592">
        <f>Table4405[[#This Row],[CFNM]]/Table4405[[#This Row],[CAREA]]</f>
        <v>5.0870084595586687E-2</v>
      </c>
      <c r="U592">
        <v>2.7006199999999998</v>
      </c>
      <c r="V592">
        <f>-(Table5406[[#This Row],[time]]-2)*2</f>
        <v>-1.4012399999999996</v>
      </c>
      <c r="W592">
        <v>84.424800000000005</v>
      </c>
      <c r="X592">
        <v>30.890899999999998</v>
      </c>
      <c r="Y592">
        <f>Table5406[[#This Row],[CFNM]]/Table5406[[#This Row],[CAREA]]</f>
        <v>0.36589840899830378</v>
      </c>
      <c r="Z592">
        <v>2.7006199999999998</v>
      </c>
      <c r="AA592">
        <f>-(Table6407[[#This Row],[time]]-2)*2</f>
        <v>-1.4012399999999996</v>
      </c>
      <c r="AB592">
        <v>73.936899999999994</v>
      </c>
      <c r="AC592">
        <v>1.62906</v>
      </c>
      <c r="AD592">
        <f>Table6407[[#This Row],[CFNM]]/Table6407[[#This Row],[CAREA]]</f>
        <v>2.2033112018491445E-2</v>
      </c>
      <c r="AE592">
        <v>2.7006199999999998</v>
      </c>
      <c r="AF592">
        <f>-(Table7408[[#This Row],[time]]-2)*2</f>
        <v>-1.4012399999999996</v>
      </c>
      <c r="AG592">
        <v>70.855400000000003</v>
      </c>
      <c r="AH592">
        <v>49.482599999999998</v>
      </c>
      <c r="AI592">
        <f>Table7408[[#This Row],[CFNM]]/Table7408[[#This Row],[CAREA]]</f>
        <v>0.69836032257245029</v>
      </c>
      <c r="AJ592">
        <v>2.7006199999999998</v>
      </c>
      <c r="AK592">
        <f>-(Table8409[[#This Row],[time]]-2)*2</f>
        <v>-1.4012399999999996</v>
      </c>
      <c r="AL592">
        <v>80.528700000000001</v>
      </c>
      <c r="AM592">
        <v>8.5973400000000009</v>
      </c>
      <c r="AN592">
        <f>Table8409[[#This Row],[CFNM]]/Table8409[[#This Row],[CAREA]]</f>
        <v>0.10676119197255141</v>
      </c>
    </row>
    <row r="593" spans="1:40" x14ac:dyDescent="0.25">
      <c r="A593">
        <v>2.75176</v>
      </c>
      <c r="B593">
        <f>-(Table1402[[#This Row],[time]]-2)*2</f>
        <v>-1.50352</v>
      </c>
      <c r="C593">
        <v>93.547300000000007</v>
      </c>
      <c r="D593">
        <v>22.658200000000001</v>
      </c>
      <c r="E593">
        <f>Table1402[[#This Row],[CFNM]]/Table1402[[#This Row],[CAREA]]</f>
        <v>0.24221115948830163</v>
      </c>
      <c r="F593">
        <v>2.75176</v>
      </c>
      <c r="G593">
        <f>-(Table2403[[#This Row],[time]]-2)*2</f>
        <v>-1.50352</v>
      </c>
      <c r="H593">
        <v>89.948499999999996</v>
      </c>
      <c r="I593">
        <v>4.6645599999999999E-3</v>
      </c>
      <c r="J593">
        <f>Table2403[[#This Row],[CFNM]]/Table2403[[#This Row],[CAREA]]</f>
        <v>5.1858118812431556E-5</v>
      </c>
      <c r="K593">
        <v>2.75176</v>
      </c>
      <c r="L593">
        <f>-(Table3404[[#This Row],[time]]-2)*2</f>
        <v>-1.50352</v>
      </c>
      <c r="M593">
        <v>88.175399999999996</v>
      </c>
      <c r="N593">
        <v>23.499600000000001</v>
      </c>
      <c r="O593">
        <f>Table3404[[#This Row],[CFNM]]/Table3404[[#This Row],[CAREA]]</f>
        <v>0.26650970678896835</v>
      </c>
      <c r="P593">
        <v>2.75176</v>
      </c>
      <c r="Q593">
        <f>-(Table4405[[#This Row],[time]]-2)*2</f>
        <v>-1.50352</v>
      </c>
      <c r="R593">
        <v>75.338999999999999</v>
      </c>
      <c r="S593">
        <v>4.0111600000000003</v>
      </c>
      <c r="T593">
        <f>Table4405[[#This Row],[CFNM]]/Table4405[[#This Row],[CAREA]]</f>
        <v>5.3241481835437164E-2</v>
      </c>
      <c r="U593">
        <v>2.75176</v>
      </c>
      <c r="V593">
        <f>-(Table5406[[#This Row],[time]]-2)*2</f>
        <v>-1.50352</v>
      </c>
      <c r="W593">
        <v>84.015900000000002</v>
      </c>
      <c r="X593">
        <v>32.827399999999997</v>
      </c>
      <c r="Y593">
        <f>Table5406[[#This Row],[CFNM]]/Table5406[[#This Row],[CAREA]]</f>
        <v>0.39072842164399829</v>
      </c>
      <c r="Z593">
        <v>2.75176</v>
      </c>
      <c r="AA593">
        <f>-(Table6407[[#This Row],[time]]-2)*2</f>
        <v>-1.50352</v>
      </c>
      <c r="AB593">
        <v>73.336500000000001</v>
      </c>
      <c r="AC593">
        <v>1.48282</v>
      </c>
      <c r="AD593">
        <f>Table6407[[#This Row],[CFNM]]/Table6407[[#This Row],[CAREA]]</f>
        <v>2.0219399616834728E-2</v>
      </c>
      <c r="AE593">
        <v>2.75176</v>
      </c>
      <c r="AF593">
        <f>-(Table7408[[#This Row],[time]]-2)*2</f>
        <v>-1.50352</v>
      </c>
      <c r="AG593">
        <v>70.052400000000006</v>
      </c>
      <c r="AH593">
        <v>52.014299999999999</v>
      </c>
      <c r="AI593">
        <f>Table7408[[#This Row],[CFNM]]/Table7408[[#This Row],[CAREA]]</f>
        <v>0.742505610086164</v>
      </c>
      <c r="AJ593">
        <v>2.75176</v>
      </c>
      <c r="AK593">
        <f>-(Table8409[[#This Row],[time]]-2)*2</f>
        <v>-1.50352</v>
      </c>
      <c r="AL593">
        <v>79.505600000000001</v>
      </c>
      <c r="AM593">
        <v>7.93025</v>
      </c>
      <c r="AN593">
        <f>Table8409[[#This Row],[CFNM]]/Table8409[[#This Row],[CAREA]]</f>
        <v>9.9744546296109959E-2</v>
      </c>
    </row>
    <row r="594" spans="1:40" x14ac:dyDescent="0.25">
      <c r="A594">
        <v>2.80444</v>
      </c>
      <c r="B594">
        <f>-(Table1402[[#This Row],[time]]-2)*2</f>
        <v>-1.6088800000000001</v>
      </c>
      <c r="C594">
        <v>94.867000000000004</v>
      </c>
      <c r="D594">
        <v>24.423300000000001</v>
      </c>
      <c r="E594">
        <f>Table1402[[#This Row],[CFNM]]/Table1402[[#This Row],[CAREA]]</f>
        <v>0.25744779533452095</v>
      </c>
      <c r="F594">
        <v>2.80444</v>
      </c>
      <c r="G594">
        <f>-(Table2403[[#This Row],[time]]-2)*2</f>
        <v>-1.6088800000000001</v>
      </c>
      <c r="H594">
        <v>88.762799999999999</v>
      </c>
      <c r="I594">
        <v>4.6585699999999999E-3</v>
      </c>
      <c r="J594">
        <f>Table2403[[#This Row],[CFNM]]/Table2403[[#This Row],[CAREA]]</f>
        <v>5.2483360146367622E-5</v>
      </c>
      <c r="K594">
        <v>2.80444</v>
      </c>
      <c r="L594">
        <f>-(Table3404[[#This Row],[time]]-2)*2</f>
        <v>-1.6088800000000001</v>
      </c>
      <c r="M594">
        <v>87.441100000000006</v>
      </c>
      <c r="N594">
        <v>26.286899999999999</v>
      </c>
      <c r="O594">
        <f>Table3404[[#This Row],[CFNM]]/Table3404[[#This Row],[CAREA]]</f>
        <v>0.30062407723599083</v>
      </c>
      <c r="P594">
        <v>2.80444</v>
      </c>
      <c r="Q594">
        <f>-(Table4405[[#This Row],[time]]-2)*2</f>
        <v>-1.6088800000000001</v>
      </c>
      <c r="R594">
        <v>74.811800000000005</v>
      </c>
      <c r="S594">
        <v>4.2317999999999998</v>
      </c>
      <c r="T594">
        <f>Table4405[[#This Row],[CFNM]]/Table4405[[#This Row],[CAREA]]</f>
        <v>5.6565942805814048E-2</v>
      </c>
      <c r="U594">
        <v>2.80444</v>
      </c>
      <c r="V594">
        <f>-(Table5406[[#This Row],[time]]-2)*2</f>
        <v>-1.6088800000000001</v>
      </c>
      <c r="W594">
        <v>83.501199999999997</v>
      </c>
      <c r="X594">
        <v>35.570799999999998</v>
      </c>
      <c r="Y594">
        <f>Table5406[[#This Row],[CFNM]]/Table5406[[#This Row],[CAREA]]</f>
        <v>0.425991482757134</v>
      </c>
      <c r="Z594">
        <v>2.80444</v>
      </c>
      <c r="AA594">
        <f>-(Table6407[[#This Row],[time]]-2)*2</f>
        <v>-1.6088800000000001</v>
      </c>
      <c r="AB594">
        <v>71.025899999999993</v>
      </c>
      <c r="AC594">
        <v>1.2168600000000001</v>
      </c>
      <c r="AD594">
        <f>Table6407[[#This Row],[CFNM]]/Table6407[[#This Row],[CAREA]]</f>
        <v>1.7132623451445179E-2</v>
      </c>
      <c r="AE594">
        <v>2.80444</v>
      </c>
      <c r="AF594">
        <f>-(Table7408[[#This Row],[time]]-2)*2</f>
        <v>-1.6088800000000001</v>
      </c>
      <c r="AG594">
        <v>68.993899999999996</v>
      </c>
      <c r="AH594">
        <v>55.549300000000002</v>
      </c>
      <c r="AI594">
        <f>Table7408[[#This Row],[CFNM]]/Table7408[[#This Row],[CAREA]]</f>
        <v>0.80513349730918249</v>
      </c>
      <c r="AJ594">
        <v>2.80444</v>
      </c>
      <c r="AK594">
        <f>-(Table8409[[#This Row],[time]]-2)*2</f>
        <v>-1.6088800000000001</v>
      </c>
      <c r="AL594">
        <v>78.236000000000004</v>
      </c>
      <c r="AM594">
        <v>6.9740000000000002</v>
      </c>
      <c r="AN594">
        <f>Table8409[[#This Row],[CFNM]]/Table8409[[#This Row],[CAREA]]</f>
        <v>8.9140549107827594E-2</v>
      </c>
    </row>
    <row r="595" spans="1:40" x14ac:dyDescent="0.25">
      <c r="A595">
        <v>2.8583699999999999</v>
      </c>
      <c r="B595">
        <f>-(Table1402[[#This Row],[time]]-2)*2</f>
        <v>-1.7167399999999997</v>
      </c>
      <c r="C595">
        <v>95.76</v>
      </c>
      <c r="D595">
        <v>25.738299999999999</v>
      </c>
      <c r="E595">
        <f>Table1402[[#This Row],[CFNM]]/Table1402[[#This Row],[CAREA]]</f>
        <v>0.26877923976608187</v>
      </c>
      <c r="F595">
        <v>2.8583699999999999</v>
      </c>
      <c r="G595">
        <f>-(Table2403[[#This Row],[time]]-2)*2</f>
        <v>-1.7167399999999997</v>
      </c>
      <c r="H595">
        <v>88.269499999999994</v>
      </c>
      <c r="I595">
        <v>4.6169999999999996E-3</v>
      </c>
      <c r="J595">
        <f>Table2403[[#This Row],[CFNM]]/Table2403[[#This Row],[CAREA]]</f>
        <v>5.2305722814788798E-5</v>
      </c>
      <c r="K595">
        <v>2.8583699999999999</v>
      </c>
      <c r="L595">
        <f>-(Table3404[[#This Row],[time]]-2)*2</f>
        <v>-1.7167399999999997</v>
      </c>
      <c r="M595">
        <v>86.949299999999994</v>
      </c>
      <c r="N595">
        <v>28.28</v>
      </c>
      <c r="O595">
        <f>Table3404[[#This Row],[CFNM]]/Table3404[[#This Row],[CAREA]]</f>
        <v>0.32524701176432708</v>
      </c>
      <c r="P595">
        <v>2.8583699999999999</v>
      </c>
      <c r="Q595">
        <f>-(Table4405[[#This Row],[time]]-2)*2</f>
        <v>-1.7167399999999997</v>
      </c>
      <c r="R595">
        <v>73.465400000000002</v>
      </c>
      <c r="S595">
        <v>4.3782399999999999</v>
      </c>
      <c r="T595">
        <f>Table4405[[#This Row],[CFNM]]/Table4405[[#This Row],[CAREA]]</f>
        <v>5.9595945846616226E-2</v>
      </c>
      <c r="U595">
        <v>2.8583699999999999</v>
      </c>
      <c r="V595">
        <f>-(Table5406[[#This Row],[time]]-2)*2</f>
        <v>-1.7167399999999997</v>
      </c>
      <c r="W595">
        <v>83.264700000000005</v>
      </c>
      <c r="X595">
        <v>37.541699999999999</v>
      </c>
      <c r="Y595">
        <f>Table5406[[#This Row],[CFNM]]/Table5406[[#This Row],[CAREA]]</f>
        <v>0.45087173796338659</v>
      </c>
      <c r="Z595">
        <v>2.8583699999999999</v>
      </c>
      <c r="AA595">
        <f>-(Table6407[[#This Row],[time]]-2)*2</f>
        <v>-1.7167399999999997</v>
      </c>
      <c r="AB595">
        <v>69.990600000000001</v>
      </c>
      <c r="AC595">
        <v>1.0214000000000001</v>
      </c>
      <c r="AD595">
        <f>Table6407[[#This Row],[CFNM]]/Table6407[[#This Row],[CAREA]]</f>
        <v>1.4593388254994243E-2</v>
      </c>
      <c r="AE595">
        <v>2.8583699999999999</v>
      </c>
      <c r="AF595">
        <f>-(Table7408[[#This Row],[time]]-2)*2</f>
        <v>-1.7167399999999997</v>
      </c>
      <c r="AG595">
        <v>68.2851</v>
      </c>
      <c r="AH595">
        <v>58.0137</v>
      </c>
      <c r="AI595">
        <f>Table7408[[#This Row],[CFNM]]/Table7408[[#This Row],[CAREA]]</f>
        <v>0.84958065522346748</v>
      </c>
      <c r="AJ595">
        <v>2.8583699999999999</v>
      </c>
      <c r="AK595">
        <f>-(Table8409[[#This Row],[time]]-2)*2</f>
        <v>-1.7167399999999997</v>
      </c>
      <c r="AL595">
        <v>78.277900000000002</v>
      </c>
      <c r="AM595">
        <v>6.2924300000000004</v>
      </c>
      <c r="AN595">
        <f>Table8409[[#This Row],[CFNM]]/Table8409[[#This Row],[CAREA]]</f>
        <v>8.0385779383453065E-2</v>
      </c>
    </row>
    <row r="596" spans="1:40" x14ac:dyDescent="0.25">
      <c r="A596">
        <v>2.9134199999999999</v>
      </c>
      <c r="B596">
        <f>-(Table1402[[#This Row],[time]]-2)*2</f>
        <v>-1.8268399999999998</v>
      </c>
      <c r="C596">
        <v>96.877300000000005</v>
      </c>
      <c r="D596">
        <v>27.553100000000001</v>
      </c>
      <c r="E596">
        <f>Table1402[[#This Row],[CFNM]]/Table1402[[#This Row],[CAREA]]</f>
        <v>0.28441234427466494</v>
      </c>
      <c r="F596">
        <v>2.9134199999999999</v>
      </c>
      <c r="G596">
        <f>-(Table2403[[#This Row],[time]]-2)*2</f>
        <v>-1.8268399999999998</v>
      </c>
      <c r="H596">
        <v>87.342500000000001</v>
      </c>
      <c r="I596">
        <v>4.5092099999999996E-3</v>
      </c>
      <c r="J596">
        <f>Table2403[[#This Row],[CFNM]]/Table2403[[#This Row],[CAREA]]</f>
        <v>5.1626756733548955E-5</v>
      </c>
      <c r="K596">
        <v>2.9134199999999999</v>
      </c>
      <c r="L596">
        <f>-(Table3404[[#This Row],[time]]-2)*2</f>
        <v>-1.8268399999999998</v>
      </c>
      <c r="M596">
        <v>86.245400000000004</v>
      </c>
      <c r="N596">
        <v>30.847899999999999</v>
      </c>
      <c r="O596">
        <f>Table3404[[#This Row],[CFNM]]/Table3404[[#This Row],[CAREA]]</f>
        <v>0.35767588764154373</v>
      </c>
      <c r="P596">
        <v>2.9134199999999999</v>
      </c>
      <c r="Q596">
        <f>-(Table4405[[#This Row],[time]]-2)*2</f>
        <v>-1.8268399999999998</v>
      </c>
      <c r="R596">
        <v>73.048400000000001</v>
      </c>
      <c r="S596">
        <v>4.5161800000000003</v>
      </c>
      <c r="T596">
        <f>Table4405[[#This Row],[CFNM]]/Table4405[[#This Row],[CAREA]]</f>
        <v>6.1824488968957571E-2</v>
      </c>
      <c r="U596">
        <v>2.9134199999999999</v>
      </c>
      <c r="V596">
        <f>-(Table5406[[#This Row],[time]]-2)*2</f>
        <v>-1.8268399999999998</v>
      </c>
      <c r="W596">
        <v>82.854399999999998</v>
      </c>
      <c r="X596">
        <v>40.1571</v>
      </c>
      <c r="Y596">
        <f>Table5406[[#This Row],[CFNM]]/Table5406[[#This Row],[CAREA]]</f>
        <v>0.48467069944384367</v>
      </c>
      <c r="Z596">
        <v>2.9134199999999999</v>
      </c>
      <c r="AA596">
        <f>-(Table6407[[#This Row],[time]]-2)*2</f>
        <v>-1.8268399999999998</v>
      </c>
      <c r="AB596">
        <v>69.230099999999993</v>
      </c>
      <c r="AC596">
        <v>0.76658300000000001</v>
      </c>
      <c r="AD596">
        <f>Table6407[[#This Row],[CFNM]]/Table6407[[#This Row],[CAREA]]</f>
        <v>1.1072972594290634E-2</v>
      </c>
      <c r="AE596">
        <v>2.9134199999999999</v>
      </c>
      <c r="AF596">
        <f>-(Table7408[[#This Row],[time]]-2)*2</f>
        <v>-1.8268399999999998</v>
      </c>
      <c r="AG596">
        <v>67.401200000000003</v>
      </c>
      <c r="AH596">
        <v>61.252000000000002</v>
      </c>
      <c r="AI596">
        <f>Table7408[[#This Row],[CFNM]]/Table7408[[#This Row],[CAREA]]</f>
        <v>0.90876720295781088</v>
      </c>
      <c r="AJ596">
        <v>2.9134199999999999</v>
      </c>
      <c r="AK596">
        <f>-(Table8409[[#This Row],[time]]-2)*2</f>
        <v>-1.8268399999999998</v>
      </c>
      <c r="AL596">
        <v>77.370599999999996</v>
      </c>
      <c r="AM596">
        <v>5.4452199999999999</v>
      </c>
      <c r="AN596">
        <f>Table8409[[#This Row],[CFNM]]/Table8409[[#This Row],[CAREA]]</f>
        <v>7.0378412471920865E-2</v>
      </c>
    </row>
    <row r="597" spans="1:40" x14ac:dyDescent="0.25">
      <c r="A597">
        <v>2.9619599999999999</v>
      </c>
      <c r="B597">
        <f>-(Table1402[[#This Row],[time]]-2)*2</f>
        <v>-1.9239199999999999</v>
      </c>
      <c r="C597">
        <v>97.689099999999996</v>
      </c>
      <c r="D597">
        <v>28.950500000000002</v>
      </c>
      <c r="E597">
        <f>Table1402[[#This Row],[CFNM]]/Table1402[[#This Row],[CAREA]]</f>
        <v>0.29635343144731607</v>
      </c>
      <c r="F597">
        <v>2.9619599999999999</v>
      </c>
      <c r="G597">
        <f>-(Table2403[[#This Row],[time]]-2)*2</f>
        <v>-1.9239199999999999</v>
      </c>
      <c r="H597">
        <v>85.623800000000003</v>
      </c>
      <c r="I597">
        <v>4.3934200000000003E-3</v>
      </c>
      <c r="J597">
        <f>Table2403[[#This Row],[CFNM]]/Table2403[[#This Row],[CAREA]]</f>
        <v>5.1310733697873725E-5</v>
      </c>
      <c r="K597">
        <v>2.9619599999999999</v>
      </c>
      <c r="L597">
        <f>-(Table3404[[#This Row],[time]]-2)*2</f>
        <v>-1.9239199999999999</v>
      </c>
      <c r="M597">
        <v>85.683199999999999</v>
      </c>
      <c r="N597">
        <v>32.675800000000002</v>
      </c>
      <c r="O597">
        <f>Table3404[[#This Row],[CFNM]]/Table3404[[#This Row],[CAREA]]</f>
        <v>0.38135597176576042</v>
      </c>
      <c r="P597">
        <v>2.9619599999999999</v>
      </c>
      <c r="Q597">
        <f>-(Table4405[[#This Row],[time]]-2)*2</f>
        <v>-1.9239199999999999</v>
      </c>
      <c r="R597">
        <v>72.048699999999997</v>
      </c>
      <c r="S597">
        <v>4.5959899999999996</v>
      </c>
      <c r="T597">
        <f>Table4405[[#This Row],[CFNM]]/Table4405[[#This Row],[CAREA]]</f>
        <v>6.3790047565049746E-2</v>
      </c>
      <c r="U597">
        <v>2.9619599999999999</v>
      </c>
      <c r="V597">
        <f>-(Table5406[[#This Row],[time]]-2)*2</f>
        <v>-1.9239199999999999</v>
      </c>
      <c r="W597">
        <v>82.543199999999999</v>
      </c>
      <c r="X597">
        <v>42.055500000000002</v>
      </c>
      <c r="Y597">
        <f>Table5406[[#This Row],[CFNM]]/Table5406[[#This Row],[CAREA]]</f>
        <v>0.50949684528828543</v>
      </c>
      <c r="Z597">
        <v>2.9619599999999999</v>
      </c>
      <c r="AA597">
        <f>-(Table6407[[#This Row],[time]]-2)*2</f>
        <v>-1.9239199999999999</v>
      </c>
      <c r="AB597">
        <v>68.932100000000005</v>
      </c>
      <c r="AC597">
        <v>0.61216099999999996</v>
      </c>
      <c r="AD597">
        <f>Table6407[[#This Row],[CFNM]]/Table6407[[#This Row],[CAREA]]</f>
        <v>8.8806376129553569E-3</v>
      </c>
      <c r="AE597">
        <v>2.9619599999999999</v>
      </c>
      <c r="AF597">
        <f>-(Table7408[[#This Row],[time]]-2)*2</f>
        <v>-1.9239199999999999</v>
      </c>
      <c r="AG597">
        <v>66.765799999999999</v>
      </c>
      <c r="AH597">
        <v>63.550400000000003</v>
      </c>
      <c r="AI597">
        <f>Table7408[[#This Row],[CFNM]]/Table7408[[#This Row],[CAREA]]</f>
        <v>0.95184061300845646</v>
      </c>
      <c r="AJ597">
        <v>2.9619599999999999</v>
      </c>
      <c r="AK597">
        <f>-(Table8409[[#This Row],[time]]-2)*2</f>
        <v>-1.9239199999999999</v>
      </c>
      <c r="AL597">
        <v>77.398499999999999</v>
      </c>
      <c r="AM597">
        <v>4.8385100000000003</v>
      </c>
      <c r="AN597">
        <f>Table8409[[#This Row],[CFNM]]/Table8409[[#This Row],[CAREA]]</f>
        <v>6.251426061228578E-2</v>
      </c>
    </row>
    <row r="598" spans="1:40" x14ac:dyDescent="0.25">
      <c r="A598">
        <v>3</v>
      </c>
      <c r="B598">
        <f>-(Table1402[[#This Row],[time]]-2)*2</f>
        <v>-2</v>
      </c>
      <c r="C598">
        <v>98.392300000000006</v>
      </c>
      <c r="D598">
        <v>30.3551</v>
      </c>
      <c r="E598">
        <f>Table1402[[#This Row],[CFNM]]/Table1402[[#This Row],[CAREA]]</f>
        <v>0.30851093022523102</v>
      </c>
      <c r="F598">
        <v>3</v>
      </c>
      <c r="G598">
        <f>-(Table2403[[#This Row],[time]]-2)*2</f>
        <v>-2</v>
      </c>
      <c r="H598">
        <v>84.810299999999998</v>
      </c>
      <c r="I598">
        <v>4.27984E-3</v>
      </c>
      <c r="J598">
        <f>Table2403[[#This Row],[CFNM]]/Table2403[[#This Row],[CAREA]]</f>
        <v>5.0463681887695249E-5</v>
      </c>
      <c r="K598">
        <v>3</v>
      </c>
      <c r="L598">
        <f>-(Table3404[[#This Row],[time]]-2)*2</f>
        <v>-2</v>
      </c>
      <c r="M598">
        <v>85.236999999999995</v>
      </c>
      <c r="N598">
        <v>34.597299999999997</v>
      </c>
      <c r="O598">
        <f>Table3404[[#This Row],[CFNM]]/Table3404[[#This Row],[CAREA]]</f>
        <v>0.40589532714666166</v>
      </c>
      <c r="P598">
        <v>3</v>
      </c>
      <c r="Q598">
        <f>-(Table4405[[#This Row],[time]]-2)*2</f>
        <v>-2</v>
      </c>
      <c r="R598">
        <v>71.102199999999996</v>
      </c>
      <c r="S598">
        <v>4.5840800000000002</v>
      </c>
      <c r="T598">
        <f>Table4405[[#This Row],[CFNM]]/Table4405[[#This Row],[CAREA]]</f>
        <v>6.4471704110421343E-2</v>
      </c>
      <c r="U598">
        <v>3</v>
      </c>
      <c r="V598">
        <f>-(Table5406[[#This Row],[time]]-2)*2</f>
        <v>-2</v>
      </c>
      <c r="W598">
        <v>82.193600000000004</v>
      </c>
      <c r="X598">
        <v>43.851399999999998</v>
      </c>
      <c r="Y598">
        <f>Table5406[[#This Row],[CFNM]]/Table5406[[#This Row],[CAREA]]</f>
        <v>0.53351355823324442</v>
      </c>
      <c r="Z598">
        <v>3</v>
      </c>
      <c r="AA598">
        <f>-(Table6407[[#This Row],[time]]-2)*2</f>
        <v>-2</v>
      </c>
      <c r="AB598">
        <v>65.846599999999995</v>
      </c>
      <c r="AC598">
        <v>0.48654700000000001</v>
      </c>
      <c r="AD598">
        <f>Table6407[[#This Row],[CFNM]]/Table6407[[#This Row],[CAREA]]</f>
        <v>7.3890982981657371E-3</v>
      </c>
      <c r="AE598">
        <v>3</v>
      </c>
      <c r="AF598">
        <f>-(Table7408[[#This Row],[time]]-2)*2</f>
        <v>-2</v>
      </c>
      <c r="AG598">
        <v>66.206999999999994</v>
      </c>
      <c r="AH598">
        <v>65.680099999999996</v>
      </c>
      <c r="AI598">
        <f>Table7408[[#This Row],[CFNM]]/Table7408[[#This Row],[CAREA]]</f>
        <v>0.99204162701829113</v>
      </c>
      <c r="AJ598">
        <v>3</v>
      </c>
      <c r="AK598">
        <f>-(Table8409[[#This Row],[time]]-2)*2</f>
        <v>-2</v>
      </c>
      <c r="AL598">
        <v>75.778000000000006</v>
      </c>
      <c r="AM598">
        <v>4.2471300000000003</v>
      </c>
      <c r="AN598">
        <f>Table8409[[#This Row],[CFNM]]/Table8409[[#This Row],[CAREA]]</f>
        <v>5.6047005727255933E-2</v>
      </c>
    </row>
    <row r="600" spans="1:40" x14ac:dyDescent="0.25">
      <c r="A600" t="s">
        <v>65</v>
      </c>
      <c r="E600" t="s">
        <v>1</v>
      </c>
    </row>
    <row r="601" spans="1:40" x14ac:dyDescent="0.25">
      <c r="A601" t="s">
        <v>66</v>
      </c>
      <c r="E601" t="s">
        <v>2</v>
      </c>
      <c r="F601" t="s">
        <v>3</v>
      </c>
    </row>
    <row r="603" spans="1:40" x14ac:dyDescent="0.25">
      <c r="A603" t="s">
        <v>5</v>
      </c>
      <c r="F603" t="s">
        <v>6</v>
      </c>
      <c r="K603" t="s">
        <v>7</v>
      </c>
      <c r="P603" t="s">
        <v>19</v>
      </c>
      <c r="U603" t="s">
        <v>8</v>
      </c>
      <c r="Z603" t="s">
        <v>9</v>
      </c>
      <c r="AE603" t="s">
        <v>10</v>
      </c>
      <c r="AJ603" t="s">
        <v>11</v>
      </c>
    </row>
    <row r="604" spans="1:40" x14ac:dyDescent="0.25">
      <c r="A604" t="s">
        <v>12</v>
      </c>
      <c r="B604" t="s">
        <v>13</v>
      </c>
      <c r="C604" t="s">
        <v>17</v>
      </c>
      <c r="D604" t="s">
        <v>15</v>
      </c>
      <c r="E604" t="s">
        <v>16</v>
      </c>
      <c r="F604" t="s">
        <v>12</v>
      </c>
      <c r="G604" t="s">
        <v>13</v>
      </c>
      <c r="H604" t="s">
        <v>17</v>
      </c>
      <c r="I604" t="s">
        <v>15</v>
      </c>
      <c r="J604" t="s">
        <v>16</v>
      </c>
      <c r="K604" t="s">
        <v>12</v>
      </c>
      <c r="L604" t="s">
        <v>13</v>
      </c>
      <c r="M604" t="s">
        <v>17</v>
      </c>
      <c r="N604" t="s">
        <v>15</v>
      </c>
      <c r="O604" t="s">
        <v>16</v>
      </c>
      <c r="P604" t="s">
        <v>12</v>
      </c>
      <c r="Q604" t="s">
        <v>13</v>
      </c>
      <c r="R604" t="s">
        <v>17</v>
      </c>
      <c r="S604" t="s">
        <v>15</v>
      </c>
      <c r="T604" t="s">
        <v>16</v>
      </c>
      <c r="U604" t="s">
        <v>12</v>
      </c>
      <c r="V604" t="s">
        <v>13</v>
      </c>
      <c r="W604" t="s">
        <v>17</v>
      </c>
      <c r="X604" t="s">
        <v>15</v>
      </c>
      <c r="Y604" t="s">
        <v>16</v>
      </c>
      <c r="Z604" t="s">
        <v>12</v>
      </c>
      <c r="AA604" t="s">
        <v>13</v>
      </c>
      <c r="AB604" t="s">
        <v>17</v>
      </c>
      <c r="AC604" t="s">
        <v>15</v>
      </c>
      <c r="AD604" t="s">
        <v>16</v>
      </c>
      <c r="AE604" t="s">
        <v>12</v>
      </c>
      <c r="AF604" t="s">
        <v>13</v>
      </c>
      <c r="AG604" t="s">
        <v>17</v>
      </c>
      <c r="AH604" t="s">
        <v>15</v>
      </c>
      <c r="AI604" t="s">
        <v>16</v>
      </c>
      <c r="AJ604" t="s">
        <v>12</v>
      </c>
      <c r="AK604" t="s">
        <v>13</v>
      </c>
      <c r="AL604" t="s">
        <v>17</v>
      </c>
      <c r="AM604" t="s">
        <v>15</v>
      </c>
      <c r="AN604" t="s">
        <v>16</v>
      </c>
    </row>
    <row r="605" spans="1:40" x14ac:dyDescent="0.25">
      <c r="A605">
        <v>2</v>
      </c>
      <c r="B605">
        <f>(Table110410[[#This Row],[time]]-2)*2</f>
        <v>0</v>
      </c>
      <c r="C605">
        <v>91.082599999999999</v>
      </c>
      <c r="D605">
        <v>10.202299999999999</v>
      </c>
      <c r="E605" s="2">
        <f>Table110410[[#This Row],[CFNM]]/Table110410[[#This Row],[CAREA]]</f>
        <v>0.11201151482280917</v>
      </c>
      <c r="F605">
        <v>2</v>
      </c>
      <c r="G605">
        <f>(Table211411[[#This Row],[time]]-2)*2</f>
        <v>0</v>
      </c>
      <c r="H605">
        <v>95.835700000000003</v>
      </c>
      <c r="I605">
        <v>3.5654499999999998</v>
      </c>
      <c r="J605" s="2">
        <f>Table211411[[#This Row],[CFNM]]/Table211411[[#This Row],[CAREA]]</f>
        <v>3.7203776880640513E-2</v>
      </c>
      <c r="K605">
        <v>2</v>
      </c>
      <c r="L605">
        <f>(Table312412[[#This Row],[time]]-2)*2</f>
        <v>0</v>
      </c>
      <c r="M605">
        <v>89.253699999999995</v>
      </c>
      <c r="N605">
        <v>3.6436600000000001</v>
      </c>
      <c r="O605">
        <f>Table312412[[#This Row],[CFNM]]/Table312412[[#This Row],[CAREA]]</f>
        <v>4.0823629720672647E-2</v>
      </c>
      <c r="P605">
        <v>2</v>
      </c>
      <c r="Q605">
        <f>(Table413413[[#This Row],[time]]-2)*2</f>
        <v>0</v>
      </c>
      <c r="R605">
        <v>86.409400000000005</v>
      </c>
      <c r="S605">
        <v>6.4346899999999998</v>
      </c>
      <c r="T605">
        <f>Table413413[[#This Row],[CFNM]]/Table413413[[#This Row],[CAREA]]</f>
        <v>7.4467476918020484E-2</v>
      </c>
      <c r="U605">
        <v>2</v>
      </c>
      <c r="V605">
        <f>(Table514414[[#This Row],[time]]-2)*2</f>
        <v>0</v>
      </c>
      <c r="W605">
        <v>82.628699999999995</v>
      </c>
      <c r="X605">
        <v>8.5542400000000001</v>
      </c>
      <c r="Y605">
        <f>Table514414[[#This Row],[CFNM]]/Table514414[[#This Row],[CAREA]]</f>
        <v>0.1035262566154375</v>
      </c>
      <c r="Z605">
        <v>2</v>
      </c>
      <c r="AA605">
        <f>(Table615415[[#This Row],[time]]-2)*2</f>
        <v>0</v>
      </c>
      <c r="AB605">
        <v>88.863399999999999</v>
      </c>
      <c r="AC605">
        <v>15.0844</v>
      </c>
      <c r="AD605">
        <f>Table615415[[#This Row],[CFNM]]/Table615415[[#This Row],[CAREA]]</f>
        <v>0.1697481752892642</v>
      </c>
      <c r="AE605">
        <v>2</v>
      </c>
      <c r="AF605">
        <f>(Table716416[[#This Row],[time]]-2)*2</f>
        <v>0</v>
      </c>
      <c r="AG605">
        <v>78.953900000000004</v>
      </c>
      <c r="AH605">
        <v>19.6159</v>
      </c>
      <c r="AI605">
        <f>Table716416[[#This Row],[CFNM]]/Table716416[[#This Row],[CAREA]]</f>
        <v>0.24844751177585905</v>
      </c>
      <c r="AJ605">
        <v>2</v>
      </c>
      <c r="AK605">
        <f>(Table817417[[#This Row],[time]]-2)*2</f>
        <v>0</v>
      </c>
      <c r="AL605">
        <v>83.137299999999996</v>
      </c>
      <c r="AM605">
        <v>19.2331</v>
      </c>
      <c r="AN605">
        <f>Table817417[[#This Row],[CFNM]]/Table817417[[#This Row],[CAREA]]</f>
        <v>0.23134140752706669</v>
      </c>
    </row>
    <row r="606" spans="1:40" x14ac:dyDescent="0.25">
      <c r="A606">
        <v>2.0512600000000001</v>
      </c>
      <c r="B606">
        <f>(Table110410[[#This Row],[time]]-2)*2</f>
        <v>0.10252000000000017</v>
      </c>
      <c r="C606">
        <v>91.042299999999997</v>
      </c>
      <c r="D606">
        <v>9.7466100000000004</v>
      </c>
      <c r="E606">
        <f>Table110410[[#This Row],[CFNM]]/Table110410[[#This Row],[CAREA]]</f>
        <v>0.10705584107607125</v>
      </c>
      <c r="F606">
        <v>2.0512600000000001</v>
      </c>
      <c r="G606">
        <f>(Table211411[[#This Row],[time]]-2)*2</f>
        <v>0.10252000000000017</v>
      </c>
      <c r="H606">
        <v>96.001300000000001</v>
      </c>
      <c r="I606">
        <v>4.1409900000000004</v>
      </c>
      <c r="J606">
        <f>Table211411[[#This Row],[CFNM]]/Table211411[[#This Row],[CAREA]]</f>
        <v>4.3134728383886475E-2</v>
      </c>
      <c r="K606">
        <v>2.0512600000000001</v>
      </c>
      <c r="L606">
        <f>(Table312412[[#This Row],[time]]-2)*2</f>
        <v>0.10252000000000017</v>
      </c>
      <c r="M606">
        <v>89.200900000000004</v>
      </c>
      <c r="N606">
        <v>3.0918600000000001</v>
      </c>
      <c r="O606">
        <f>Table312412[[#This Row],[CFNM]]/Table312412[[#This Row],[CAREA]]</f>
        <v>3.4661757897061572E-2</v>
      </c>
      <c r="P606">
        <v>2.0512600000000001</v>
      </c>
      <c r="Q606">
        <f>(Table413413[[#This Row],[time]]-2)*2</f>
        <v>0.10252000000000017</v>
      </c>
      <c r="R606">
        <v>86.546899999999994</v>
      </c>
      <c r="S606">
        <v>7.3754299999999997</v>
      </c>
      <c r="T606">
        <f>Table413413[[#This Row],[CFNM]]/Table413413[[#This Row],[CAREA]]</f>
        <v>8.5218881323305629E-2</v>
      </c>
      <c r="U606">
        <v>2.0512600000000001</v>
      </c>
      <c r="V606">
        <f>(Table514414[[#This Row],[time]]-2)*2</f>
        <v>0.10252000000000017</v>
      </c>
      <c r="W606">
        <v>82.565700000000007</v>
      </c>
      <c r="X606">
        <v>7.8407999999999998</v>
      </c>
      <c r="Y606">
        <f>Table514414[[#This Row],[CFNM]]/Table514414[[#This Row],[CAREA]]</f>
        <v>9.4964373825934978E-2</v>
      </c>
      <c r="Z606">
        <v>2.0512600000000001</v>
      </c>
      <c r="AA606">
        <f>(Table615415[[#This Row],[time]]-2)*2</f>
        <v>0.10252000000000017</v>
      </c>
      <c r="AB606">
        <v>88.865200000000002</v>
      </c>
      <c r="AC606">
        <v>16.429500000000001</v>
      </c>
      <c r="AD606">
        <f>Table615415[[#This Row],[CFNM]]/Table615415[[#This Row],[CAREA]]</f>
        <v>0.18488114582536247</v>
      </c>
      <c r="AE606">
        <v>2.0512600000000001</v>
      </c>
      <c r="AF606">
        <f>(Table716416[[#This Row],[time]]-2)*2</f>
        <v>0.10252000000000017</v>
      </c>
      <c r="AG606">
        <v>78.654200000000003</v>
      </c>
      <c r="AH606">
        <v>19.040600000000001</v>
      </c>
      <c r="AI606">
        <f>Table716416[[#This Row],[CFNM]]/Table716416[[#This Row],[CAREA]]</f>
        <v>0.24207988893155102</v>
      </c>
      <c r="AJ606">
        <v>2.0512600000000001</v>
      </c>
      <c r="AK606">
        <f>(Table817417[[#This Row],[time]]-2)*2</f>
        <v>0.10252000000000017</v>
      </c>
      <c r="AL606">
        <v>83.353099999999998</v>
      </c>
      <c r="AM606">
        <v>20.5761</v>
      </c>
      <c r="AN606">
        <f>Table817417[[#This Row],[CFNM]]/Table817417[[#This Row],[CAREA]]</f>
        <v>0.24685464607795032</v>
      </c>
    </row>
    <row r="607" spans="1:40" x14ac:dyDescent="0.25">
      <c r="A607">
        <v>2.1153300000000002</v>
      </c>
      <c r="B607">
        <f>(Table110410[[#This Row],[time]]-2)*2</f>
        <v>0.23066000000000031</v>
      </c>
      <c r="C607">
        <v>90.977199999999996</v>
      </c>
      <c r="D607">
        <v>8.8196300000000001</v>
      </c>
      <c r="E607">
        <f>Table110410[[#This Row],[CFNM]]/Table110410[[#This Row],[CAREA]]</f>
        <v>9.694330007958038E-2</v>
      </c>
      <c r="F607">
        <v>2.1153300000000002</v>
      </c>
      <c r="G607">
        <f>(Table211411[[#This Row],[time]]-2)*2</f>
        <v>0.23066000000000031</v>
      </c>
      <c r="H607">
        <v>95.791300000000007</v>
      </c>
      <c r="I607">
        <v>5.1813799999999999</v>
      </c>
      <c r="J607">
        <f>Table211411[[#This Row],[CFNM]]/Table211411[[#This Row],[CAREA]]</f>
        <v>5.409029838826699E-2</v>
      </c>
      <c r="K607">
        <v>2.1153300000000002</v>
      </c>
      <c r="L607">
        <f>(Table312412[[#This Row],[time]]-2)*2</f>
        <v>0.23066000000000031</v>
      </c>
      <c r="M607">
        <v>88.978099999999998</v>
      </c>
      <c r="N607">
        <v>2.27475</v>
      </c>
      <c r="O607">
        <f>Table312412[[#This Row],[CFNM]]/Table312412[[#This Row],[CAREA]]</f>
        <v>2.556527954631533E-2</v>
      </c>
      <c r="P607">
        <v>2.1153300000000002</v>
      </c>
      <c r="Q607">
        <f>(Table413413[[#This Row],[time]]-2)*2</f>
        <v>0.23066000000000031</v>
      </c>
      <c r="R607">
        <v>86.928600000000003</v>
      </c>
      <c r="S607">
        <v>8.9064999999999994</v>
      </c>
      <c r="T607">
        <f>Table413413[[#This Row],[CFNM]]/Table413413[[#This Row],[CAREA]]</f>
        <v>0.10245764915114242</v>
      </c>
      <c r="U607">
        <v>2.1153300000000002</v>
      </c>
      <c r="V607">
        <f>(Table514414[[#This Row],[time]]-2)*2</f>
        <v>0.23066000000000031</v>
      </c>
      <c r="W607">
        <v>82.583600000000004</v>
      </c>
      <c r="X607">
        <v>6.9370000000000003</v>
      </c>
      <c r="Y607">
        <f>Table514414[[#This Row],[CFNM]]/Table514414[[#This Row],[CAREA]]</f>
        <v>8.3999728759705322E-2</v>
      </c>
      <c r="Z607">
        <v>2.1153300000000002</v>
      </c>
      <c r="AA607">
        <f>(Table615415[[#This Row],[time]]-2)*2</f>
        <v>0.23066000000000031</v>
      </c>
      <c r="AB607">
        <v>89.550200000000004</v>
      </c>
      <c r="AC607">
        <v>19.257200000000001</v>
      </c>
      <c r="AD607">
        <f>Table615415[[#This Row],[CFNM]]/Table615415[[#This Row],[CAREA]]</f>
        <v>0.2150436291599572</v>
      </c>
      <c r="AE607">
        <v>2.1153300000000002</v>
      </c>
      <c r="AF607">
        <f>(Table716416[[#This Row],[time]]-2)*2</f>
        <v>0.23066000000000031</v>
      </c>
      <c r="AG607">
        <v>77.8643</v>
      </c>
      <c r="AH607">
        <v>18.562000000000001</v>
      </c>
      <c r="AI607">
        <f>Table716416[[#This Row],[CFNM]]/Table716416[[#This Row],[CAREA]]</f>
        <v>0.23838909487403087</v>
      </c>
      <c r="AJ607">
        <v>2.1153300000000002</v>
      </c>
      <c r="AK607">
        <f>(Table817417[[#This Row],[time]]-2)*2</f>
        <v>0.23066000000000031</v>
      </c>
      <c r="AL607">
        <v>83.526499999999999</v>
      </c>
      <c r="AM607">
        <v>22.752600000000001</v>
      </c>
      <c r="AN607">
        <f>Table817417[[#This Row],[CFNM]]/Table817417[[#This Row],[CAREA]]</f>
        <v>0.27239977731618109</v>
      </c>
    </row>
    <row r="608" spans="1:40" x14ac:dyDescent="0.25">
      <c r="A608">
        <v>2.16533</v>
      </c>
      <c r="B608">
        <f>(Table110410[[#This Row],[time]]-2)*2</f>
        <v>0.33065999999999995</v>
      </c>
      <c r="C608">
        <v>90.892799999999994</v>
      </c>
      <c r="D608">
        <v>7.9194199999999997</v>
      </c>
      <c r="E608">
        <f>Table110410[[#This Row],[CFNM]]/Table110410[[#This Row],[CAREA]]</f>
        <v>8.7129233558653707E-2</v>
      </c>
      <c r="F608">
        <v>2.16533</v>
      </c>
      <c r="G608">
        <f>(Table211411[[#This Row],[time]]-2)*2</f>
        <v>0.33065999999999995</v>
      </c>
      <c r="H608">
        <v>95.397800000000004</v>
      </c>
      <c r="I608">
        <v>6.2563500000000003</v>
      </c>
      <c r="J608">
        <f>Table211411[[#This Row],[CFNM]]/Table211411[[#This Row],[CAREA]]</f>
        <v>6.5581701045516777E-2</v>
      </c>
      <c r="K608">
        <v>2.16533</v>
      </c>
      <c r="L608">
        <f>(Table312412[[#This Row],[time]]-2)*2</f>
        <v>0.33065999999999995</v>
      </c>
      <c r="M608">
        <v>87.749099999999999</v>
      </c>
      <c r="N608">
        <v>1.6563000000000001</v>
      </c>
      <c r="O608">
        <f>Table312412[[#This Row],[CFNM]]/Table312412[[#This Row],[CAREA]]</f>
        <v>1.8875407269134385E-2</v>
      </c>
      <c r="P608">
        <v>2.16533</v>
      </c>
      <c r="Q608">
        <f>(Table413413[[#This Row],[time]]-2)*2</f>
        <v>0.33065999999999995</v>
      </c>
      <c r="R608">
        <v>87.644099999999995</v>
      </c>
      <c r="S608">
        <v>10.405799999999999</v>
      </c>
      <c r="T608">
        <f>Table413413[[#This Row],[CFNM]]/Table413413[[#This Row],[CAREA]]</f>
        <v>0.11872790068013706</v>
      </c>
      <c r="U608">
        <v>2.16533</v>
      </c>
      <c r="V608">
        <f>(Table514414[[#This Row],[time]]-2)*2</f>
        <v>0.33065999999999995</v>
      </c>
      <c r="W608">
        <v>81.967100000000002</v>
      </c>
      <c r="X608">
        <v>6.0977300000000003</v>
      </c>
      <c r="Y608">
        <f>Table514414[[#This Row],[CFNM]]/Table514414[[#This Row],[CAREA]]</f>
        <v>7.4392408661523954E-2</v>
      </c>
      <c r="Z608">
        <v>2.16533</v>
      </c>
      <c r="AA608">
        <f>(Table615415[[#This Row],[time]]-2)*2</f>
        <v>0.33065999999999995</v>
      </c>
      <c r="AB608">
        <v>89.502399999999994</v>
      </c>
      <c r="AC608">
        <v>22.192900000000002</v>
      </c>
      <c r="AD608">
        <f>Table615415[[#This Row],[CFNM]]/Table615415[[#This Row],[CAREA]]</f>
        <v>0.24795871395627384</v>
      </c>
      <c r="AE608">
        <v>2.16533</v>
      </c>
      <c r="AF608">
        <f>(Table716416[[#This Row],[time]]-2)*2</f>
        <v>0.33065999999999995</v>
      </c>
      <c r="AG608">
        <v>77.633300000000006</v>
      </c>
      <c r="AH608">
        <v>18.171700000000001</v>
      </c>
      <c r="AI608">
        <f>Table716416[[#This Row],[CFNM]]/Table716416[[#This Row],[CAREA]]</f>
        <v>0.23407094635935868</v>
      </c>
      <c r="AJ608">
        <v>2.16533</v>
      </c>
      <c r="AK608">
        <f>(Table817417[[#This Row],[time]]-2)*2</f>
        <v>0.33065999999999995</v>
      </c>
      <c r="AL608">
        <v>83.622200000000007</v>
      </c>
      <c r="AM608">
        <v>25.009899999999998</v>
      </c>
      <c r="AN608">
        <f>Table817417[[#This Row],[CFNM]]/Table817417[[#This Row],[CAREA]]</f>
        <v>0.29908206194048942</v>
      </c>
    </row>
    <row r="609" spans="1:40" x14ac:dyDescent="0.25">
      <c r="A609">
        <v>2.2246999999999999</v>
      </c>
      <c r="B609">
        <f>(Table110410[[#This Row],[time]]-2)*2</f>
        <v>0.4493999999999998</v>
      </c>
      <c r="C609">
        <v>90.816500000000005</v>
      </c>
      <c r="D609">
        <v>7.5271699999999999</v>
      </c>
      <c r="E609">
        <f>Table110410[[#This Row],[CFNM]]/Table110410[[#This Row],[CAREA]]</f>
        <v>8.2883286627430039E-2</v>
      </c>
      <c r="F609">
        <v>2.2246999999999999</v>
      </c>
      <c r="G609">
        <f>(Table211411[[#This Row],[time]]-2)*2</f>
        <v>0.4493999999999998</v>
      </c>
      <c r="H609">
        <v>95.364400000000003</v>
      </c>
      <c r="I609">
        <v>6.7339700000000002</v>
      </c>
      <c r="J609">
        <f>Table211411[[#This Row],[CFNM]]/Table211411[[#This Row],[CAREA]]</f>
        <v>7.0613037989018967E-2</v>
      </c>
      <c r="K609">
        <v>2.2246999999999999</v>
      </c>
      <c r="L609">
        <f>(Table312412[[#This Row],[time]]-2)*2</f>
        <v>0.4493999999999998</v>
      </c>
      <c r="M609">
        <v>87.609099999999998</v>
      </c>
      <c r="N609">
        <v>1.444</v>
      </c>
      <c r="O609">
        <f>Table312412[[#This Row],[CFNM]]/Table312412[[#This Row],[CAREA]]</f>
        <v>1.6482306061813213E-2</v>
      </c>
      <c r="P609">
        <v>2.2246999999999999</v>
      </c>
      <c r="Q609">
        <f>(Table413413[[#This Row],[time]]-2)*2</f>
        <v>0.4493999999999998</v>
      </c>
      <c r="R609">
        <v>87.944800000000001</v>
      </c>
      <c r="S609">
        <v>11.07</v>
      </c>
      <c r="T609">
        <f>Table413413[[#This Row],[CFNM]]/Table413413[[#This Row],[CAREA]]</f>
        <v>0.12587441213124598</v>
      </c>
      <c r="U609">
        <v>2.2246999999999999</v>
      </c>
      <c r="V609">
        <f>(Table514414[[#This Row],[time]]-2)*2</f>
        <v>0.4493999999999998</v>
      </c>
      <c r="W609">
        <v>81.479200000000006</v>
      </c>
      <c r="X609">
        <v>5.8048200000000003</v>
      </c>
      <c r="Y609">
        <f>Table514414[[#This Row],[CFNM]]/Table514414[[#This Row],[CAREA]]</f>
        <v>7.1242967530363577E-2</v>
      </c>
      <c r="Z609">
        <v>2.2246999999999999</v>
      </c>
      <c r="AA609">
        <f>(Table615415[[#This Row],[time]]-2)*2</f>
        <v>0.4493999999999998</v>
      </c>
      <c r="AB609">
        <v>89.362799999999993</v>
      </c>
      <c r="AC609">
        <v>23.625299999999999</v>
      </c>
      <c r="AD609">
        <f>Table615415[[#This Row],[CFNM]]/Table615415[[#This Row],[CAREA]]</f>
        <v>0.26437510910580242</v>
      </c>
      <c r="AE609">
        <v>2.2246999999999999</v>
      </c>
      <c r="AF609">
        <f>(Table716416[[#This Row],[time]]-2)*2</f>
        <v>0.4493999999999998</v>
      </c>
      <c r="AG609">
        <v>77.522999999999996</v>
      </c>
      <c r="AH609">
        <v>18.0093</v>
      </c>
      <c r="AI609">
        <f>Table716416[[#This Row],[CFNM]]/Table716416[[#This Row],[CAREA]]</f>
        <v>0.23230912116404165</v>
      </c>
      <c r="AJ609">
        <v>2.2246999999999999</v>
      </c>
      <c r="AK609">
        <f>(Table817417[[#This Row],[time]]-2)*2</f>
        <v>0.4493999999999998</v>
      </c>
      <c r="AL609">
        <v>83.459800000000001</v>
      </c>
      <c r="AM609">
        <v>26.107700000000001</v>
      </c>
      <c r="AN609">
        <f>Table817417[[#This Row],[CFNM]]/Table817417[[#This Row],[CAREA]]</f>
        <v>0.31281766790718407</v>
      </c>
    </row>
    <row r="610" spans="1:40" x14ac:dyDescent="0.25">
      <c r="A610">
        <v>2.2668900000000001</v>
      </c>
      <c r="B610">
        <f>(Table110410[[#This Row],[time]]-2)*2</f>
        <v>0.53378000000000014</v>
      </c>
      <c r="C610">
        <v>90.704400000000007</v>
      </c>
      <c r="D610">
        <v>6.6725300000000001</v>
      </c>
      <c r="E610">
        <f>Table110410[[#This Row],[CFNM]]/Table110410[[#This Row],[CAREA]]</f>
        <v>7.356346549891736E-2</v>
      </c>
      <c r="F610">
        <v>2.2668900000000001</v>
      </c>
      <c r="G610">
        <f>(Table211411[[#This Row],[time]]-2)*2</f>
        <v>0.53378000000000014</v>
      </c>
      <c r="H610">
        <v>95.224100000000007</v>
      </c>
      <c r="I610">
        <v>7.7388500000000002</v>
      </c>
      <c r="J610">
        <f>Table211411[[#This Row],[CFNM]]/Table211411[[#This Row],[CAREA]]</f>
        <v>8.1269867607044854E-2</v>
      </c>
      <c r="K610">
        <v>2.2668900000000001</v>
      </c>
      <c r="L610">
        <f>(Table312412[[#This Row],[time]]-2)*2</f>
        <v>0.53378000000000014</v>
      </c>
      <c r="M610">
        <v>87.228399999999993</v>
      </c>
      <c r="N610">
        <v>1.02504</v>
      </c>
      <c r="O610">
        <f>Table312412[[#This Row],[CFNM]]/Table312412[[#This Row],[CAREA]]</f>
        <v>1.17512186398008E-2</v>
      </c>
      <c r="P610">
        <v>2.2668900000000001</v>
      </c>
      <c r="Q610">
        <f>(Table413413[[#This Row],[time]]-2)*2</f>
        <v>0.53378000000000014</v>
      </c>
      <c r="R610">
        <v>88.639799999999994</v>
      </c>
      <c r="S610">
        <v>12.5631</v>
      </c>
      <c r="T610">
        <f>Table413413[[#This Row],[CFNM]]/Table413413[[#This Row],[CAREA]]</f>
        <v>0.141732043619232</v>
      </c>
      <c r="U610">
        <v>2.2668900000000001</v>
      </c>
      <c r="V610">
        <f>(Table514414[[#This Row],[time]]-2)*2</f>
        <v>0.53378000000000014</v>
      </c>
      <c r="W610">
        <v>81.107799999999997</v>
      </c>
      <c r="X610">
        <v>5.0804900000000002</v>
      </c>
      <c r="Y610">
        <f>Table514414[[#This Row],[CFNM]]/Table514414[[#This Row],[CAREA]]</f>
        <v>6.2638735115488287E-2</v>
      </c>
      <c r="Z610">
        <v>2.2668900000000001</v>
      </c>
      <c r="AA610">
        <f>(Table615415[[#This Row],[time]]-2)*2</f>
        <v>0.53378000000000014</v>
      </c>
      <c r="AB610">
        <v>92.507300000000001</v>
      </c>
      <c r="AC610">
        <v>26.792999999999999</v>
      </c>
      <c r="AD610">
        <f>Table615415[[#This Row],[CFNM]]/Table615415[[#This Row],[CAREA]]</f>
        <v>0.28963119667312742</v>
      </c>
      <c r="AE610">
        <v>2.2668900000000001</v>
      </c>
      <c r="AF610">
        <f>(Table716416[[#This Row],[time]]-2)*2</f>
        <v>0.53378000000000014</v>
      </c>
      <c r="AG610">
        <v>77.534700000000001</v>
      </c>
      <c r="AH610">
        <v>17.663799999999998</v>
      </c>
      <c r="AI610">
        <f>Table716416[[#This Row],[CFNM]]/Table716416[[#This Row],[CAREA]]</f>
        <v>0.2278179963293854</v>
      </c>
      <c r="AJ610">
        <v>2.2668900000000001</v>
      </c>
      <c r="AK610">
        <f>(Table817417[[#This Row],[time]]-2)*2</f>
        <v>0.53378000000000014</v>
      </c>
      <c r="AL610">
        <v>82.901600000000002</v>
      </c>
      <c r="AM610">
        <v>28.817399999999999</v>
      </c>
      <c r="AN610">
        <f>Table817417[[#This Row],[CFNM]]/Table817417[[#This Row],[CAREA]]</f>
        <v>0.34760969631466698</v>
      </c>
    </row>
    <row r="611" spans="1:40" x14ac:dyDescent="0.25">
      <c r="A611">
        <v>2.3262700000000001</v>
      </c>
      <c r="B611">
        <f>(Table110410[[#This Row],[time]]-2)*2</f>
        <v>0.65254000000000012</v>
      </c>
      <c r="C611">
        <v>90.590599999999995</v>
      </c>
      <c r="D611">
        <v>6.0405199999999999</v>
      </c>
      <c r="E611">
        <f>Table110410[[#This Row],[CFNM]]/Table110410[[#This Row],[CAREA]]</f>
        <v>6.667932434490996E-2</v>
      </c>
      <c r="F611">
        <v>2.3262700000000001</v>
      </c>
      <c r="G611">
        <f>(Table211411[[#This Row],[time]]-2)*2</f>
        <v>0.65254000000000012</v>
      </c>
      <c r="H611">
        <v>95.290899999999993</v>
      </c>
      <c r="I611">
        <v>8.4129199999999997</v>
      </c>
      <c r="J611">
        <f>Table211411[[#This Row],[CFNM]]/Table211411[[#This Row],[CAREA]]</f>
        <v>8.828670943395435E-2</v>
      </c>
      <c r="K611">
        <v>2.3262700000000001</v>
      </c>
      <c r="L611">
        <f>(Table312412[[#This Row],[time]]-2)*2</f>
        <v>0.65254000000000012</v>
      </c>
      <c r="M611">
        <v>85.816699999999997</v>
      </c>
      <c r="N611">
        <v>0.95150599999999996</v>
      </c>
      <c r="O611">
        <f>Table312412[[#This Row],[CFNM]]/Table312412[[#This Row],[CAREA]]</f>
        <v>1.108765543303343E-2</v>
      </c>
      <c r="P611">
        <v>2.3262700000000001</v>
      </c>
      <c r="Q611">
        <f>(Table413413[[#This Row],[time]]-2)*2</f>
        <v>0.65254000000000012</v>
      </c>
      <c r="R611">
        <v>89.238500000000002</v>
      </c>
      <c r="S611">
        <v>13.7098</v>
      </c>
      <c r="T611">
        <f>Table413413[[#This Row],[CFNM]]/Table413413[[#This Row],[CAREA]]</f>
        <v>0.1536310000728385</v>
      </c>
      <c r="U611">
        <v>2.3262700000000001</v>
      </c>
      <c r="V611">
        <f>(Table514414[[#This Row],[time]]-2)*2</f>
        <v>0.65254000000000012</v>
      </c>
      <c r="W611">
        <v>80.069299999999998</v>
      </c>
      <c r="X611">
        <v>4.7155100000000001</v>
      </c>
      <c r="Y611">
        <f>Table514414[[#This Row],[CFNM]]/Table514414[[#This Row],[CAREA]]</f>
        <v>5.8892859060838548E-2</v>
      </c>
      <c r="Z611">
        <v>2.3262700000000001</v>
      </c>
      <c r="AA611">
        <f>(Table615415[[#This Row],[time]]-2)*2</f>
        <v>0.65254000000000012</v>
      </c>
      <c r="AB611">
        <v>92.549000000000007</v>
      </c>
      <c r="AC611">
        <v>29.294599999999999</v>
      </c>
      <c r="AD611">
        <f>Table615415[[#This Row],[CFNM]]/Table615415[[#This Row],[CAREA]]</f>
        <v>0.31653070265480987</v>
      </c>
      <c r="AE611">
        <v>2.3262700000000001</v>
      </c>
      <c r="AF611">
        <f>(Table716416[[#This Row],[time]]-2)*2</f>
        <v>0.65254000000000012</v>
      </c>
      <c r="AG611">
        <v>77.426500000000004</v>
      </c>
      <c r="AH611">
        <v>17.407900000000001</v>
      </c>
      <c r="AI611">
        <f>Table716416[[#This Row],[CFNM]]/Table716416[[#This Row],[CAREA]]</f>
        <v>0.22483129161204499</v>
      </c>
      <c r="AJ611">
        <v>2.3262700000000001</v>
      </c>
      <c r="AK611">
        <f>(Table817417[[#This Row],[time]]-2)*2</f>
        <v>0.65254000000000012</v>
      </c>
      <c r="AL611">
        <v>82.431100000000001</v>
      </c>
      <c r="AM611">
        <v>31.028400000000001</v>
      </c>
      <c r="AN611">
        <f>Table817417[[#This Row],[CFNM]]/Table817417[[#This Row],[CAREA]]</f>
        <v>0.37641618272715033</v>
      </c>
    </row>
    <row r="612" spans="1:40" x14ac:dyDescent="0.25">
      <c r="A612">
        <v>2.3684599999999998</v>
      </c>
      <c r="B612">
        <f>(Table110410[[#This Row],[time]]-2)*2</f>
        <v>0.73691999999999958</v>
      </c>
      <c r="C612">
        <v>90.372</v>
      </c>
      <c r="D612">
        <v>5.4212199999999999</v>
      </c>
      <c r="E612">
        <f>Table110410[[#This Row],[CFNM]]/Table110410[[#This Row],[CAREA]]</f>
        <v>5.9987828088345949E-2</v>
      </c>
      <c r="F612">
        <v>2.3684599999999998</v>
      </c>
      <c r="G612">
        <f>(Table211411[[#This Row],[time]]-2)*2</f>
        <v>0.73691999999999958</v>
      </c>
      <c r="H612">
        <v>95.328800000000001</v>
      </c>
      <c r="I612">
        <v>9.0353700000000003</v>
      </c>
      <c r="J612">
        <f>Table211411[[#This Row],[CFNM]]/Table211411[[#This Row],[CAREA]]</f>
        <v>9.4781115465630533E-2</v>
      </c>
      <c r="K612">
        <v>2.3684599999999998</v>
      </c>
      <c r="L612">
        <f>(Table312412[[#This Row],[time]]-2)*2</f>
        <v>0.73691999999999958</v>
      </c>
      <c r="M612">
        <v>85.299700000000001</v>
      </c>
      <c r="N612">
        <v>1.1224099999999999</v>
      </c>
      <c r="O612">
        <f>Table312412[[#This Row],[CFNM]]/Table312412[[#This Row],[CAREA]]</f>
        <v>1.3158428458716735E-2</v>
      </c>
      <c r="P612">
        <v>2.3684599999999998</v>
      </c>
      <c r="Q612">
        <f>(Table413413[[#This Row],[time]]-2)*2</f>
        <v>0.73691999999999958</v>
      </c>
      <c r="R612">
        <v>89.956699999999998</v>
      </c>
      <c r="S612">
        <v>14.9941</v>
      </c>
      <c r="T612">
        <f>Table413413[[#This Row],[CFNM]]/Table413413[[#This Row],[CAREA]]</f>
        <v>0.16668130333816158</v>
      </c>
      <c r="U612">
        <v>2.3684599999999998</v>
      </c>
      <c r="V612">
        <f>(Table514414[[#This Row],[time]]-2)*2</f>
        <v>0.73691999999999958</v>
      </c>
      <c r="W612">
        <v>78.356499999999997</v>
      </c>
      <c r="X612">
        <v>4.4271799999999999</v>
      </c>
      <c r="Y612">
        <f>Table514414[[#This Row],[CFNM]]/Table514414[[#This Row],[CAREA]]</f>
        <v>5.6500481772411987E-2</v>
      </c>
      <c r="Z612">
        <v>2.3684599999999998</v>
      </c>
      <c r="AA612">
        <f>(Table615415[[#This Row],[time]]-2)*2</f>
        <v>0.73691999999999958</v>
      </c>
      <c r="AB612">
        <v>92.501300000000001</v>
      </c>
      <c r="AC612">
        <v>31.829799999999999</v>
      </c>
      <c r="AD612">
        <f>Table615415[[#This Row],[CFNM]]/Table615415[[#This Row],[CAREA]]</f>
        <v>0.34410110993034693</v>
      </c>
      <c r="AE612">
        <v>2.3684599999999998</v>
      </c>
      <c r="AF612">
        <f>(Table716416[[#This Row],[time]]-2)*2</f>
        <v>0.73691999999999958</v>
      </c>
      <c r="AG612">
        <v>77.021299999999997</v>
      </c>
      <c r="AH612">
        <v>17.2437</v>
      </c>
      <c r="AI612">
        <f>Table716416[[#This Row],[CFNM]]/Table716416[[#This Row],[CAREA]]</f>
        <v>0.22388222478716929</v>
      </c>
      <c r="AJ612">
        <v>2.3684599999999998</v>
      </c>
      <c r="AK612">
        <f>(Table817417[[#This Row],[time]]-2)*2</f>
        <v>0.73691999999999958</v>
      </c>
      <c r="AL612">
        <v>82.075100000000006</v>
      </c>
      <c r="AM612">
        <v>33.612499999999997</v>
      </c>
      <c r="AN612">
        <f>Table817417[[#This Row],[CFNM]]/Table817417[[#This Row],[CAREA]]</f>
        <v>0.40953346386419259</v>
      </c>
    </row>
    <row r="613" spans="1:40" x14ac:dyDescent="0.25">
      <c r="A613">
        <v>2.4278300000000002</v>
      </c>
      <c r="B613">
        <f>(Table110410[[#This Row],[time]]-2)*2</f>
        <v>0.85566000000000031</v>
      </c>
      <c r="C613">
        <v>89.893500000000003</v>
      </c>
      <c r="D613">
        <v>4.8965399999999999</v>
      </c>
      <c r="E613">
        <f>Table110410[[#This Row],[CFNM]]/Table110410[[#This Row],[CAREA]]</f>
        <v>5.4470456707103404E-2</v>
      </c>
      <c r="F613">
        <v>2.4278300000000002</v>
      </c>
      <c r="G613">
        <f>(Table211411[[#This Row],[time]]-2)*2</f>
        <v>0.85566000000000031</v>
      </c>
      <c r="H613">
        <v>95.436899999999994</v>
      </c>
      <c r="I613">
        <v>9.6296900000000001</v>
      </c>
      <c r="J613">
        <f>Table211411[[#This Row],[CFNM]]/Table211411[[#This Row],[CAREA]]</f>
        <v>0.10090111895922857</v>
      </c>
      <c r="K613">
        <v>2.4278300000000002</v>
      </c>
      <c r="L613">
        <f>(Table312412[[#This Row],[time]]-2)*2</f>
        <v>0.85566000000000031</v>
      </c>
      <c r="M613">
        <v>84.511499999999998</v>
      </c>
      <c r="N613">
        <v>1.4065099999999999</v>
      </c>
      <c r="O613">
        <f>Table312412[[#This Row],[CFNM]]/Table312412[[#This Row],[CAREA]]</f>
        <v>1.6642823757713445E-2</v>
      </c>
      <c r="P613">
        <v>2.4278300000000002</v>
      </c>
      <c r="Q613">
        <f>(Table413413[[#This Row],[time]]-2)*2</f>
        <v>0.85566000000000031</v>
      </c>
      <c r="R613">
        <v>90.452500000000001</v>
      </c>
      <c r="S613">
        <v>16.645</v>
      </c>
      <c r="T613">
        <f>Table413413[[#This Row],[CFNM]]/Table413413[[#This Row],[CAREA]]</f>
        <v>0.18401923661590336</v>
      </c>
      <c r="U613">
        <v>2.4278300000000002</v>
      </c>
      <c r="V613">
        <f>(Table514414[[#This Row],[time]]-2)*2</f>
        <v>0.85566000000000031</v>
      </c>
      <c r="W613">
        <v>76.5745</v>
      </c>
      <c r="X613">
        <v>4.3105200000000004</v>
      </c>
      <c r="Y613">
        <f>Table514414[[#This Row],[CFNM]]/Table514414[[#This Row],[CAREA]]</f>
        <v>5.6291846502425746E-2</v>
      </c>
      <c r="Z613">
        <v>2.4278300000000002</v>
      </c>
      <c r="AA613">
        <f>(Table615415[[#This Row],[time]]-2)*2</f>
        <v>0.85566000000000031</v>
      </c>
      <c r="AB613">
        <v>93.664299999999997</v>
      </c>
      <c r="AC613">
        <v>34.685899999999997</v>
      </c>
      <c r="AD613">
        <f>Table615415[[#This Row],[CFNM]]/Table615415[[#This Row],[CAREA]]</f>
        <v>0.37032145652078752</v>
      </c>
      <c r="AE613">
        <v>2.4278300000000002</v>
      </c>
      <c r="AF613">
        <f>(Table716416[[#This Row],[time]]-2)*2</f>
        <v>0.85566000000000031</v>
      </c>
      <c r="AG613">
        <v>76.578800000000001</v>
      </c>
      <c r="AH613">
        <v>17.049499999999998</v>
      </c>
      <c r="AI613">
        <f>Table716416[[#This Row],[CFNM]]/Table716416[[#This Row],[CAREA]]</f>
        <v>0.22263994734835227</v>
      </c>
      <c r="AJ613">
        <v>2.4278300000000002</v>
      </c>
      <c r="AK613">
        <f>(Table817417[[#This Row],[time]]-2)*2</f>
        <v>0.85566000000000031</v>
      </c>
      <c r="AL613">
        <v>81.548000000000002</v>
      </c>
      <c r="AM613">
        <v>36.805900000000001</v>
      </c>
      <c r="AN613">
        <f>Table817417[[#This Row],[CFNM]]/Table817417[[#This Row],[CAREA]]</f>
        <v>0.45134031490655813</v>
      </c>
    </row>
    <row r="614" spans="1:40" x14ac:dyDescent="0.25">
      <c r="A614">
        <v>2.4542000000000002</v>
      </c>
      <c r="B614">
        <f>(Table110410[[#This Row],[time]]-2)*2</f>
        <v>0.90840000000000032</v>
      </c>
      <c r="C614">
        <v>89.514300000000006</v>
      </c>
      <c r="D614">
        <v>4.76905</v>
      </c>
      <c r="E614">
        <f>Table110410[[#This Row],[CFNM]]/Table110410[[#This Row],[CAREA]]</f>
        <v>5.3276962451809372E-2</v>
      </c>
      <c r="F614">
        <v>2.4542000000000002</v>
      </c>
      <c r="G614">
        <f>(Table211411[[#This Row],[time]]-2)*2</f>
        <v>0.90840000000000032</v>
      </c>
      <c r="H614">
        <v>95.578400000000002</v>
      </c>
      <c r="I614">
        <v>10.094200000000001</v>
      </c>
      <c r="J614">
        <f>Table211411[[#This Row],[CFNM]]/Table211411[[#This Row],[CAREA]]</f>
        <v>0.10561172817289262</v>
      </c>
      <c r="K614">
        <v>2.4542000000000002</v>
      </c>
      <c r="L614">
        <f>(Table312412[[#This Row],[time]]-2)*2</f>
        <v>0.90840000000000032</v>
      </c>
      <c r="M614">
        <v>83.933300000000003</v>
      </c>
      <c r="N614">
        <v>1.6547499999999999</v>
      </c>
      <c r="O614">
        <f>Table312412[[#This Row],[CFNM]]/Table312412[[#This Row],[CAREA]]</f>
        <v>1.971505945792671E-2</v>
      </c>
      <c r="P614">
        <v>2.4542000000000002</v>
      </c>
      <c r="Q614">
        <f>(Table413413[[#This Row],[time]]-2)*2</f>
        <v>0.90840000000000032</v>
      </c>
      <c r="R614">
        <v>90.677000000000007</v>
      </c>
      <c r="S614">
        <v>18.162199999999999</v>
      </c>
      <c r="T614">
        <f>Table413413[[#This Row],[CFNM]]/Table413413[[#This Row],[CAREA]]</f>
        <v>0.20029555455076808</v>
      </c>
      <c r="U614">
        <v>2.4542000000000002</v>
      </c>
      <c r="V614">
        <f>(Table514414[[#This Row],[time]]-2)*2</f>
        <v>0.90840000000000032</v>
      </c>
      <c r="W614">
        <v>74.259799999999998</v>
      </c>
      <c r="X614">
        <v>4.3465499999999997</v>
      </c>
      <c r="Y614">
        <f>Table514414[[#This Row],[CFNM]]/Table514414[[#This Row],[CAREA]]</f>
        <v>5.8531668547450975E-2</v>
      </c>
      <c r="Z614">
        <v>2.4542000000000002</v>
      </c>
      <c r="AA614">
        <f>(Table615415[[#This Row],[time]]-2)*2</f>
        <v>0.90840000000000032</v>
      </c>
      <c r="AB614">
        <v>94.517200000000003</v>
      </c>
      <c r="AC614">
        <v>37.067900000000002</v>
      </c>
      <c r="AD614">
        <f>Table615415[[#This Row],[CFNM]]/Table615415[[#This Row],[CAREA]]</f>
        <v>0.39218152886458763</v>
      </c>
      <c r="AE614">
        <v>2.4542000000000002</v>
      </c>
      <c r="AF614">
        <f>(Table716416[[#This Row],[time]]-2)*2</f>
        <v>0.90840000000000032</v>
      </c>
      <c r="AG614">
        <v>76.420500000000004</v>
      </c>
      <c r="AH614">
        <v>16.883800000000001</v>
      </c>
      <c r="AI614">
        <f>Table716416[[#This Row],[CFNM]]/Table716416[[#This Row],[CAREA]]</f>
        <v>0.22093286487264543</v>
      </c>
      <c r="AJ614">
        <v>2.4542000000000002</v>
      </c>
      <c r="AK614">
        <f>(Table817417[[#This Row],[time]]-2)*2</f>
        <v>0.90840000000000032</v>
      </c>
      <c r="AL614">
        <v>81.0261</v>
      </c>
      <c r="AM614">
        <v>39.653100000000002</v>
      </c>
      <c r="AN614">
        <f>Table817417[[#This Row],[CFNM]]/Table817417[[#This Row],[CAREA]]</f>
        <v>0.489386753157316</v>
      </c>
    </row>
    <row r="615" spans="1:40" x14ac:dyDescent="0.25">
      <c r="A615">
        <v>2.5061499999999999</v>
      </c>
      <c r="B615">
        <f>(Table110410[[#This Row],[time]]-2)*2</f>
        <v>1.0122999999999998</v>
      </c>
      <c r="C615">
        <v>89.058099999999996</v>
      </c>
      <c r="D615">
        <v>4.7338800000000001</v>
      </c>
      <c r="E615">
        <f>Table110410[[#This Row],[CFNM]]/Table110410[[#This Row],[CAREA]]</f>
        <v>5.3154962883780368E-2</v>
      </c>
      <c r="F615">
        <v>2.5061499999999999</v>
      </c>
      <c r="G615">
        <f>(Table211411[[#This Row],[time]]-2)*2</f>
        <v>1.0122999999999998</v>
      </c>
      <c r="H615">
        <v>96.145099999999999</v>
      </c>
      <c r="I615">
        <v>10.682399999999999</v>
      </c>
      <c r="J615">
        <f>Table211411[[#This Row],[CFNM]]/Table211411[[#This Row],[CAREA]]</f>
        <v>0.11110706629875053</v>
      </c>
      <c r="K615">
        <v>2.5061499999999999</v>
      </c>
      <c r="L615">
        <f>(Table312412[[#This Row],[time]]-2)*2</f>
        <v>1.0122999999999998</v>
      </c>
      <c r="M615">
        <v>83.489400000000003</v>
      </c>
      <c r="N615">
        <v>1.8409199999999999</v>
      </c>
      <c r="O615">
        <f>Table312412[[#This Row],[CFNM]]/Table312412[[#This Row],[CAREA]]</f>
        <v>2.204974523711992E-2</v>
      </c>
      <c r="P615">
        <v>2.5061499999999999</v>
      </c>
      <c r="Q615">
        <f>(Table413413[[#This Row],[time]]-2)*2</f>
        <v>1.0122999999999998</v>
      </c>
      <c r="R615">
        <v>90.777900000000002</v>
      </c>
      <c r="S615">
        <v>19.840599999999998</v>
      </c>
      <c r="T615">
        <f>Table413413[[#This Row],[CFNM]]/Table413413[[#This Row],[CAREA]]</f>
        <v>0.21856200683205931</v>
      </c>
      <c r="U615">
        <v>2.5061499999999999</v>
      </c>
      <c r="V615">
        <f>(Table514414[[#This Row],[time]]-2)*2</f>
        <v>1.0122999999999998</v>
      </c>
      <c r="W615">
        <v>73.414699999999996</v>
      </c>
      <c r="X615">
        <v>4.2926099999999998</v>
      </c>
      <c r="Y615">
        <f>Table514414[[#This Row],[CFNM]]/Table514414[[#This Row],[CAREA]]</f>
        <v>5.8470714993046354E-2</v>
      </c>
      <c r="Z615">
        <v>2.5061499999999999</v>
      </c>
      <c r="AA615">
        <f>(Table615415[[#This Row],[time]]-2)*2</f>
        <v>1.0122999999999998</v>
      </c>
      <c r="AB615">
        <v>94.663899999999998</v>
      </c>
      <c r="AC615">
        <v>39.6402</v>
      </c>
      <c r="AD615">
        <f>Table615415[[#This Row],[CFNM]]/Table615415[[#This Row],[CAREA]]</f>
        <v>0.41874674506332404</v>
      </c>
      <c r="AE615">
        <v>2.5061499999999999</v>
      </c>
      <c r="AF615">
        <f>(Table716416[[#This Row],[time]]-2)*2</f>
        <v>1.0122999999999998</v>
      </c>
      <c r="AG615">
        <v>76.321200000000005</v>
      </c>
      <c r="AH615">
        <v>16.613600000000002</v>
      </c>
      <c r="AI615">
        <f>Table716416[[#This Row],[CFNM]]/Table716416[[#This Row],[CAREA]]</f>
        <v>0.21768001551338292</v>
      </c>
      <c r="AJ615">
        <v>2.5061499999999999</v>
      </c>
      <c r="AK615">
        <f>(Table817417[[#This Row],[time]]-2)*2</f>
        <v>1.0122999999999998</v>
      </c>
      <c r="AL615">
        <v>80.494799999999998</v>
      </c>
      <c r="AM615">
        <v>42.6387</v>
      </c>
      <c r="AN615">
        <f>Table817417[[#This Row],[CFNM]]/Table817417[[#This Row],[CAREA]]</f>
        <v>0.52970750905648567</v>
      </c>
    </row>
    <row r="616" spans="1:40" x14ac:dyDescent="0.25">
      <c r="A616">
        <v>2.5507599999999999</v>
      </c>
      <c r="B616">
        <f>(Table110410[[#This Row],[time]]-2)*2</f>
        <v>1.1015199999999998</v>
      </c>
      <c r="C616">
        <v>88.204300000000003</v>
      </c>
      <c r="D616">
        <v>4.8253899999999996</v>
      </c>
      <c r="E616">
        <f>Table110410[[#This Row],[CFNM]]/Table110410[[#This Row],[CAREA]]</f>
        <v>5.4706970068352671E-2</v>
      </c>
      <c r="F616">
        <v>2.5507599999999999</v>
      </c>
      <c r="G616">
        <f>(Table211411[[#This Row],[time]]-2)*2</f>
        <v>1.1015199999999998</v>
      </c>
      <c r="H616">
        <v>96.952600000000004</v>
      </c>
      <c r="I616">
        <v>11.793200000000001</v>
      </c>
      <c r="J616">
        <f>Table211411[[#This Row],[CFNM]]/Table211411[[#This Row],[CAREA]]</f>
        <v>0.12163882144470597</v>
      </c>
      <c r="K616">
        <v>2.5507599999999999</v>
      </c>
      <c r="L616">
        <f>(Table312412[[#This Row],[time]]-2)*2</f>
        <v>1.1015199999999998</v>
      </c>
      <c r="M616">
        <v>81.839100000000002</v>
      </c>
      <c r="N616">
        <v>2.2002100000000002</v>
      </c>
      <c r="O616">
        <f>Table312412[[#This Row],[CFNM]]/Table312412[[#This Row],[CAREA]]</f>
        <v>2.688458206407451E-2</v>
      </c>
      <c r="P616">
        <v>2.5507599999999999</v>
      </c>
      <c r="Q616">
        <f>(Table413413[[#This Row],[time]]-2)*2</f>
        <v>1.1015199999999998</v>
      </c>
      <c r="R616">
        <v>90.727999999999994</v>
      </c>
      <c r="S616">
        <v>22.5107</v>
      </c>
      <c r="T616">
        <f>Table413413[[#This Row],[CFNM]]/Table413413[[#This Row],[CAREA]]</f>
        <v>0.24811193898245307</v>
      </c>
      <c r="U616">
        <v>2.5507599999999999</v>
      </c>
      <c r="V616">
        <f>(Table514414[[#This Row],[time]]-2)*2</f>
        <v>1.1015199999999998</v>
      </c>
      <c r="W616">
        <v>71.470799999999997</v>
      </c>
      <c r="X616">
        <v>4.0492699999999999</v>
      </c>
      <c r="Y616">
        <f>Table514414[[#This Row],[CFNM]]/Table514414[[#This Row],[CAREA]]</f>
        <v>5.6656284804423626E-2</v>
      </c>
      <c r="Z616">
        <v>2.5507599999999999</v>
      </c>
      <c r="AA616">
        <f>(Table615415[[#This Row],[time]]-2)*2</f>
        <v>1.1015199999999998</v>
      </c>
      <c r="AB616">
        <v>94.344300000000004</v>
      </c>
      <c r="AC616">
        <v>43.536299999999997</v>
      </c>
      <c r="AD616">
        <f>Table615415[[#This Row],[CFNM]]/Table615415[[#This Row],[CAREA]]</f>
        <v>0.46146190071896231</v>
      </c>
      <c r="AE616">
        <v>2.5507599999999999</v>
      </c>
      <c r="AF616">
        <f>(Table716416[[#This Row],[time]]-2)*2</f>
        <v>1.1015199999999998</v>
      </c>
      <c r="AG616">
        <v>75.4375</v>
      </c>
      <c r="AH616">
        <v>16.230399999999999</v>
      </c>
      <c r="AI616">
        <f>Table716416[[#This Row],[CFNM]]/Table716416[[#This Row],[CAREA]]</f>
        <v>0.21515028997514499</v>
      </c>
      <c r="AJ616">
        <v>2.5507599999999999</v>
      </c>
      <c r="AK616">
        <f>(Table817417[[#This Row],[time]]-2)*2</f>
        <v>1.1015199999999998</v>
      </c>
      <c r="AL616">
        <v>79.875200000000007</v>
      </c>
      <c r="AM616">
        <v>47.180500000000002</v>
      </c>
      <c r="AN616">
        <f>Table817417[[#This Row],[CFNM]]/Table817417[[#This Row],[CAREA]]</f>
        <v>0.59067770722326829</v>
      </c>
    </row>
    <row r="617" spans="1:40" x14ac:dyDescent="0.25">
      <c r="A617">
        <v>2.60453</v>
      </c>
      <c r="B617">
        <f>(Table110410[[#This Row],[time]]-2)*2</f>
        <v>1.20906</v>
      </c>
      <c r="C617">
        <v>87.908600000000007</v>
      </c>
      <c r="D617">
        <v>4.8715400000000004</v>
      </c>
      <c r="E617">
        <f>Table110410[[#This Row],[CFNM]]/Table110410[[#This Row],[CAREA]]</f>
        <v>5.5415966128456146E-2</v>
      </c>
      <c r="F617">
        <v>2.60453</v>
      </c>
      <c r="G617">
        <f>(Table211411[[#This Row],[time]]-2)*2</f>
        <v>1.20906</v>
      </c>
      <c r="H617">
        <v>97.056700000000006</v>
      </c>
      <c r="I617">
        <v>12.4819</v>
      </c>
      <c r="J617">
        <f>Table211411[[#This Row],[CFNM]]/Table211411[[#This Row],[CAREA]]</f>
        <v>0.12860420764357328</v>
      </c>
      <c r="K617">
        <v>2.60453</v>
      </c>
      <c r="L617">
        <f>(Table312412[[#This Row],[time]]-2)*2</f>
        <v>1.20906</v>
      </c>
      <c r="M617">
        <v>81.789900000000003</v>
      </c>
      <c r="N617">
        <v>2.3407</v>
      </c>
      <c r="O617">
        <f>Table312412[[#This Row],[CFNM]]/Table312412[[#This Row],[CAREA]]</f>
        <v>2.861844799908057E-2</v>
      </c>
      <c r="P617">
        <v>2.60453</v>
      </c>
      <c r="Q617">
        <f>(Table413413[[#This Row],[time]]-2)*2</f>
        <v>1.20906</v>
      </c>
      <c r="R617">
        <v>90.651700000000005</v>
      </c>
      <c r="S617">
        <v>23.6585</v>
      </c>
      <c r="T617">
        <f>Table413413[[#This Row],[CFNM]]/Table413413[[#This Row],[CAREA]]</f>
        <v>0.26098241952439943</v>
      </c>
      <c r="U617">
        <v>2.60453</v>
      </c>
      <c r="V617">
        <f>(Table514414[[#This Row],[time]]-2)*2</f>
        <v>1.20906</v>
      </c>
      <c r="W617">
        <v>71.186300000000003</v>
      </c>
      <c r="X617">
        <v>3.91011</v>
      </c>
      <c r="Y617">
        <f>Table514414[[#This Row],[CFNM]]/Table514414[[#This Row],[CAREA]]</f>
        <v>5.4927844262168422E-2</v>
      </c>
      <c r="Z617">
        <v>2.60453</v>
      </c>
      <c r="AA617">
        <f>(Table615415[[#This Row],[time]]-2)*2</f>
        <v>1.20906</v>
      </c>
      <c r="AB617">
        <v>94.1922</v>
      </c>
      <c r="AC617">
        <v>45.3444</v>
      </c>
      <c r="AD617">
        <f>Table615415[[#This Row],[CFNM]]/Table615415[[#This Row],[CAREA]]</f>
        <v>0.48140291871301444</v>
      </c>
      <c r="AE617">
        <v>2.60453</v>
      </c>
      <c r="AF617">
        <f>(Table716416[[#This Row],[time]]-2)*2</f>
        <v>1.20906</v>
      </c>
      <c r="AG617">
        <v>75.369</v>
      </c>
      <c r="AH617">
        <v>16.029</v>
      </c>
      <c r="AI617">
        <f>Table716416[[#This Row],[CFNM]]/Table716416[[#This Row],[CAREA]]</f>
        <v>0.21267364566333638</v>
      </c>
      <c r="AJ617">
        <v>2.60453</v>
      </c>
      <c r="AK617">
        <f>(Table817417[[#This Row],[time]]-2)*2</f>
        <v>1.20906</v>
      </c>
      <c r="AL617">
        <v>79.546000000000006</v>
      </c>
      <c r="AM617">
        <v>49.203499999999998</v>
      </c>
      <c r="AN617">
        <f>Table817417[[#This Row],[CFNM]]/Table817417[[#This Row],[CAREA]]</f>
        <v>0.6185540442008397</v>
      </c>
    </row>
    <row r="618" spans="1:40" x14ac:dyDescent="0.25">
      <c r="A618">
        <v>2.65273</v>
      </c>
      <c r="B618">
        <f>(Table110410[[#This Row],[time]]-2)*2</f>
        <v>1.3054600000000001</v>
      </c>
      <c r="C618">
        <v>87.300700000000006</v>
      </c>
      <c r="D618">
        <v>4.9692400000000001</v>
      </c>
      <c r="E618">
        <f>Table110410[[#This Row],[CFNM]]/Table110410[[#This Row],[CAREA]]</f>
        <v>5.6920963978524794E-2</v>
      </c>
      <c r="F618">
        <v>2.65273</v>
      </c>
      <c r="G618">
        <f>(Table211411[[#This Row],[time]]-2)*2</f>
        <v>1.3054600000000001</v>
      </c>
      <c r="H618">
        <v>97.180099999999996</v>
      </c>
      <c r="I618">
        <v>13.686</v>
      </c>
      <c r="J618">
        <f>Table211411[[#This Row],[CFNM]]/Table211411[[#This Row],[CAREA]]</f>
        <v>0.14083130188176388</v>
      </c>
      <c r="K618">
        <v>2.65273</v>
      </c>
      <c r="L618">
        <f>(Table312412[[#This Row],[time]]-2)*2</f>
        <v>1.3054600000000001</v>
      </c>
      <c r="M618">
        <v>81.721999999999994</v>
      </c>
      <c r="N618">
        <v>2.56325</v>
      </c>
      <c r="O618">
        <f>Table312412[[#This Row],[CFNM]]/Table312412[[#This Row],[CAREA]]</f>
        <v>3.1365482978879616E-2</v>
      </c>
      <c r="P618">
        <v>2.65273</v>
      </c>
      <c r="Q618">
        <f>(Table413413[[#This Row],[time]]-2)*2</f>
        <v>1.3054600000000001</v>
      </c>
      <c r="R618">
        <v>90.292100000000005</v>
      </c>
      <c r="S618">
        <v>25.538900000000002</v>
      </c>
      <c r="T618">
        <f>Table413413[[#This Row],[CFNM]]/Table413413[[#This Row],[CAREA]]</f>
        <v>0.28284755809201467</v>
      </c>
      <c r="U618">
        <v>2.65273</v>
      </c>
      <c r="V618">
        <f>(Table514414[[#This Row],[time]]-2)*2</f>
        <v>1.3054600000000001</v>
      </c>
      <c r="W618">
        <v>69.562399999999997</v>
      </c>
      <c r="X618">
        <v>3.6716199999999999</v>
      </c>
      <c r="Y618">
        <f>Table514414[[#This Row],[CFNM]]/Table514414[[#This Row],[CAREA]]</f>
        <v>5.2781675157843891E-2</v>
      </c>
      <c r="Z618">
        <v>2.65273</v>
      </c>
      <c r="AA618">
        <f>(Table615415[[#This Row],[time]]-2)*2</f>
        <v>1.3054600000000001</v>
      </c>
      <c r="AB618">
        <v>94.4529</v>
      </c>
      <c r="AC618">
        <v>48.234999999999999</v>
      </c>
      <c r="AD618">
        <f>Table615415[[#This Row],[CFNM]]/Table615415[[#This Row],[CAREA]]</f>
        <v>0.51067780872794799</v>
      </c>
      <c r="AE618">
        <v>2.65273</v>
      </c>
      <c r="AF618">
        <f>(Table716416[[#This Row],[time]]-2)*2</f>
        <v>1.3054600000000001</v>
      </c>
      <c r="AG618">
        <v>75.137900000000002</v>
      </c>
      <c r="AH618">
        <v>15.655900000000001</v>
      </c>
      <c r="AI618">
        <f>Table716416[[#This Row],[CFNM]]/Table716416[[#This Row],[CAREA]]</f>
        <v>0.20836222465626536</v>
      </c>
      <c r="AJ618">
        <v>2.65273</v>
      </c>
      <c r="AK618">
        <f>(Table817417[[#This Row],[time]]-2)*2</f>
        <v>1.3054600000000001</v>
      </c>
      <c r="AL618">
        <v>78.979299999999995</v>
      </c>
      <c r="AM618">
        <v>52.4206</v>
      </c>
      <c r="AN618">
        <f>Table817417[[#This Row],[CFNM]]/Table817417[[#This Row],[CAREA]]</f>
        <v>0.66372581170002776</v>
      </c>
    </row>
    <row r="619" spans="1:40" x14ac:dyDescent="0.25">
      <c r="A619">
        <v>2.7006199999999998</v>
      </c>
      <c r="B619">
        <f>(Table110410[[#This Row],[time]]-2)*2</f>
        <v>1.4012399999999996</v>
      </c>
      <c r="C619">
        <v>85.696600000000004</v>
      </c>
      <c r="D619">
        <v>5.0726000000000004</v>
      </c>
      <c r="E619">
        <f>Table110410[[#This Row],[CFNM]]/Table110410[[#This Row],[CAREA]]</f>
        <v>5.919254672880838E-2</v>
      </c>
      <c r="F619">
        <v>2.7006199999999998</v>
      </c>
      <c r="G619">
        <f>(Table211411[[#This Row],[time]]-2)*2</f>
        <v>1.4012399999999996</v>
      </c>
      <c r="H619">
        <v>97.865499999999997</v>
      </c>
      <c r="I619">
        <v>15.033300000000001</v>
      </c>
      <c r="J619">
        <f>Table211411[[#This Row],[CFNM]]/Table211411[[#This Row],[CAREA]]</f>
        <v>0.15361184482785048</v>
      </c>
      <c r="K619">
        <v>2.7006199999999998</v>
      </c>
      <c r="L619">
        <f>(Table312412[[#This Row],[time]]-2)*2</f>
        <v>1.4012399999999996</v>
      </c>
      <c r="M619">
        <v>81.078800000000001</v>
      </c>
      <c r="N619">
        <v>2.74214</v>
      </c>
      <c r="O619">
        <f>Table312412[[#This Row],[CFNM]]/Table312412[[#This Row],[CAREA]]</f>
        <v>3.3820678155078762E-2</v>
      </c>
      <c r="P619">
        <v>2.7006199999999998</v>
      </c>
      <c r="Q619">
        <f>(Table413413[[#This Row],[time]]-2)*2</f>
        <v>1.4012399999999996</v>
      </c>
      <c r="R619">
        <v>90.253</v>
      </c>
      <c r="S619">
        <v>27.469200000000001</v>
      </c>
      <c r="T619">
        <f>Table413413[[#This Row],[CFNM]]/Table413413[[#This Row],[CAREA]]</f>
        <v>0.30435774988089037</v>
      </c>
      <c r="U619">
        <v>2.7006199999999998</v>
      </c>
      <c r="V619">
        <f>(Table514414[[#This Row],[time]]-2)*2</f>
        <v>1.4012399999999996</v>
      </c>
      <c r="W619">
        <v>68.539599999999993</v>
      </c>
      <c r="X619">
        <v>3.3979699999999999</v>
      </c>
      <c r="Y619">
        <f>Table514414[[#This Row],[CFNM]]/Table514414[[#This Row],[CAREA]]</f>
        <v>4.9576741037298151E-2</v>
      </c>
      <c r="Z619">
        <v>2.7006199999999998</v>
      </c>
      <c r="AA619">
        <f>(Table615415[[#This Row],[time]]-2)*2</f>
        <v>1.4012399999999996</v>
      </c>
      <c r="AB619">
        <v>94.130200000000002</v>
      </c>
      <c r="AC619">
        <v>51.090400000000002</v>
      </c>
      <c r="AD619">
        <f>Table615415[[#This Row],[CFNM]]/Table615415[[#This Row],[CAREA]]</f>
        <v>0.54276310897034108</v>
      </c>
      <c r="AE619">
        <v>2.7006199999999998</v>
      </c>
      <c r="AF619">
        <f>(Table716416[[#This Row],[time]]-2)*2</f>
        <v>1.4012399999999996</v>
      </c>
      <c r="AG619">
        <v>74.296800000000005</v>
      </c>
      <c r="AH619">
        <v>15.239100000000001</v>
      </c>
      <c r="AI619">
        <f>Table716416[[#This Row],[CFNM]]/Table716416[[#This Row],[CAREA]]</f>
        <v>0.20511112187873501</v>
      </c>
      <c r="AJ619">
        <v>2.7006199999999998</v>
      </c>
      <c r="AK619">
        <f>(Table817417[[#This Row],[time]]-2)*2</f>
        <v>1.4012399999999996</v>
      </c>
      <c r="AL619">
        <v>78.550200000000004</v>
      </c>
      <c r="AM619">
        <v>55.627800000000001</v>
      </c>
      <c r="AN619">
        <f>Table817417[[#This Row],[CFNM]]/Table817417[[#This Row],[CAREA]]</f>
        <v>0.70818151958874709</v>
      </c>
    </row>
    <row r="620" spans="1:40" x14ac:dyDescent="0.25">
      <c r="A620">
        <v>2.75176</v>
      </c>
      <c r="B620">
        <f>(Table110410[[#This Row],[time]]-2)*2</f>
        <v>1.50352</v>
      </c>
      <c r="C620">
        <v>84.902500000000003</v>
      </c>
      <c r="D620">
        <v>5.2015599999999997</v>
      </c>
      <c r="E620">
        <f>Table110410[[#This Row],[CFNM]]/Table110410[[#This Row],[CAREA]]</f>
        <v>6.1265098200877471E-2</v>
      </c>
      <c r="F620">
        <v>2.75176</v>
      </c>
      <c r="G620">
        <f>(Table211411[[#This Row],[time]]-2)*2</f>
        <v>1.50352</v>
      </c>
      <c r="H620">
        <v>98.694000000000003</v>
      </c>
      <c r="I620">
        <v>16.777200000000001</v>
      </c>
      <c r="J620">
        <f>Table211411[[#This Row],[CFNM]]/Table211411[[#This Row],[CAREA]]</f>
        <v>0.16999209678399904</v>
      </c>
      <c r="K620">
        <v>2.75176</v>
      </c>
      <c r="L620">
        <f>(Table312412[[#This Row],[time]]-2)*2</f>
        <v>1.50352</v>
      </c>
      <c r="M620">
        <v>79.521900000000002</v>
      </c>
      <c r="N620">
        <v>2.9005700000000001</v>
      </c>
      <c r="O620">
        <f>Table312412[[#This Row],[CFNM]]/Table312412[[#This Row],[CAREA]]</f>
        <v>3.6475109372386724E-2</v>
      </c>
      <c r="P620">
        <v>2.75176</v>
      </c>
      <c r="Q620">
        <f>(Table413413[[#This Row],[time]]-2)*2</f>
        <v>1.50352</v>
      </c>
      <c r="R620">
        <v>89.947699999999998</v>
      </c>
      <c r="S620">
        <v>29.839300000000001</v>
      </c>
      <c r="T620">
        <f>Table413413[[#This Row],[CFNM]]/Table413413[[#This Row],[CAREA]]</f>
        <v>0.33174055590081797</v>
      </c>
      <c r="U620">
        <v>2.75176</v>
      </c>
      <c r="V620">
        <f>(Table514414[[#This Row],[time]]-2)*2</f>
        <v>1.50352</v>
      </c>
      <c r="W620">
        <v>67.928600000000003</v>
      </c>
      <c r="X620">
        <v>2.9947699999999999</v>
      </c>
      <c r="Y620">
        <f>Table514414[[#This Row],[CFNM]]/Table514414[[#This Row],[CAREA]]</f>
        <v>4.4087026672123372E-2</v>
      </c>
      <c r="Z620">
        <v>2.75176</v>
      </c>
      <c r="AA620">
        <f>(Table615415[[#This Row],[time]]-2)*2</f>
        <v>1.50352</v>
      </c>
      <c r="AB620">
        <v>94.148200000000003</v>
      </c>
      <c r="AC620">
        <v>54.429400000000001</v>
      </c>
      <c r="AD620">
        <f>Table615415[[#This Row],[CFNM]]/Table615415[[#This Row],[CAREA]]</f>
        <v>0.57812470126885063</v>
      </c>
      <c r="AE620">
        <v>2.75176</v>
      </c>
      <c r="AF620">
        <f>(Table716416[[#This Row],[time]]-2)*2</f>
        <v>1.50352</v>
      </c>
      <c r="AG620">
        <v>73.532799999999995</v>
      </c>
      <c r="AH620">
        <v>14.654500000000001</v>
      </c>
      <c r="AI620">
        <f>Table716416[[#This Row],[CFNM]]/Table716416[[#This Row],[CAREA]]</f>
        <v>0.199292016623874</v>
      </c>
      <c r="AJ620">
        <v>2.75176</v>
      </c>
      <c r="AK620">
        <f>(Table817417[[#This Row],[time]]-2)*2</f>
        <v>1.50352</v>
      </c>
      <c r="AL620">
        <v>77.608599999999996</v>
      </c>
      <c r="AM620">
        <v>59.308500000000002</v>
      </c>
      <c r="AN620">
        <f>Table817417[[#This Row],[CFNM]]/Table817417[[#This Row],[CAREA]]</f>
        <v>0.76420010153513918</v>
      </c>
    </row>
    <row r="621" spans="1:40" x14ac:dyDescent="0.25">
      <c r="A621">
        <v>2.80444</v>
      </c>
      <c r="B621">
        <f>(Table110410[[#This Row],[time]]-2)*2</f>
        <v>1.6088800000000001</v>
      </c>
      <c r="C621">
        <v>84.0976</v>
      </c>
      <c r="D621">
        <v>5.3783200000000004</v>
      </c>
      <c r="E621">
        <f>Table110410[[#This Row],[CFNM]]/Table110410[[#This Row],[CAREA]]</f>
        <v>6.3953311390574766E-2</v>
      </c>
      <c r="F621">
        <v>2.80444</v>
      </c>
      <c r="G621">
        <f>(Table211411[[#This Row],[time]]-2)*2</f>
        <v>1.6088800000000001</v>
      </c>
      <c r="H621">
        <v>99.2209</v>
      </c>
      <c r="I621">
        <v>18.2149</v>
      </c>
      <c r="J621">
        <f>Table211411[[#This Row],[CFNM]]/Table211411[[#This Row],[CAREA]]</f>
        <v>0.18357926606188818</v>
      </c>
      <c r="K621">
        <v>2.80444</v>
      </c>
      <c r="L621">
        <f>(Table312412[[#This Row],[time]]-2)*2</f>
        <v>1.6088800000000001</v>
      </c>
      <c r="M621">
        <v>79.476299999999995</v>
      </c>
      <c r="N621">
        <v>2.8675299999999999</v>
      </c>
      <c r="O621">
        <f>Table312412[[#This Row],[CFNM]]/Table312412[[#This Row],[CAREA]]</f>
        <v>3.6080315767090317E-2</v>
      </c>
      <c r="P621">
        <v>2.80444</v>
      </c>
      <c r="Q621">
        <f>(Table413413[[#This Row],[time]]-2)*2</f>
        <v>1.6088800000000001</v>
      </c>
      <c r="R621">
        <v>89.837900000000005</v>
      </c>
      <c r="S621">
        <v>32.025500000000001</v>
      </c>
      <c r="T621">
        <f>Table413413[[#This Row],[CFNM]]/Table413413[[#This Row],[CAREA]]</f>
        <v>0.35648095069007624</v>
      </c>
      <c r="U621">
        <v>2.80444</v>
      </c>
      <c r="V621">
        <f>(Table514414[[#This Row],[time]]-2)*2</f>
        <v>1.6088800000000001</v>
      </c>
      <c r="W621">
        <v>67.191100000000006</v>
      </c>
      <c r="X621">
        <v>2.6450999999999998</v>
      </c>
      <c r="Y621">
        <f>Table514414[[#This Row],[CFNM]]/Table514414[[#This Row],[CAREA]]</f>
        <v>3.9366820903363686E-2</v>
      </c>
      <c r="Z621">
        <v>2.80444</v>
      </c>
      <c r="AA621">
        <f>(Table615415[[#This Row],[time]]-2)*2</f>
        <v>1.6088800000000001</v>
      </c>
      <c r="AB621">
        <v>93.795500000000004</v>
      </c>
      <c r="AC621">
        <v>56.9771</v>
      </c>
      <c r="AD621">
        <f>Table615415[[#This Row],[CFNM]]/Table615415[[#This Row],[CAREA]]</f>
        <v>0.6074609123038951</v>
      </c>
      <c r="AE621">
        <v>2.80444</v>
      </c>
      <c r="AF621">
        <f>(Table716416[[#This Row],[time]]-2)*2</f>
        <v>1.6088800000000001</v>
      </c>
      <c r="AG621">
        <v>73.098699999999994</v>
      </c>
      <c r="AH621">
        <v>14.160399999999999</v>
      </c>
      <c r="AI621">
        <f>Table716416[[#This Row],[CFNM]]/Table716416[[#This Row],[CAREA]]</f>
        <v>0.19371616731898106</v>
      </c>
      <c r="AJ621">
        <v>2.80444</v>
      </c>
      <c r="AK621">
        <f>(Table817417[[#This Row],[time]]-2)*2</f>
        <v>1.6088800000000001</v>
      </c>
      <c r="AL621">
        <v>76.982100000000003</v>
      </c>
      <c r="AM621">
        <v>62.067500000000003</v>
      </c>
      <c r="AN621">
        <f>Table817417[[#This Row],[CFNM]]/Table817417[[#This Row],[CAREA]]</f>
        <v>0.80625885757857996</v>
      </c>
    </row>
    <row r="622" spans="1:40" x14ac:dyDescent="0.25">
      <c r="A622">
        <v>2.8583699999999999</v>
      </c>
      <c r="B622">
        <f>(Table110410[[#This Row],[time]]-2)*2</f>
        <v>1.7167399999999997</v>
      </c>
      <c r="C622">
        <v>82.696700000000007</v>
      </c>
      <c r="D622">
        <v>5.4931299999999998</v>
      </c>
      <c r="E622">
        <f>Table110410[[#This Row],[CFNM]]/Table110410[[#This Row],[CAREA]]</f>
        <v>6.642502058727856E-2</v>
      </c>
      <c r="F622">
        <v>2.8583699999999999</v>
      </c>
      <c r="G622">
        <f>(Table211411[[#This Row],[time]]-2)*2</f>
        <v>1.7167399999999997</v>
      </c>
      <c r="H622">
        <v>99.317099999999996</v>
      </c>
      <c r="I622">
        <v>19.908000000000001</v>
      </c>
      <c r="J622">
        <f>Table211411[[#This Row],[CFNM]]/Table211411[[#This Row],[CAREA]]</f>
        <v>0.2004488653011415</v>
      </c>
      <c r="K622">
        <v>2.8583699999999999</v>
      </c>
      <c r="L622">
        <f>(Table312412[[#This Row],[time]]-2)*2</f>
        <v>1.7167399999999997</v>
      </c>
      <c r="M622">
        <v>79.367199999999997</v>
      </c>
      <c r="N622">
        <v>2.6877800000000001</v>
      </c>
      <c r="O622">
        <f>Table312412[[#This Row],[CFNM]]/Table312412[[#This Row],[CAREA]]</f>
        <v>3.3865123123910129E-2</v>
      </c>
      <c r="P622">
        <v>2.8583699999999999</v>
      </c>
      <c r="Q622">
        <f>(Table413413[[#This Row],[time]]-2)*2</f>
        <v>1.7167399999999997</v>
      </c>
      <c r="R622">
        <v>89.706500000000005</v>
      </c>
      <c r="S622">
        <v>34.512900000000002</v>
      </c>
      <c r="T622">
        <f>Table413413[[#This Row],[CFNM]]/Table413413[[#This Row],[CAREA]]</f>
        <v>0.38473131824338258</v>
      </c>
      <c r="U622">
        <v>2.8583699999999999</v>
      </c>
      <c r="V622">
        <f>(Table514414[[#This Row],[time]]-2)*2</f>
        <v>1.7167399999999997</v>
      </c>
      <c r="W622">
        <v>66.239400000000003</v>
      </c>
      <c r="X622">
        <v>2.1669800000000001</v>
      </c>
      <c r="Y622">
        <f>Table514414[[#This Row],[CFNM]]/Table514414[[#This Row],[CAREA]]</f>
        <v>3.2714366374091551E-2</v>
      </c>
      <c r="Z622">
        <v>2.8583699999999999</v>
      </c>
      <c r="AA622">
        <f>(Table615415[[#This Row],[time]]-2)*2</f>
        <v>1.7167399999999997</v>
      </c>
      <c r="AB622">
        <v>93.331100000000006</v>
      </c>
      <c r="AC622">
        <v>59.8994</v>
      </c>
      <c r="AD622">
        <f>Table615415[[#This Row],[CFNM]]/Table615415[[#This Row],[CAREA]]</f>
        <v>0.64179464294324184</v>
      </c>
      <c r="AE622">
        <v>2.8583699999999999</v>
      </c>
      <c r="AF622">
        <f>(Table716416[[#This Row],[time]]-2)*2</f>
        <v>1.7167399999999997</v>
      </c>
      <c r="AG622">
        <v>72.698400000000007</v>
      </c>
      <c r="AH622">
        <v>13.6043</v>
      </c>
      <c r="AI622">
        <f>Table716416[[#This Row],[CFNM]]/Table716416[[#This Row],[CAREA]]</f>
        <v>0.18713341696653571</v>
      </c>
      <c r="AJ622">
        <v>2.8583699999999999</v>
      </c>
      <c r="AK622">
        <f>(Table817417[[#This Row],[time]]-2)*2</f>
        <v>1.7167399999999997</v>
      </c>
      <c r="AL622">
        <v>76.195599999999999</v>
      </c>
      <c r="AM622">
        <v>65.207400000000007</v>
      </c>
      <c r="AN622">
        <f>Table817417[[#This Row],[CFNM]]/Table817417[[#This Row],[CAREA]]</f>
        <v>0.85578957315120563</v>
      </c>
    </row>
    <row r="623" spans="1:40" x14ac:dyDescent="0.25">
      <c r="A623">
        <v>2.9134199999999999</v>
      </c>
      <c r="B623">
        <f>(Table110410[[#This Row],[time]]-2)*2</f>
        <v>1.8268399999999998</v>
      </c>
      <c r="C623">
        <v>81.1751</v>
      </c>
      <c r="D623">
        <v>5.5144000000000002</v>
      </c>
      <c r="E623">
        <f>Table110410[[#This Row],[CFNM]]/Table110410[[#This Row],[CAREA]]</f>
        <v>6.7932161463305871E-2</v>
      </c>
      <c r="F623">
        <v>2.9134199999999999</v>
      </c>
      <c r="G623">
        <f>(Table211411[[#This Row],[time]]-2)*2</f>
        <v>1.8268399999999998</v>
      </c>
      <c r="H623">
        <v>100.407</v>
      </c>
      <c r="I623">
        <v>21.5077</v>
      </c>
      <c r="J623">
        <f>Table211411[[#This Row],[CFNM]]/Table211411[[#This Row],[CAREA]]</f>
        <v>0.21420518489746732</v>
      </c>
      <c r="K623">
        <v>2.9134199999999999</v>
      </c>
      <c r="L623">
        <f>(Table312412[[#This Row],[time]]-2)*2</f>
        <v>1.8268399999999998</v>
      </c>
      <c r="M623">
        <v>78.371499999999997</v>
      </c>
      <c r="N623">
        <v>2.4651800000000001</v>
      </c>
      <c r="O623">
        <f>Table312412[[#This Row],[CFNM]]/Table312412[[#This Row],[CAREA]]</f>
        <v>3.1455057004140537E-2</v>
      </c>
      <c r="P623">
        <v>2.9134199999999999</v>
      </c>
      <c r="Q623">
        <f>(Table413413[[#This Row],[time]]-2)*2</f>
        <v>1.8268399999999998</v>
      </c>
      <c r="R623">
        <v>89.396799999999999</v>
      </c>
      <c r="S623">
        <v>36.777900000000002</v>
      </c>
      <c r="T623">
        <f>Table413413[[#This Row],[CFNM]]/Table413413[[#This Row],[CAREA]]</f>
        <v>0.41140063178995223</v>
      </c>
      <c r="U623">
        <v>2.9134199999999999</v>
      </c>
      <c r="V623">
        <f>(Table514414[[#This Row],[time]]-2)*2</f>
        <v>1.8268399999999998</v>
      </c>
      <c r="W623">
        <v>65.6995</v>
      </c>
      <c r="X623">
        <v>1.70797</v>
      </c>
      <c r="Y623">
        <f>Table514414[[#This Row],[CFNM]]/Table514414[[#This Row],[CAREA]]</f>
        <v>2.5996697082930616E-2</v>
      </c>
      <c r="Z623">
        <v>2.9134199999999999</v>
      </c>
      <c r="AA623">
        <f>(Table615415[[#This Row],[time]]-2)*2</f>
        <v>1.8268399999999998</v>
      </c>
      <c r="AB623">
        <v>93.041799999999995</v>
      </c>
      <c r="AC623">
        <v>62.585700000000003</v>
      </c>
      <c r="AD623">
        <f>Table615415[[#This Row],[CFNM]]/Table615415[[#This Row],[CAREA]]</f>
        <v>0.67266217979445808</v>
      </c>
      <c r="AE623">
        <v>2.9134199999999999</v>
      </c>
      <c r="AF623">
        <f>(Table716416[[#This Row],[time]]-2)*2</f>
        <v>1.8268399999999998</v>
      </c>
      <c r="AG623">
        <v>71.051900000000003</v>
      </c>
      <c r="AH623">
        <v>13.099</v>
      </c>
      <c r="AI623">
        <f>Table716416[[#This Row],[CFNM]]/Table716416[[#This Row],[CAREA]]</f>
        <v>0.18435819450289154</v>
      </c>
      <c r="AJ623">
        <v>2.9134199999999999</v>
      </c>
      <c r="AK623">
        <f>(Table817417[[#This Row],[time]]-2)*2</f>
        <v>1.8268399999999998</v>
      </c>
      <c r="AL623">
        <v>75.566299999999998</v>
      </c>
      <c r="AM623">
        <v>68.075000000000003</v>
      </c>
      <c r="AN623">
        <f>Table817417[[#This Row],[CFNM]]/Table817417[[#This Row],[CAREA]]</f>
        <v>0.90086453882219986</v>
      </c>
    </row>
    <row r="624" spans="1:40" x14ac:dyDescent="0.25">
      <c r="A624">
        <v>2.9619599999999999</v>
      </c>
      <c r="B624">
        <f>(Table110410[[#This Row],[time]]-2)*2</f>
        <v>1.9239199999999999</v>
      </c>
      <c r="C624">
        <v>80.117999999999995</v>
      </c>
      <c r="D624">
        <v>5.4615099999999996</v>
      </c>
      <c r="E624">
        <f>Table110410[[#This Row],[CFNM]]/Table110410[[#This Row],[CAREA]]</f>
        <v>6.816832671809081E-2</v>
      </c>
      <c r="F624">
        <v>2.9619599999999999</v>
      </c>
      <c r="G624">
        <f>(Table211411[[#This Row],[time]]-2)*2</f>
        <v>1.9239199999999999</v>
      </c>
      <c r="H624">
        <v>101.73399999999999</v>
      </c>
      <c r="I624">
        <v>23.2639</v>
      </c>
      <c r="J624">
        <f>Table211411[[#This Row],[CFNM]]/Table211411[[#This Row],[CAREA]]</f>
        <v>0.22867379637092811</v>
      </c>
      <c r="K624">
        <v>2.9619599999999999</v>
      </c>
      <c r="L624">
        <f>(Table312412[[#This Row],[time]]-2)*2</f>
        <v>1.9239199999999999</v>
      </c>
      <c r="M624">
        <v>76.946700000000007</v>
      </c>
      <c r="N624">
        <v>2.2309600000000001</v>
      </c>
      <c r="O624">
        <f>Table312412[[#This Row],[CFNM]]/Table312412[[#This Row],[CAREA]]</f>
        <v>2.8993576072788046E-2</v>
      </c>
      <c r="P624">
        <v>2.9619599999999999</v>
      </c>
      <c r="Q624">
        <f>(Table413413[[#This Row],[time]]-2)*2</f>
        <v>1.9239199999999999</v>
      </c>
      <c r="R624">
        <v>88.957499999999996</v>
      </c>
      <c r="S624">
        <v>39.225200000000001</v>
      </c>
      <c r="T624">
        <f>Table413413[[#This Row],[CFNM]]/Table413413[[#This Row],[CAREA]]</f>
        <v>0.44094314700840292</v>
      </c>
      <c r="U624">
        <v>2.9619599999999999</v>
      </c>
      <c r="V624">
        <f>(Table514414[[#This Row],[time]]-2)*2</f>
        <v>1.9239199999999999</v>
      </c>
      <c r="W624">
        <v>64.484999999999999</v>
      </c>
      <c r="X624">
        <v>1.22471</v>
      </c>
      <c r="Y624">
        <f>Table514414[[#This Row],[CFNM]]/Table514414[[#This Row],[CAREA]]</f>
        <v>1.8992168721408079E-2</v>
      </c>
      <c r="Z624">
        <v>2.9619599999999999</v>
      </c>
      <c r="AA624">
        <f>(Table615415[[#This Row],[time]]-2)*2</f>
        <v>1.9239199999999999</v>
      </c>
      <c r="AB624">
        <v>92.5745</v>
      </c>
      <c r="AC624">
        <v>65.443700000000007</v>
      </c>
      <c r="AD624">
        <f>Table615415[[#This Row],[CFNM]]/Table615415[[#This Row],[CAREA]]</f>
        <v>0.70693009414039509</v>
      </c>
      <c r="AE624">
        <v>2.9619599999999999</v>
      </c>
      <c r="AF624">
        <f>(Table716416[[#This Row],[time]]-2)*2</f>
        <v>1.9239199999999999</v>
      </c>
      <c r="AG624">
        <v>70.763999999999996</v>
      </c>
      <c r="AH624">
        <v>12.523300000000001</v>
      </c>
      <c r="AI624">
        <f>Table716416[[#This Row],[CFNM]]/Table716416[[#This Row],[CAREA]]</f>
        <v>0.17697275450794192</v>
      </c>
      <c r="AJ624">
        <v>2.9619599999999999</v>
      </c>
      <c r="AK624">
        <f>(Table817417[[#This Row],[time]]-2)*2</f>
        <v>1.9239199999999999</v>
      </c>
      <c r="AL624">
        <v>74.879199999999997</v>
      </c>
      <c r="AM624">
        <v>71.143900000000002</v>
      </c>
      <c r="AN624">
        <f>Table817417[[#This Row],[CFNM]]/Table817417[[#This Row],[CAREA]]</f>
        <v>0.95011565294501021</v>
      </c>
    </row>
    <row r="625" spans="1:40" x14ac:dyDescent="0.25">
      <c r="A625">
        <v>3</v>
      </c>
      <c r="B625">
        <f>(Table110410[[#This Row],[time]]-2)*2</f>
        <v>2</v>
      </c>
      <c r="C625">
        <v>77.788799999999995</v>
      </c>
      <c r="D625">
        <v>5.3616299999999999</v>
      </c>
      <c r="E625">
        <f>Table110410[[#This Row],[CFNM]]/Table110410[[#This Row],[CAREA]]</f>
        <v>6.8925475132666919E-2</v>
      </c>
      <c r="F625">
        <v>3</v>
      </c>
      <c r="G625">
        <f>(Table211411[[#This Row],[time]]-2)*2</f>
        <v>2</v>
      </c>
      <c r="H625">
        <v>103.09699999999999</v>
      </c>
      <c r="I625">
        <v>25.086099999999998</v>
      </c>
      <c r="J625">
        <f>Table211411[[#This Row],[CFNM]]/Table211411[[#This Row],[CAREA]]</f>
        <v>0.24332521799858386</v>
      </c>
      <c r="K625">
        <v>3</v>
      </c>
      <c r="L625">
        <f>(Table312412[[#This Row],[time]]-2)*2</f>
        <v>2</v>
      </c>
      <c r="M625">
        <v>76.876800000000003</v>
      </c>
      <c r="N625">
        <v>1.98434</v>
      </c>
      <c r="O625">
        <f>Table312412[[#This Row],[CFNM]]/Table312412[[#This Row],[CAREA]]</f>
        <v>2.5811948468198467E-2</v>
      </c>
      <c r="P625">
        <v>3</v>
      </c>
      <c r="Q625">
        <f>(Table413413[[#This Row],[time]]-2)*2</f>
        <v>2</v>
      </c>
      <c r="R625">
        <v>88.485600000000005</v>
      </c>
      <c r="S625">
        <v>41.702599999999997</v>
      </c>
      <c r="T625">
        <f>Table413413[[#This Row],[CFNM]]/Table413413[[#This Row],[CAREA]]</f>
        <v>0.4712925040910611</v>
      </c>
      <c r="U625">
        <v>3</v>
      </c>
      <c r="V625">
        <f>(Table514414[[#This Row],[time]]-2)*2</f>
        <v>2</v>
      </c>
      <c r="W625">
        <v>63.829300000000003</v>
      </c>
      <c r="X625">
        <v>0.75781900000000002</v>
      </c>
      <c r="Y625">
        <f>Table514414[[#This Row],[CFNM]]/Table514414[[#This Row],[CAREA]]</f>
        <v>1.1872588294090644E-2</v>
      </c>
      <c r="Z625">
        <v>3</v>
      </c>
      <c r="AA625">
        <f>(Table615415[[#This Row],[time]]-2)*2</f>
        <v>2</v>
      </c>
      <c r="AB625">
        <v>92.139899999999997</v>
      </c>
      <c r="AC625">
        <v>68.336799999999997</v>
      </c>
      <c r="AD625">
        <f>Table615415[[#This Row],[CFNM]]/Table615415[[#This Row],[CAREA]]</f>
        <v>0.74166349214618199</v>
      </c>
      <c r="AE625">
        <v>3</v>
      </c>
      <c r="AF625">
        <f>(Table716416[[#This Row],[time]]-2)*2</f>
        <v>2</v>
      </c>
      <c r="AG625">
        <v>70.4602</v>
      </c>
      <c r="AH625">
        <v>11.933400000000001</v>
      </c>
      <c r="AI625">
        <f>Table716416[[#This Row],[CFNM]]/Table716416[[#This Row],[CAREA]]</f>
        <v>0.1693636975200184</v>
      </c>
      <c r="AJ625">
        <v>3</v>
      </c>
      <c r="AK625">
        <f>(Table817417[[#This Row],[time]]-2)*2</f>
        <v>2</v>
      </c>
      <c r="AL625">
        <v>74.286199999999994</v>
      </c>
      <c r="AM625">
        <v>74.145499999999998</v>
      </c>
      <c r="AN625">
        <f>Table817417[[#This Row],[CFNM]]/Table817417[[#This Row],[CAREA]]</f>
        <v>0.99810597392247824</v>
      </c>
    </row>
    <row r="628" spans="1:40" x14ac:dyDescent="0.25">
      <c r="A628" s="1" t="s">
        <v>29</v>
      </c>
    </row>
    <row r="629" spans="1:40" x14ac:dyDescent="0.25">
      <c r="A629" t="s">
        <v>67</v>
      </c>
      <c r="F629" t="s">
        <v>1</v>
      </c>
    </row>
    <row r="630" spans="1:40" x14ac:dyDescent="0.25">
      <c r="F630" t="s">
        <v>2</v>
      </c>
      <c r="G630" t="s">
        <v>3</v>
      </c>
    </row>
    <row r="633" spans="1:40" x14ac:dyDescent="0.25">
      <c r="A633" t="s">
        <v>5</v>
      </c>
      <c r="F633" t="s">
        <v>6</v>
      </c>
      <c r="K633" t="s">
        <v>7</v>
      </c>
      <c r="P633" t="s">
        <v>19</v>
      </c>
      <c r="U633" t="s">
        <v>8</v>
      </c>
      <c r="Z633" t="s">
        <v>9</v>
      </c>
      <c r="AE633" t="s">
        <v>10</v>
      </c>
      <c r="AJ633" t="s">
        <v>11</v>
      </c>
    </row>
    <row r="634" spans="1:40" x14ac:dyDescent="0.25">
      <c r="A634" t="s">
        <v>12</v>
      </c>
      <c r="B634" t="s">
        <v>13</v>
      </c>
      <c r="C634" t="s">
        <v>17</v>
      </c>
      <c r="D634" t="s">
        <v>15</v>
      </c>
      <c r="E634" t="s">
        <v>16</v>
      </c>
      <c r="F634" t="s">
        <v>12</v>
      </c>
      <c r="G634" t="s">
        <v>13</v>
      </c>
      <c r="H634" t="s">
        <v>17</v>
      </c>
      <c r="I634" t="s">
        <v>15</v>
      </c>
      <c r="J634" t="s">
        <v>16</v>
      </c>
      <c r="K634" t="s">
        <v>12</v>
      </c>
      <c r="L634" t="s">
        <v>13</v>
      </c>
      <c r="M634" t="s">
        <v>17</v>
      </c>
      <c r="N634" t="s">
        <v>15</v>
      </c>
      <c r="O634" t="s">
        <v>16</v>
      </c>
      <c r="P634" t="s">
        <v>12</v>
      </c>
      <c r="Q634" t="s">
        <v>13</v>
      </c>
      <c r="R634" t="s">
        <v>17</v>
      </c>
      <c r="S634" t="s">
        <v>15</v>
      </c>
      <c r="T634" t="s">
        <v>16</v>
      </c>
      <c r="U634" t="s">
        <v>12</v>
      </c>
      <c r="V634" t="s">
        <v>13</v>
      </c>
      <c r="W634" t="s">
        <v>17</v>
      </c>
      <c r="X634" t="s">
        <v>15</v>
      </c>
      <c r="Y634" t="s">
        <v>16</v>
      </c>
      <c r="Z634" t="s">
        <v>12</v>
      </c>
      <c r="AA634" t="s">
        <v>13</v>
      </c>
      <c r="AB634" t="s">
        <v>17</v>
      </c>
      <c r="AC634" t="s">
        <v>15</v>
      </c>
      <c r="AD634" t="s">
        <v>16</v>
      </c>
      <c r="AE634" t="s">
        <v>12</v>
      </c>
      <c r="AF634" t="s">
        <v>13</v>
      </c>
      <c r="AG634" t="s">
        <v>17</v>
      </c>
      <c r="AH634" t="s">
        <v>15</v>
      </c>
      <c r="AI634" t="s">
        <v>16</v>
      </c>
      <c r="AJ634" t="s">
        <v>12</v>
      </c>
      <c r="AK634" t="s">
        <v>13</v>
      </c>
      <c r="AL634" t="s">
        <v>17</v>
      </c>
      <c r="AM634" t="s">
        <v>15</v>
      </c>
      <c r="AN634" t="s">
        <v>16</v>
      </c>
    </row>
    <row r="635" spans="1:40" x14ac:dyDescent="0.25">
      <c r="A635">
        <v>2</v>
      </c>
      <c r="B635">
        <f>-(Table1418[[#This Row],[time]]-2)*2</f>
        <v>0</v>
      </c>
      <c r="C635">
        <v>80.561000000000007</v>
      </c>
      <c r="D635">
        <v>3.9823499999999998</v>
      </c>
      <c r="E635" s="2">
        <f>Table1418[[#This Row],[CFNM]]/Table1418[[#This Row],[CAREA]]</f>
        <v>4.9432727994935512E-2</v>
      </c>
      <c r="F635">
        <v>2</v>
      </c>
      <c r="G635">
        <f>-(Table2419[[#This Row],[time]]-2)*2</f>
        <v>0</v>
      </c>
      <c r="H635">
        <v>87.831800000000001</v>
      </c>
      <c r="I635">
        <v>3.84921E-3</v>
      </c>
      <c r="J635" s="2">
        <f>Table2419[[#This Row],[CFNM]]/Table2419[[#This Row],[CAREA]]</f>
        <v>4.382478783310828E-5</v>
      </c>
      <c r="K635">
        <v>2</v>
      </c>
      <c r="L635">
        <f>-(Table3420[[#This Row],[time]]-2)*2</f>
        <v>0</v>
      </c>
      <c r="M635">
        <v>85.166700000000006</v>
      </c>
      <c r="N635">
        <v>3.7005300000000001E-3</v>
      </c>
      <c r="O635">
        <f>Table3420[[#This Row],[CFNM]]/Table3420[[#This Row],[CAREA]]</f>
        <v>4.3450433091807004E-5</v>
      </c>
      <c r="P635">
        <v>2</v>
      </c>
      <c r="Q635">
        <f>-(Table4421[[#This Row],[time]]-2)*2</f>
        <v>0</v>
      </c>
      <c r="R635">
        <v>79.101699999999994</v>
      </c>
      <c r="S635">
        <v>4.5258399999999997E-3</v>
      </c>
      <c r="T635">
        <f>Table4421[[#This Row],[CFNM]]/Table4421[[#This Row],[CAREA]]</f>
        <v>5.7215458074858061E-5</v>
      </c>
      <c r="U635">
        <v>2</v>
      </c>
      <c r="V635">
        <f>-(Table5422[[#This Row],[time]]-2)*2</f>
        <v>0</v>
      </c>
      <c r="W635">
        <v>83.227800000000002</v>
      </c>
      <c r="X635">
        <v>3.5063800000000001</v>
      </c>
      <c r="Y635">
        <f>Table5422[[#This Row],[CFNM]]/Table5422[[#This Row],[CAREA]]</f>
        <v>4.2129913322231274E-2</v>
      </c>
      <c r="Z635">
        <v>2</v>
      </c>
      <c r="AA635">
        <f>-(Table6423[[#This Row],[time]]-2)*2</f>
        <v>0</v>
      </c>
      <c r="AB635">
        <v>83.949600000000004</v>
      </c>
      <c r="AC635">
        <v>6.2742100000000001</v>
      </c>
      <c r="AD635">
        <f>Table6423[[#This Row],[CFNM]]/Table6423[[#This Row],[CAREA]]</f>
        <v>7.4737818881805265E-2</v>
      </c>
      <c r="AE635">
        <v>2</v>
      </c>
      <c r="AF635">
        <f>-(Table7424[[#This Row],[time]]-2)*2</f>
        <v>0</v>
      </c>
      <c r="AG635">
        <v>78.459999999999994</v>
      </c>
      <c r="AH635">
        <v>14.707599999999999</v>
      </c>
      <c r="AI635">
        <f>Table7424[[#This Row],[CFNM]]/Table7424[[#This Row],[CAREA]]</f>
        <v>0.1874534794799898</v>
      </c>
      <c r="AJ635">
        <v>2</v>
      </c>
      <c r="AK635">
        <f>-(Table8425[[#This Row],[time]]-2)*2</f>
        <v>0</v>
      </c>
      <c r="AL635">
        <v>83.006</v>
      </c>
      <c r="AM635">
        <v>14.6488</v>
      </c>
      <c r="AN635">
        <f>Table8425[[#This Row],[CFNM]]/Table8425[[#This Row],[CAREA]]</f>
        <v>0.17647880876081246</v>
      </c>
    </row>
    <row r="636" spans="1:40" x14ac:dyDescent="0.25">
      <c r="A636">
        <v>2.0512600000000001</v>
      </c>
      <c r="B636">
        <f>-(Table1418[[#This Row],[time]]-2)*2</f>
        <v>-0.10252000000000017</v>
      </c>
      <c r="C636">
        <v>90.123800000000003</v>
      </c>
      <c r="D636">
        <v>10.617599999999999</v>
      </c>
      <c r="E636">
        <f>Table1418[[#This Row],[CFNM]]/Table1418[[#This Row],[CAREA]]</f>
        <v>0.11781127737623136</v>
      </c>
      <c r="F636">
        <v>2.0512600000000001</v>
      </c>
      <c r="G636">
        <f>-(Table2419[[#This Row],[time]]-2)*2</f>
        <v>-0.10252000000000017</v>
      </c>
      <c r="H636">
        <v>94.291399999999996</v>
      </c>
      <c r="I636">
        <v>2.5370900000000001</v>
      </c>
      <c r="J636">
        <f>Table2419[[#This Row],[CFNM]]/Table2419[[#This Row],[CAREA]]</f>
        <v>2.6906907734957804E-2</v>
      </c>
      <c r="K636">
        <v>2.0512600000000001</v>
      </c>
      <c r="L636">
        <f>-(Table3420[[#This Row],[time]]-2)*2</f>
        <v>-0.10252000000000017</v>
      </c>
      <c r="M636">
        <v>89.391199999999998</v>
      </c>
      <c r="N636">
        <v>3.8749199999999999</v>
      </c>
      <c r="O636">
        <f>Table3420[[#This Row],[CFNM]]/Table3420[[#This Row],[CAREA]]</f>
        <v>4.3347891067577124E-2</v>
      </c>
      <c r="P636">
        <v>2.0512600000000001</v>
      </c>
      <c r="Q636">
        <f>-(Table4421[[#This Row],[time]]-2)*2</f>
        <v>-0.10252000000000017</v>
      </c>
      <c r="R636">
        <v>84.302499999999995</v>
      </c>
      <c r="S636">
        <v>5.0646899999999997</v>
      </c>
      <c r="T636">
        <f>Table4421[[#This Row],[CFNM]]/Table4421[[#This Row],[CAREA]]</f>
        <v>6.0077577770528752E-2</v>
      </c>
      <c r="U636">
        <v>2.0512600000000001</v>
      </c>
      <c r="V636">
        <f>-(Table5422[[#This Row],[time]]-2)*2</f>
        <v>-0.10252000000000017</v>
      </c>
      <c r="W636">
        <v>82.528499999999994</v>
      </c>
      <c r="X636">
        <v>8.7698999999999998</v>
      </c>
      <c r="Y636">
        <f>Table5422[[#This Row],[CFNM]]/Table5422[[#This Row],[CAREA]]</f>
        <v>0.10626510841709229</v>
      </c>
      <c r="Z636">
        <v>2.0512600000000001</v>
      </c>
      <c r="AA636">
        <f>-(Table6423[[#This Row],[time]]-2)*2</f>
        <v>-0.10252000000000017</v>
      </c>
      <c r="AB636">
        <v>87.433999999999997</v>
      </c>
      <c r="AC636">
        <v>10.9063</v>
      </c>
      <c r="AD636">
        <f>Table6423[[#This Row],[CFNM]]/Table6423[[#This Row],[CAREA]]</f>
        <v>0.12473751629800764</v>
      </c>
      <c r="AE636">
        <v>2.0512600000000001</v>
      </c>
      <c r="AF636">
        <f>-(Table7424[[#This Row],[time]]-2)*2</f>
        <v>-0.10252000000000017</v>
      </c>
      <c r="AG636">
        <v>79.646100000000004</v>
      </c>
      <c r="AH636">
        <v>20.527899999999999</v>
      </c>
      <c r="AI636">
        <f>Table7424[[#This Row],[CFNM]]/Table7424[[#This Row],[CAREA]]</f>
        <v>0.25773892255866887</v>
      </c>
      <c r="AJ636">
        <v>2.0512600000000001</v>
      </c>
      <c r="AK636">
        <f>-(Table8425[[#This Row],[time]]-2)*2</f>
        <v>-0.10252000000000017</v>
      </c>
      <c r="AL636">
        <v>82.995099999999994</v>
      </c>
      <c r="AM636">
        <v>18.307500000000001</v>
      </c>
      <c r="AN636">
        <f>Table8425[[#This Row],[CFNM]]/Table8425[[#This Row],[CAREA]]</f>
        <v>0.22058531166297773</v>
      </c>
    </row>
    <row r="637" spans="1:40" x14ac:dyDescent="0.25">
      <c r="A637">
        <v>2.1153300000000002</v>
      </c>
      <c r="B637">
        <f>-(Table1418[[#This Row],[time]]-2)*2</f>
        <v>-0.23066000000000031</v>
      </c>
      <c r="C637">
        <v>90.634</v>
      </c>
      <c r="D637">
        <v>11.3857</v>
      </c>
      <c r="E637">
        <f>Table1418[[#This Row],[CFNM]]/Table1418[[#This Row],[CAREA]]</f>
        <v>0.12562283469779553</v>
      </c>
      <c r="F637">
        <v>2.1153300000000002</v>
      </c>
      <c r="G637">
        <f>-(Table2419[[#This Row],[time]]-2)*2</f>
        <v>-0.23066000000000031</v>
      </c>
      <c r="H637">
        <v>92.792000000000002</v>
      </c>
      <c r="I637">
        <v>1.83602</v>
      </c>
      <c r="J637">
        <f>Table2419[[#This Row],[CFNM]]/Table2419[[#This Row],[CAREA]]</f>
        <v>1.9786404000344857E-2</v>
      </c>
      <c r="K637">
        <v>2.1153300000000002</v>
      </c>
      <c r="L637">
        <f>-(Table3420[[#This Row],[time]]-2)*2</f>
        <v>-0.23066000000000031</v>
      </c>
      <c r="M637">
        <v>90.023499999999999</v>
      </c>
      <c r="N637">
        <v>5.0930999999999997</v>
      </c>
      <c r="O637">
        <f>Table3420[[#This Row],[CFNM]]/Table3420[[#This Row],[CAREA]]</f>
        <v>5.6575227579465356E-2</v>
      </c>
      <c r="P637">
        <v>2.1153300000000002</v>
      </c>
      <c r="Q637">
        <f>-(Table4421[[#This Row],[time]]-2)*2</f>
        <v>-0.23066000000000031</v>
      </c>
      <c r="R637">
        <v>81.915499999999994</v>
      </c>
      <c r="S637">
        <v>4.3882599999999998</v>
      </c>
      <c r="T637">
        <f>Table4421[[#This Row],[CFNM]]/Table4421[[#This Row],[CAREA]]</f>
        <v>5.3570569672406324E-2</v>
      </c>
      <c r="U637">
        <v>2.1153300000000002</v>
      </c>
      <c r="V637">
        <f>-(Table5422[[#This Row],[time]]-2)*2</f>
        <v>-0.23066000000000031</v>
      </c>
      <c r="W637">
        <v>83.681600000000003</v>
      </c>
      <c r="X637">
        <v>9.4739299999999993</v>
      </c>
      <c r="Y637">
        <f>Table5422[[#This Row],[CFNM]]/Table5422[[#This Row],[CAREA]]</f>
        <v>0.11321401598439799</v>
      </c>
      <c r="Z637">
        <v>2.1153300000000002</v>
      </c>
      <c r="AA637">
        <f>-(Table6423[[#This Row],[time]]-2)*2</f>
        <v>-0.23066000000000031</v>
      </c>
      <c r="AB637">
        <v>84.068200000000004</v>
      </c>
      <c r="AC637">
        <v>7.1322000000000001</v>
      </c>
      <c r="AD637">
        <f>Table6423[[#This Row],[CFNM]]/Table6423[[#This Row],[CAREA]]</f>
        <v>8.4838262268015732E-2</v>
      </c>
      <c r="AE637">
        <v>2.1153300000000002</v>
      </c>
      <c r="AF637">
        <f>-(Table7424[[#This Row],[time]]-2)*2</f>
        <v>-0.23066000000000031</v>
      </c>
      <c r="AG637">
        <v>80.226200000000006</v>
      </c>
      <c r="AH637">
        <v>21.848800000000001</v>
      </c>
      <c r="AI637">
        <f>Table7424[[#This Row],[CFNM]]/Table7424[[#This Row],[CAREA]]</f>
        <v>0.27233995876658745</v>
      </c>
      <c r="AJ637">
        <v>2.1153300000000002</v>
      </c>
      <c r="AK637">
        <f>-(Table8425[[#This Row],[time]]-2)*2</f>
        <v>-0.23066000000000031</v>
      </c>
      <c r="AL637">
        <v>82.756600000000006</v>
      </c>
      <c r="AM637">
        <v>17.375599999999999</v>
      </c>
      <c r="AN637">
        <f>Table8425[[#This Row],[CFNM]]/Table8425[[#This Row],[CAREA]]</f>
        <v>0.20996029319715886</v>
      </c>
    </row>
    <row r="638" spans="1:40" x14ac:dyDescent="0.25">
      <c r="A638">
        <v>2.16533</v>
      </c>
      <c r="B638">
        <f>-(Table1418[[#This Row],[time]]-2)*2</f>
        <v>-0.33065999999999995</v>
      </c>
      <c r="C638">
        <v>91.5458</v>
      </c>
      <c r="D638">
        <v>12.4451</v>
      </c>
      <c r="E638">
        <f>Table1418[[#This Row],[CFNM]]/Table1418[[#This Row],[CAREA]]</f>
        <v>0.13594397558380614</v>
      </c>
      <c r="F638">
        <v>2.16533</v>
      </c>
      <c r="G638">
        <f>-(Table2419[[#This Row],[time]]-2)*2</f>
        <v>-0.33065999999999995</v>
      </c>
      <c r="H638">
        <v>91.3767</v>
      </c>
      <c r="I638">
        <v>1.7474099999999999</v>
      </c>
      <c r="J638">
        <f>Table2419[[#This Row],[CFNM]]/Table2419[[#This Row],[CAREA]]</f>
        <v>1.9123146272518047E-2</v>
      </c>
      <c r="K638">
        <v>2.16533</v>
      </c>
      <c r="L638">
        <f>-(Table3420[[#This Row],[time]]-2)*2</f>
        <v>-0.33065999999999995</v>
      </c>
      <c r="M638">
        <v>90.451499999999996</v>
      </c>
      <c r="N638">
        <v>6.6071099999999996</v>
      </c>
      <c r="O638">
        <f>Table3420[[#This Row],[CFNM]]/Table3420[[#This Row],[CAREA]]</f>
        <v>7.3045886469544449E-2</v>
      </c>
      <c r="P638">
        <v>2.16533</v>
      </c>
      <c r="Q638">
        <f>-(Table4421[[#This Row],[time]]-2)*2</f>
        <v>-0.33065999999999995</v>
      </c>
      <c r="R638">
        <v>81.319199999999995</v>
      </c>
      <c r="S638">
        <v>4.5052300000000001</v>
      </c>
      <c r="T638">
        <f>Table4421[[#This Row],[CFNM]]/Table4421[[#This Row],[CAREA]]</f>
        <v>5.5401799329063743E-2</v>
      </c>
      <c r="U638">
        <v>2.16533</v>
      </c>
      <c r="V638">
        <f>-(Table5422[[#This Row],[time]]-2)*2</f>
        <v>-0.33065999999999995</v>
      </c>
      <c r="W638">
        <v>83.498699999999999</v>
      </c>
      <c r="X638">
        <v>10.6594</v>
      </c>
      <c r="Y638">
        <f>Table5422[[#This Row],[CFNM]]/Table5422[[#This Row],[CAREA]]</f>
        <v>0.12765947254268628</v>
      </c>
      <c r="Z638">
        <v>2.16533</v>
      </c>
      <c r="AA638">
        <f>-(Table6423[[#This Row],[time]]-2)*2</f>
        <v>-0.33065999999999995</v>
      </c>
      <c r="AB638">
        <v>82.844200000000001</v>
      </c>
      <c r="AC638">
        <v>5.0651799999999998</v>
      </c>
      <c r="AD638">
        <f>Table6423[[#This Row],[CFNM]]/Table6423[[#This Row],[CAREA]]</f>
        <v>6.1141033409701583E-2</v>
      </c>
      <c r="AE638">
        <v>2.16533</v>
      </c>
      <c r="AF638">
        <f>-(Table7424[[#This Row],[time]]-2)*2</f>
        <v>-0.33065999999999995</v>
      </c>
      <c r="AG638">
        <v>80.5154</v>
      </c>
      <c r="AH638">
        <v>23.122</v>
      </c>
      <c r="AI638">
        <f>Table7424[[#This Row],[CFNM]]/Table7424[[#This Row],[CAREA]]</f>
        <v>0.28717487586225743</v>
      </c>
      <c r="AJ638">
        <v>2.16533</v>
      </c>
      <c r="AK638">
        <f>-(Table8425[[#This Row],[time]]-2)*2</f>
        <v>-0.33065999999999995</v>
      </c>
      <c r="AL638">
        <v>82.689899999999994</v>
      </c>
      <c r="AM638">
        <v>16.680499999999999</v>
      </c>
      <c r="AN638">
        <f>Table8425[[#This Row],[CFNM]]/Table8425[[#This Row],[CAREA]]</f>
        <v>0.20172354785771901</v>
      </c>
    </row>
    <row r="639" spans="1:40" x14ac:dyDescent="0.25">
      <c r="A639">
        <v>2.2246999999999999</v>
      </c>
      <c r="B639">
        <f>-(Table1418[[#This Row],[time]]-2)*2</f>
        <v>-0.4493999999999998</v>
      </c>
      <c r="C639">
        <v>94.093599999999995</v>
      </c>
      <c r="D639">
        <v>14.161899999999999</v>
      </c>
      <c r="E639">
        <f>Table1418[[#This Row],[CFNM]]/Table1418[[#This Row],[CAREA]]</f>
        <v>0.15050864245814805</v>
      </c>
      <c r="F639">
        <v>2.2246999999999999</v>
      </c>
      <c r="G639">
        <f>-(Table2419[[#This Row],[time]]-2)*2</f>
        <v>-0.4493999999999998</v>
      </c>
      <c r="H639">
        <v>89.751199999999997</v>
      </c>
      <c r="I639">
        <v>1.5074099999999999</v>
      </c>
      <c r="J639">
        <f>Table2419[[#This Row],[CFNM]]/Table2419[[#This Row],[CAREA]]</f>
        <v>1.6795430033247467E-2</v>
      </c>
      <c r="K639">
        <v>2.2246999999999999</v>
      </c>
      <c r="L639">
        <f>-(Table3420[[#This Row],[time]]-2)*2</f>
        <v>-0.4493999999999998</v>
      </c>
      <c r="M639">
        <v>90.585099999999997</v>
      </c>
      <c r="N639">
        <v>9.0455699999999997</v>
      </c>
      <c r="O639">
        <f>Table3420[[#This Row],[CFNM]]/Table3420[[#This Row],[CAREA]]</f>
        <v>9.9857150900092839E-2</v>
      </c>
      <c r="P639">
        <v>2.2246999999999999</v>
      </c>
      <c r="Q639">
        <f>-(Table4421[[#This Row],[time]]-2)*2</f>
        <v>-0.4493999999999998</v>
      </c>
      <c r="R639">
        <v>79.848299999999995</v>
      </c>
      <c r="S639">
        <v>4.6989000000000001</v>
      </c>
      <c r="T639">
        <f>Table4421[[#This Row],[CFNM]]/Table4421[[#This Row],[CAREA]]</f>
        <v>5.8847840217011511E-2</v>
      </c>
      <c r="U639">
        <v>2.2246999999999999</v>
      </c>
      <c r="V639">
        <f>-(Table5422[[#This Row],[time]]-2)*2</f>
        <v>-0.4493999999999998</v>
      </c>
      <c r="W639">
        <v>84.273099999999999</v>
      </c>
      <c r="X639">
        <v>13.029</v>
      </c>
      <c r="Y639">
        <f>Table5422[[#This Row],[CFNM]]/Table5422[[#This Row],[CAREA]]</f>
        <v>0.15460449419802996</v>
      </c>
      <c r="Z639">
        <v>2.2246999999999999</v>
      </c>
      <c r="AA639">
        <f>-(Table6423[[#This Row],[time]]-2)*2</f>
        <v>-0.4493999999999998</v>
      </c>
      <c r="AB639">
        <v>80.571700000000007</v>
      </c>
      <c r="AC639">
        <v>3.59144</v>
      </c>
      <c r="AD639">
        <f>Table6423[[#This Row],[CFNM]]/Table6423[[#This Row],[CAREA]]</f>
        <v>4.4574459766890853E-2</v>
      </c>
      <c r="AE639">
        <v>2.2246999999999999</v>
      </c>
      <c r="AF639">
        <f>-(Table7424[[#This Row],[time]]-2)*2</f>
        <v>-0.4493999999999998</v>
      </c>
      <c r="AG639">
        <v>80.262100000000004</v>
      </c>
      <c r="AH639">
        <v>25.0733</v>
      </c>
      <c r="AI639">
        <f>Table7424[[#This Row],[CFNM]]/Table7424[[#This Row],[CAREA]]</f>
        <v>0.31239277317687925</v>
      </c>
      <c r="AJ639">
        <v>2.2246999999999999</v>
      </c>
      <c r="AK639">
        <f>-(Table8425[[#This Row],[time]]-2)*2</f>
        <v>-0.4493999999999998</v>
      </c>
      <c r="AL639">
        <v>82.554000000000002</v>
      </c>
      <c r="AM639">
        <v>15.6663</v>
      </c>
      <c r="AN639">
        <f>Table8425[[#This Row],[CFNM]]/Table8425[[#This Row],[CAREA]]</f>
        <v>0.18977033214623154</v>
      </c>
    </row>
    <row r="640" spans="1:40" x14ac:dyDescent="0.25">
      <c r="A640">
        <v>2.2668900000000001</v>
      </c>
      <c r="B640">
        <f>-(Table1418[[#This Row],[time]]-2)*2</f>
        <v>-0.53378000000000014</v>
      </c>
      <c r="C640">
        <v>95.877300000000005</v>
      </c>
      <c r="D640">
        <v>16.091899999999999</v>
      </c>
      <c r="E640">
        <f>Table1418[[#This Row],[CFNM]]/Table1418[[#This Row],[CAREA]]</f>
        <v>0.167838476886604</v>
      </c>
      <c r="F640">
        <v>2.2668900000000001</v>
      </c>
      <c r="G640">
        <f>-(Table2419[[#This Row],[time]]-2)*2</f>
        <v>-0.53378000000000014</v>
      </c>
      <c r="H640">
        <v>88.968400000000003</v>
      </c>
      <c r="I640">
        <v>1.26576</v>
      </c>
      <c r="J640">
        <f>Table2419[[#This Row],[CFNM]]/Table2419[[#This Row],[CAREA]]</f>
        <v>1.4227073882412181E-2</v>
      </c>
      <c r="K640">
        <v>2.2668900000000001</v>
      </c>
      <c r="L640">
        <f>-(Table3420[[#This Row],[time]]-2)*2</f>
        <v>-0.53378000000000014</v>
      </c>
      <c r="M640">
        <v>90.171599999999998</v>
      </c>
      <c r="N640">
        <v>11.1547</v>
      </c>
      <c r="O640">
        <f>Table3420[[#This Row],[CFNM]]/Table3420[[#This Row],[CAREA]]</f>
        <v>0.12370524644122984</v>
      </c>
      <c r="P640">
        <v>2.2668900000000001</v>
      </c>
      <c r="Q640">
        <f>-(Table4421[[#This Row],[time]]-2)*2</f>
        <v>-0.53378000000000014</v>
      </c>
      <c r="R640">
        <v>78.703199999999995</v>
      </c>
      <c r="S640">
        <v>4.80715</v>
      </c>
      <c r="T640">
        <f>Table4421[[#This Row],[CFNM]]/Table4421[[#This Row],[CAREA]]</f>
        <v>6.1079473261570053E-2</v>
      </c>
      <c r="U640">
        <v>2.2668900000000001</v>
      </c>
      <c r="V640">
        <f>-(Table5422[[#This Row],[time]]-2)*2</f>
        <v>-0.53378000000000014</v>
      </c>
      <c r="W640">
        <v>84.152600000000007</v>
      </c>
      <c r="X640">
        <v>15.3116</v>
      </c>
      <c r="Y640">
        <f>Table5422[[#This Row],[CFNM]]/Table5422[[#This Row],[CAREA]]</f>
        <v>0.18195040913768556</v>
      </c>
      <c r="Z640">
        <v>2.2668900000000001</v>
      </c>
      <c r="AA640">
        <f>-(Table6423[[#This Row],[time]]-2)*2</f>
        <v>-0.53378000000000014</v>
      </c>
      <c r="AB640">
        <v>79.414699999999996</v>
      </c>
      <c r="AC640">
        <v>2.8915500000000001</v>
      </c>
      <c r="AD640">
        <f>Table6423[[#This Row],[CFNM]]/Table6423[[#This Row],[CAREA]]</f>
        <v>3.6410765261343306E-2</v>
      </c>
      <c r="AE640">
        <v>2.2668900000000001</v>
      </c>
      <c r="AF640">
        <f>-(Table7424[[#This Row],[time]]-2)*2</f>
        <v>-0.53378000000000014</v>
      </c>
      <c r="AG640">
        <v>79.374300000000005</v>
      </c>
      <c r="AH640">
        <v>27.121400000000001</v>
      </c>
      <c r="AI640">
        <f>Table7424[[#This Row],[CFNM]]/Table7424[[#This Row],[CAREA]]</f>
        <v>0.34168994246248469</v>
      </c>
      <c r="AJ640">
        <v>2.2668900000000001</v>
      </c>
      <c r="AK640">
        <f>-(Table8425[[#This Row],[time]]-2)*2</f>
        <v>-0.53378000000000014</v>
      </c>
      <c r="AL640">
        <v>82.573099999999997</v>
      </c>
      <c r="AM640">
        <v>14.779299999999999</v>
      </c>
      <c r="AN640">
        <f>Table8425[[#This Row],[CFNM]]/Table8425[[#This Row],[CAREA]]</f>
        <v>0.17898443924231983</v>
      </c>
    </row>
    <row r="641" spans="1:40" x14ac:dyDescent="0.25">
      <c r="A641">
        <v>2.3262700000000001</v>
      </c>
      <c r="B641">
        <f>-(Table1418[[#This Row],[time]]-2)*2</f>
        <v>-0.65254000000000012</v>
      </c>
      <c r="C641">
        <v>97.954800000000006</v>
      </c>
      <c r="D641">
        <v>18.751999999999999</v>
      </c>
      <c r="E641">
        <f>Table1418[[#This Row],[CFNM]]/Table1418[[#This Row],[CAREA]]</f>
        <v>0.19143523339336099</v>
      </c>
      <c r="F641">
        <v>2.3262700000000001</v>
      </c>
      <c r="G641">
        <f>-(Table2419[[#This Row],[time]]-2)*2</f>
        <v>-0.65254000000000012</v>
      </c>
      <c r="H641">
        <v>87.693100000000001</v>
      </c>
      <c r="I641">
        <v>0.96331599999999995</v>
      </c>
      <c r="J641">
        <f>Table2419[[#This Row],[CFNM]]/Table2419[[#This Row],[CAREA]]</f>
        <v>1.0985083204949989E-2</v>
      </c>
      <c r="K641">
        <v>2.3262700000000001</v>
      </c>
      <c r="L641">
        <f>-(Table3420[[#This Row],[time]]-2)*2</f>
        <v>-0.65254000000000012</v>
      </c>
      <c r="M641">
        <v>89.460899999999995</v>
      </c>
      <c r="N641">
        <v>13.603400000000001</v>
      </c>
      <c r="O641">
        <f>Table3420[[#This Row],[CFNM]]/Table3420[[#This Row],[CAREA]]</f>
        <v>0.15205972665153158</v>
      </c>
      <c r="P641">
        <v>2.3262700000000001</v>
      </c>
      <c r="Q641">
        <f>-(Table4421[[#This Row],[time]]-2)*2</f>
        <v>-0.65254000000000012</v>
      </c>
      <c r="R641">
        <v>78.260199999999998</v>
      </c>
      <c r="S641">
        <v>4.9289500000000004</v>
      </c>
      <c r="T641">
        <f>Table4421[[#This Row],[CFNM]]/Table4421[[#This Row],[CAREA]]</f>
        <v>6.2981566620069984E-2</v>
      </c>
      <c r="U641">
        <v>2.3262700000000001</v>
      </c>
      <c r="V641">
        <f>-(Table5422[[#This Row],[time]]-2)*2</f>
        <v>-0.65254000000000012</v>
      </c>
      <c r="W641">
        <v>84.526899999999998</v>
      </c>
      <c r="X641">
        <v>18.0624</v>
      </c>
      <c r="Y641">
        <f>Table5422[[#This Row],[CFNM]]/Table5422[[#This Row],[CAREA]]</f>
        <v>0.21368818683756297</v>
      </c>
      <c r="Z641">
        <v>2.3262700000000001</v>
      </c>
      <c r="AA641">
        <f>-(Table6423[[#This Row],[time]]-2)*2</f>
        <v>-0.65254000000000012</v>
      </c>
      <c r="AB641">
        <v>78.674499999999995</v>
      </c>
      <c r="AC641">
        <v>2.4450599999999998</v>
      </c>
      <c r="AD641">
        <f>Table6423[[#This Row],[CFNM]]/Table6423[[#This Row],[CAREA]]</f>
        <v>3.1078176537505799E-2</v>
      </c>
      <c r="AE641">
        <v>2.3262700000000001</v>
      </c>
      <c r="AF641">
        <f>-(Table7424[[#This Row],[time]]-2)*2</f>
        <v>-0.65254000000000012</v>
      </c>
      <c r="AG641">
        <v>77.976500000000001</v>
      </c>
      <c r="AH641">
        <v>29.915700000000001</v>
      </c>
      <c r="AI641">
        <f>Table7424[[#This Row],[CFNM]]/Table7424[[#This Row],[CAREA]]</f>
        <v>0.3836502023045405</v>
      </c>
      <c r="AJ641">
        <v>2.3262700000000001</v>
      </c>
      <c r="AK641">
        <f>-(Table8425[[#This Row],[time]]-2)*2</f>
        <v>-0.65254000000000012</v>
      </c>
      <c r="AL641">
        <v>82.369600000000005</v>
      </c>
      <c r="AM641">
        <v>14.0312</v>
      </c>
      <c r="AN641">
        <f>Table8425[[#This Row],[CFNM]]/Table8425[[#This Row],[CAREA]]</f>
        <v>0.17034439890445019</v>
      </c>
    </row>
    <row r="642" spans="1:40" x14ac:dyDescent="0.25">
      <c r="A642">
        <v>2.3684599999999998</v>
      </c>
      <c r="B642">
        <f>-(Table1418[[#This Row],[time]]-2)*2</f>
        <v>-0.73691999999999958</v>
      </c>
      <c r="C642">
        <v>99.200500000000005</v>
      </c>
      <c r="D642">
        <v>21.183800000000002</v>
      </c>
      <c r="E642">
        <f>Table1418[[#This Row],[CFNM]]/Table1418[[#This Row],[CAREA]]</f>
        <v>0.21354529463057143</v>
      </c>
      <c r="F642">
        <v>2.3684599999999998</v>
      </c>
      <c r="G642">
        <f>-(Table2419[[#This Row],[time]]-2)*2</f>
        <v>-0.73691999999999958</v>
      </c>
      <c r="H642">
        <v>86.290099999999995</v>
      </c>
      <c r="I642">
        <v>0.82924699999999996</v>
      </c>
      <c r="J642">
        <f>Table2419[[#This Row],[CFNM]]/Table2419[[#This Row],[CAREA]]</f>
        <v>9.6099900220303364E-3</v>
      </c>
      <c r="K642">
        <v>2.3684599999999998</v>
      </c>
      <c r="L642">
        <f>-(Table3420[[#This Row],[time]]-2)*2</f>
        <v>-0.73691999999999958</v>
      </c>
      <c r="M642">
        <v>88.706699999999998</v>
      </c>
      <c r="N642">
        <v>15.7395</v>
      </c>
      <c r="O642">
        <f>Table3420[[#This Row],[CFNM]]/Table3420[[#This Row],[CAREA]]</f>
        <v>0.17743304620733272</v>
      </c>
      <c r="P642">
        <v>2.3684599999999998</v>
      </c>
      <c r="Q642">
        <f>-(Table4421[[#This Row],[time]]-2)*2</f>
        <v>-0.73691999999999958</v>
      </c>
      <c r="R642">
        <v>76.836399999999998</v>
      </c>
      <c r="S642">
        <v>5.0387300000000002</v>
      </c>
      <c r="T642">
        <f>Table4421[[#This Row],[CFNM]]/Table4421[[#This Row],[CAREA]]</f>
        <v>6.5577382594707717E-2</v>
      </c>
      <c r="U642">
        <v>2.3684599999999998</v>
      </c>
      <c r="V642">
        <f>-(Table5422[[#This Row],[time]]-2)*2</f>
        <v>-0.73691999999999958</v>
      </c>
      <c r="W642">
        <v>84.368099999999998</v>
      </c>
      <c r="X642">
        <v>20.442</v>
      </c>
      <c r="Y642">
        <f>Table5422[[#This Row],[CFNM]]/Table5422[[#This Row],[CAREA]]</f>
        <v>0.2422953699324745</v>
      </c>
      <c r="Z642">
        <v>2.3684599999999998</v>
      </c>
      <c r="AA642">
        <f>-(Table6423[[#This Row],[time]]-2)*2</f>
        <v>-0.73691999999999958</v>
      </c>
      <c r="AB642">
        <v>77.754099999999994</v>
      </c>
      <c r="AC642">
        <v>2.2459600000000002</v>
      </c>
      <c r="AD642">
        <f>Table6423[[#This Row],[CFNM]]/Table6423[[#This Row],[CAREA]]</f>
        <v>2.8885422119219441E-2</v>
      </c>
      <c r="AE642">
        <v>2.3684599999999998</v>
      </c>
      <c r="AF642">
        <f>-(Table7424[[#This Row],[time]]-2)*2</f>
        <v>-0.73691999999999958</v>
      </c>
      <c r="AG642">
        <v>76.7958</v>
      </c>
      <c r="AH642">
        <v>32.322000000000003</v>
      </c>
      <c r="AI642">
        <f>Table7424[[#This Row],[CFNM]]/Table7424[[#This Row],[CAREA]]</f>
        <v>0.42088239200581284</v>
      </c>
      <c r="AJ642">
        <v>2.3684599999999998</v>
      </c>
      <c r="AK642">
        <f>-(Table8425[[#This Row],[time]]-2)*2</f>
        <v>-0.73691999999999958</v>
      </c>
      <c r="AL642">
        <v>82.489699999999999</v>
      </c>
      <c r="AM642">
        <v>13.4161</v>
      </c>
      <c r="AN642">
        <f>Table8425[[#This Row],[CFNM]]/Table8425[[#This Row],[CAREA]]</f>
        <v>0.1626396992594227</v>
      </c>
    </row>
    <row r="643" spans="1:40" x14ac:dyDescent="0.25">
      <c r="A643">
        <v>2.4278300000000002</v>
      </c>
      <c r="B643">
        <f>-(Table1418[[#This Row],[time]]-2)*2</f>
        <v>-0.85566000000000031</v>
      </c>
      <c r="C643">
        <v>100.26600000000001</v>
      </c>
      <c r="D643">
        <v>24.832599999999999</v>
      </c>
      <c r="E643">
        <f>Table1418[[#This Row],[CFNM]]/Table1418[[#This Row],[CAREA]]</f>
        <v>0.24766720523407734</v>
      </c>
      <c r="F643">
        <v>2.4278300000000002</v>
      </c>
      <c r="G643">
        <f>-(Table2419[[#This Row],[time]]-2)*2</f>
        <v>-0.85566000000000031</v>
      </c>
      <c r="H643">
        <v>85.172799999999995</v>
      </c>
      <c r="I643">
        <v>0.786964</v>
      </c>
      <c r="J643">
        <f>Table2419[[#This Row],[CFNM]]/Table2419[[#This Row],[CAREA]]</f>
        <v>9.2396164033588194E-3</v>
      </c>
      <c r="K643">
        <v>2.4278300000000002</v>
      </c>
      <c r="L643">
        <f>-(Table3420[[#This Row],[time]]-2)*2</f>
        <v>-0.85566000000000031</v>
      </c>
      <c r="M643">
        <v>87.329099999999997</v>
      </c>
      <c r="N643">
        <v>19.109000000000002</v>
      </c>
      <c r="O643">
        <f>Table3420[[#This Row],[CFNM]]/Table3420[[#This Row],[CAREA]]</f>
        <v>0.21881595023880931</v>
      </c>
      <c r="P643">
        <v>2.4278300000000002</v>
      </c>
      <c r="Q643">
        <f>-(Table4421[[#This Row],[time]]-2)*2</f>
        <v>-0.85566000000000031</v>
      </c>
      <c r="R643">
        <v>75.419600000000003</v>
      </c>
      <c r="S643">
        <v>5.1694399999999998</v>
      </c>
      <c r="T643">
        <f>Table4421[[#This Row],[CFNM]]/Table4421[[#This Row],[CAREA]]</f>
        <v>6.8542394815140892E-2</v>
      </c>
      <c r="U643">
        <v>2.4278300000000002</v>
      </c>
      <c r="V643">
        <f>-(Table5422[[#This Row],[time]]-2)*2</f>
        <v>-0.85566000000000031</v>
      </c>
      <c r="W643">
        <v>84.484899999999996</v>
      </c>
      <c r="X643">
        <v>23.747599999999998</v>
      </c>
      <c r="Y643">
        <f>Table5422[[#This Row],[CFNM]]/Table5422[[#This Row],[CAREA]]</f>
        <v>0.28108691612347297</v>
      </c>
      <c r="Z643">
        <v>2.4278300000000002</v>
      </c>
      <c r="AA643">
        <f>-(Table6423[[#This Row],[time]]-2)*2</f>
        <v>-0.85566000000000031</v>
      </c>
      <c r="AB643">
        <v>75.930599999999998</v>
      </c>
      <c r="AC643">
        <v>2.1074799999999998</v>
      </c>
      <c r="AD643">
        <f>Table6423[[#This Row],[CFNM]]/Table6423[[#This Row],[CAREA]]</f>
        <v>2.7755345012419233E-2</v>
      </c>
      <c r="AE643">
        <v>2.4278300000000002</v>
      </c>
      <c r="AF643">
        <f>-(Table7424[[#This Row],[time]]-2)*2</f>
        <v>-0.85566000000000031</v>
      </c>
      <c r="AG643">
        <v>75.302899999999994</v>
      </c>
      <c r="AH643">
        <v>35.698500000000003</v>
      </c>
      <c r="AI643">
        <f>Table7424[[#This Row],[CFNM]]/Table7424[[#This Row],[CAREA]]</f>
        <v>0.47406540783953877</v>
      </c>
      <c r="AJ643">
        <v>2.4278300000000002</v>
      </c>
      <c r="AK643">
        <f>-(Table8425[[#This Row],[time]]-2)*2</f>
        <v>-0.85566000000000031</v>
      </c>
      <c r="AL643">
        <v>82.579800000000006</v>
      </c>
      <c r="AM643">
        <v>12.458399999999999</v>
      </c>
      <c r="AN643">
        <f>Table8425[[#This Row],[CFNM]]/Table8425[[#This Row],[CAREA]]</f>
        <v>0.1508649815087951</v>
      </c>
    </row>
    <row r="644" spans="1:40" x14ac:dyDescent="0.25">
      <c r="A644">
        <v>2.4542000000000002</v>
      </c>
      <c r="B644">
        <f>-(Table1418[[#This Row],[time]]-2)*2</f>
        <v>-0.90840000000000032</v>
      </c>
      <c r="C644">
        <v>100.863</v>
      </c>
      <c r="D644">
        <v>27.903700000000001</v>
      </c>
      <c r="E644">
        <f>Table1418[[#This Row],[CFNM]]/Table1418[[#This Row],[CAREA]]</f>
        <v>0.27664951468824051</v>
      </c>
      <c r="F644">
        <v>2.4542000000000002</v>
      </c>
      <c r="G644">
        <f>-(Table2419[[#This Row],[time]]-2)*2</f>
        <v>-0.90840000000000032</v>
      </c>
      <c r="H644">
        <v>84.175200000000004</v>
      </c>
      <c r="I644">
        <v>0.72137700000000005</v>
      </c>
      <c r="J644">
        <f>Table2419[[#This Row],[CFNM]]/Table2419[[#This Row],[CAREA]]</f>
        <v>8.5699469677529717E-3</v>
      </c>
      <c r="K644">
        <v>2.4542000000000002</v>
      </c>
      <c r="L644">
        <f>-(Table3420[[#This Row],[time]]-2)*2</f>
        <v>-0.90840000000000032</v>
      </c>
      <c r="M644">
        <v>86.320700000000002</v>
      </c>
      <c r="N644">
        <v>22.0579</v>
      </c>
      <c r="O644">
        <f>Table3420[[#This Row],[CFNM]]/Table3420[[#This Row],[CAREA]]</f>
        <v>0.25553430405453154</v>
      </c>
      <c r="P644">
        <v>2.4542000000000002</v>
      </c>
      <c r="Q644">
        <f>-(Table4421[[#This Row],[time]]-2)*2</f>
        <v>-0.90840000000000032</v>
      </c>
      <c r="R644">
        <v>74.398700000000005</v>
      </c>
      <c r="S644">
        <v>5.1884199999999998</v>
      </c>
      <c r="T644">
        <f>Table4421[[#This Row],[CFNM]]/Table4421[[#This Row],[CAREA]]</f>
        <v>6.973804649812429E-2</v>
      </c>
      <c r="U644">
        <v>2.4542000000000002</v>
      </c>
      <c r="V644">
        <f>-(Table5422[[#This Row],[time]]-2)*2</f>
        <v>-0.90840000000000032</v>
      </c>
      <c r="W644">
        <v>84.084299999999999</v>
      </c>
      <c r="X644">
        <v>26.346</v>
      </c>
      <c r="Y644">
        <f>Table5422[[#This Row],[CFNM]]/Table5422[[#This Row],[CAREA]]</f>
        <v>0.31332840970311937</v>
      </c>
      <c r="Z644">
        <v>2.4542000000000002</v>
      </c>
      <c r="AA644">
        <f>-(Table6423[[#This Row],[time]]-2)*2</f>
        <v>-0.90840000000000032</v>
      </c>
      <c r="AB644">
        <v>73.844300000000004</v>
      </c>
      <c r="AC644">
        <v>1.9600599999999999</v>
      </c>
      <c r="AD644">
        <f>Table6423[[#This Row],[CFNM]]/Table6423[[#This Row],[CAREA]]</f>
        <v>2.6543145510215409E-2</v>
      </c>
      <c r="AE644">
        <v>2.4542000000000002</v>
      </c>
      <c r="AF644">
        <f>-(Table7424[[#This Row],[time]]-2)*2</f>
        <v>-0.90840000000000032</v>
      </c>
      <c r="AG644">
        <v>74.2928</v>
      </c>
      <c r="AH644">
        <v>38.188800000000001</v>
      </c>
      <c r="AI644">
        <f>Table7424[[#This Row],[CFNM]]/Table7424[[#This Row],[CAREA]]</f>
        <v>0.51403096935369241</v>
      </c>
      <c r="AJ644">
        <v>2.4542000000000002</v>
      </c>
      <c r="AK644">
        <f>-(Table8425[[#This Row],[time]]-2)*2</f>
        <v>-0.90840000000000032</v>
      </c>
      <c r="AL644">
        <v>82.042400000000001</v>
      </c>
      <c r="AM644">
        <v>11.6967</v>
      </c>
      <c r="AN644">
        <f>Table8425[[#This Row],[CFNM]]/Table8425[[#This Row],[CAREA]]</f>
        <v>0.14256896434038985</v>
      </c>
    </row>
    <row r="645" spans="1:40" x14ac:dyDescent="0.25">
      <c r="A645">
        <v>2.5061499999999999</v>
      </c>
      <c r="B645">
        <f>-(Table1418[[#This Row],[time]]-2)*2</f>
        <v>-1.0122999999999998</v>
      </c>
      <c r="C645">
        <v>101.023</v>
      </c>
      <c r="D645">
        <v>31.123100000000001</v>
      </c>
      <c r="E645">
        <f>Table1418[[#This Row],[CFNM]]/Table1418[[#This Row],[CAREA]]</f>
        <v>0.30807934826722627</v>
      </c>
      <c r="F645">
        <v>2.5061499999999999</v>
      </c>
      <c r="G645">
        <f>-(Table2419[[#This Row],[time]]-2)*2</f>
        <v>-1.0122999999999998</v>
      </c>
      <c r="H645">
        <v>82.879800000000003</v>
      </c>
      <c r="I645">
        <v>0.55128100000000002</v>
      </c>
      <c r="J645">
        <f>Table2419[[#This Row],[CFNM]]/Table2419[[#This Row],[CAREA]]</f>
        <v>6.6515725182734516E-3</v>
      </c>
      <c r="K645">
        <v>2.5061499999999999</v>
      </c>
      <c r="L645">
        <f>-(Table3420[[#This Row],[time]]-2)*2</f>
        <v>-1.0122999999999998</v>
      </c>
      <c r="M645">
        <v>85.424999999999997</v>
      </c>
      <c r="N645">
        <v>24.901399999999999</v>
      </c>
      <c r="O645">
        <f>Table3420[[#This Row],[CFNM]]/Table3420[[#This Row],[CAREA]]</f>
        <v>0.29150014632718757</v>
      </c>
      <c r="P645">
        <v>2.5061499999999999</v>
      </c>
      <c r="Q645">
        <f>-(Table4421[[#This Row],[time]]-2)*2</f>
        <v>-1.0122999999999998</v>
      </c>
      <c r="R645">
        <v>73.459699999999998</v>
      </c>
      <c r="S645">
        <v>5.2222</v>
      </c>
      <c r="T645">
        <f>Table4421[[#This Row],[CFNM]]/Table4421[[#This Row],[CAREA]]</f>
        <v>7.1089318360951656E-2</v>
      </c>
      <c r="U645">
        <v>2.5061499999999999</v>
      </c>
      <c r="V645">
        <f>-(Table5422[[#This Row],[time]]-2)*2</f>
        <v>-1.0122999999999998</v>
      </c>
      <c r="W645">
        <v>84.122</v>
      </c>
      <c r="X645">
        <v>28.767399999999999</v>
      </c>
      <c r="Y645">
        <f>Table5422[[#This Row],[CFNM]]/Table5422[[#This Row],[CAREA]]</f>
        <v>0.34197237345759729</v>
      </c>
      <c r="Z645">
        <v>2.5061499999999999</v>
      </c>
      <c r="AA645">
        <f>-(Table6423[[#This Row],[time]]-2)*2</f>
        <v>-1.0122999999999998</v>
      </c>
      <c r="AB645">
        <v>73.208799999999997</v>
      </c>
      <c r="AC645">
        <v>1.7957099999999999</v>
      </c>
      <c r="AD645">
        <f>Table6423[[#This Row],[CFNM]]/Table6423[[#This Row],[CAREA]]</f>
        <v>2.4528608582574774E-2</v>
      </c>
      <c r="AE645">
        <v>2.5061499999999999</v>
      </c>
      <c r="AF645">
        <f>-(Table7424[[#This Row],[time]]-2)*2</f>
        <v>-1.0122999999999998</v>
      </c>
      <c r="AG645">
        <v>73.357600000000005</v>
      </c>
      <c r="AH645">
        <v>40.514600000000002</v>
      </c>
      <c r="AI645">
        <f>Table7424[[#This Row],[CFNM]]/Table7424[[#This Row],[CAREA]]</f>
        <v>0.55228906071081929</v>
      </c>
      <c r="AJ645">
        <v>2.5061499999999999</v>
      </c>
      <c r="AK645">
        <f>-(Table8425[[#This Row],[time]]-2)*2</f>
        <v>-1.0122999999999998</v>
      </c>
      <c r="AL645">
        <v>81.478300000000004</v>
      </c>
      <c r="AM645">
        <v>10.974600000000001</v>
      </c>
      <c r="AN645">
        <f>Table8425[[#This Row],[CFNM]]/Table8425[[#This Row],[CAREA]]</f>
        <v>0.13469353189745001</v>
      </c>
    </row>
    <row r="646" spans="1:40" x14ac:dyDescent="0.25">
      <c r="A646">
        <v>2.5507599999999999</v>
      </c>
      <c r="B646">
        <f>-(Table1418[[#This Row],[time]]-2)*2</f>
        <v>-1.1015199999999998</v>
      </c>
      <c r="C646">
        <v>101.133</v>
      </c>
      <c r="D646">
        <v>35.311</v>
      </c>
      <c r="E646">
        <f>Table1418[[#This Row],[CFNM]]/Table1418[[#This Row],[CAREA]]</f>
        <v>0.34915408422572258</v>
      </c>
      <c r="F646">
        <v>2.5507599999999999</v>
      </c>
      <c r="G646">
        <f>-(Table2419[[#This Row],[time]]-2)*2</f>
        <v>-1.1015199999999998</v>
      </c>
      <c r="H646">
        <v>82.291799999999995</v>
      </c>
      <c r="I646">
        <v>0.42303800000000003</v>
      </c>
      <c r="J646">
        <f>Table2419[[#This Row],[CFNM]]/Table2419[[#This Row],[CAREA]]</f>
        <v>5.1407066074627122E-3</v>
      </c>
      <c r="K646">
        <v>2.5507599999999999</v>
      </c>
      <c r="L646">
        <f>-(Table3420[[#This Row],[time]]-2)*2</f>
        <v>-1.1015199999999998</v>
      </c>
      <c r="M646">
        <v>84.058800000000005</v>
      </c>
      <c r="N646">
        <v>29.03</v>
      </c>
      <c r="O646">
        <f>Table3420[[#This Row],[CFNM]]/Table3420[[#This Row],[CAREA]]</f>
        <v>0.34535349065178184</v>
      </c>
      <c r="P646">
        <v>2.5507599999999999</v>
      </c>
      <c r="Q646">
        <f>-(Table4421[[#This Row],[time]]-2)*2</f>
        <v>-1.1015199999999998</v>
      </c>
      <c r="R646">
        <v>72.4435</v>
      </c>
      <c r="S646">
        <v>5.1301800000000002</v>
      </c>
      <c r="T646">
        <f>Table4421[[#This Row],[CFNM]]/Table4421[[#This Row],[CAREA]]</f>
        <v>7.0816291316681282E-2</v>
      </c>
      <c r="U646">
        <v>2.5507599999999999</v>
      </c>
      <c r="V646">
        <f>-(Table5422[[#This Row],[time]]-2)*2</f>
        <v>-1.1015199999999998</v>
      </c>
      <c r="W646">
        <v>83.706100000000006</v>
      </c>
      <c r="X646">
        <v>32.089399999999998</v>
      </c>
      <c r="Y646">
        <f>Table5422[[#This Row],[CFNM]]/Table5422[[#This Row],[CAREA]]</f>
        <v>0.38335796315919624</v>
      </c>
      <c r="Z646">
        <v>2.5507599999999999</v>
      </c>
      <c r="AA646">
        <f>-(Table6423[[#This Row],[time]]-2)*2</f>
        <v>-1.1015199999999998</v>
      </c>
      <c r="AB646">
        <v>71.622699999999995</v>
      </c>
      <c r="AC646">
        <v>1.52407</v>
      </c>
      <c r="AD646">
        <f>Table6423[[#This Row],[CFNM]]/Table6423[[#This Row],[CAREA]]</f>
        <v>2.1279147532835264E-2</v>
      </c>
      <c r="AE646">
        <v>2.5507599999999999</v>
      </c>
      <c r="AF646">
        <f>-(Table7424[[#This Row],[time]]-2)*2</f>
        <v>-1.1015199999999998</v>
      </c>
      <c r="AG646">
        <v>72.228300000000004</v>
      </c>
      <c r="AH646">
        <v>43.879300000000001</v>
      </c>
      <c r="AI646">
        <f>Table7424[[#This Row],[CFNM]]/Table7424[[#This Row],[CAREA]]</f>
        <v>0.60750841429190494</v>
      </c>
      <c r="AJ646">
        <v>2.5507599999999999</v>
      </c>
      <c r="AK646">
        <f>-(Table8425[[#This Row],[time]]-2)*2</f>
        <v>-1.1015199999999998</v>
      </c>
      <c r="AL646">
        <v>80.770499999999998</v>
      </c>
      <c r="AM646">
        <v>10.034700000000001</v>
      </c>
      <c r="AN646">
        <f>Table8425[[#This Row],[CFNM]]/Table8425[[#This Row],[CAREA]]</f>
        <v>0.12423719055843409</v>
      </c>
    </row>
    <row r="647" spans="1:40" x14ac:dyDescent="0.25">
      <c r="A647">
        <v>2.60453</v>
      </c>
      <c r="B647">
        <f>-(Table1418[[#This Row],[time]]-2)*2</f>
        <v>-1.20906</v>
      </c>
      <c r="C647">
        <v>101.072</v>
      </c>
      <c r="D647">
        <v>39.233899999999998</v>
      </c>
      <c r="E647">
        <f>Table1418[[#This Row],[CFNM]]/Table1418[[#This Row],[CAREA]]</f>
        <v>0.38817773468418548</v>
      </c>
      <c r="F647">
        <v>2.60453</v>
      </c>
      <c r="G647">
        <f>-(Table2419[[#This Row],[time]]-2)*2</f>
        <v>-1.20906</v>
      </c>
      <c r="H647">
        <v>81.622699999999995</v>
      </c>
      <c r="I647">
        <v>0.31603399999999998</v>
      </c>
      <c r="J647">
        <f>Table2419[[#This Row],[CFNM]]/Table2419[[#This Row],[CAREA]]</f>
        <v>3.8718885800151184E-3</v>
      </c>
      <c r="K647">
        <v>2.60453</v>
      </c>
      <c r="L647">
        <f>-(Table3420[[#This Row],[time]]-2)*2</f>
        <v>-1.20906</v>
      </c>
      <c r="M647">
        <v>83.015100000000004</v>
      </c>
      <c r="N647">
        <v>33.496699999999997</v>
      </c>
      <c r="O647">
        <f>Table3420[[#This Row],[CFNM]]/Table3420[[#This Row],[CAREA]]</f>
        <v>0.40350129072903601</v>
      </c>
      <c r="P647">
        <v>2.60453</v>
      </c>
      <c r="Q647">
        <f>-(Table4421[[#This Row],[time]]-2)*2</f>
        <v>-1.20906</v>
      </c>
      <c r="R647">
        <v>71.659300000000002</v>
      </c>
      <c r="S647">
        <v>4.7117300000000002</v>
      </c>
      <c r="T647">
        <f>Table4421[[#This Row],[CFNM]]/Table4421[[#This Row],[CAREA]]</f>
        <v>6.5751828443760971E-2</v>
      </c>
      <c r="U647">
        <v>2.60453</v>
      </c>
      <c r="V647">
        <f>-(Table5422[[#This Row],[time]]-2)*2</f>
        <v>-1.20906</v>
      </c>
      <c r="W647">
        <v>83.1203</v>
      </c>
      <c r="X647">
        <v>35.385300000000001</v>
      </c>
      <c r="Y647">
        <f>Table5422[[#This Row],[CFNM]]/Table5422[[#This Row],[CAREA]]</f>
        <v>0.42571188987527719</v>
      </c>
      <c r="Z647">
        <v>2.60453</v>
      </c>
      <c r="AA647">
        <f>-(Table6423[[#This Row],[time]]-2)*2</f>
        <v>-1.20906</v>
      </c>
      <c r="AB647">
        <v>68.511300000000006</v>
      </c>
      <c r="AC647">
        <v>1.24647</v>
      </c>
      <c r="AD647">
        <f>Table6423[[#This Row],[CFNM]]/Table6423[[#This Row],[CAREA]]</f>
        <v>1.8193641048994836E-2</v>
      </c>
      <c r="AE647">
        <v>2.60453</v>
      </c>
      <c r="AF647">
        <f>-(Table7424[[#This Row],[time]]-2)*2</f>
        <v>-1.20906</v>
      </c>
      <c r="AG647">
        <v>71.080200000000005</v>
      </c>
      <c r="AH647">
        <v>47.352699999999999</v>
      </c>
      <c r="AI647">
        <f>Table7424[[#This Row],[CFNM]]/Table7424[[#This Row],[CAREA]]</f>
        <v>0.66618692687977799</v>
      </c>
      <c r="AJ647">
        <v>2.60453</v>
      </c>
      <c r="AK647">
        <f>-(Table8425[[#This Row],[time]]-2)*2</f>
        <v>-1.20906</v>
      </c>
      <c r="AL647">
        <v>80.7898</v>
      </c>
      <c r="AM647">
        <v>9.0479800000000008</v>
      </c>
      <c r="AN647">
        <f>Table8425[[#This Row],[CFNM]]/Table8425[[#This Row],[CAREA]]</f>
        <v>0.11199408836263985</v>
      </c>
    </row>
    <row r="648" spans="1:40" x14ac:dyDescent="0.25">
      <c r="A648">
        <v>2.65273</v>
      </c>
      <c r="B648">
        <f>-(Table1418[[#This Row],[time]]-2)*2</f>
        <v>-1.3054600000000001</v>
      </c>
      <c r="C648">
        <v>100.83499999999999</v>
      </c>
      <c r="D648">
        <v>41.270899999999997</v>
      </c>
      <c r="E648">
        <f>Table1418[[#This Row],[CFNM]]/Table1418[[#This Row],[CAREA]]</f>
        <v>0.40929141667079882</v>
      </c>
      <c r="F648">
        <v>2.65273</v>
      </c>
      <c r="G648">
        <f>-(Table2419[[#This Row],[time]]-2)*2</f>
        <v>-1.3054600000000001</v>
      </c>
      <c r="H648">
        <v>79.933499999999995</v>
      </c>
      <c r="I648">
        <v>0.25673699999999999</v>
      </c>
      <c r="J648">
        <f>Table2419[[#This Row],[CFNM]]/Table2419[[#This Row],[CAREA]]</f>
        <v>3.2118823772260691E-3</v>
      </c>
      <c r="K648">
        <v>2.65273</v>
      </c>
      <c r="L648">
        <f>-(Table3420[[#This Row],[time]]-2)*2</f>
        <v>-1.3054600000000001</v>
      </c>
      <c r="M648">
        <v>82.469800000000006</v>
      </c>
      <c r="N648">
        <v>35.824800000000003</v>
      </c>
      <c r="O648">
        <f>Table3420[[#This Row],[CFNM]]/Table3420[[#This Row],[CAREA]]</f>
        <v>0.43439901636720352</v>
      </c>
      <c r="P648">
        <v>2.65273</v>
      </c>
      <c r="Q648">
        <f>-(Table4421[[#This Row],[time]]-2)*2</f>
        <v>-1.3054600000000001</v>
      </c>
      <c r="R648">
        <v>69.941500000000005</v>
      </c>
      <c r="S648">
        <v>4.4917199999999999</v>
      </c>
      <c r="T648">
        <f>Table4421[[#This Row],[CFNM]]/Table4421[[#This Row],[CAREA]]</f>
        <v>6.4221099061358422E-2</v>
      </c>
      <c r="U648">
        <v>2.65273</v>
      </c>
      <c r="V648">
        <f>-(Table5422[[#This Row],[time]]-2)*2</f>
        <v>-1.3054600000000001</v>
      </c>
      <c r="W648">
        <v>82.863500000000002</v>
      </c>
      <c r="X648">
        <v>37.147100000000002</v>
      </c>
      <c r="Y648">
        <f>Table5422[[#This Row],[CFNM]]/Table5422[[#This Row],[CAREA]]</f>
        <v>0.44829267409655638</v>
      </c>
      <c r="Z648">
        <v>2.65273</v>
      </c>
      <c r="AA648">
        <f>-(Table6423[[#This Row],[time]]-2)*2</f>
        <v>-1.3054600000000001</v>
      </c>
      <c r="AB648">
        <v>68.315100000000001</v>
      </c>
      <c r="AC648">
        <v>1.10483</v>
      </c>
      <c r="AD648">
        <f>Table6423[[#This Row],[CFNM]]/Table6423[[#This Row],[CAREA]]</f>
        <v>1.6172559214580669E-2</v>
      </c>
      <c r="AE648">
        <v>2.65273</v>
      </c>
      <c r="AF648">
        <f>-(Table7424[[#This Row],[time]]-2)*2</f>
        <v>-1.3054600000000001</v>
      </c>
      <c r="AG648">
        <v>70.513400000000004</v>
      </c>
      <c r="AH648">
        <v>49.1492</v>
      </c>
      <c r="AI648">
        <f>Table7424[[#This Row],[CFNM]]/Table7424[[#This Row],[CAREA]]</f>
        <v>0.6970192899505625</v>
      </c>
      <c r="AJ648">
        <v>2.65273</v>
      </c>
      <c r="AK648">
        <f>-(Table8425[[#This Row],[time]]-2)*2</f>
        <v>-1.3054600000000001</v>
      </c>
      <c r="AL648">
        <v>79.826700000000002</v>
      </c>
      <c r="AM648">
        <v>8.5051600000000001</v>
      </c>
      <c r="AN648">
        <f>Table8425[[#This Row],[CFNM]]/Table8425[[#This Row],[CAREA]]</f>
        <v>0.10654530376427937</v>
      </c>
    </row>
    <row r="649" spans="1:40" x14ac:dyDescent="0.25">
      <c r="A649">
        <v>2.7006199999999998</v>
      </c>
      <c r="B649">
        <f>-(Table1418[[#This Row],[time]]-2)*2</f>
        <v>-1.4012399999999996</v>
      </c>
      <c r="C649">
        <v>100.24</v>
      </c>
      <c r="D649">
        <v>46.344000000000001</v>
      </c>
      <c r="E649">
        <f>Table1418[[#This Row],[CFNM]]/Table1418[[#This Row],[CAREA]]</f>
        <v>0.46233040702314449</v>
      </c>
      <c r="F649">
        <v>2.7006199999999998</v>
      </c>
      <c r="G649">
        <f>-(Table2419[[#This Row],[time]]-2)*2</f>
        <v>-1.4012399999999996</v>
      </c>
      <c r="H649">
        <v>77.874399999999994</v>
      </c>
      <c r="I649">
        <v>9.2746099999999998E-2</v>
      </c>
      <c r="J649">
        <f>Table2419[[#This Row],[CFNM]]/Table2419[[#This Row],[CAREA]]</f>
        <v>1.1909703317136311E-3</v>
      </c>
      <c r="K649">
        <v>2.7006199999999998</v>
      </c>
      <c r="L649">
        <f>-(Table3420[[#This Row],[time]]-2)*2</f>
        <v>-1.4012399999999996</v>
      </c>
      <c r="M649">
        <v>81.146000000000001</v>
      </c>
      <c r="N649">
        <v>41.551600000000001</v>
      </c>
      <c r="O649">
        <f>Table3420[[#This Row],[CFNM]]/Table3420[[#This Row],[CAREA]]</f>
        <v>0.51205974416483868</v>
      </c>
      <c r="P649">
        <v>2.7006199999999998</v>
      </c>
      <c r="Q649">
        <f>-(Table4421[[#This Row],[time]]-2)*2</f>
        <v>-1.4012399999999996</v>
      </c>
      <c r="R649">
        <v>68.280199999999994</v>
      </c>
      <c r="S649">
        <v>3.9607100000000002</v>
      </c>
      <c r="T649">
        <f>Table4421[[#This Row],[CFNM]]/Table4421[[#This Row],[CAREA]]</f>
        <v>5.8006713512848536E-2</v>
      </c>
      <c r="U649">
        <v>2.7006199999999998</v>
      </c>
      <c r="V649">
        <f>-(Table5422[[#This Row],[time]]-2)*2</f>
        <v>-1.4012399999999996</v>
      </c>
      <c r="W649">
        <v>82.1066</v>
      </c>
      <c r="X649">
        <v>41.564</v>
      </c>
      <c r="Y649">
        <f>Table5422[[#This Row],[CFNM]]/Table5422[[#This Row],[CAREA]]</f>
        <v>0.50621996282881032</v>
      </c>
      <c r="Z649">
        <v>2.7006199999999998</v>
      </c>
      <c r="AA649">
        <f>-(Table6423[[#This Row],[time]]-2)*2</f>
        <v>-1.4012399999999996</v>
      </c>
      <c r="AB649">
        <v>65.300899999999999</v>
      </c>
      <c r="AC649">
        <v>0.76791500000000001</v>
      </c>
      <c r="AD649">
        <f>Table6423[[#This Row],[CFNM]]/Table6423[[#This Row],[CAREA]]</f>
        <v>1.1759638841118577E-2</v>
      </c>
      <c r="AE649">
        <v>2.7006199999999998</v>
      </c>
      <c r="AF649">
        <f>-(Table7424[[#This Row],[time]]-2)*2</f>
        <v>-1.4012399999999996</v>
      </c>
      <c r="AG649">
        <v>69.111999999999995</v>
      </c>
      <c r="AH649">
        <v>53.654899999999998</v>
      </c>
      <c r="AI649">
        <f>Table7424[[#This Row],[CFNM]]/Table7424[[#This Row],[CAREA]]</f>
        <v>0.77634708878342407</v>
      </c>
      <c r="AJ649">
        <v>2.7006199999999998</v>
      </c>
      <c r="AK649">
        <f>-(Table8425[[#This Row],[time]]-2)*2</f>
        <v>-1.4012399999999996</v>
      </c>
      <c r="AL649">
        <v>78.808199999999999</v>
      </c>
      <c r="AM649">
        <v>7.1035700000000004</v>
      </c>
      <c r="AN649">
        <f>Table8425[[#This Row],[CFNM]]/Table8425[[#This Row],[CAREA]]</f>
        <v>9.0137447626008463E-2</v>
      </c>
    </row>
    <row r="650" spans="1:40" x14ac:dyDescent="0.25">
      <c r="A650">
        <v>2.75176</v>
      </c>
      <c r="B650">
        <f>-(Table1418[[#This Row],[time]]-2)*2</f>
        <v>-1.50352</v>
      </c>
      <c r="C650">
        <v>100.02</v>
      </c>
      <c r="D650">
        <v>47.534500000000001</v>
      </c>
      <c r="E650">
        <f>Table1418[[#This Row],[CFNM]]/Table1418[[#This Row],[CAREA]]</f>
        <v>0.47524995000999803</v>
      </c>
      <c r="F650">
        <v>2.75176</v>
      </c>
      <c r="G650">
        <f>-(Table2419[[#This Row],[time]]-2)*2</f>
        <v>-1.50352</v>
      </c>
      <c r="H650">
        <v>77.847999999999999</v>
      </c>
      <c r="I650">
        <v>5.60791E-2</v>
      </c>
      <c r="J650">
        <f>Table2419[[#This Row],[CFNM]]/Table2419[[#This Row],[CAREA]]</f>
        <v>7.2036661185900732E-4</v>
      </c>
      <c r="K650">
        <v>2.75176</v>
      </c>
      <c r="L650">
        <f>-(Table3420[[#This Row],[time]]-2)*2</f>
        <v>-1.50352</v>
      </c>
      <c r="M650">
        <v>80.854399999999998</v>
      </c>
      <c r="N650">
        <v>42.8887</v>
      </c>
      <c r="O650">
        <f>Table3420[[#This Row],[CFNM]]/Table3420[[#This Row],[CAREA]]</f>
        <v>0.53044361222147463</v>
      </c>
      <c r="P650">
        <v>2.75176</v>
      </c>
      <c r="Q650">
        <f>-(Table4421[[#This Row],[time]]-2)*2</f>
        <v>-1.50352</v>
      </c>
      <c r="R650">
        <v>67.630499999999998</v>
      </c>
      <c r="S650">
        <v>3.8412700000000002</v>
      </c>
      <c r="T650">
        <f>Table4421[[#This Row],[CFNM]]/Table4421[[#This Row],[CAREA]]</f>
        <v>5.6797894441117547E-2</v>
      </c>
      <c r="U650">
        <v>2.75176</v>
      </c>
      <c r="V650">
        <f>-(Table5422[[#This Row],[time]]-2)*2</f>
        <v>-1.50352</v>
      </c>
      <c r="W650">
        <v>81.922799999999995</v>
      </c>
      <c r="X650">
        <v>42.607399999999998</v>
      </c>
      <c r="Y650">
        <f>Table5422[[#This Row],[CFNM]]/Table5422[[#This Row],[CAREA]]</f>
        <v>0.52009208669625551</v>
      </c>
      <c r="Z650">
        <v>2.75176</v>
      </c>
      <c r="AA650">
        <f>-(Table6423[[#This Row],[time]]-2)*2</f>
        <v>-1.50352</v>
      </c>
      <c r="AB650">
        <v>63.799799999999998</v>
      </c>
      <c r="AC650">
        <v>0.69601500000000005</v>
      </c>
      <c r="AD650">
        <f>Table6423[[#This Row],[CFNM]]/Table6423[[#This Row],[CAREA]]</f>
        <v>1.090936021743015E-2</v>
      </c>
      <c r="AE650">
        <v>2.75176</v>
      </c>
      <c r="AF650">
        <f>-(Table7424[[#This Row],[time]]-2)*2</f>
        <v>-1.50352</v>
      </c>
      <c r="AG650">
        <v>68.822299999999998</v>
      </c>
      <c r="AH650">
        <v>54.710799999999999</v>
      </c>
      <c r="AI650">
        <f>Table7424[[#This Row],[CFNM]]/Table7424[[#This Row],[CAREA]]</f>
        <v>0.79495744838518911</v>
      </c>
      <c r="AJ650">
        <v>2.75176</v>
      </c>
      <c r="AK650">
        <f>-(Table8425[[#This Row],[time]]-2)*2</f>
        <v>-1.50352</v>
      </c>
      <c r="AL650">
        <v>78.541300000000007</v>
      </c>
      <c r="AM650">
        <v>6.7670199999999996</v>
      </c>
      <c r="AN650">
        <f>Table8425[[#This Row],[CFNM]]/Table8425[[#This Row],[CAREA]]</f>
        <v>8.6158747054097637E-2</v>
      </c>
    </row>
    <row r="651" spans="1:40" x14ac:dyDescent="0.25">
      <c r="A651">
        <v>2.80444</v>
      </c>
      <c r="B651">
        <f>-(Table1418[[#This Row],[time]]-2)*2</f>
        <v>-1.6088800000000001</v>
      </c>
      <c r="C651">
        <v>99.043599999999998</v>
      </c>
      <c r="D651">
        <v>51.694200000000002</v>
      </c>
      <c r="E651">
        <f>Table1418[[#This Row],[CFNM]]/Table1418[[#This Row],[CAREA]]</f>
        <v>0.52193377462047019</v>
      </c>
      <c r="F651">
        <v>2.80444</v>
      </c>
      <c r="G651">
        <f>-(Table2419[[#This Row],[time]]-2)*2</f>
        <v>-1.6088800000000001</v>
      </c>
      <c r="H651">
        <v>74.137</v>
      </c>
      <c r="I651">
        <v>3.5865200000000002E-3</v>
      </c>
      <c r="J651">
        <f>Table2419[[#This Row],[CFNM]]/Table2419[[#This Row],[CAREA]]</f>
        <v>4.8376923803229157E-5</v>
      </c>
      <c r="K651">
        <v>2.80444</v>
      </c>
      <c r="L651">
        <f>-(Table3420[[#This Row],[time]]-2)*2</f>
        <v>-1.6088800000000001</v>
      </c>
      <c r="M651">
        <v>79.846999999999994</v>
      </c>
      <c r="N651">
        <v>47.565199999999997</v>
      </c>
      <c r="O651">
        <f>Table3420[[#This Row],[CFNM]]/Table3420[[#This Row],[CAREA]]</f>
        <v>0.59570428444399914</v>
      </c>
      <c r="P651">
        <v>2.80444</v>
      </c>
      <c r="Q651">
        <f>-(Table4421[[#This Row],[time]]-2)*2</f>
        <v>-1.6088800000000001</v>
      </c>
      <c r="R651">
        <v>65.640299999999996</v>
      </c>
      <c r="S651">
        <v>3.41981</v>
      </c>
      <c r="T651">
        <f>Table4421[[#This Row],[CFNM]]/Table4421[[#This Row],[CAREA]]</f>
        <v>5.2099243909610411E-2</v>
      </c>
      <c r="U651">
        <v>2.80444</v>
      </c>
      <c r="V651">
        <f>-(Table5422[[#This Row],[time]]-2)*2</f>
        <v>-1.6088800000000001</v>
      </c>
      <c r="W651">
        <v>81.203199999999995</v>
      </c>
      <c r="X651">
        <v>46.317700000000002</v>
      </c>
      <c r="Y651">
        <f>Table5422[[#This Row],[CFNM]]/Table5422[[#This Row],[CAREA]]</f>
        <v>0.57039254610655743</v>
      </c>
      <c r="Z651">
        <v>2.80444</v>
      </c>
      <c r="AA651">
        <f>-(Table6423[[#This Row],[time]]-2)*2</f>
        <v>-1.6088800000000001</v>
      </c>
      <c r="AB651">
        <v>62.729900000000001</v>
      </c>
      <c r="AC651">
        <v>0.46154499999999998</v>
      </c>
      <c r="AD651">
        <f>Table6423[[#This Row],[CFNM]]/Table6423[[#This Row],[CAREA]]</f>
        <v>7.3576555996422753E-3</v>
      </c>
      <c r="AE651">
        <v>2.80444</v>
      </c>
      <c r="AF651">
        <f>-(Table7424[[#This Row],[time]]-2)*2</f>
        <v>-1.6088800000000001</v>
      </c>
      <c r="AG651">
        <v>67.641099999999994</v>
      </c>
      <c r="AH651">
        <v>58.4529</v>
      </c>
      <c r="AI651">
        <f>Table7424[[#This Row],[CFNM]]/Table7424[[#This Row],[CAREA]]</f>
        <v>0.86416246926794515</v>
      </c>
      <c r="AJ651">
        <v>2.80444</v>
      </c>
      <c r="AK651">
        <f>-(Table8425[[#This Row],[time]]-2)*2</f>
        <v>-1.6088800000000001</v>
      </c>
      <c r="AL651">
        <v>77.611400000000003</v>
      </c>
      <c r="AM651">
        <v>5.6371099999999998</v>
      </c>
      <c r="AN651">
        <f>Table8425[[#This Row],[CFNM]]/Table8425[[#This Row],[CAREA]]</f>
        <v>7.2632499864710598E-2</v>
      </c>
    </row>
    <row r="652" spans="1:40" x14ac:dyDescent="0.25">
      <c r="A652">
        <v>2.8583699999999999</v>
      </c>
      <c r="B652">
        <f>-(Table1418[[#This Row],[time]]-2)*2</f>
        <v>-1.7167399999999997</v>
      </c>
      <c r="C652">
        <v>98.521199999999993</v>
      </c>
      <c r="D652">
        <v>53.632100000000001</v>
      </c>
      <c r="E652">
        <f>Table1418[[#This Row],[CFNM]]/Table1418[[#This Row],[CAREA]]</f>
        <v>0.54437116072479841</v>
      </c>
      <c r="F652">
        <v>2.8583699999999999</v>
      </c>
      <c r="G652">
        <f>-(Table2419[[#This Row],[time]]-2)*2</f>
        <v>-1.7167399999999997</v>
      </c>
      <c r="H652">
        <v>72.008300000000006</v>
      </c>
      <c r="I652">
        <v>3.3605599999999998E-3</v>
      </c>
      <c r="J652">
        <f>Table2419[[#This Row],[CFNM]]/Table2419[[#This Row],[CAREA]]</f>
        <v>4.6669064538393486E-5</v>
      </c>
      <c r="K652">
        <v>2.8583699999999999</v>
      </c>
      <c r="L652">
        <f>-(Table3420[[#This Row],[time]]-2)*2</f>
        <v>-1.7167399999999997</v>
      </c>
      <c r="M652">
        <v>79.437299999999993</v>
      </c>
      <c r="N652">
        <v>49.7455</v>
      </c>
      <c r="O652">
        <f>Table3420[[#This Row],[CFNM]]/Table3420[[#This Row],[CAREA]]</f>
        <v>0.62622344918571005</v>
      </c>
      <c r="P652">
        <v>2.8583699999999999</v>
      </c>
      <c r="Q652">
        <f>-(Table4421[[#This Row],[time]]-2)*2</f>
        <v>-1.7167399999999997</v>
      </c>
      <c r="R652">
        <v>65.518600000000006</v>
      </c>
      <c r="S652">
        <v>3.2163499999999998</v>
      </c>
      <c r="T652">
        <f>Table4421[[#This Row],[CFNM]]/Table4421[[#This Row],[CAREA]]</f>
        <v>4.9090639909888177E-2</v>
      </c>
      <c r="U652">
        <v>2.8583699999999999</v>
      </c>
      <c r="V652">
        <f>-(Table5422[[#This Row],[time]]-2)*2</f>
        <v>-1.7167399999999997</v>
      </c>
      <c r="W652">
        <v>80.863399999999999</v>
      </c>
      <c r="X652">
        <v>48.085099999999997</v>
      </c>
      <c r="Y652">
        <f>Table5422[[#This Row],[CFNM]]/Table5422[[#This Row],[CAREA]]</f>
        <v>0.59464603269216976</v>
      </c>
      <c r="Z652">
        <v>2.8583699999999999</v>
      </c>
      <c r="AA652">
        <f>-(Table6423[[#This Row],[time]]-2)*2</f>
        <v>-1.7167399999999997</v>
      </c>
      <c r="AB652">
        <v>61.991300000000003</v>
      </c>
      <c r="AC652">
        <v>0.36557299999999998</v>
      </c>
      <c r="AD652">
        <f>Table6423[[#This Row],[CFNM]]/Table6423[[#This Row],[CAREA]]</f>
        <v>5.8971662152592372E-3</v>
      </c>
      <c r="AE652">
        <v>2.8583699999999999</v>
      </c>
      <c r="AF652">
        <f>-(Table7424[[#This Row],[time]]-2)*2</f>
        <v>-1.7167399999999997</v>
      </c>
      <c r="AG652">
        <v>67.128299999999996</v>
      </c>
      <c r="AH652">
        <v>60.2196</v>
      </c>
      <c r="AI652">
        <f>Table7424[[#This Row],[CFNM]]/Table7424[[#This Row],[CAREA]]</f>
        <v>0.89708215462033158</v>
      </c>
      <c r="AJ652">
        <v>2.8583699999999999</v>
      </c>
      <c r="AK652">
        <f>-(Table8425[[#This Row],[time]]-2)*2</f>
        <v>-1.7167399999999997</v>
      </c>
      <c r="AL652">
        <v>76.374899999999997</v>
      </c>
      <c r="AM652">
        <v>5.1147499999999999</v>
      </c>
      <c r="AN652">
        <f>Table8425[[#This Row],[CFNM]]/Table8425[[#This Row],[CAREA]]</f>
        <v>6.6968991121428637E-2</v>
      </c>
    </row>
    <row r="653" spans="1:40" x14ac:dyDescent="0.25">
      <c r="A653">
        <v>2.9134199999999999</v>
      </c>
      <c r="B653">
        <f>-(Table1418[[#This Row],[time]]-2)*2</f>
        <v>-1.8268399999999998</v>
      </c>
      <c r="C653">
        <v>97.103399999999993</v>
      </c>
      <c r="D653">
        <v>58.445900000000002</v>
      </c>
      <c r="E653">
        <f>Table1418[[#This Row],[CFNM]]/Table1418[[#This Row],[CAREA]]</f>
        <v>0.60189344554361646</v>
      </c>
      <c r="F653">
        <v>2.9134199999999999</v>
      </c>
      <c r="G653">
        <f>-(Table2419[[#This Row],[time]]-2)*2</f>
        <v>-1.8268399999999998</v>
      </c>
      <c r="H653">
        <v>69.989000000000004</v>
      </c>
      <c r="I653">
        <v>3.0662599999999999E-3</v>
      </c>
      <c r="J653">
        <f>Table2419[[#This Row],[CFNM]]/Table2419[[#This Row],[CAREA]]</f>
        <v>4.3810598808384174E-5</v>
      </c>
      <c r="K653">
        <v>2.9134199999999999</v>
      </c>
      <c r="L653">
        <f>-(Table3420[[#This Row],[time]]-2)*2</f>
        <v>-1.8268399999999998</v>
      </c>
      <c r="M653">
        <v>78.477999999999994</v>
      </c>
      <c r="N653">
        <v>55.145099999999999</v>
      </c>
      <c r="O653">
        <f>Table3420[[#This Row],[CFNM]]/Table3420[[#This Row],[CAREA]]</f>
        <v>0.70268228038431158</v>
      </c>
      <c r="P653">
        <v>2.9134199999999999</v>
      </c>
      <c r="Q653">
        <f>-(Table4421[[#This Row],[time]]-2)*2</f>
        <v>-1.8268399999999998</v>
      </c>
      <c r="R653">
        <v>63.9955</v>
      </c>
      <c r="S653">
        <v>2.7714799999999999</v>
      </c>
      <c r="T653">
        <f>Table4421[[#This Row],[CFNM]]/Table4421[[#This Row],[CAREA]]</f>
        <v>4.3307420052972473E-2</v>
      </c>
      <c r="U653">
        <v>2.9134199999999999</v>
      </c>
      <c r="V653">
        <f>-(Table5422[[#This Row],[time]]-2)*2</f>
        <v>-1.8268399999999998</v>
      </c>
      <c r="W653">
        <v>79.953299999999999</v>
      </c>
      <c r="X653">
        <v>52.565899999999999</v>
      </c>
      <c r="Y653">
        <f>Table5422[[#This Row],[CFNM]]/Table5422[[#This Row],[CAREA]]</f>
        <v>0.65745754083946506</v>
      </c>
      <c r="Z653">
        <v>2.9134199999999999</v>
      </c>
      <c r="AA653">
        <f>-(Table6423[[#This Row],[time]]-2)*2</f>
        <v>-1.8268399999999998</v>
      </c>
      <c r="AB653">
        <v>57.9041</v>
      </c>
      <c r="AC653">
        <v>0.14219599999999999</v>
      </c>
      <c r="AD653">
        <f>Table6423[[#This Row],[CFNM]]/Table6423[[#This Row],[CAREA]]</f>
        <v>2.4557155710908207E-3</v>
      </c>
      <c r="AE653">
        <v>2.9134199999999999</v>
      </c>
      <c r="AF653">
        <f>-(Table7424[[#This Row],[time]]-2)*2</f>
        <v>-1.8268399999999998</v>
      </c>
      <c r="AG653">
        <v>65.981899999999996</v>
      </c>
      <c r="AH653">
        <v>64.586200000000005</v>
      </c>
      <c r="AI653">
        <f>Table7424[[#This Row],[CFNM]]/Table7424[[#This Row],[CAREA]]</f>
        <v>0.97884722931591861</v>
      </c>
      <c r="AJ653">
        <v>2.9134199999999999</v>
      </c>
      <c r="AK653">
        <f>-(Table8425[[#This Row],[time]]-2)*2</f>
        <v>-1.8268399999999998</v>
      </c>
      <c r="AL653">
        <v>73.317700000000002</v>
      </c>
      <c r="AM653">
        <v>3.7937799999999999</v>
      </c>
      <c r="AN653">
        <f>Table8425[[#This Row],[CFNM]]/Table8425[[#This Row],[CAREA]]</f>
        <v>5.1744394600485286E-2</v>
      </c>
    </row>
    <row r="654" spans="1:40" x14ac:dyDescent="0.25">
      <c r="A654">
        <v>2.9619599999999999</v>
      </c>
      <c r="B654">
        <f>-(Table1418[[#This Row],[time]]-2)*2</f>
        <v>-1.9239199999999999</v>
      </c>
      <c r="C654">
        <v>96.181700000000006</v>
      </c>
      <c r="D654">
        <v>61.442300000000003</v>
      </c>
      <c r="E654">
        <f>Table1418[[#This Row],[CFNM]]/Table1418[[#This Row],[CAREA]]</f>
        <v>0.63881486810900612</v>
      </c>
      <c r="F654">
        <v>2.9619599999999999</v>
      </c>
      <c r="G654">
        <f>-(Table2419[[#This Row],[time]]-2)*2</f>
        <v>-1.9239199999999999</v>
      </c>
      <c r="H654">
        <v>67.245199999999997</v>
      </c>
      <c r="I654">
        <v>2.92969E-3</v>
      </c>
      <c r="J654">
        <f>Table2419[[#This Row],[CFNM]]/Table2419[[#This Row],[CAREA]]</f>
        <v>4.3567273203143124E-5</v>
      </c>
      <c r="K654">
        <v>2.9619599999999999</v>
      </c>
      <c r="L654">
        <f>-(Table3420[[#This Row],[time]]-2)*2</f>
        <v>-1.9239199999999999</v>
      </c>
      <c r="M654">
        <v>77.8977</v>
      </c>
      <c r="N654">
        <v>58.491399999999999</v>
      </c>
      <c r="O654">
        <f>Table3420[[#This Row],[CFNM]]/Table3420[[#This Row],[CAREA]]</f>
        <v>0.7508745444345597</v>
      </c>
      <c r="P654">
        <v>2.9619599999999999</v>
      </c>
      <c r="Q654">
        <f>-(Table4421[[#This Row],[time]]-2)*2</f>
        <v>-1.9239199999999999</v>
      </c>
      <c r="R654">
        <v>63.011499999999998</v>
      </c>
      <c r="S654">
        <v>2.5588299999999999</v>
      </c>
      <c r="T654">
        <f>Table4421[[#This Row],[CFNM]]/Table4421[[#This Row],[CAREA]]</f>
        <v>4.0608936463978798E-2</v>
      </c>
      <c r="U654">
        <v>2.9619599999999999</v>
      </c>
      <c r="V654">
        <f>-(Table5422[[#This Row],[time]]-2)*2</f>
        <v>-1.9239199999999999</v>
      </c>
      <c r="W654">
        <v>79.585899999999995</v>
      </c>
      <c r="X654">
        <v>55.345500000000001</v>
      </c>
      <c r="Y654">
        <f>Table5422[[#This Row],[CFNM]]/Table5422[[#This Row],[CAREA]]</f>
        <v>0.69541840954239387</v>
      </c>
      <c r="Z654">
        <v>2.9619599999999999</v>
      </c>
      <c r="AA654">
        <f>-(Table6423[[#This Row],[time]]-2)*2</f>
        <v>-1.9239199999999999</v>
      </c>
      <c r="AB654">
        <v>57.011899999999997</v>
      </c>
      <c r="AC654">
        <v>1.76889E-2</v>
      </c>
      <c r="AD654">
        <f>Table6423[[#This Row],[CFNM]]/Table6423[[#This Row],[CAREA]]</f>
        <v>3.1026680394794772E-4</v>
      </c>
      <c r="AE654">
        <v>2.9619599999999999</v>
      </c>
      <c r="AF654">
        <f>-(Table7424[[#This Row],[time]]-2)*2</f>
        <v>-1.9239199999999999</v>
      </c>
      <c r="AG654">
        <v>65.353899999999996</v>
      </c>
      <c r="AH654">
        <v>67.337100000000007</v>
      </c>
      <c r="AI654">
        <f>Table7424[[#This Row],[CFNM]]/Table7424[[#This Row],[CAREA]]</f>
        <v>1.0303455493857292</v>
      </c>
      <c r="AJ654">
        <v>2.9619599999999999</v>
      </c>
      <c r="AK654">
        <f>-(Table8425[[#This Row],[time]]-2)*2</f>
        <v>-1.9239199999999999</v>
      </c>
      <c r="AL654">
        <v>71.789100000000005</v>
      </c>
      <c r="AM654">
        <v>3.12208</v>
      </c>
      <c r="AN654">
        <f>Table8425[[#This Row],[CFNM]]/Table8425[[#This Row],[CAREA]]</f>
        <v>4.3489610539761601E-2</v>
      </c>
    </row>
    <row r="655" spans="1:40" x14ac:dyDescent="0.25">
      <c r="A655">
        <v>3</v>
      </c>
      <c r="B655">
        <f>-(Table1418[[#This Row],[time]]-2)*2</f>
        <v>-2</v>
      </c>
      <c r="C655">
        <v>95.832499999999996</v>
      </c>
      <c r="D655">
        <v>62.621600000000001</v>
      </c>
      <c r="E655">
        <f>Table1418[[#This Row],[CFNM]]/Table1418[[#This Row],[CAREA]]</f>
        <v>0.65344846476925889</v>
      </c>
      <c r="F655">
        <v>3</v>
      </c>
      <c r="G655">
        <f>-(Table2419[[#This Row],[time]]-2)*2</f>
        <v>-2</v>
      </c>
      <c r="H655">
        <v>66.223100000000002</v>
      </c>
      <c r="I655">
        <v>2.8823999999999998E-3</v>
      </c>
      <c r="J655">
        <f>Table2419[[#This Row],[CFNM]]/Table2419[[#This Row],[CAREA]]</f>
        <v>4.3525597563388001E-5</v>
      </c>
      <c r="K655">
        <v>3</v>
      </c>
      <c r="L655">
        <f>-(Table3420[[#This Row],[time]]-2)*2</f>
        <v>-2</v>
      </c>
      <c r="M655">
        <v>77.672700000000006</v>
      </c>
      <c r="N655">
        <v>59.808700000000002</v>
      </c>
      <c r="O655">
        <f>Table3420[[#This Row],[CFNM]]/Table3420[[#This Row],[CAREA]]</f>
        <v>0.77000928254071244</v>
      </c>
      <c r="P655">
        <v>3</v>
      </c>
      <c r="Q655">
        <f>-(Table4421[[#This Row],[time]]-2)*2</f>
        <v>-2</v>
      </c>
      <c r="R655">
        <v>62.948900000000002</v>
      </c>
      <c r="S655">
        <v>2.4859300000000002</v>
      </c>
      <c r="T655">
        <f>Table4421[[#This Row],[CFNM]]/Table4421[[#This Row],[CAREA]]</f>
        <v>3.9491238131246137E-2</v>
      </c>
      <c r="U655">
        <v>3</v>
      </c>
      <c r="V655">
        <f>-(Table5422[[#This Row],[time]]-2)*2</f>
        <v>-2</v>
      </c>
      <c r="W655">
        <v>79.316299999999998</v>
      </c>
      <c r="X655">
        <v>56.4392</v>
      </c>
      <c r="Y655">
        <f>Table5422[[#This Row],[CFNM]]/Table5422[[#This Row],[CAREA]]</f>
        <v>0.7115712659314668</v>
      </c>
      <c r="Z655">
        <v>3</v>
      </c>
      <c r="AA655">
        <f>-(Table6423[[#This Row],[time]]-2)*2</f>
        <v>-2</v>
      </c>
      <c r="AB655">
        <v>56.237099999999998</v>
      </c>
      <c r="AC655">
        <v>2.4943399999999998E-3</v>
      </c>
      <c r="AD655">
        <f>Table6423[[#This Row],[CFNM]]/Table6423[[#This Row],[CAREA]]</f>
        <v>4.4353994071529289E-5</v>
      </c>
      <c r="AE655">
        <v>3</v>
      </c>
      <c r="AF655">
        <f>-(Table7424[[#This Row],[time]]-2)*2</f>
        <v>-2</v>
      </c>
      <c r="AG655">
        <v>65.129300000000001</v>
      </c>
      <c r="AH655">
        <v>68.434600000000003</v>
      </c>
      <c r="AI655">
        <f>Table7424[[#This Row],[CFNM]]/Table7424[[#This Row],[CAREA]]</f>
        <v>1.0507498161349809</v>
      </c>
      <c r="AJ655">
        <v>3</v>
      </c>
      <c r="AK655">
        <f>-(Table8425[[#This Row],[time]]-2)*2</f>
        <v>-2</v>
      </c>
      <c r="AL655">
        <v>71.148899999999998</v>
      </c>
      <c r="AM655">
        <v>2.9028499999999999</v>
      </c>
      <c r="AN655">
        <f>Table8425[[#This Row],[CFNM]]/Table8425[[#This Row],[CAREA]]</f>
        <v>4.0799646937619553E-2</v>
      </c>
    </row>
    <row r="657" spans="1:40" x14ac:dyDescent="0.25">
      <c r="A657" t="s">
        <v>68</v>
      </c>
      <c r="E657" t="s">
        <v>1</v>
      </c>
    </row>
    <row r="658" spans="1:40" x14ac:dyDescent="0.25">
      <c r="A658" t="s">
        <v>69</v>
      </c>
      <c r="E658" t="s">
        <v>2</v>
      </c>
      <c r="F658" t="s">
        <v>3</v>
      </c>
    </row>
    <row r="660" spans="1:40" x14ac:dyDescent="0.25">
      <c r="A660" t="s">
        <v>5</v>
      </c>
      <c r="F660" t="s">
        <v>6</v>
      </c>
      <c r="K660" t="s">
        <v>7</v>
      </c>
      <c r="P660" t="s">
        <v>19</v>
      </c>
      <c r="U660" t="s">
        <v>8</v>
      </c>
      <c r="Z660" t="s">
        <v>9</v>
      </c>
      <c r="AE660" t="s">
        <v>10</v>
      </c>
      <c r="AJ660" t="s">
        <v>11</v>
      </c>
    </row>
    <row r="661" spans="1:40" x14ac:dyDescent="0.25">
      <c r="A661" t="s">
        <v>12</v>
      </c>
      <c r="B661" t="s">
        <v>13</v>
      </c>
      <c r="C661" t="s">
        <v>17</v>
      </c>
      <c r="D661" t="s">
        <v>15</v>
      </c>
      <c r="E661" t="s">
        <v>16</v>
      </c>
      <c r="F661" t="s">
        <v>12</v>
      </c>
      <c r="G661" t="s">
        <v>13</v>
      </c>
      <c r="H661" t="s">
        <v>17</v>
      </c>
      <c r="I661" t="s">
        <v>15</v>
      </c>
      <c r="J661" t="s">
        <v>16</v>
      </c>
      <c r="K661" t="s">
        <v>12</v>
      </c>
      <c r="L661" t="s">
        <v>13</v>
      </c>
      <c r="M661" t="s">
        <v>17</v>
      </c>
      <c r="N661" t="s">
        <v>15</v>
      </c>
      <c r="O661" t="s">
        <v>16</v>
      </c>
      <c r="P661" t="s">
        <v>12</v>
      </c>
      <c r="Q661" t="s">
        <v>13</v>
      </c>
      <c r="R661" t="s">
        <v>17</v>
      </c>
      <c r="S661" t="s">
        <v>15</v>
      </c>
      <c r="T661" t="s">
        <v>16</v>
      </c>
      <c r="U661" t="s">
        <v>12</v>
      </c>
      <c r="V661" t="s">
        <v>13</v>
      </c>
      <c r="W661" t="s">
        <v>17</v>
      </c>
      <c r="X661" t="s">
        <v>15</v>
      </c>
      <c r="Y661" t="s">
        <v>16</v>
      </c>
      <c r="Z661" t="s">
        <v>12</v>
      </c>
      <c r="AA661" t="s">
        <v>13</v>
      </c>
      <c r="AB661" t="s">
        <v>17</v>
      </c>
      <c r="AC661" t="s">
        <v>15</v>
      </c>
      <c r="AD661" t="s">
        <v>16</v>
      </c>
      <c r="AE661" t="s">
        <v>12</v>
      </c>
      <c r="AF661" t="s">
        <v>13</v>
      </c>
      <c r="AG661" t="s">
        <v>17</v>
      </c>
      <c r="AH661" t="s">
        <v>15</v>
      </c>
      <c r="AI661" t="s">
        <v>16</v>
      </c>
      <c r="AJ661" t="s">
        <v>12</v>
      </c>
      <c r="AK661" t="s">
        <v>13</v>
      </c>
      <c r="AL661" t="s">
        <v>17</v>
      </c>
      <c r="AM661" t="s">
        <v>15</v>
      </c>
      <c r="AN661" t="s">
        <v>16</v>
      </c>
    </row>
    <row r="662" spans="1:40" x14ac:dyDescent="0.25">
      <c r="A662">
        <v>2</v>
      </c>
      <c r="B662">
        <f>(Table110426[[#This Row],[time]]-2)*2</f>
        <v>0</v>
      </c>
      <c r="C662">
        <v>80.561000000000007</v>
      </c>
      <c r="D662">
        <v>3.9823499999999998</v>
      </c>
      <c r="E662" s="2">
        <f>Table110426[[#This Row],[CFNM]]/Table110426[[#This Row],[CAREA]]</f>
        <v>4.9432727994935512E-2</v>
      </c>
      <c r="F662">
        <v>2</v>
      </c>
      <c r="G662">
        <f>(Table211427[[#This Row],[time]]-2)*2</f>
        <v>0</v>
      </c>
      <c r="H662">
        <v>87.831800000000001</v>
      </c>
      <c r="I662">
        <v>3.84921E-3</v>
      </c>
      <c r="J662" s="2">
        <f>Table211427[[#This Row],[CFNM]]/Table211427[[#This Row],[CAREA]]</f>
        <v>4.382478783310828E-5</v>
      </c>
      <c r="K662">
        <v>2</v>
      </c>
      <c r="L662">
        <f>(Table312428[[#This Row],[time]]-2)*2</f>
        <v>0</v>
      </c>
      <c r="M662">
        <v>85.166700000000006</v>
      </c>
      <c r="N662">
        <v>3.7005300000000001E-3</v>
      </c>
      <c r="O662">
        <f>Table312428[[#This Row],[CFNM]]/Table312428[[#This Row],[CAREA]]</f>
        <v>4.3450433091807004E-5</v>
      </c>
      <c r="P662">
        <v>2</v>
      </c>
      <c r="Q662">
        <f>(Table413429[[#This Row],[time]]-2)*2</f>
        <v>0</v>
      </c>
      <c r="R662">
        <v>79.101699999999994</v>
      </c>
      <c r="S662">
        <v>4.5258399999999997E-3</v>
      </c>
      <c r="T662">
        <f>Table413429[[#This Row],[CFNM]]/Table413429[[#This Row],[CAREA]]</f>
        <v>5.7215458074858061E-5</v>
      </c>
      <c r="U662">
        <v>2</v>
      </c>
      <c r="V662">
        <f>(Table514430[[#This Row],[time]]-2)*2</f>
        <v>0</v>
      </c>
      <c r="W662">
        <v>83.227800000000002</v>
      </c>
      <c r="X662">
        <v>3.5063800000000001</v>
      </c>
      <c r="Y662">
        <f>Table514430[[#This Row],[CFNM]]/Table514430[[#This Row],[CAREA]]</f>
        <v>4.2129913322231274E-2</v>
      </c>
      <c r="Z662">
        <v>2</v>
      </c>
      <c r="AA662">
        <f>(Table615431[[#This Row],[time]]-2)*2</f>
        <v>0</v>
      </c>
      <c r="AB662">
        <v>83.949600000000004</v>
      </c>
      <c r="AC662">
        <v>6.2742100000000001</v>
      </c>
      <c r="AD662">
        <f>Table615431[[#This Row],[CFNM]]/Table615431[[#This Row],[CAREA]]</f>
        <v>7.4737818881805265E-2</v>
      </c>
      <c r="AE662">
        <v>2</v>
      </c>
      <c r="AF662">
        <f>(Table716432[[#This Row],[time]]-2)*2</f>
        <v>0</v>
      </c>
      <c r="AG662">
        <v>78.459999999999994</v>
      </c>
      <c r="AH662">
        <v>14.707599999999999</v>
      </c>
      <c r="AI662">
        <f>Table716432[[#This Row],[CFNM]]/Table716432[[#This Row],[CAREA]]</f>
        <v>0.1874534794799898</v>
      </c>
      <c r="AJ662">
        <v>2</v>
      </c>
      <c r="AK662">
        <f>(Table817433[[#This Row],[time]]-2)*2</f>
        <v>0</v>
      </c>
      <c r="AL662">
        <v>83.006</v>
      </c>
      <c r="AM662">
        <v>14.6488</v>
      </c>
      <c r="AN662">
        <f>Table817433[[#This Row],[CFNM]]/Table817433[[#This Row],[CAREA]]</f>
        <v>0.17647880876081246</v>
      </c>
    </row>
    <row r="663" spans="1:40" x14ac:dyDescent="0.25">
      <c r="A663">
        <v>2.0512600000000001</v>
      </c>
      <c r="B663">
        <f>(Table110426[[#This Row],[time]]-2)*2</f>
        <v>0.10252000000000017</v>
      </c>
      <c r="C663">
        <v>88.782200000000003</v>
      </c>
      <c r="D663">
        <v>9.6693499999999997</v>
      </c>
      <c r="E663">
        <f>Table110426[[#This Row],[CFNM]]/Table110426[[#This Row],[CAREA]]</f>
        <v>0.10891090781710748</v>
      </c>
      <c r="F663">
        <v>2.0512600000000001</v>
      </c>
      <c r="G663">
        <f>(Table211427[[#This Row],[time]]-2)*2</f>
        <v>0.10252000000000017</v>
      </c>
      <c r="H663">
        <v>96.129499999999993</v>
      </c>
      <c r="I663">
        <v>3.8709199999999999</v>
      </c>
      <c r="J663">
        <f>Table211427[[#This Row],[CFNM]]/Table211427[[#This Row],[CAREA]]</f>
        <v>4.02677637977936E-2</v>
      </c>
      <c r="K663">
        <v>2.0512600000000001</v>
      </c>
      <c r="L663">
        <f>(Table312428[[#This Row],[time]]-2)*2</f>
        <v>0.10252000000000017</v>
      </c>
      <c r="M663">
        <v>86.759600000000006</v>
      </c>
      <c r="N663">
        <v>2.6393</v>
      </c>
      <c r="O663">
        <f>Table312428[[#This Row],[CFNM]]/Table312428[[#This Row],[CAREA]]</f>
        <v>3.042084103661151E-2</v>
      </c>
      <c r="P663">
        <v>2.0512600000000001</v>
      </c>
      <c r="Q663">
        <f>(Table413429[[#This Row],[time]]-2)*2</f>
        <v>0.10252000000000017</v>
      </c>
      <c r="R663">
        <v>87.893900000000002</v>
      </c>
      <c r="S663">
        <v>8.0688499999999994</v>
      </c>
      <c r="T663">
        <f>Table413429[[#This Row],[CFNM]]/Table413429[[#This Row],[CAREA]]</f>
        <v>9.1802161469681051E-2</v>
      </c>
      <c r="U663">
        <v>2.0512600000000001</v>
      </c>
      <c r="V663">
        <f>(Table514430[[#This Row],[time]]-2)*2</f>
        <v>0.10252000000000017</v>
      </c>
      <c r="W663">
        <v>81.170299999999997</v>
      </c>
      <c r="X663">
        <v>5.8840000000000003</v>
      </c>
      <c r="Y663">
        <f>Table514430[[#This Row],[CFNM]]/Table514430[[#This Row],[CAREA]]</f>
        <v>7.2489568228773338E-2</v>
      </c>
      <c r="Z663">
        <v>2.0512600000000001</v>
      </c>
      <c r="AA663">
        <f>(Table615431[[#This Row],[time]]-2)*2</f>
        <v>0.10252000000000017</v>
      </c>
      <c r="AB663">
        <v>89.345100000000002</v>
      </c>
      <c r="AC663">
        <v>17.867799999999999</v>
      </c>
      <c r="AD663">
        <f>Table615431[[#This Row],[CFNM]]/Table615431[[#This Row],[CAREA]]</f>
        <v>0.19998634508215893</v>
      </c>
      <c r="AE663">
        <v>2.0512600000000001</v>
      </c>
      <c r="AF663">
        <f>(Table716432[[#This Row],[time]]-2)*2</f>
        <v>0.10252000000000017</v>
      </c>
      <c r="AG663">
        <v>78.350899999999996</v>
      </c>
      <c r="AH663">
        <v>19.407800000000002</v>
      </c>
      <c r="AI663">
        <f>Table716432[[#This Row],[CFNM]]/Table716432[[#This Row],[CAREA]]</f>
        <v>0.24770360008627856</v>
      </c>
      <c r="AJ663">
        <v>2.0512600000000001</v>
      </c>
      <c r="AK663">
        <f>(Table817433[[#This Row],[time]]-2)*2</f>
        <v>0.10252000000000017</v>
      </c>
      <c r="AL663">
        <v>83.399199999999993</v>
      </c>
      <c r="AM663">
        <v>21.224599999999999</v>
      </c>
      <c r="AN663">
        <f>Table817433[[#This Row],[CFNM]]/Table817433[[#This Row],[CAREA]]</f>
        <v>0.25449404790453628</v>
      </c>
    </row>
    <row r="664" spans="1:40" x14ac:dyDescent="0.25">
      <c r="A664">
        <v>2.1153300000000002</v>
      </c>
      <c r="B664">
        <f>(Table110426[[#This Row],[time]]-2)*2</f>
        <v>0.23066000000000031</v>
      </c>
      <c r="C664">
        <v>86.653000000000006</v>
      </c>
      <c r="D664">
        <v>9.8995999999999995</v>
      </c>
      <c r="E664">
        <f>Table110426[[#This Row],[CFNM]]/Table110426[[#This Row],[CAREA]]</f>
        <v>0.11424416927284686</v>
      </c>
      <c r="F664">
        <v>2.1153300000000002</v>
      </c>
      <c r="G664">
        <f>(Table211427[[#This Row],[time]]-2)*2</f>
        <v>0.23066000000000031</v>
      </c>
      <c r="H664">
        <v>97.322800000000001</v>
      </c>
      <c r="I664">
        <v>5.2772899999999998</v>
      </c>
      <c r="J664">
        <f>Table211427[[#This Row],[CFNM]]/Table211427[[#This Row],[CAREA]]</f>
        <v>5.4224601018466378E-2</v>
      </c>
      <c r="K664">
        <v>2.1153300000000002</v>
      </c>
      <c r="L664">
        <f>(Table312428[[#This Row],[time]]-2)*2</f>
        <v>0.23066000000000031</v>
      </c>
      <c r="M664">
        <v>85.155600000000007</v>
      </c>
      <c r="N664">
        <v>2.7687300000000001</v>
      </c>
      <c r="O664">
        <f>Table312428[[#This Row],[CFNM]]/Table312428[[#This Row],[CAREA]]</f>
        <v>3.2513774784042389E-2</v>
      </c>
      <c r="P664">
        <v>2.1153300000000002</v>
      </c>
      <c r="Q664">
        <f>(Table413429[[#This Row],[time]]-2)*2</f>
        <v>0.23066000000000031</v>
      </c>
      <c r="R664">
        <v>88.949799999999996</v>
      </c>
      <c r="S664">
        <v>9.6932700000000001</v>
      </c>
      <c r="T664">
        <f>Table413429[[#This Row],[CFNM]]/Table413429[[#This Row],[CAREA]]</f>
        <v>0.10897461264668387</v>
      </c>
      <c r="U664">
        <v>2.1153300000000002</v>
      </c>
      <c r="V664">
        <f>(Table514430[[#This Row],[time]]-2)*2</f>
        <v>0.23066000000000031</v>
      </c>
      <c r="W664">
        <v>79.469300000000004</v>
      </c>
      <c r="X664">
        <v>4.6334</v>
      </c>
      <c r="Y664">
        <f>Table514430[[#This Row],[CFNM]]/Table514430[[#This Row],[CAREA]]</f>
        <v>5.8304275990854325E-2</v>
      </c>
      <c r="Z664">
        <v>2.1153300000000002</v>
      </c>
      <c r="AA664">
        <f>(Table615431[[#This Row],[time]]-2)*2</f>
        <v>0.23066000000000031</v>
      </c>
      <c r="AB664">
        <v>92.313400000000001</v>
      </c>
      <c r="AC664">
        <v>20.109400000000001</v>
      </c>
      <c r="AD664">
        <f>Table615431[[#This Row],[CFNM]]/Table615431[[#This Row],[CAREA]]</f>
        <v>0.21783836366118028</v>
      </c>
      <c r="AE664">
        <v>2.1153300000000002</v>
      </c>
      <c r="AF664">
        <f>(Table716432[[#This Row],[time]]-2)*2</f>
        <v>0.23066000000000031</v>
      </c>
      <c r="AG664">
        <v>77.713499999999996</v>
      </c>
      <c r="AH664">
        <v>19.2439</v>
      </c>
      <c r="AI664">
        <f>Table716432[[#This Row],[CFNM]]/Table716432[[#This Row],[CAREA]]</f>
        <v>0.24762621680917732</v>
      </c>
      <c r="AJ664">
        <v>2.1153300000000002</v>
      </c>
      <c r="AK664">
        <f>(Table817433[[#This Row],[time]]-2)*2</f>
        <v>0.23066000000000031</v>
      </c>
      <c r="AL664">
        <v>83.432000000000002</v>
      </c>
      <c r="AM664">
        <v>23.0731</v>
      </c>
      <c r="AN664">
        <f>Table817433[[#This Row],[CFNM]]/Table817433[[#This Row],[CAREA]]</f>
        <v>0.27654976507814749</v>
      </c>
    </row>
    <row r="665" spans="1:40" x14ac:dyDescent="0.25">
      <c r="A665">
        <v>2.16533</v>
      </c>
      <c r="B665">
        <f>(Table110426[[#This Row],[time]]-2)*2</f>
        <v>0.33065999999999995</v>
      </c>
      <c r="C665">
        <v>85.091800000000006</v>
      </c>
      <c r="D665">
        <v>10.002700000000001</v>
      </c>
      <c r="E665">
        <f>Table110426[[#This Row],[CFNM]]/Table110426[[#This Row],[CAREA]]</f>
        <v>0.11755186751249827</v>
      </c>
      <c r="F665">
        <v>2.16533</v>
      </c>
      <c r="G665">
        <f>(Table211427[[#This Row],[time]]-2)*2</f>
        <v>0.33065999999999995</v>
      </c>
      <c r="H665">
        <v>99.031700000000001</v>
      </c>
      <c r="I665">
        <v>7.4625899999999996</v>
      </c>
      <c r="J665">
        <f>Table211427[[#This Row],[CFNM]]/Table211427[[#This Row],[CAREA]]</f>
        <v>7.5355567964601231E-2</v>
      </c>
      <c r="K665">
        <v>2.16533</v>
      </c>
      <c r="L665">
        <f>(Table312428[[#This Row],[time]]-2)*2</f>
        <v>0.33065999999999995</v>
      </c>
      <c r="M665">
        <v>83.47</v>
      </c>
      <c r="N665">
        <v>2.8685100000000001</v>
      </c>
      <c r="O665">
        <f>Table312428[[#This Row],[CFNM]]/Table312428[[#This Row],[CAREA]]</f>
        <v>3.436576015334851E-2</v>
      </c>
      <c r="P665">
        <v>2.16533</v>
      </c>
      <c r="Q665">
        <f>(Table413429[[#This Row],[time]]-2)*2</f>
        <v>0.33065999999999995</v>
      </c>
      <c r="R665">
        <v>89.827299999999994</v>
      </c>
      <c r="S665">
        <v>11.9368</v>
      </c>
      <c r="T665">
        <f>Table413429[[#This Row],[CFNM]]/Table413429[[#This Row],[CAREA]]</f>
        <v>0.13288610478106322</v>
      </c>
      <c r="U665">
        <v>2.16533</v>
      </c>
      <c r="V665">
        <f>(Table514430[[#This Row],[time]]-2)*2</f>
        <v>0.33065999999999995</v>
      </c>
      <c r="W665">
        <v>77.085300000000004</v>
      </c>
      <c r="X665">
        <v>4.3609999999999998</v>
      </c>
      <c r="Y665">
        <f>Table514430[[#This Row],[CFNM]]/Table514430[[#This Row],[CAREA]]</f>
        <v>5.6573691741486375E-2</v>
      </c>
      <c r="Z665">
        <v>2.16533</v>
      </c>
      <c r="AA665">
        <f>(Table615431[[#This Row],[time]]-2)*2</f>
        <v>0.33065999999999995</v>
      </c>
      <c r="AB665">
        <v>92.289599999999993</v>
      </c>
      <c r="AC665">
        <v>23.708100000000002</v>
      </c>
      <c r="AD665">
        <f>Table615431[[#This Row],[CFNM]]/Table615431[[#This Row],[CAREA]]</f>
        <v>0.25688810006761331</v>
      </c>
      <c r="AE665">
        <v>2.16533</v>
      </c>
      <c r="AF665">
        <f>(Table716432[[#This Row],[time]]-2)*2</f>
        <v>0.33065999999999995</v>
      </c>
      <c r="AG665">
        <v>77.590599999999995</v>
      </c>
      <c r="AH665">
        <v>19.052</v>
      </c>
      <c r="AI665">
        <f>Table716432[[#This Row],[CFNM]]/Table716432[[#This Row],[CAREA]]</f>
        <v>0.2455452077957897</v>
      </c>
      <c r="AJ665">
        <v>2.16533</v>
      </c>
      <c r="AK665">
        <f>(Table817433[[#This Row],[time]]-2)*2</f>
        <v>0.33065999999999995</v>
      </c>
      <c r="AL665">
        <v>83.089200000000005</v>
      </c>
      <c r="AM665">
        <v>25.337900000000001</v>
      </c>
      <c r="AN665">
        <f>Table817433[[#This Row],[CFNM]]/Table817433[[#This Row],[CAREA]]</f>
        <v>0.30494817617692793</v>
      </c>
    </row>
    <row r="666" spans="1:40" x14ac:dyDescent="0.25">
      <c r="A666">
        <v>2.2246999999999999</v>
      </c>
      <c r="B666">
        <f>(Table110426[[#This Row],[time]]-2)*2</f>
        <v>0.4493999999999998</v>
      </c>
      <c r="C666">
        <v>83.494200000000006</v>
      </c>
      <c r="D666">
        <v>10.060600000000001</v>
      </c>
      <c r="E666">
        <f>Table110426[[#This Row],[CFNM]]/Table110426[[#This Row],[CAREA]]</f>
        <v>0.12049459722950816</v>
      </c>
      <c r="F666">
        <v>2.2246999999999999</v>
      </c>
      <c r="G666">
        <f>(Table211427[[#This Row],[time]]-2)*2</f>
        <v>0.4493999999999998</v>
      </c>
      <c r="H666">
        <v>100.003</v>
      </c>
      <c r="I666">
        <v>9.5209799999999998</v>
      </c>
      <c r="J666">
        <f>Table211427[[#This Row],[CFNM]]/Table211427[[#This Row],[CAREA]]</f>
        <v>9.5206943791686247E-2</v>
      </c>
      <c r="K666">
        <v>2.2246999999999999</v>
      </c>
      <c r="L666">
        <f>(Table312428[[#This Row],[time]]-2)*2</f>
        <v>0.4493999999999998</v>
      </c>
      <c r="M666">
        <v>83.004999999999995</v>
      </c>
      <c r="N666">
        <v>2.9263300000000001</v>
      </c>
      <c r="O666">
        <f>Table312428[[#This Row],[CFNM]]/Table312428[[#This Row],[CAREA]]</f>
        <v>3.5254864164809351E-2</v>
      </c>
      <c r="P666">
        <v>2.2246999999999999</v>
      </c>
      <c r="Q666">
        <f>(Table413429[[#This Row],[time]]-2)*2</f>
        <v>0.4493999999999998</v>
      </c>
      <c r="R666">
        <v>89.881399999999999</v>
      </c>
      <c r="S666">
        <v>13.943300000000001</v>
      </c>
      <c r="T666">
        <f>Table413429[[#This Row],[CFNM]]/Table413429[[#This Row],[CAREA]]</f>
        <v>0.15512998239902806</v>
      </c>
      <c r="U666">
        <v>2.2246999999999999</v>
      </c>
      <c r="V666">
        <f>(Table514430[[#This Row],[time]]-2)*2</f>
        <v>0.4493999999999998</v>
      </c>
      <c r="W666">
        <v>75.556399999999996</v>
      </c>
      <c r="X666">
        <v>4.2953099999999997</v>
      </c>
      <c r="Y666">
        <f>Table514430[[#This Row],[CFNM]]/Table514430[[#This Row],[CAREA]]</f>
        <v>5.6849055804670416E-2</v>
      </c>
      <c r="Z666">
        <v>2.2246999999999999</v>
      </c>
      <c r="AA666">
        <f>(Table615431[[#This Row],[time]]-2)*2</f>
        <v>0.4493999999999998</v>
      </c>
      <c r="AB666">
        <v>93.079099999999997</v>
      </c>
      <c r="AC666">
        <v>27.0061</v>
      </c>
      <c r="AD666">
        <f>Table615431[[#This Row],[CFNM]]/Table615431[[#This Row],[CAREA]]</f>
        <v>0.29014139586652643</v>
      </c>
      <c r="AE666">
        <v>2.2246999999999999</v>
      </c>
      <c r="AF666">
        <f>(Table716432[[#This Row],[time]]-2)*2</f>
        <v>0.4493999999999998</v>
      </c>
      <c r="AG666">
        <v>77.607200000000006</v>
      </c>
      <c r="AH666">
        <v>18.837599999999998</v>
      </c>
      <c r="AI666">
        <f>Table716432[[#This Row],[CFNM]]/Table716432[[#This Row],[CAREA]]</f>
        <v>0.24273005597418792</v>
      </c>
      <c r="AJ666">
        <v>2.2246999999999999</v>
      </c>
      <c r="AK666">
        <f>(Table817433[[#This Row],[time]]-2)*2</f>
        <v>0.4493999999999998</v>
      </c>
      <c r="AL666">
        <v>82.4529</v>
      </c>
      <c r="AM666">
        <v>27.378399999999999</v>
      </c>
      <c r="AN666">
        <f>Table817433[[#This Row],[CFNM]]/Table817433[[#This Row],[CAREA]]</f>
        <v>0.33204896371140369</v>
      </c>
    </row>
    <row r="667" spans="1:40" x14ac:dyDescent="0.25">
      <c r="A667">
        <v>2.2668900000000001</v>
      </c>
      <c r="B667">
        <f>(Table110426[[#This Row],[time]]-2)*2</f>
        <v>0.53378000000000014</v>
      </c>
      <c r="C667">
        <v>79.5244</v>
      </c>
      <c r="D667">
        <v>10.125400000000001</v>
      </c>
      <c r="E667">
        <f>Table110426[[#This Row],[CFNM]]/Table110426[[#This Row],[CAREA]]</f>
        <v>0.127324443818501</v>
      </c>
      <c r="F667">
        <v>2.2668900000000001</v>
      </c>
      <c r="G667">
        <f>(Table211427[[#This Row],[time]]-2)*2</f>
        <v>0.53378000000000014</v>
      </c>
      <c r="H667">
        <v>103.97799999999999</v>
      </c>
      <c r="I667">
        <v>12.663399999999999</v>
      </c>
      <c r="J667">
        <f>Table211427[[#This Row],[CFNM]]/Table211427[[#This Row],[CAREA]]</f>
        <v>0.12178922464367463</v>
      </c>
      <c r="K667">
        <v>2.2668900000000001</v>
      </c>
      <c r="L667">
        <f>(Table312428[[#This Row],[time]]-2)*2</f>
        <v>0.53378000000000014</v>
      </c>
      <c r="M667">
        <v>82.304000000000002</v>
      </c>
      <c r="N667">
        <v>3.0951</v>
      </c>
      <c r="O667">
        <f>Table312428[[#This Row],[CFNM]]/Table312428[[#This Row],[CAREA]]</f>
        <v>3.7605705676516325E-2</v>
      </c>
      <c r="P667">
        <v>2.2668900000000001</v>
      </c>
      <c r="Q667">
        <f>(Table413429[[#This Row],[time]]-2)*2</f>
        <v>0.53378000000000014</v>
      </c>
      <c r="R667">
        <v>89.974199999999996</v>
      </c>
      <c r="S667">
        <v>16.747299999999999</v>
      </c>
      <c r="T667">
        <f>Table413429[[#This Row],[CFNM]]/Table413429[[#This Row],[CAREA]]</f>
        <v>0.18613446965908004</v>
      </c>
      <c r="U667">
        <v>2.2668900000000001</v>
      </c>
      <c r="V667">
        <f>(Table514430[[#This Row],[time]]-2)*2</f>
        <v>0.53378000000000014</v>
      </c>
      <c r="W667">
        <v>73.287800000000004</v>
      </c>
      <c r="X667">
        <v>4.2481099999999996</v>
      </c>
      <c r="Y667">
        <f>Table514430[[#This Row],[CFNM]]/Table514430[[#This Row],[CAREA]]</f>
        <v>5.7964763575929411E-2</v>
      </c>
      <c r="Z667">
        <v>2.2668900000000001</v>
      </c>
      <c r="AA667">
        <f>(Table615431[[#This Row],[time]]-2)*2</f>
        <v>0.53378000000000014</v>
      </c>
      <c r="AB667">
        <v>94.468100000000007</v>
      </c>
      <c r="AC667">
        <v>31.440999999999999</v>
      </c>
      <c r="AD667">
        <f>Table615431[[#This Row],[CFNM]]/Table615431[[#This Row],[CAREA]]</f>
        <v>0.33282134392456286</v>
      </c>
      <c r="AE667">
        <v>2.2668900000000001</v>
      </c>
      <c r="AF667">
        <f>(Table716432[[#This Row],[time]]-2)*2</f>
        <v>0.53378000000000014</v>
      </c>
      <c r="AG667">
        <v>77.325800000000001</v>
      </c>
      <c r="AH667">
        <v>18.5855</v>
      </c>
      <c r="AI667">
        <f>Table716432[[#This Row],[CFNM]]/Table716432[[#This Row],[CAREA]]</f>
        <v>0.24035315509183222</v>
      </c>
      <c r="AJ667">
        <v>2.2668900000000001</v>
      </c>
      <c r="AK667">
        <f>(Table817433[[#This Row],[time]]-2)*2</f>
        <v>0.53378000000000014</v>
      </c>
      <c r="AL667">
        <v>81.855199999999996</v>
      </c>
      <c r="AM667">
        <v>30.402699999999999</v>
      </c>
      <c r="AN667">
        <f>Table817433[[#This Row],[CFNM]]/Table817433[[#This Row],[CAREA]]</f>
        <v>0.37142050840997276</v>
      </c>
    </row>
    <row r="668" spans="1:40" x14ac:dyDescent="0.25">
      <c r="A668">
        <v>2.3262700000000001</v>
      </c>
      <c r="B668">
        <f>(Table110426[[#This Row],[time]]-2)*2</f>
        <v>0.65254000000000012</v>
      </c>
      <c r="C668">
        <v>77.509500000000003</v>
      </c>
      <c r="D668">
        <v>10.004</v>
      </c>
      <c r="E668">
        <f>Table110426[[#This Row],[CFNM]]/Table110426[[#This Row],[CAREA]]</f>
        <v>0.12906804972293717</v>
      </c>
      <c r="F668">
        <v>2.3262700000000001</v>
      </c>
      <c r="G668">
        <f>(Table211427[[#This Row],[time]]-2)*2</f>
        <v>0.65254000000000012</v>
      </c>
      <c r="H668">
        <v>106.426</v>
      </c>
      <c r="I668">
        <v>15.4162</v>
      </c>
      <c r="J668">
        <f>Table211427[[#This Row],[CFNM]]/Table211427[[#This Row],[CAREA]]</f>
        <v>0.14485370116324958</v>
      </c>
      <c r="K668">
        <v>2.3262700000000001</v>
      </c>
      <c r="L668">
        <f>(Table312428[[#This Row],[time]]-2)*2</f>
        <v>0.65254000000000012</v>
      </c>
      <c r="M668">
        <v>81.355800000000002</v>
      </c>
      <c r="N668">
        <v>3.2353399999999999</v>
      </c>
      <c r="O668">
        <f>Table312428[[#This Row],[CFNM]]/Table312428[[#This Row],[CAREA]]</f>
        <v>3.9767785455984694E-2</v>
      </c>
      <c r="P668">
        <v>2.3262700000000001</v>
      </c>
      <c r="Q668">
        <f>(Table413429[[#This Row],[time]]-2)*2</f>
        <v>0.65254000000000012</v>
      </c>
      <c r="R668">
        <v>89.965900000000005</v>
      </c>
      <c r="S668">
        <v>19.224900000000002</v>
      </c>
      <c r="T668">
        <f>Table413429[[#This Row],[CFNM]]/Table413429[[#This Row],[CAREA]]</f>
        <v>0.21369096513234459</v>
      </c>
      <c r="U668">
        <v>2.3262700000000001</v>
      </c>
      <c r="V668">
        <f>(Table514430[[#This Row],[time]]-2)*2</f>
        <v>0.65254000000000012</v>
      </c>
      <c r="W668">
        <v>72.120900000000006</v>
      </c>
      <c r="X668">
        <v>4.1560800000000002</v>
      </c>
      <c r="Y668">
        <f>Table514430[[#This Row],[CFNM]]/Table514430[[#This Row],[CAREA]]</f>
        <v>5.7626568720024293E-2</v>
      </c>
      <c r="Z668">
        <v>2.3262700000000001</v>
      </c>
      <c r="AA668">
        <f>(Table615431[[#This Row],[time]]-2)*2</f>
        <v>0.65254000000000012</v>
      </c>
      <c r="AB668">
        <v>94.485100000000003</v>
      </c>
      <c r="AC668">
        <v>35.202199999999998</v>
      </c>
      <c r="AD668">
        <f>Table615431[[#This Row],[CFNM]]/Table615431[[#This Row],[CAREA]]</f>
        <v>0.37256879656157421</v>
      </c>
      <c r="AE668">
        <v>2.3262700000000001</v>
      </c>
      <c r="AF668">
        <f>(Table716432[[#This Row],[time]]-2)*2</f>
        <v>0.65254000000000012</v>
      </c>
      <c r="AG668">
        <v>76.823300000000003</v>
      </c>
      <c r="AH668">
        <v>18.3353</v>
      </c>
      <c r="AI668">
        <f>Table716432[[#This Row],[CFNM]]/Table716432[[#This Row],[CAREA]]</f>
        <v>0.23866847688136281</v>
      </c>
      <c r="AJ668">
        <v>2.3262700000000001</v>
      </c>
      <c r="AK668">
        <f>(Table817433[[#This Row],[time]]-2)*2</f>
        <v>0.65254000000000012</v>
      </c>
      <c r="AL668">
        <v>81.387900000000002</v>
      </c>
      <c r="AM668">
        <v>33.073900000000002</v>
      </c>
      <c r="AN668">
        <f>Table817433[[#This Row],[CFNM]]/Table817433[[#This Row],[CAREA]]</f>
        <v>0.40637367471086</v>
      </c>
    </row>
    <row r="669" spans="1:40" x14ac:dyDescent="0.25">
      <c r="A669">
        <v>2.3684599999999998</v>
      </c>
      <c r="B669">
        <f>(Table110426[[#This Row],[time]]-2)*2</f>
        <v>0.73691999999999958</v>
      </c>
      <c r="C669">
        <v>73.805499999999995</v>
      </c>
      <c r="D669">
        <v>9.7844599999999993</v>
      </c>
      <c r="E669">
        <f>Table110426[[#This Row],[CFNM]]/Table110426[[#This Row],[CAREA]]</f>
        <v>0.13257087886404129</v>
      </c>
      <c r="F669">
        <v>2.3684599999999998</v>
      </c>
      <c r="G669">
        <f>(Table211427[[#This Row],[time]]-2)*2</f>
        <v>0.73691999999999958</v>
      </c>
      <c r="H669">
        <v>106.70399999999999</v>
      </c>
      <c r="I669">
        <v>18.176200000000001</v>
      </c>
      <c r="J669">
        <f>Table211427[[#This Row],[CFNM]]/Table211427[[#This Row],[CAREA]]</f>
        <v>0.17034225521067628</v>
      </c>
      <c r="K669">
        <v>2.3684599999999998</v>
      </c>
      <c r="L669">
        <f>(Table312428[[#This Row],[time]]-2)*2</f>
        <v>0.73691999999999958</v>
      </c>
      <c r="M669">
        <v>80.694999999999993</v>
      </c>
      <c r="N669">
        <v>3.3418700000000001</v>
      </c>
      <c r="O669">
        <f>Table312428[[#This Row],[CFNM]]/Table312428[[#This Row],[CAREA]]</f>
        <v>4.141359439866163E-2</v>
      </c>
      <c r="P669">
        <v>2.3684599999999998</v>
      </c>
      <c r="Q669">
        <f>(Table413429[[#This Row],[time]]-2)*2</f>
        <v>0.73691999999999958</v>
      </c>
      <c r="R669">
        <v>89.570999999999998</v>
      </c>
      <c r="S669">
        <v>21.922499999999999</v>
      </c>
      <c r="T669">
        <f>Table413429[[#This Row],[CFNM]]/Table413429[[#This Row],[CAREA]]</f>
        <v>0.24474997488026259</v>
      </c>
      <c r="U669">
        <v>2.3684599999999998</v>
      </c>
      <c r="V669">
        <f>(Table514430[[#This Row],[time]]-2)*2</f>
        <v>0.73691999999999958</v>
      </c>
      <c r="W669">
        <v>71.184299999999993</v>
      </c>
      <c r="X669">
        <v>4.0103200000000001</v>
      </c>
      <c r="Y669">
        <f>Table514430[[#This Row],[CFNM]]/Table514430[[#This Row],[CAREA]]</f>
        <v>5.6337141757381901E-2</v>
      </c>
      <c r="Z669">
        <v>2.3684599999999998</v>
      </c>
      <c r="AA669">
        <f>(Table615431[[#This Row],[time]]-2)*2</f>
        <v>0.73691999999999958</v>
      </c>
      <c r="AB669">
        <v>94.137699999999995</v>
      </c>
      <c r="AC669">
        <v>39.1663</v>
      </c>
      <c r="AD669">
        <f>Table615431[[#This Row],[CFNM]]/Table615431[[#This Row],[CAREA]]</f>
        <v>0.41605329214544229</v>
      </c>
      <c r="AE669">
        <v>2.3684599999999998</v>
      </c>
      <c r="AF669">
        <f>(Table716432[[#This Row],[time]]-2)*2</f>
        <v>0.73691999999999958</v>
      </c>
      <c r="AG669">
        <v>76.867699999999999</v>
      </c>
      <c r="AH669">
        <v>18.0701</v>
      </c>
      <c r="AI669">
        <f>Table716432[[#This Row],[CFNM]]/Table716432[[#This Row],[CAREA]]</f>
        <v>0.23508053447676983</v>
      </c>
      <c r="AJ669">
        <v>2.3684599999999998</v>
      </c>
      <c r="AK669">
        <f>(Table817433[[#This Row],[time]]-2)*2</f>
        <v>0.73691999999999958</v>
      </c>
      <c r="AL669">
        <v>80.884299999999996</v>
      </c>
      <c r="AM669">
        <v>36.008499999999998</v>
      </c>
      <c r="AN669">
        <f>Table817433[[#This Row],[CFNM]]/Table817433[[#This Row],[CAREA]]</f>
        <v>0.44518528317609224</v>
      </c>
    </row>
    <row r="670" spans="1:40" x14ac:dyDescent="0.25">
      <c r="A670">
        <v>2.4278300000000002</v>
      </c>
      <c r="B670">
        <f>(Table110426[[#This Row],[time]]-2)*2</f>
        <v>0.85566000000000031</v>
      </c>
      <c r="C670">
        <v>69.957700000000003</v>
      </c>
      <c r="D670">
        <v>9.5877599999999994</v>
      </c>
      <c r="E670">
        <f>Table110426[[#This Row],[CFNM]]/Table110426[[#This Row],[CAREA]]</f>
        <v>0.13705081785135872</v>
      </c>
      <c r="F670">
        <v>2.4278300000000002</v>
      </c>
      <c r="G670">
        <f>(Table211427[[#This Row],[time]]-2)*2</f>
        <v>0.85566000000000031</v>
      </c>
      <c r="H670">
        <v>104.44199999999999</v>
      </c>
      <c r="I670">
        <v>21.235700000000001</v>
      </c>
      <c r="J670">
        <f>Table211427[[#This Row],[CFNM]]/Table211427[[#This Row],[CAREA]]</f>
        <v>0.20332529059190749</v>
      </c>
      <c r="K670">
        <v>2.4278300000000002</v>
      </c>
      <c r="L670">
        <f>(Table312428[[#This Row],[time]]-2)*2</f>
        <v>0.85566000000000031</v>
      </c>
      <c r="M670">
        <v>79.873800000000003</v>
      </c>
      <c r="N670">
        <v>3.3879000000000001</v>
      </c>
      <c r="O670">
        <f>Table312428[[#This Row],[CFNM]]/Table312428[[#This Row],[CAREA]]</f>
        <v>4.2415660704761764E-2</v>
      </c>
      <c r="P670">
        <v>2.4278300000000002</v>
      </c>
      <c r="Q670">
        <f>(Table413429[[#This Row],[time]]-2)*2</f>
        <v>0.85566000000000031</v>
      </c>
      <c r="R670">
        <v>89.216300000000004</v>
      </c>
      <c r="S670">
        <v>24.926300000000001</v>
      </c>
      <c r="T670">
        <f>Table413429[[#This Row],[CFNM]]/Table413429[[#This Row],[CAREA]]</f>
        <v>0.2793917703379315</v>
      </c>
      <c r="U670">
        <v>2.4278300000000002</v>
      </c>
      <c r="V670">
        <f>(Table514430[[#This Row],[time]]-2)*2</f>
        <v>0.85566000000000031</v>
      </c>
      <c r="W670">
        <v>70.136899999999997</v>
      </c>
      <c r="X670">
        <v>3.8264900000000002</v>
      </c>
      <c r="Y670">
        <f>Table514430[[#This Row],[CFNM]]/Table514430[[#This Row],[CAREA]]</f>
        <v>5.4557444084355033E-2</v>
      </c>
      <c r="Z670">
        <v>2.4278300000000002</v>
      </c>
      <c r="AA670">
        <f>(Table615431[[#This Row],[time]]-2)*2</f>
        <v>0.85566000000000031</v>
      </c>
      <c r="AB670">
        <v>94.319699999999997</v>
      </c>
      <c r="AC670">
        <v>43.347799999999999</v>
      </c>
      <c r="AD670">
        <f>Table615431[[#This Row],[CFNM]]/Table615431[[#This Row],[CAREA]]</f>
        <v>0.45958373489313475</v>
      </c>
      <c r="AE670">
        <v>2.4278300000000002</v>
      </c>
      <c r="AF670">
        <f>(Table716432[[#This Row],[time]]-2)*2</f>
        <v>0.85566000000000031</v>
      </c>
      <c r="AG670">
        <v>76.623800000000003</v>
      </c>
      <c r="AH670">
        <v>17.6968</v>
      </c>
      <c r="AI670">
        <f>Table716432[[#This Row],[CFNM]]/Table716432[[#This Row],[CAREA]]</f>
        <v>0.23095696115306208</v>
      </c>
      <c r="AJ670">
        <v>2.4278300000000002</v>
      </c>
      <c r="AK670">
        <f>(Table817433[[#This Row],[time]]-2)*2</f>
        <v>0.85566000000000031</v>
      </c>
      <c r="AL670">
        <v>80.336299999999994</v>
      </c>
      <c r="AM670">
        <v>39.163899999999998</v>
      </c>
      <c r="AN670">
        <f>Table817433[[#This Row],[CFNM]]/Table817433[[#This Row],[CAREA]]</f>
        <v>0.48749942429511939</v>
      </c>
    </row>
    <row r="671" spans="1:40" x14ac:dyDescent="0.25">
      <c r="A671">
        <v>2.4542000000000002</v>
      </c>
      <c r="B671">
        <f>(Table110426[[#This Row],[time]]-2)*2</f>
        <v>0.90840000000000032</v>
      </c>
      <c r="C671">
        <v>68.364900000000006</v>
      </c>
      <c r="D671">
        <v>9.1970299999999998</v>
      </c>
      <c r="E671">
        <f>Table110426[[#This Row],[CFNM]]/Table110426[[#This Row],[CAREA]]</f>
        <v>0.13452853730496203</v>
      </c>
      <c r="F671">
        <v>2.4542000000000002</v>
      </c>
      <c r="G671">
        <f>(Table211427[[#This Row],[time]]-2)*2</f>
        <v>0.90840000000000032</v>
      </c>
      <c r="H671">
        <v>102.239</v>
      </c>
      <c r="I671">
        <v>24.773299999999999</v>
      </c>
      <c r="J671">
        <f>Table211427[[#This Row],[CFNM]]/Table211427[[#This Row],[CAREA]]</f>
        <v>0.24230772992693589</v>
      </c>
      <c r="K671">
        <v>2.4542000000000002</v>
      </c>
      <c r="L671">
        <f>(Table312428[[#This Row],[time]]-2)*2</f>
        <v>0.90840000000000032</v>
      </c>
      <c r="M671">
        <v>79.183899999999994</v>
      </c>
      <c r="N671">
        <v>3.2871100000000002</v>
      </c>
      <c r="O671">
        <f>Table312428[[#This Row],[CFNM]]/Table312428[[#This Row],[CAREA]]</f>
        <v>4.1512352889918287E-2</v>
      </c>
      <c r="P671">
        <v>2.4542000000000002</v>
      </c>
      <c r="Q671">
        <f>(Table413429[[#This Row],[time]]-2)*2</f>
        <v>0.90840000000000032</v>
      </c>
      <c r="R671">
        <v>88.621899999999997</v>
      </c>
      <c r="S671">
        <v>28.220199999999998</v>
      </c>
      <c r="T671">
        <f>Table413429[[#This Row],[CFNM]]/Table413429[[#This Row],[CAREA]]</f>
        <v>0.31843370543849769</v>
      </c>
      <c r="U671">
        <v>2.4542000000000002</v>
      </c>
      <c r="V671">
        <f>(Table514430[[#This Row],[time]]-2)*2</f>
        <v>0.90840000000000032</v>
      </c>
      <c r="W671">
        <v>69.098500000000001</v>
      </c>
      <c r="X671">
        <v>3.6049199999999999</v>
      </c>
      <c r="Y671">
        <f>Table514430[[#This Row],[CFNM]]/Table514430[[#This Row],[CAREA]]</f>
        <v>5.2170741767187417E-2</v>
      </c>
      <c r="Z671">
        <v>2.4542000000000002</v>
      </c>
      <c r="AA671">
        <f>(Table615431[[#This Row],[time]]-2)*2</f>
        <v>0.90840000000000032</v>
      </c>
      <c r="AB671">
        <v>93.958299999999994</v>
      </c>
      <c r="AC671">
        <v>47.332999999999998</v>
      </c>
      <c r="AD671">
        <f>Table615431[[#This Row],[CFNM]]/Table615431[[#This Row],[CAREA]]</f>
        <v>0.50376603237819328</v>
      </c>
      <c r="AE671">
        <v>2.4542000000000002</v>
      </c>
      <c r="AF671">
        <f>(Table716432[[#This Row],[time]]-2)*2</f>
        <v>0.90840000000000032</v>
      </c>
      <c r="AG671">
        <v>76.597300000000004</v>
      </c>
      <c r="AH671">
        <v>17.293399999999998</v>
      </c>
      <c r="AI671">
        <f>Table716432[[#This Row],[CFNM]]/Table716432[[#This Row],[CAREA]]</f>
        <v>0.22577036005185558</v>
      </c>
      <c r="AJ671">
        <v>2.4542000000000002</v>
      </c>
      <c r="AK671">
        <f>(Table817433[[#This Row],[time]]-2)*2</f>
        <v>0.90840000000000032</v>
      </c>
      <c r="AL671">
        <v>79.844300000000004</v>
      </c>
      <c r="AM671">
        <v>42.3018</v>
      </c>
      <c r="AN671">
        <f>Table817433[[#This Row],[CFNM]]/Table817433[[#This Row],[CAREA]]</f>
        <v>0.52980363031550148</v>
      </c>
    </row>
    <row r="672" spans="1:40" x14ac:dyDescent="0.25">
      <c r="A672">
        <v>2.5061499999999999</v>
      </c>
      <c r="B672">
        <f>(Table110426[[#This Row],[time]]-2)*2</f>
        <v>1.0122999999999998</v>
      </c>
      <c r="C672">
        <v>65.602500000000006</v>
      </c>
      <c r="D672">
        <v>8.7413399999999992</v>
      </c>
      <c r="E672">
        <f>Table110426[[#This Row],[CFNM]]/Table110426[[#This Row],[CAREA]]</f>
        <v>0.13324705613353147</v>
      </c>
      <c r="F672">
        <v>2.5061499999999999</v>
      </c>
      <c r="G672">
        <f>(Table211427[[#This Row],[time]]-2)*2</f>
        <v>1.0122999999999998</v>
      </c>
      <c r="H672">
        <v>100.203</v>
      </c>
      <c r="I672">
        <v>28.772099999999998</v>
      </c>
      <c r="J672">
        <f>Table211427[[#This Row],[CFNM]]/Table211427[[#This Row],[CAREA]]</f>
        <v>0.28713810963743597</v>
      </c>
      <c r="K672">
        <v>2.5061499999999999</v>
      </c>
      <c r="L672">
        <f>(Table312428[[#This Row],[time]]-2)*2</f>
        <v>1.0122999999999998</v>
      </c>
      <c r="M672">
        <v>77.952500000000001</v>
      </c>
      <c r="N672">
        <v>3.0673400000000002</v>
      </c>
      <c r="O672">
        <f>Table312428[[#This Row],[CFNM]]/Table312428[[#This Row],[CAREA]]</f>
        <v>3.9348834225970943E-2</v>
      </c>
      <c r="P672">
        <v>2.5061499999999999</v>
      </c>
      <c r="Q672">
        <f>(Table413429[[#This Row],[time]]-2)*2</f>
        <v>1.0122999999999998</v>
      </c>
      <c r="R672">
        <v>87.9208</v>
      </c>
      <c r="S672">
        <v>32.137900000000002</v>
      </c>
      <c r="T672">
        <f>Table413429[[#This Row],[CFNM]]/Table413429[[#This Row],[CAREA]]</f>
        <v>0.36553238824032541</v>
      </c>
      <c r="U672">
        <v>2.5061499999999999</v>
      </c>
      <c r="V672">
        <f>(Table514430[[#This Row],[time]]-2)*2</f>
        <v>1.0122999999999998</v>
      </c>
      <c r="W672">
        <v>68.037499999999994</v>
      </c>
      <c r="X672">
        <v>3.3407</v>
      </c>
      <c r="Y672">
        <f>Table514430[[#This Row],[CFNM]]/Table514430[[#This Row],[CAREA]]</f>
        <v>4.9100863494396477E-2</v>
      </c>
      <c r="Z672">
        <v>2.5061499999999999</v>
      </c>
      <c r="AA672">
        <f>(Table615431[[#This Row],[time]]-2)*2</f>
        <v>1.0122999999999998</v>
      </c>
      <c r="AB672">
        <v>93.836299999999994</v>
      </c>
      <c r="AC672">
        <v>51.769799999999996</v>
      </c>
      <c r="AD672">
        <f>Table615431[[#This Row],[CFNM]]/Table615431[[#This Row],[CAREA]]</f>
        <v>0.55170333868662769</v>
      </c>
      <c r="AE672">
        <v>2.5061499999999999</v>
      </c>
      <c r="AF672">
        <f>(Table716432[[#This Row],[time]]-2)*2</f>
        <v>1.0122999999999998</v>
      </c>
      <c r="AG672">
        <v>75.686499999999995</v>
      </c>
      <c r="AH672">
        <v>16.876799999999999</v>
      </c>
      <c r="AI672">
        <f>Table716432[[#This Row],[CFNM]]/Table716432[[#This Row],[CAREA]]</f>
        <v>0.22298296261552589</v>
      </c>
      <c r="AJ672">
        <v>2.5061499999999999</v>
      </c>
      <c r="AK672">
        <f>(Table817433[[#This Row],[time]]-2)*2</f>
        <v>1.0122999999999998</v>
      </c>
      <c r="AL672">
        <v>79.450299999999999</v>
      </c>
      <c r="AM672">
        <v>45.965600000000002</v>
      </c>
      <c r="AN672">
        <f>Table817433[[#This Row],[CFNM]]/Table817433[[#This Row],[CAREA]]</f>
        <v>0.57854532959598648</v>
      </c>
    </row>
    <row r="673" spans="1:40" x14ac:dyDescent="0.25">
      <c r="A673">
        <v>2.5507599999999999</v>
      </c>
      <c r="B673">
        <f>(Table110426[[#This Row],[time]]-2)*2</f>
        <v>1.1015199999999998</v>
      </c>
      <c r="C673">
        <v>64.773499999999999</v>
      </c>
      <c r="D673">
        <v>8.2375299999999996</v>
      </c>
      <c r="E673">
        <f>Table110426[[#This Row],[CFNM]]/Table110426[[#This Row],[CAREA]]</f>
        <v>0.12717438458628913</v>
      </c>
      <c r="F673">
        <v>2.5507599999999999</v>
      </c>
      <c r="G673">
        <f>(Table211427[[#This Row],[time]]-2)*2</f>
        <v>1.1015199999999998</v>
      </c>
      <c r="H673">
        <v>99.069199999999995</v>
      </c>
      <c r="I673">
        <v>32.310400000000001</v>
      </c>
      <c r="J673">
        <f>Table211427[[#This Row],[CFNM]]/Table211427[[#This Row],[CAREA]]</f>
        <v>0.32613970840584161</v>
      </c>
      <c r="K673">
        <v>2.5507599999999999</v>
      </c>
      <c r="L673">
        <f>(Table312428[[#This Row],[time]]-2)*2</f>
        <v>1.1015199999999998</v>
      </c>
      <c r="M673">
        <v>76.779200000000003</v>
      </c>
      <c r="N673">
        <v>2.9266999999999999</v>
      </c>
      <c r="O673">
        <f>Table312428[[#This Row],[CFNM]]/Table312428[[#This Row],[CAREA]]</f>
        <v>3.8118396649092459E-2</v>
      </c>
      <c r="P673">
        <v>2.5507599999999999</v>
      </c>
      <c r="Q673">
        <f>(Table413429[[#This Row],[time]]-2)*2</f>
        <v>1.1015199999999998</v>
      </c>
      <c r="R673">
        <v>86.932699999999997</v>
      </c>
      <c r="S673">
        <v>35.5349</v>
      </c>
      <c r="T673">
        <f>Table413429[[#This Row],[CFNM]]/Table413429[[#This Row],[CAREA]]</f>
        <v>0.40876333071444926</v>
      </c>
      <c r="U673">
        <v>2.5507599999999999</v>
      </c>
      <c r="V673">
        <f>(Table514430[[#This Row],[time]]-2)*2</f>
        <v>1.1015199999999998</v>
      </c>
      <c r="W673">
        <v>67.344099999999997</v>
      </c>
      <c r="X673">
        <v>3.0807899999999999</v>
      </c>
      <c r="Y673">
        <f>Table514430[[#This Row],[CFNM]]/Table514430[[#This Row],[CAREA]]</f>
        <v>4.5746991941387594E-2</v>
      </c>
      <c r="Z673">
        <v>2.5507599999999999</v>
      </c>
      <c r="AA673">
        <f>(Table615431[[#This Row],[time]]-2)*2</f>
        <v>1.1015199999999998</v>
      </c>
      <c r="AB673">
        <v>93.349699999999999</v>
      </c>
      <c r="AC673">
        <v>55.543300000000002</v>
      </c>
      <c r="AD673">
        <f>Table615431[[#This Row],[CFNM]]/Table615431[[#This Row],[CAREA]]</f>
        <v>0.59500244778504918</v>
      </c>
      <c r="AE673">
        <v>2.5507599999999999</v>
      </c>
      <c r="AF673">
        <f>(Table716432[[#This Row],[time]]-2)*2</f>
        <v>1.1015199999999998</v>
      </c>
      <c r="AG673">
        <v>75.521500000000003</v>
      </c>
      <c r="AH673">
        <v>16.435300000000002</v>
      </c>
      <c r="AI673">
        <f>Table716432[[#This Row],[CFNM]]/Table716432[[#This Row],[CAREA]]</f>
        <v>0.21762412028362785</v>
      </c>
      <c r="AJ673">
        <v>2.5507599999999999</v>
      </c>
      <c r="AK673">
        <f>(Table817433[[#This Row],[time]]-2)*2</f>
        <v>1.1015199999999998</v>
      </c>
      <c r="AL673">
        <v>78.875500000000002</v>
      </c>
      <c r="AM673">
        <v>49.121299999999998</v>
      </c>
      <c r="AN673">
        <f>Table817433[[#This Row],[CFNM]]/Table817433[[#This Row],[CAREA]]</f>
        <v>0.62277006167948212</v>
      </c>
    </row>
    <row r="674" spans="1:40" x14ac:dyDescent="0.25">
      <c r="A674">
        <v>2.60453</v>
      </c>
      <c r="B674">
        <f>(Table110426[[#This Row],[time]]-2)*2</f>
        <v>1.20906</v>
      </c>
      <c r="C674">
        <v>63.566299999999998</v>
      </c>
      <c r="D674">
        <v>7.6844799999999998</v>
      </c>
      <c r="E674">
        <f>Table110426[[#This Row],[CFNM]]/Table110426[[#This Row],[CAREA]]</f>
        <v>0.12088921330956812</v>
      </c>
      <c r="F674">
        <v>2.60453</v>
      </c>
      <c r="G674">
        <f>(Table211427[[#This Row],[time]]-2)*2</f>
        <v>1.20906</v>
      </c>
      <c r="H674">
        <v>97.995500000000007</v>
      </c>
      <c r="I674">
        <v>36.2256</v>
      </c>
      <c r="J674">
        <f>Table211427[[#This Row],[CFNM]]/Table211427[[#This Row],[CAREA]]</f>
        <v>0.36966595404891039</v>
      </c>
      <c r="K674">
        <v>2.60453</v>
      </c>
      <c r="L674">
        <f>(Table312428[[#This Row],[time]]-2)*2</f>
        <v>1.20906</v>
      </c>
      <c r="M674">
        <v>76.0124</v>
      </c>
      <c r="N674">
        <v>2.4601199999999999</v>
      </c>
      <c r="O674">
        <f>Table312428[[#This Row],[CFNM]]/Table312428[[#This Row],[CAREA]]</f>
        <v>3.2364719440512335E-2</v>
      </c>
      <c r="P674">
        <v>2.60453</v>
      </c>
      <c r="Q674">
        <f>(Table413429[[#This Row],[time]]-2)*2</f>
        <v>1.20906</v>
      </c>
      <c r="R674">
        <v>86.162300000000002</v>
      </c>
      <c r="S674">
        <v>39.671999999999997</v>
      </c>
      <c r="T674">
        <f>Table413429[[#This Row],[CFNM]]/Table413429[[#This Row],[CAREA]]</f>
        <v>0.46043339140204004</v>
      </c>
      <c r="U674">
        <v>2.60453</v>
      </c>
      <c r="V674">
        <f>(Table514430[[#This Row],[time]]-2)*2</f>
        <v>1.20906</v>
      </c>
      <c r="W674">
        <v>66.376599999999996</v>
      </c>
      <c r="X674">
        <v>2.6943000000000001</v>
      </c>
      <c r="Y674">
        <f>Table514430[[#This Row],[CFNM]]/Table514430[[#This Row],[CAREA]]</f>
        <v>4.0591111927998726E-2</v>
      </c>
      <c r="Z674">
        <v>2.60453</v>
      </c>
      <c r="AA674">
        <f>(Table615431[[#This Row],[time]]-2)*2</f>
        <v>1.20906</v>
      </c>
      <c r="AB674">
        <v>92.921800000000005</v>
      </c>
      <c r="AC674">
        <v>59.939100000000003</v>
      </c>
      <c r="AD674">
        <f>Table615431[[#This Row],[CFNM]]/Table615431[[#This Row],[CAREA]]</f>
        <v>0.6450488475255538</v>
      </c>
      <c r="AE674">
        <v>2.60453</v>
      </c>
      <c r="AF674">
        <f>(Table716432[[#This Row],[time]]-2)*2</f>
        <v>1.20906</v>
      </c>
      <c r="AG674">
        <v>74.738200000000006</v>
      </c>
      <c r="AH674">
        <v>15.8095</v>
      </c>
      <c r="AI674">
        <f>Table716432[[#This Row],[CFNM]]/Table716432[[#This Row],[CAREA]]</f>
        <v>0.21153172005748064</v>
      </c>
      <c r="AJ674">
        <v>2.60453</v>
      </c>
      <c r="AK674">
        <f>(Table817433[[#This Row],[time]]-2)*2</f>
        <v>1.20906</v>
      </c>
      <c r="AL674">
        <v>78.231700000000004</v>
      </c>
      <c r="AM674">
        <v>52.7682</v>
      </c>
      <c r="AN674">
        <f>Table817433[[#This Row],[CFNM]]/Table817433[[#This Row],[CAREA]]</f>
        <v>0.67451173884755156</v>
      </c>
    </row>
    <row r="675" spans="1:40" x14ac:dyDescent="0.25">
      <c r="A675">
        <v>2.65273</v>
      </c>
      <c r="B675">
        <f>(Table110426[[#This Row],[time]]-2)*2</f>
        <v>1.3054600000000001</v>
      </c>
      <c r="C675">
        <v>62.777900000000002</v>
      </c>
      <c r="D675">
        <v>7.2825699999999998</v>
      </c>
      <c r="E675">
        <f>Table110426[[#This Row],[CFNM]]/Table110426[[#This Row],[CAREA]]</f>
        <v>0.11600531397195508</v>
      </c>
      <c r="F675">
        <v>2.65273</v>
      </c>
      <c r="G675">
        <f>(Table211427[[#This Row],[time]]-2)*2</f>
        <v>1.3054600000000001</v>
      </c>
      <c r="H675">
        <v>97.260900000000007</v>
      </c>
      <c r="I675">
        <v>38.962800000000001</v>
      </c>
      <c r="J675">
        <f>Table211427[[#This Row],[CFNM]]/Table211427[[#This Row],[CAREA]]</f>
        <v>0.40060085810433588</v>
      </c>
      <c r="K675">
        <v>2.65273</v>
      </c>
      <c r="L675">
        <f>(Table312428[[#This Row],[time]]-2)*2</f>
        <v>1.3054600000000001</v>
      </c>
      <c r="M675">
        <v>75.203400000000002</v>
      </c>
      <c r="N675">
        <v>2.1259199999999998</v>
      </c>
      <c r="O675">
        <f>Table312428[[#This Row],[CFNM]]/Table312428[[#This Row],[CAREA]]</f>
        <v>2.8268934649231282E-2</v>
      </c>
      <c r="P675">
        <v>2.65273</v>
      </c>
      <c r="Q675">
        <f>(Table413429[[#This Row],[time]]-2)*2</f>
        <v>1.3054600000000001</v>
      </c>
      <c r="R675">
        <v>85.656599999999997</v>
      </c>
      <c r="S675">
        <v>42.586399999999998</v>
      </c>
      <c r="T675">
        <f>Table413429[[#This Row],[CFNM]]/Table413429[[#This Row],[CAREA]]</f>
        <v>0.4971759327360647</v>
      </c>
      <c r="U675">
        <v>2.65273</v>
      </c>
      <c r="V675">
        <f>(Table514430[[#This Row],[time]]-2)*2</f>
        <v>1.3054600000000001</v>
      </c>
      <c r="W675">
        <v>65.612399999999994</v>
      </c>
      <c r="X675">
        <v>2.3646600000000002</v>
      </c>
      <c r="Y675">
        <f>Table514430[[#This Row],[CFNM]]/Table514430[[#This Row],[CAREA]]</f>
        <v>3.603983393382959E-2</v>
      </c>
      <c r="Z675">
        <v>2.65273</v>
      </c>
      <c r="AA675">
        <f>(Table615431[[#This Row],[time]]-2)*2</f>
        <v>1.3054600000000001</v>
      </c>
      <c r="AB675">
        <v>92.409800000000004</v>
      </c>
      <c r="AC675">
        <v>63.114600000000003</v>
      </c>
      <c r="AD675">
        <f>Table615431[[#This Row],[CFNM]]/Table615431[[#This Row],[CAREA]]</f>
        <v>0.68298600364896367</v>
      </c>
      <c r="AE675">
        <v>2.65273</v>
      </c>
      <c r="AF675">
        <f>(Table716432[[#This Row],[time]]-2)*2</f>
        <v>1.3054600000000001</v>
      </c>
      <c r="AG675">
        <v>74.335300000000004</v>
      </c>
      <c r="AH675">
        <v>15.3131</v>
      </c>
      <c r="AI675">
        <f>Table716432[[#This Row],[CFNM]]/Table716432[[#This Row],[CAREA]]</f>
        <v>0.20600037936216037</v>
      </c>
      <c r="AJ675">
        <v>2.65273</v>
      </c>
      <c r="AK675">
        <f>(Table817433[[#This Row],[time]]-2)*2</f>
        <v>1.3054600000000001</v>
      </c>
      <c r="AL675">
        <v>77.565700000000007</v>
      </c>
      <c r="AM675">
        <v>55.416499999999999</v>
      </c>
      <c r="AN675">
        <f>Table817433[[#This Row],[CFNM]]/Table817433[[#This Row],[CAREA]]</f>
        <v>0.7144459471132214</v>
      </c>
    </row>
    <row r="676" spans="1:40" x14ac:dyDescent="0.25">
      <c r="A676">
        <v>2.7006199999999998</v>
      </c>
      <c r="B676">
        <f>(Table110426[[#This Row],[time]]-2)*2</f>
        <v>1.4012399999999996</v>
      </c>
      <c r="C676">
        <v>61.648499999999999</v>
      </c>
      <c r="D676">
        <v>6.7380699999999996</v>
      </c>
      <c r="E676">
        <f>Table110426[[#This Row],[CFNM]]/Table110426[[#This Row],[CAREA]]</f>
        <v>0.10929819865852372</v>
      </c>
      <c r="F676">
        <v>2.7006199999999998</v>
      </c>
      <c r="G676">
        <f>(Table211427[[#This Row],[time]]-2)*2</f>
        <v>1.4012399999999996</v>
      </c>
      <c r="H676">
        <v>96.308199999999999</v>
      </c>
      <c r="I676">
        <v>42.87</v>
      </c>
      <c r="J676">
        <f>Table211427[[#This Row],[CFNM]]/Table211427[[#This Row],[CAREA]]</f>
        <v>0.44513343619754081</v>
      </c>
      <c r="K676">
        <v>2.7006199999999998</v>
      </c>
      <c r="L676">
        <f>(Table312428[[#This Row],[time]]-2)*2</f>
        <v>1.4012399999999996</v>
      </c>
      <c r="M676">
        <v>71.554000000000002</v>
      </c>
      <c r="N676">
        <v>1.68001</v>
      </c>
      <c r="O676">
        <f>Table312428[[#This Row],[CFNM]]/Table312428[[#This Row],[CAREA]]</f>
        <v>2.3478911032227406E-2</v>
      </c>
      <c r="P676">
        <v>2.7006199999999998</v>
      </c>
      <c r="Q676">
        <f>(Table413429[[#This Row],[time]]-2)*2</f>
        <v>1.4012399999999996</v>
      </c>
      <c r="R676">
        <v>84.901399999999995</v>
      </c>
      <c r="S676">
        <v>46.680700000000002</v>
      </c>
      <c r="T676">
        <f>Table413429[[#This Row],[CFNM]]/Table413429[[#This Row],[CAREA]]</f>
        <v>0.54982249998233246</v>
      </c>
      <c r="U676">
        <v>2.7006199999999998</v>
      </c>
      <c r="V676">
        <f>(Table514430[[#This Row],[time]]-2)*2</f>
        <v>1.4012399999999996</v>
      </c>
      <c r="W676">
        <v>64.69</v>
      </c>
      <c r="X676">
        <v>1.8097399999999999</v>
      </c>
      <c r="Y676">
        <f>Table514430[[#This Row],[CFNM]]/Table514430[[#This Row],[CAREA]]</f>
        <v>2.7975575823156594E-2</v>
      </c>
      <c r="Z676">
        <v>2.7006199999999998</v>
      </c>
      <c r="AA676">
        <f>(Table615431[[#This Row],[time]]-2)*2</f>
        <v>1.4012399999999996</v>
      </c>
      <c r="AB676">
        <v>91.729699999999994</v>
      </c>
      <c r="AC676">
        <v>67.582099999999997</v>
      </c>
      <c r="AD676">
        <f>Table615431[[#This Row],[CFNM]]/Table615431[[#This Row],[CAREA]]</f>
        <v>0.7367526548108192</v>
      </c>
      <c r="AE676">
        <v>2.7006199999999998</v>
      </c>
      <c r="AF676">
        <f>(Table716432[[#This Row],[time]]-2)*2</f>
        <v>1.4012399999999996</v>
      </c>
      <c r="AG676">
        <v>73.540400000000005</v>
      </c>
      <c r="AH676">
        <v>14.5623</v>
      </c>
      <c r="AI676">
        <f>Table716432[[#This Row],[CFNM]]/Table716432[[#This Row],[CAREA]]</f>
        <v>0.1980176882366699</v>
      </c>
      <c r="AJ676">
        <v>2.7006199999999998</v>
      </c>
      <c r="AK676">
        <f>(Table817433[[#This Row],[time]]-2)*2</f>
        <v>1.4012399999999996</v>
      </c>
      <c r="AL676">
        <v>76.713499999999996</v>
      </c>
      <c r="AM676">
        <v>59.222000000000001</v>
      </c>
      <c r="AN676">
        <f>Table817433[[#This Row],[CFNM]]/Table817433[[#This Row],[CAREA]]</f>
        <v>0.77198928480645523</v>
      </c>
    </row>
    <row r="677" spans="1:40" x14ac:dyDescent="0.25">
      <c r="A677">
        <v>2.75176</v>
      </c>
      <c r="B677">
        <f>(Table110426[[#This Row],[time]]-2)*2</f>
        <v>1.50352</v>
      </c>
      <c r="C677">
        <v>61.212800000000001</v>
      </c>
      <c r="D677">
        <v>6.4302900000000003</v>
      </c>
      <c r="E677">
        <f>Table110426[[#This Row],[CFNM]]/Table110426[[#This Row],[CAREA]]</f>
        <v>0.10504812718908464</v>
      </c>
      <c r="F677">
        <v>2.75176</v>
      </c>
      <c r="G677">
        <f>(Table211427[[#This Row],[time]]-2)*2</f>
        <v>1.50352</v>
      </c>
      <c r="H677">
        <v>95.581599999999995</v>
      </c>
      <c r="I677">
        <v>45.256399999999999</v>
      </c>
      <c r="J677">
        <f>Table211427[[#This Row],[CFNM]]/Table211427[[#This Row],[CAREA]]</f>
        <v>0.47348443633502685</v>
      </c>
      <c r="K677">
        <v>2.75176</v>
      </c>
      <c r="L677">
        <f>(Table312428[[#This Row],[time]]-2)*2</f>
        <v>1.50352</v>
      </c>
      <c r="M677">
        <v>70.341200000000001</v>
      </c>
      <c r="N677">
        <v>1.4395899999999999</v>
      </c>
      <c r="O677">
        <f>Table312428[[#This Row],[CFNM]]/Table312428[[#This Row],[CAREA]]</f>
        <v>2.046581519792099E-2</v>
      </c>
      <c r="P677">
        <v>2.75176</v>
      </c>
      <c r="Q677">
        <f>(Table413429[[#This Row],[time]]-2)*2</f>
        <v>1.50352</v>
      </c>
      <c r="R677">
        <v>84.350399999999993</v>
      </c>
      <c r="S677">
        <v>49.182099999999998</v>
      </c>
      <c r="T677">
        <f>Table413429[[#This Row],[CFNM]]/Table413429[[#This Row],[CAREA]]</f>
        <v>0.58306895995751062</v>
      </c>
      <c r="U677">
        <v>2.75176</v>
      </c>
      <c r="V677">
        <f>(Table514430[[#This Row],[time]]-2)*2</f>
        <v>1.50352</v>
      </c>
      <c r="W677">
        <v>63.902299999999997</v>
      </c>
      <c r="X677">
        <v>1.48933</v>
      </c>
      <c r="Y677">
        <f>Table514430[[#This Row],[CFNM]]/Table514430[[#This Row],[CAREA]]</f>
        <v>2.3306359864981387E-2</v>
      </c>
      <c r="Z677">
        <v>2.75176</v>
      </c>
      <c r="AA677">
        <f>(Table615431[[#This Row],[time]]-2)*2</f>
        <v>1.50352</v>
      </c>
      <c r="AB677">
        <v>91.289100000000005</v>
      </c>
      <c r="AC677">
        <v>70.343299999999999</v>
      </c>
      <c r="AD677">
        <f>Table615431[[#This Row],[CFNM]]/Table615431[[#This Row],[CAREA]]</f>
        <v>0.77055530178301679</v>
      </c>
      <c r="AE677">
        <v>2.75176</v>
      </c>
      <c r="AF677">
        <f>(Table716432[[#This Row],[time]]-2)*2</f>
        <v>1.50352</v>
      </c>
      <c r="AG677">
        <v>73.176400000000001</v>
      </c>
      <c r="AH677">
        <v>14.0609</v>
      </c>
      <c r="AI677">
        <f>Table716432[[#This Row],[CFNM]]/Table716432[[#This Row],[CAREA]]</f>
        <v>0.19215074805538399</v>
      </c>
      <c r="AJ677">
        <v>2.75176</v>
      </c>
      <c r="AK677">
        <f>(Table817433[[#This Row],[time]]-2)*2</f>
        <v>1.50352</v>
      </c>
      <c r="AL677">
        <v>76.1417</v>
      </c>
      <c r="AM677">
        <v>61.577399999999997</v>
      </c>
      <c r="AN677">
        <f>Table817433[[#This Row],[CFNM]]/Table817433[[#This Row],[CAREA]]</f>
        <v>0.80872110814442022</v>
      </c>
    </row>
    <row r="678" spans="1:40" x14ac:dyDescent="0.25">
      <c r="A678">
        <v>2.80444</v>
      </c>
      <c r="B678">
        <f>(Table110426[[#This Row],[time]]-2)*2</f>
        <v>1.6088800000000001</v>
      </c>
      <c r="C678">
        <v>59.836500000000001</v>
      </c>
      <c r="D678">
        <v>6.0207100000000002</v>
      </c>
      <c r="E678">
        <f>Table110426[[#This Row],[CFNM]]/Table110426[[#This Row],[CAREA]]</f>
        <v>0.10061935440742691</v>
      </c>
      <c r="F678">
        <v>2.80444</v>
      </c>
      <c r="G678">
        <f>(Table211427[[#This Row],[time]]-2)*2</f>
        <v>1.6088800000000001</v>
      </c>
      <c r="H678">
        <v>94.603800000000007</v>
      </c>
      <c r="I678">
        <v>48.578299999999999</v>
      </c>
      <c r="J678">
        <f>Table211427[[#This Row],[CFNM]]/Table211427[[#This Row],[CAREA]]</f>
        <v>0.51349205845853962</v>
      </c>
      <c r="K678">
        <v>2.80444</v>
      </c>
      <c r="L678">
        <f>(Table312428[[#This Row],[time]]-2)*2</f>
        <v>1.6088800000000001</v>
      </c>
      <c r="M678">
        <v>65.652199999999993</v>
      </c>
      <c r="N678">
        <v>1.16279</v>
      </c>
      <c r="O678">
        <f>Table312428[[#This Row],[CFNM]]/Table312428[[#This Row],[CAREA]]</f>
        <v>1.7711363823299145E-2</v>
      </c>
      <c r="P678">
        <v>2.80444</v>
      </c>
      <c r="Q678">
        <f>(Table413429[[#This Row],[time]]-2)*2</f>
        <v>1.6088800000000001</v>
      </c>
      <c r="R678">
        <v>83.530100000000004</v>
      </c>
      <c r="S678">
        <v>52.709000000000003</v>
      </c>
      <c r="T678">
        <f>Table413429[[#This Row],[CFNM]]/Table413429[[#This Row],[CAREA]]</f>
        <v>0.63101804020347152</v>
      </c>
      <c r="U678">
        <v>2.80444</v>
      </c>
      <c r="V678">
        <f>(Table514430[[#This Row],[time]]-2)*2</f>
        <v>1.6088800000000001</v>
      </c>
      <c r="W678">
        <v>62.917099999999998</v>
      </c>
      <c r="X678">
        <v>1.1132</v>
      </c>
      <c r="Y678">
        <f>Table514430[[#This Row],[CFNM]]/Table514430[[#This Row],[CAREA]]</f>
        <v>1.769312317319139E-2</v>
      </c>
      <c r="Z678">
        <v>2.80444</v>
      </c>
      <c r="AA678">
        <f>(Table615431[[#This Row],[time]]-2)*2</f>
        <v>1.6088800000000001</v>
      </c>
      <c r="AB678">
        <v>90.757400000000004</v>
      </c>
      <c r="AC678">
        <v>74.332800000000006</v>
      </c>
      <c r="AD678">
        <f>Table615431[[#This Row],[CFNM]]/Table615431[[#This Row],[CAREA]]</f>
        <v>0.81902742916831028</v>
      </c>
      <c r="AE678">
        <v>2.80444</v>
      </c>
      <c r="AF678">
        <f>(Table716432[[#This Row],[time]]-2)*2</f>
        <v>1.6088800000000001</v>
      </c>
      <c r="AG678">
        <v>72.0989</v>
      </c>
      <c r="AH678">
        <v>13.3504</v>
      </c>
      <c r="AI678">
        <f>Table716432[[#This Row],[CFNM]]/Table716432[[#This Row],[CAREA]]</f>
        <v>0.18516787357366063</v>
      </c>
      <c r="AJ678">
        <v>2.80444</v>
      </c>
      <c r="AK678">
        <f>(Table817433[[#This Row],[time]]-2)*2</f>
        <v>1.6088800000000001</v>
      </c>
      <c r="AL678">
        <v>75.435000000000002</v>
      </c>
      <c r="AM678">
        <v>64.864099999999993</v>
      </c>
      <c r="AN678">
        <f>Table817433[[#This Row],[CFNM]]/Table817433[[#This Row],[CAREA]]</f>
        <v>0.85986743554053147</v>
      </c>
    </row>
    <row r="679" spans="1:40" x14ac:dyDescent="0.25">
      <c r="A679">
        <v>2.8583699999999999</v>
      </c>
      <c r="B679">
        <f>(Table110426[[#This Row],[time]]-2)*2</f>
        <v>1.7167399999999997</v>
      </c>
      <c r="C679">
        <v>59.363199999999999</v>
      </c>
      <c r="D679">
        <v>5.66744</v>
      </c>
      <c r="E679">
        <f>Table110426[[#This Row],[CFNM]]/Table110426[[#This Row],[CAREA]]</f>
        <v>9.5470594577111753E-2</v>
      </c>
      <c r="F679">
        <v>2.8583699999999999</v>
      </c>
      <c r="G679">
        <f>(Table211427[[#This Row],[time]]-2)*2</f>
        <v>1.7167399999999997</v>
      </c>
      <c r="H679">
        <v>93.706299999999999</v>
      </c>
      <c r="I679">
        <v>51.576900000000002</v>
      </c>
      <c r="J679">
        <f>Table211427[[#This Row],[CFNM]]/Table211427[[#This Row],[CAREA]]</f>
        <v>0.55041016452469049</v>
      </c>
      <c r="K679">
        <v>2.8583699999999999</v>
      </c>
      <c r="L679">
        <f>(Table312428[[#This Row],[time]]-2)*2</f>
        <v>1.7167399999999997</v>
      </c>
      <c r="M679">
        <v>64.387299999999996</v>
      </c>
      <c r="N679">
        <v>0.92779199999999995</v>
      </c>
      <c r="O679">
        <f>Table312428[[#This Row],[CFNM]]/Table312428[[#This Row],[CAREA]]</f>
        <v>1.440954970933709E-2</v>
      </c>
      <c r="P679">
        <v>2.8583699999999999</v>
      </c>
      <c r="Q679">
        <f>(Table413429[[#This Row],[time]]-2)*2</f>
        <v>1.7167399999999997</v>
      </c>
      <c r="R679">
        <v>82.851100000000002</v>
      </c>
      <c r="S679">
        <v>55.932000000000002</v>
      </c>
      <c r="T679">
        <f>Table413429[[#This Row],[CFNM]]/Table413429[[#This Row],[CAREA]]</f>
        <v>0.67509061436722029</v>
      </c>
      <c r="U679">
        <v>2.8583699999999999</v>
      </c>
      <c r="V679">
        <f>(Table514430[[#This Row],[time]]-2)*2</f>
        <v>1.7167399999999997</v>
      </c>
      <c r="W679">
        <v>61.567100000000003</v>
      </c>
      <c r="X679">
        <v>0.87851599999999996</v>
      </c>
      <c r="Y679">
        <f>Table514430[[#This Row],[CFNM]]/Table514430[[#This Row],[CAREA]]</f>
        <v>1.426924445036391E-2</v>
      </c>
      <c r="Z679">
        <v>2.8583699999999999</v>
      </c>
      <c r="AA679">
        <f>(Table615431[[#This Row],[time]]-2)*2</f>
        <v>1.7167399999999997</v>
      </c>
      <c r="AB679">
        <v>90.212900000000005</v>
      </c>
      <c r="AC679">
        <v>78.024100000000004</v>
      </c>
      <c r="AD679">
        <f>Table615431[[#This Row],[CFNM]]/Table615431[[#This Row],[CAREA]]</f>
        <v>0.86488850264208339</v>
      </c>
      <c r="AE679">
        <v>2.8583699999999999</v>
      </c>
      <c r="AF679">
        <f>(Table716432[[#This Row],[time]]-2)*2</f>
        <v>1.7167399999999997</v>
      </c>
      <c r="AG679">
        <v>71.071299999999994</v>
      </c>
      <c r="AH679">
        <v>12.6653</v>
      </c>
      <c r="AI679">
        <f>Table716432[[#This Row],[CFNM]]/Table716432[[#This Row],[CAREA]]</f>
        <v>0.1782055485125501</v>
      </c>
      <c r="AJ679">
        <v>2.8583699999999999</v>
      </c>
      <c r="AK679">
        <f>(Table817433[[#This Row],[time]]-2)*2</f>
        <v>1.7167399999999997</v>
      </c>
      <c r="AL679">
        <v>74.672499999999999</v>
      </c>
      <c r="AM679">
        <v>67.801900000000003</v>
      </c>
      <c r="AN679">
        <f>Table817433[[#This Row],[CFNM]]/Table817433[[#This Row],[CAREA]]</f>
        <v>0.90799022397803753</v>
      </c>
    </row>
    <row r="680" spans="1:40" x14ac:dyDescent="0.25">
      <c r="A680">
        <v>2.9134199999999999</v>
      </c>
      <c r="B680">
        <f>(Table110426[[#This Row],[time]]-2)*2</f>
        <v>1.8268399999999998</v>
      </c>
      <c r="C680">
        <v>57.970700000000001</v>
      </c>
      <c r="D680">
        <v>5.2591999999999999</v>
      </c>
      <c r="E680">
        <f>Table110426[[#This Row],[CFNM]]/Table110426[[#This Row],[CAREA]]</f>
        <v>9.0721692165179987E-2</v>
      </c>
      <c r="F680">
        <v>2.9134199999999999</v>
      </c>
      <c r="G680">
        <f>(Table211427[[#This Row],[time]]-2)*2</f>
        <v>1.8268399999999998</v>
      </c>
      <c r="H680">
        <v>92.474599999999995</v>
      </c>
      <c r="I680">
        <v>55.326799999999999</v>
      </c>
      <c r="J680">
        <f>Table211427[[#This Row],[CFNM]]/Table211427[[#This Row],[CAREA]]</f>
        <v>0.59829185527701667</v>
      </c>
      <c r="K680">
        <v>2.9134199999999999</v>
      </c>
      <c r="L680">
        <f>(Table312428[[#This Row],[time]]-2)*2</f>
        <v>1.8268399999999998</v>
      </c>
      <c r="M680">
        <v>58.369300000000003</v>
      </c>
      <c r="N680">
        <v>0.66535100000000003</v>
      </c>
      <c r="O680">
        <f>Table312428[[#This Row],[CFNM]]/Table312428[[#This Row],[CAREA]]</f>
        <v>1.1398988852016385E-2</v>
      </c>
      <c r="P680">
        <v>2.9134199999999999</v>
      </c>
      <c r="Q680">
        <f>(Table413429[[#This Row],[time]]-2)*2</f>
        <v>1.8268399999999998</v>
      </c>
      <c r="R680">
        <v>81.974000000000004</v>
      </c>
      <c r="S680">
        <v>59.964599999999997</v>
      </c>
      <c r="T680">
        <f>Table413429[[#This Row],[CFNM]]/Table413429[[#This Row],[CAREA]]</f>
        <v>0.73150755117476263</v>
      </c>
      <c r="U680">
        <v>2.9134199999999999</v>
      </c>
      <c r="V680">
        <f>(Table514430[[#This Row],[time]]-2)*2</f>
        <v>1.8268399999999998</v>
      </c>
      <c r="W680">
        <v>61.311300000000003</v>
      </c>
      <c r="X680">
        <v>0.63623700000000005</v>
      </c>
      <c r="Y680">
        <f>Table514430[[#This Row],[CFNM]]/Table514430[[#This Row],[CAREA]]</f>
        <v>1.0377157228765335E-2</v>
      </c>
      <c r="Z680">
        <v>2.9134199999999999</v>
      </c>
      <c r="AA680">
        <f>(Table615431[[#This Row],[time]]-2)*2</f>
        <v>1.8268399999999998</v>
      </c>
      <c r="AB680">
        <v>89.540999999999997</v>
      </c>
      <c r="AC680">
        <v>82.573099999999997</v>
      </c>
      <c r="AD680">
        <f>Table615431[[#This Row],[CFNM]]/Table615431[[#This Row],[CAREA]]</f>
        <v>0.92218201717648896</v>
      </c>
      <c r="AE680">
        <v>2.9134199999999999</v>
      </c>
      <c r="AF680">
        <f>(Table716432[[#This Row],[time]]-2)*2</f>
        <v>1.8268399999999998</v>
      </c>
      <c r="AG680">
        <v>70.730999999999995</v>
      </c>
      <c r="AH680">
        <v>11.7515</v>
      </c>
      <c r="AI680">
        <f>Table716432[[#This Row],[CFNM]]/Table716432[[#This Row],[CAREA]]</f>
        <v>0.16614355798730401</v>
      </c>
      <c r="AJ680">
        <v>2.9134199999999999</v>
      </c>
      <c r="AK680">
        <f>(Table817433[[#This Row],[time]]-2)*2</f>
        <v>1.8268399999999998</v>
      </c>
      <c r="AL680">
        <v>73.887200000000007</v>
      </c>
      <c r="AM680">
        <v>71.440399999999997</v>
      </c>
      <c r="AN680">
        <f>Table817433[[#This Row],[CFNM]]/Table817433[[#This Row],[CAREA]]</f>
        <v>0.96688465661169987</v>
      </c>
    </row>
    <row r="681" spans="1:40" x14ac:dyDescent="0.25">
      <c r="A681">
        <v>2.9619599999999999</v>
      </c>
      <c r="B681">
        <f>(Table110426[[#This Row],[time]]-2)*2</f>
        <v>1.9239199999999999</v>
      </c>
      <c r="C681">
        <v>57.512599999999999</v>
      </c>
      <c r="D681">
        <v>5.0244099999999996</v>
      </c>
      <c r="E681">
        <f>Table110426[[#This Row],[CFNM]]/Table110426[[#This Row],[CAREA]]</f>
        <v>8.7361899827168299E-2</v>
      </c>
      <c r="F681">
        <v>2.9619599999999999</v>
      </c>
      <c r="G681">
        <f>(Table211427[[#This Row],[time]]-2)*2</f>
        <v>1.9239199999999999</v>
      </c>
      <c r="H681">
        <v>91.553600000000003</v>
      </c>
      <c r="I681">
        <v>57.759700000000002</v>
      </c>
      <c r="J681">
        <f>Table211427[[#This Row],[CFNM]]/Table211427[[#This Row],[CAREA]]</f>
        <v>0.63088398490064834</v>
      </c>
      <c r="K681">
        <v>2.9619599999999999</v>
      </c>
      <c r="L681">
        <f>(Table312428[[#This Row],[time]]-2)*2</f>
        <v>1.9239199999999999</v>
      </c>
      <c r="M681">
        <v>57.654699999999998</v>
      </c>
      <c r="N681">
        <v>0.50818200000000002</v>
      </c>
      <c r="O681">
        <f>Table312428[[#This Row],[CFNM]]/Table312428[[#This Row],[CAREA]]</f>
        <v>8.8142337051445949E-3</v>
      </c>
      <c r="P681">
        <v>2.9619599999999999</v>
      </c>
      <c r="Q681">
        <f>(Table413429[[#This Row],[time]]-2)*2</f>
        <v>1.9239199999999999</v>
      </c>
      <c r="R681">
        <v>81.377899999999997</v>
      </c>
      <c r="S681">
        <v>62.603000000000002</v>
      </c>
      <c r="T681">
        <f>Table413429[[#This Row],[CFNM]]/Table413429[[#This Row],[CAREA]]</f>
        <v>0.76928748468564567</v>
      </c>
      <c r="U681">
        <v>2.9619599999999999</v>
      </c>
      <c r="V681">
        <f>(Table514430[[#This Row],[time]]-2)*2</f>
        <v>1.9239199999999999</v>
      </c>
      <c r="W681">
        <v>60.910499999999999</v>
      </c>
      <c r="X681">
        <v>0.46479300000000001</v>
      </c>
      <c r="Y681">
        <f>Table514430[[#This Row],[CFNM]]/Table514430[[#This Row],[CAREA]]</f>
        <v>7.6307533183933808E-3</v>
      </c>
      <c r="Z681">
        <v>2.9619599999999999</v>
      </c>
      <c r="AA681">
        <f>(Table615431[[#This Row],[time]]-2)*2</f>
        <v>1.9239199999999999</v>
      </c>
      <c r="AB681">
        <v>89.130200000000002</v>
      </c>
      <c r="AC681">
        <v>85.335599999999999</v>
      </c>
      <c r="AD681">
        <f>Table615431[[#This Row],[CFNM]]/Table615431[[#This Row],[CAREA]]</f>
        <v>0.95742632687910489</v>
      </c>
      <c r="AE681">
        <v>2.9619599999999999</v>
      </c>
      <c r="AF681">
        <f>(Table716432[[#This Row],[time]]-2)*2</f>
        <v>1.9239199999999999</v>
      </c>
      <c r="AG681">
        <v>70.521600000000007</v>
      </c>
      <c r="AH681">
        <v>11.1496</v>
      </c>
      <c r="AI681">
        <f>Table716432[[#This Row],[CFNM]]/Table716432[[#This Row],[CAREA]]</f>
        <v>0.158101914874308</v>
      </c>
      <c r="AJ681">
        <v>2.9619599999999999</v>
      </c>
      <c r="AK681">
        <f>(Table817433[[#This Row],[time]]-2)*2</f>
        <v>1.9239199999999999</v>
      </c>
      <c r="AL681">
        <v>73.342100000000002</v>
      </c>
      <c r="AM681">
        <v>73.806299999999993</v>
      </c>
      <c r="AN681">
        <f>Table817433[[#This Row],[CFNM]]/Table817433[[#This Row],[CAREA]]</f>
        <v>1.0063292433677244</v>
      </c>
    </row>
    <row r="682" spans="1:40" x14ac:dyDescent="0.25">
      <c r="A682">
        <v>3</v>
      </c>
      <c r="B682">
        <f>(Table110426[[#This Row],[time]]-2)*2</f>
        <v>2</v>
      </c>
      <c r="C682">
        <v>56.663400000000003</v>
      </c>
      <c r="D682">
        <v>4.7958400000000001</v>
      </c>
      <c r="E682">
        <f>Table110426[[#This Row],[CFNM]]/Table110426[[#This Row],[CAREA]]</f>
        <v>8.4637349682511104E-2</v>
      </c>
      <c r="F682">
        <v>3</v>
      </c>
      <c r="G682">
        <f>(Table211427[[#This Row],[time]]-2)*2</f>
        <v>2</v>
      </c>
      <c r="H682">
        <v>90.626199999999997</v>
      </c>
      <c r="I682">
        <v>60.607100000000003</v>
      </c>
      <c r="J682">
        <f>Table211427[[#This Row],[CFNM]]/Table211427[[#This Row],[CAREA]]</f>
        <v>0.66875914470649778</v>
      </c>
      <c r="K682">
        <v>3</v>
      </c>
      <c r="L682">
        <f>(Table312428[[#This Row],[time]]-2)*2</f>
        <v>2</v>
      </c>
      <c r="M682">
        <v>54.110500000000002</v>
      </c>
      <c r="N682">
        <v>0.34453099999999998</v>
      </c>
      <c r="O682">
        <f>Table312428[[#This Row],[CFNM]]/Table312428[[#This Row],[CAREA]]</f>
        <v>6.3671745779469782E-3</v>
      </c>
      <c r="P682">
        <v>3</v>
      </c>
      <c r="Q682">
        <f>(Table413429[[#This Row],[time]]-2)*2</f>
        <v>2</v>
      </c>
      <c r="R682">
        <v>80.724599999999995</v>
      </c>
      <c r="S682">
        <v>65.730900000000005</v>
      </c>
      <c r="T682">
        <f>Table413429[[#This Row],[CFNM]]/Table413429[[#This Row],[CAREA]]</f>
        <v>0.81426108026549537</v>
      </c>
      <c r="U682">
        <v>3</v>
      </c>
      <c r="V682">
        <f>(Table514430[[#This Row],[time]]-2)*2</f>
        <v>2</v>
      </c>
      <c r="W682">
        <v>60.153700000000001</v>
      </c>
      <c r="X682">
        <v>0.29129100000000002</v>
      </c>
      <c r="Y682">
        <f>Table514430[[#This Row],[CFNM]]/Table514430[[#This Row],[CAREA]]</f>
        <v>4.8424452693683019E-3</v>
      </c>
      <c r="Z682">
        <v>3</v>
      </c>
      <c r="AA682">
        <f>(Table615431[[#This Row],[time]]-2)*2</f>
        <v>2</v>
      </c>
      <c r="AB682">
        <v>88.582499999999996</v>
      </c>
      <c r="AC682">
        <v>88.366200000000006</v>
      </c>
      <c r="AD682">
        <f>Table615431[[#This Row],[CFNM]]/Table615431[[#This Row],[CAREA]]</f>
        <v>0.99755820844975029</v>
      </c>
      <c r="AE682">
        <v>3</v>
      </c>
      <c r="AF682">
        <f>(Table716432[[#This Row],[time]]-2)*2</f>
        <v>2</v>
      </c>
      <c r="AG682">
        <v>69.362099999999998</v>
      </c>
      <c r="AH682">
        <v>10.456899999999999</v>
      </c>
      <c r="AI682">
        <f>Table716432[[#This Row],[CFNM]]/Table716432[[#This Row],[CAREA]]</f>
        <v>0.15075812295187141</v>
      </c>
      <c r="AJ682">
        <v>3</v>
      </c>
      <c r="AK682">
        <f>(Table817433[[#This Row],[time]]-2)*2</f>
        <v>2</v>
      </c>
      <c r="AL682">
        <v>72.754199999999997</v>
      </c>
      <c r="AM682">
        <v>76.612700000000004</v>
      </c>
      <c r="AN682">
        <f>Table817433[[#This Row],[CFNM]]/Table817433[[#This Row],[CAREA]]</f>
        <v>1.0530347388879269</v>
      </c>
    </row>
    <row r="685" spans="1:40" x14ac:dyDescent="0.25">
      <c r="A685" s="1" t="s">
        <v>30</v>
      </c>
    </row>
    <row r="686" spans="1:40" x14ac:dyDescent="0.25">
      <c r="A686" t="s">
        <v>70</v>
      </c>
      <c r="F686" t="s">
        <v>1</v>
      </c>
    </row>
    <row r="687" spans="1:40" x14ac:dyDescent="0.25">
      <c r="F687" t="s">
        <v>2</v>
      </c>
      <c r="G687" t="s">
        <v>3</v>
      </c>
    </row>
    <row r="690" spans="1:40" x14ac:dyDescent="0.25">
      <c r="A690" t="s">
        <v>5</v>
      </c>
      <c r="F690" t="s">
        <v>6</v>
      </c>
      <c r="K690" t="s">
        <v>7</v>
      </c>
      <c r="P690" t="s">
        <v>19</v>
      </c>
      <c r="U690" t="s">
        <v>8</v>
      </c>
      <c r="Z690" t="s">
        <v>9</v>
      </c>
      <c r="AE690" t="s">
        <v>10</v>
      </c>
      <c r="AJ690" t="s">
        <v>11</v>
      </c>
    </row>
    <row r="691" spans="1:40" x14ac:dyDescent="0.25">
      <c r="A691" t="s">
        <v>12</v>
      </c>
      <c r="B691" t="s">
        <v>13</v>
      </c>
      <c r="C691" t="s">
        <v>17</v>
      </c>
      <c r="D691" t="s">
        <v>15</v>
      </c>
      <c r="E691" t="s">
        <v>16</v>
      </c>
      <c r="F691" t="s">
        <v>12</v>
      </c>
      <c r="G691" t="s">
        <v>13</v>
      </c>
      <c r="H691" t="s">
        <v>17</v>
      </c>
      <c r="I691" t="s">
        <v>15</v>
      </c>
      <c r="J691" t="s">
        <v>16</v>
      </c>
      <c r="K691" t="s">
        <v>12</v>
      </c>
      <c r="L691" t="s">
        <v>13</v>
      </c>
      <c r="M691" t="s">
        <v>17</v>
      </c>
      <c r="N691" t="s">
        <v>15</v>
      </c>
      <c r="O691" t="s">
        <v>16</v>
      </c>
      <c r="P691" t="s">
        <v>12</v>
      </c>
      <c r="Q691" t="s">
        <v>13</v>
      </c>
      <c r="R691" t="s">
        <v>17</v>
      </c>
      <c r="S691" t="s">
        <v>15</v>
      </c>
      <c r="T691" t="s">
        <v>16</v>
      </c>
      <c r="U691" t="s">
        <v>12</v>
      </c>
      <c r="V691" t="s">
        <v>13</v>
      </c>
      <c r="W691" t="s">
        <v>17</v>
      </c>
      <c r="X691" t="s">
        <v>15</v>
      </c>
      <c r="Y691" t="s">
        <v>16</v>
      </c>
      <c r="Z691" t="s">
        <v>12</v>
      </c>
      <c r="AA691" t="s">
        <v>13</v>
      </c>
      <c r="AB691" t="s">
        <v>17</v>
      </c>
      <c r="AC691" t="s">
        <v>15</v>
      </c>
      <c r="AD691" t="s">
        <v>16</v>
      </c>
      <c r="AE691" t="s">
        <v>12</v>
      </c>
      <c r="AF691" t="s">
        <v>13</v>
      </c>
      <c r="AG691" t="s">
        <v>17</v>
      </c>
      <c r="AH691" t="s">
        <v>15</v>
      </c>
      <c r="AI691" t="s">
        <v>16</v>
      </c>
      <c r="AJ691" t="s">
        <v>12</v>
      </c>
      <c r="AK691" t="s">
        <v>13</v>
      </c>
      <c r="AL691" t="s">
        <v>17</v>
      </c>
      <c r="AM691" t="s">
        <v>15</v>
      </c>
      <c r="AN691" t="s">
        <v>16</v>
      </c>
    </row>
    <row r="692" spans="1:40" x14ac:dyDescent="0.25">
      <c r="A692">
        <v>2</v>
      </c>
      <c r="B692">
        <f>-(Table1434[[#This Row],[time]]-2)*2</f>
        <v>0</v>
      </c>
      <c r="C692">
        <v>89.938400000000001</v>
      </c>
      <c r="D692">
        <v>9.7723600000000008</v>
      </c>
      <c r="E692" s="2">
        <f>Table1434[[#This Row],[CFNM]]/Table1434[[#This Row],[CAREA]]</f>
        <v>0.10865614687386034</v>
      </c>
      <c r="F692">
        <v>2</v>
      </c>
      <c r="G692">
        <f>-(Table2435[[#This Row],[time]]-2)*2</f>
        <v>0</v>
      </c>
      <c r="H692">
        <v>94.646000000000001</v>
      </c>
      <c r="I692">
        <v>2.6699700000000002</v>
      </c>
      <c r="J692" s="2">
        <f>Table2435[[#This Row],[CFNM]]/Table2435[[#This Row],[CAREA]]</f>
        <v>2.8210066986454792E-2</v>
      </c>
      <c r="K692">
        <v>2</v>
      </c>
      <c r="L692">
        <f>-(Table3436[[#This Row],[time]]-2)*2</f>
        <v>0</v>
      </c>
      <c r="M692">
        <v>88.069500000000005</v>
      </c>
      <c r="N692">
        <v>3.05586</v>
      </c>
      <c r="O692">
        <f>Table3436[[#This Row],[CFNM]]/Table3436[[#This Row],[CAREA]]</f>
        <v>3.4698278064483161E-2</v>
      </c>
      <c r="P692">
        <v>2</v>
      </c>
      <c r="Q692">
        <f>-(Table4437[[#This Row],[time]]-2)*2</f>
        <v>0</v>
      </c>
      <c r="R692">
        <v>85.109300000000005</v>
      </c>
      <c r="S692">
        <v>5.3593999999999999</v>
      </c>
      <c r="T692">
        <f>Table4437[[#This Row],[CFNM]]/Table4437[[#This Row],[CAREA]]</f>
        <v>6.2970791676115301E-2</v>
      </c>
      <c r="U692">
        <v>2</v>
      </c>
      <c r="V692">
        <f>-(Table5438[[#This Row],[time]]-2)*2</f>
        <v>0</v>
      </c>
      <c r="W692">
        <v>82.472200000000001</v>
      </c>
      <c r="X692">
        <v>7.9013</v>
      </c>
      <c r="Y692">
        <f>Table5438[[#This Row],[CFNM]]/Table5438[[#This Row],[CAREA]]</f>
        <v>9.580561692303588E-2</v>
      </c>
      <c r="Z692">
        <v>2</v>
      </c>
      <c r="AA692">
        <f>-(Table6439[[#This Row],[time]]-2)*2</f>
        <v>0</v>
      </c>
      <c r="AB692">
        <v>88.875200000000007</v>
      </c>
      <c r="AC692">
        <v>14.234400000000001</v>
      </c>
      <c r="AD692">
        <f>Table6439[[#This Row],[CFNM]]/Table6439[[#This Row],[CAREA]]</f>
        <v>0.16016166489639405</v>
      </c>
      <c r="AE692">
        <v>2</v>
      </c>
      <c r="AF692">
        <f>-(Table7440[[#This Row],[time]]-2)*2</f>
        <v>0</v>
      </c>
      <c r="AG692">
        <v>77.929299999999998</v>
      </c>
      <c r="AH692">
        <v>21.065899999999999</v>
      </c>
      <c r="AI692">
        <f>Table7440[[#This Row],[CFNM]]/Table7440[[#This Row],[CAREA]]</f>
        <v>0.27032066244660224</v>
      </c>
      <c r="AJ692">
        <v>2</v>
      </c>
      <c r="AK692">
        <f>-(Table8441[[#This Row],[time]]-2)*2</f>
        <v>0</v>
      </c>
      <c r="AL692">
        <v>83.325199999999995</v>
      </c>
      <c r="AM692">
        <v>21.034700000000001</v>
      </c>
      <c r="AN692">
        <f>Table8441[[#This Row],[CFNM]]/Table8441[[#This Row],[CAREA]]</f>
        <v>0.25244103824533276</v>
      </c>
    </row>
    <row r="693" spans="1:40" x14ac:dyDescent="0.25">
      <c r="A693">
        <v>2.0512600000000001</v>
      </c>
      <c r="B693">
        <f>-(Table1434[[#This Row],[time]]-2)*2</f>
        <v>-0.10252000000000017</v>
      </c>
      <c r="C693">
        <v>90.191400000000002</v>
      </c>
      <c r="D693">
        <v>10.2584</v>
      </c>
      <c r="E693">
        <f>Table1434[[#This Row],[CFNM]]/Table1434[[#This Row],[CAREA]]</f>
        <v>0.11374033444430399</v>
      </c>
      <c r="F693">
        <v>2.0512600000000001</v>
      </c>
      <c r="G693">
        <f>-(Table2435[[#This Row],[time]]-2)*2</f>
        <v>-0.10252000000000017</v>
      </c>
      <c r="H693">
        <v>94.610100000000003</v>
      </c>
      <c r="I693">
        <v>2.31481</v>
      </c>
      <c r="J693">
        <f>Table2435[[#This Row],[CFNM]]/Table2435[[#This Row],[CAREA]]</f>
        <v>2.4466838107136554E-2</v>
      </c>
      <c r="K693">
        <v>2.0512600000000001</v>
      </c>
      <c r="L693">
        <f>-(Table3436[[#This Row],[time]]-2)*2</f>
        <v>-0.10252000000000017</v>
      </c>
      <c r="M693">
        <v>88.072100000000006</v>
      </c>
      <c r="N693">
        <v>3.6893600000000002</v>
      </c>
      <c r="O693">
        <f>Table3436[[#This Row],[CFNM]]/Table3436[[#This Row],[CAREA]]</f>
        <v>4.189022403235531E-2</v>
      </c>
      <c r="P693">
        <v>2.0512600000000001</v>
      </c>
      <c r="Q693">
        <f>-(Table4437[[#This Row],[time]]-2)*2</f>
        <v>-0.10252000000000017</v>
      </c>
      <c r="R693">
        <v>85.075199999999995</v>
      </c>
      <c r="S693">
        <v>4.8559200000000002</v>
      </c>
      <c r="T693">
        <f>Table4437[[#This Row],[CFNM]]/Table4437[[#This Row],[CAREA]]</f>
        <v>5.7077973369442571E-2</v>
      </c>
      <c r="U693">
        <v>2.0512600000000001</v>
      </c>
      <c r="V693">
        <f>-(Table5438[[#This Row],[time]]-2)*2</f>
        <v>-0.10252000000000017</v>
      </c>
      <c r="W693">
        <v>82.576099999999997</v>
      </c>
      <c r="X693">
        <v>8.7897700000000007</v>
      </c>
      <c r="Y693">
        <f>Table5438[[#This Row],[CFNM]]/Table5438[[#This Row],[CAREA]]</f>
        <v>0.1064444796981209</v>
      </c>
      <c r="Z693">
        <v>2.0512600000000001</v>
      </c>
      <c r="AA693">
        <f>-(Table6439[[#This Row],[time]]-2)*2</f>
        <v>-0.10252000000000017</v>
      </c>
      <c r="AB693">
        <v>88.865300000000005</v>
      </c>
      <c r="AC693">
        <v>13.27</v>
      </c>
      <c r="AD693">
        <f>Table6439[[#This Row],[CFNM]]/Table6439[[#This Row],[CAREA]]</f>
        <v>0.1493271276865098</v>
      </c>
      <c r="AE693">
        <v>2.0512600000000001</v>
      </c>
      <c r="AF693">
        <f>-(Table7440[[#This Row],[time]]-2)*2</f>
        <v>-0.10252000000000017</v>
      </c>
      <c r="AG693">
        <v>78.535200000000003</v>
      </c>
      <c r="AH693">
        <v>21.774999999999999</v>
      </c>
      <c r="AI693">
        <f>Table7440[[#This Row],[CFNM]]/Table7440[[#This Row],[CAREA]]</f>
        <v>0.27726420764192361</v>
      </c>
      <c r="AJ693">
        <v>2.0512600000000001</v>
      </c>
      <c r="AK693">
        <f>-(Table8441[[#This Row],[time]]-2)*2</f>
        <v>-0.10252000000000017</v>
      </c>
      <c r="AL693">
        <v>83.165599999999998</v>
      </c>
      <c r="AM693">
        <v>20.028199999999998</v>
      </c>
      <c r="AN693">
        <f>Table8441[[#This Row],[CFNM]]/Table8441[[#This Row],[CAREA]]</f>
        <v>0.24082312879363582</v>
      </c>
    </row>
    <row r="694" spans="1:40" x14ac:dyDescent="0.25">
      <c r="A694">
        <v>2.1153300000000002</v>
      </c>
      <c r="B694">
        <f>-(Table1434[[#This Row],[time]]-2)*2</f>
        <v>-0.23066000000000031</v>
      </c>
      <c r="C694">
        <v>90.0017</v>
      </c>
      <c r="D694">
        <v>11.119199999999999</v>
      </c>
      <c r="E694">
        <f>Table1434[[#This Row],[CFNM]]/Table1434[[#This Row],[CAREA]]</f>
        <v>0.12354433305148679</v>
      </c>
      <c r="F694">
        <v>2.1153300000000002</v>
      </c>
      <c r="G694">
        <f>-(Table2435[[#This Row],[time]]-2)*2</f>
        <v>-0.23066000000000031</v>
      </c>
      <c r="H694">
        <v>94.489000000000004</v>
      </c>
      <c r="I694">
        <v>1.5764100000000001</v>
      </c>
      <c r="J694">
        <f>Table2435[[#This Row],[CFNM]]/Table2435[[#This Row],[CAREA]]</f>
        <v>1.6683529299706845E-2</v>
      </c>
      <c r="K694">
        <v>2.1153300000000002</v>
      </c>
      <c r="L694">
        <f>-(Table3436[[#This Row],[time]]-2)*2</f>
        <v>-0.23066000000000031</v>
      </c>
      <c r="M694">
        <v>88.506799999999998</v>
      </c>
      <c r="N694">
        <v>4.6122399999999999</v>
      </c>
      <c r="O694">
        <f>Table3436[[#This Row],[CFNM]]/Table3436[[#This Row],[CAREA]]</f>
        <v>5.211170215169908E-2</v>
      </c>
      <c r="P694">
        <v>2.1153300000000002</v>
      </c>
      <c r="Q694">
        <f>-(Table4437[[#This Row],[time]]-2)*2</f>
        <v>-0.23066000000000031</v>
      </c>
      <c r="R694">
        <v>84.767499999999998</v>
      </c>
      <c r="S694">
        <v>3.9645299999999999</v>
      </c>
      <c r="T694">
        <f>Table4437[[#This Row],[CFNM]]/Table4437[[#This Row],[CAREA]]</f>
        <v>4.676945763411685E-2</v>
      </c>
      <c r="U694">
        <v>2.1153300000000002</v>
      </c>
      <c r="V694">
        <f>-(Table5438[[#This Row],[time]]-2)*2</f>
        <v>-0.23066000000000031</v>
      </c>
      <c r="W694">
        <v>82.668800000000005</v>
      </c>
      <c r="X694">
        <v>10.2423</v>
      </c>
      <c r="Y694">
        <f>Table5438[[#This Row],[CFNM]]/Table5438[[#This Row],[CAREA]]</f>
        <v>0.12389559301695439</v>
      </c>
      <c r="Z694">
        <v>2.1153300000000002</v>
      </c>
      <c r="AA694">
        <f>-(Table6439[[#This Row],[time]]-2)*2</f>
        <v>-0.23066000000000031</v>
      </c>
      <c r="AB694">
        <v>88.296199999999999</v>
      </c>
      <c r="AC694">
        <v>11.0038</v>
      </c>
      <c r="AD694">
        <f>Table6439[[#This Row],[CFNM]]/Table6439[[#This Row],[CAREA]]</f>
        <v>0.12462370974062303</v>
      </c>
      <c r="AE694">
        <v>2.1153300000000002</v>
      </c>
      <c r="AF694">
        <f>-(Table7440[[#This Row],[time]]-2)*2</f>
        <v>-0.23066000000000031</v>
      </c>
      <c r="AG694">
        <v>79.115700000000004</v>
      </c>
      <c r="AH694">
        <v>22.726500000000001</v>
      </c>
      <c r="AI694">
        <f>Table7440[[#This Row],[CFNM]]/Table7440[[#This Row],[CAREA]]</f>
        <v>0.28725651166582611</v>
      </c>
      <c r="AJ694">
        <v>2.1153300000000002</v>
      </c>
      <c r="AK694">
        <f>-(Table8441[[#This Row],[time]]-2)*2</f>
        <v>-0.23066000000000031</v>
      </c>
      <c r="AL694">
        <v>82.777900000000002</v>
      </c>
      <c r="AM694">
        <v>18.761800000000001</v>
      </c>
      <c r="AN694">
        <f>Table8441[[#This Row],[CFNM]]/Table8441[[#This Row],[CAREA]]</f>
        <v>0.22665228279528715</v>
      </c>
    </row>
    <row r="695" spans="1:40" x14ac:dyDescent="0.25">
      <c r="A695">
        <v>2.16533</v>
      </c>
      <c r="B695">
        <f>-(Table1434[[#This Row],[time]]-2)*2</f>
        <v>-0.33065999999999995</v>
      </c>
      <c r="C695">
        <v>89.585599999999999</v>
      </c>
      <c r="D695">
        <v>11.7807</v>
      </c>
      <c r="E695">
        <f>Table1434[[#This Row],[CFNM]]/Table1434[[#This Row],[CAREA]]</f>
        <v>0.13150216106159918</v>
      </c>
      <c r="F695">
        <v>2.16533</v>
      </c>
      <c r="G695">
        <f>-(Table2435[[#This Row],[time]]-2)*2</f>
        <v>-0.33065999999999995</v>
      </c>
      <c r="H695">
        <v>94.400199999999998</v>
      </c>
      <c r="I695">
        <v>1.0766800000000001</v>
      </c>
      <c r="J695">
        <f>Table2435[[#This Row],[CFNM]]/Table2435[[#This Row],[CAREA]]</f>
        <v>1.1405484310414597E-2</v>
      </c>
      <c r="K695">
        <v>2.16533</v>
      </c>
      <c r="L695">
        <f>-(Table3436[[#This Row],[time]]-2)*2</f>
        <v>-0.33065999999999995</v>
      </c>
      <c r="M695">
        <v>89.091300000000004</v>
      </c>
      <c r="N695">
        <v>5.4012700000000002</v>
      </c>
      <c r="O695">
        <f>Table3436[[#This Row],[CFNM]]/Table3436[[#This Row],[CAREA]]</f>
        <v>6.062623398693251E-2</v>
      </c>
      <c r="P695">
        <v>2.16533</v>
      </c>
      <c r="Q695">
        <f>-(Table4437[[#This Row],[time]]-2)*2</f>
        <v>-0.33065999999999995</v>
      </c>
      <c r="R695">
        <v>83.971699999999998</v>
      </c>
      <c r="S695">
        <v>3.4459900000000001</v>
      </c>
      <c r="T695">
        <f>Table4437[[#This Row],[CFNM]]/Table4437[[#This Row],[CAREA]]</f>
        <v>4.103751621081865E-2</v>
      </c>
      <c r="U695">
        <v>2.16533</v>
      </c>
      <c r="V695">
        <f>-(Table5438[[#This Row],[time]]-2)*2</f>
        <v>-0.33065999999999995</v>
      </c>
      <c r="W695">
        <v>82.748999999999995</v>
      </c>
      <c r="X695">
        <v>11.4961</v>
      </c>
      <c r="Y695">
        <f>Table5438[[#This Row],[CFNM]]/Table5438[[#This Row],[CAREA]]</f>
        <v>0.13892735863877509</v>
      </c>
      <c r="Z695">
        <v>2.16533</v>
      </c>
      <c r="AA695">
        <f>-(Table6439[[#This Row],[time]]-2)*2</f>
        <v>-0.33065999999999995</v>
      </c>
      <c r="AB695">
        <v>86.775400000000005</v>
      </c>
      <c r="AC695">
        <v>9.2482900000000008</v>
      </c>
      <c r="AD695">
        <f>Table6439[[#This Row],[CFNM]]/Table6439[[#This Row],[CAREA]]</f>
        <v>0.10657732491005516</v>
      </c>
      <c r="AE695">
        <v>2.16533</v>
      </c>
      <c r="AF695">
        <f>-(Table7440[[#This Row],[time]]-2)*2</f>
        <v>-0.33065999999999995</v>
      </c>
      <c r="AG695">
        <v>79.669399999999996</v>
      </c>
      <c r="AH695">
        <v>23.633299999999998</v>
      </c>
      <c r="AI695">
        <f>Table7440[[#This Row],[CFNM]]/Table7440[[#This Row],[CAREA]]</f>
        <v>0.29664212357567649</v>
      </c>
      <c r="AJ695">
        <v>2.16533</v>
      </c>
      <c r="AK695">
        <f>-(Table8441[[#This Row],[time]]-2)*2</f>
        <v>-0.33065999999999995</v>
      </c>
      <c r="AL695">
        <v>82.705699999999993</v>
      </c>
      <c r="AM695">
        <v>17.872</v>
      </c>
      <c r="AN695">
        <f>Table8441[[#This Row],[CFNM]]/Table8441[[#This Row],[CAREA]]</f>
        <v>0.21609151485326888</v>
      </c>
    </row>
    <row r="696" spans="1:40" x14ac:dyDescent="0.25">
      <c r="A696">
        <v>2.2246999999999999</v>
      </c>
      <c r="B696">
        <f>-(Table1434[[#This Row],[time]]-2)*2</f>
        <v>-0.4493999999999998</v>
      </c>
      <c r="C696">
        <v>89.251999999999995</v>
      </c>
      <c r="D696">
        <v>12.4237</v>
      </c>
      <c r="E696">
        <f>Table1434[[#This Row],[CFNM]]/Table1434[[#This Row],[CAREA]]</f>
        <v>0.13919800116524</v>
      </c>
      <c r="F696">
        <v>2.2246999999999999</v>
      </c>
      <c r="G696">
        <f>-(Table2435[[#This Row],[time]]-2)*2</f>
        <v>-0.4493999999999998</v>
      </c>
      <c r="H696">
        <v>94.315899999999999</v>
      </c>
      <c r="I696">
        <v>0.65611299999999995</v>
      </c>
      <c r="J696">
        <f>Table2435[[#This Row],[CFNM]]/Table2435[[#This Row],[CAREA]]</f>
        <v>6.956547093332089E-3</v>
      </c>
      <c r="K696">
        <v>2.2246999999999999</v>
      </c>
      <c r="L696">
        <f>-(Table3436[[#This Row],[time]]-2)*2</f>
        <v>-0.4493999999999998</v>
      </c>
      <c r="M696">
        <v>89.405199999999994</v>
      </c>
      <c r="N696">
        <v>6.2155500000000004</v>
      </c>
      <c r="O696">
        <f>Table3436[[#This Row],[CFNM]]/Table3436[[#This Row],[CAREA]]</f>
        <v>6.9521124050950067E-2</v>
      </c>
      <c r="P696">
        <v>2.2246999999999999</v>
      </c>
      <c r="Q696">
        <f>-(Table4437[[#This Row],[time]]-2)*2</f>
        <v>-0.4493999999999998</v>
      </c>
      <c r="R696">
        <v>83.069000000000003</v>
      </c>
      <c r="S696">
        <v>3.0388099999999998</v>
      </c>
      <c r="T696">
        <f>Table4437[[#This Row],[CFNM]]/Table4437[[#This Row],[CAREA]]</f>
        <v>3.6581757334264282E-2</v>
      </c>
      <c r="U696">
        <v>2.2246999999999999</v>
      </c>
      <c r="V696">
        <f>-(Table5438[[#This Row],[time]]-2)*2</f>
        <v>-0.4493999999999998</v>
      </c>
      <c r="W696">
        <v>83.695999999999998</v>
      </c>
      <c r="X696">
        <v>12.8568</v>
      </c>
      <c r="Y696">
        <f>Table5438[[#This Row],[CFNM]]/Table5438[[#This Row],[CAREA]]</f>
        <v>0.15361307589371057</v>
      </c>
      <c r="Z696">
        <v>2.2246999999999999</v>
      </c>
      <c r="AA696">
        <f>-(Table6439[[#This Row],[time]]-2)*2</f>
        <v>-0.4493999999999998</v>
      </c>
      <c r="AB696">
        <v>85.019400000000005</v>
      </c>
      <c r="AC696">
        <v>7.5121900000000004</v>
      </c>
      <c r="AD696">
        <f>Table6439[[#This Row],[CFNM]]/Table6439[[#This Row],[CAREA]]</f>
        <v>8.8358539345137696E-2</v>
      </c>
      <c r="AE696">
        <v>2.2246999999999999</v>
      </c>
      <c r="AF696">
        <f>-(Table7440[[#This Row],[time]]-2)*2</f>
        <v>-0.4493999999999998</v>
      </c>
      <c r="AG696">
        <v>80.144999999999996</v>
      </c>
      <c r="AH696">
        <v>24.820499999999999</v>
      </c>
      <c r="AI696">
        <f>Table7440[[#This Row],[CFNM]]/Table7440[[#This Row],[CAREA]]</f>
        <v>0.3096949279431031</v>
      </c>
      <c r="AJ696">
        <v>2.2246999999999999</v>
      </c>
      <c r="AK696">
        <f>-(Table8441[[#This Row],[time]]-2)*2</f>
        <v>-0.4493999999999998</v>
      </c>
      <c r="AL696">
        <v>82.593900000000005</v>
      </c>
      <c r="AM696">
        <v>16.9724</v>
      </c>
      <c r="AN696">
        <f>Table8441[[#This Row],[CFNM]]/Table8441[[#This Row],[CAREA]]</f>
        <v>0.20549217315080168</v>
      </c>
    </row>
    <row r="697" spans="1:40" x14ac:dyDescent="0.25">
      <c r="A697">
        <v>2.2668900000000001</v>
      </c>
      <c r="B697">
        <f>-(Table1434[[#This Row],[time]]-2)*2</f>
        <v>-0.53378000000000014</v>
      </c>
      <c r="C697">
        <v>89.211699999999993</v>
      </c>
      <c r="D697">
        <v>13.0055</v>
      </c>
      <c r="E697">
        <f>Table1434[[#This Row],[CFNM]]/Table1434[[#This Row],[CAREA]]</f>
        <v>0.14578244781794317</v>
      </c>
      <c r="F697">
        <v>2.2668900000000001</v>
      </c>
      <c r="G697">
        <f>-(Table2435[[#This Row],[time]]-2)*2</f>
        <v>-0.53378000000000014</v>
      </c>
      <c r="H697">
        <v>94.178100000000001</v>
      </c>
      <c r="I697">
        <v>0.40573500000000001</v>
      </c>
      <c r="J697">
        <f>Table2435[[#This Row],[CFNM]]/Table2435[[#This Row],[CAREA]]</f>
        <v>4.3081671853647504E-3</v>
      </c>
      <c r="K697">
        <v>2.2668900000000001</v>
      </c>
      <c r="L697">
        <f>-(Table3436[[#This Row],[time]]-2)*2</f>
        <v>-0.53378000000000014</v>
      </c>
      <c r="M697">
        <v>89.736699999999999</v>
      </c>
      <c r="N697">
        <v>7.3158300000000001</v>
      </c>
      <c r="O697">
        <f>Table3436[[#This Row],[CFNM]]/Table3436[[#This Row],[CAREA]]</f>
        <v>8.1525507401096764E-2</v>
      </c>
      <c r="P697">
        <v>2.2668900000000001</v>
      </c>
      <c r="Q697">
        <f>-(Table4437[[#This Row],[time]]-2)*2</f>
        <v>-0.53378000000000014</v>
      </c>
      <c r="R697">
        <v>82.163499999999999</v>
      </c>
      <c r="S697">
        <v>2.7236500000000001</v>
      </c>
      <c r="T697">
        <f>Table4437[[#This Row],[CFNM]]/Table4437[[#This Row],[CAREA]]</f>
        <v>3.3149147735916804E-2</v>
      </c>
      <c r="U697">
        <v>2.2668900000000001</v>
      </c>
      <c r="V697">
        <f>-(Table5438[[#This Row],[time]]-2)*2</f>
        <v>-0.53378000000000014</v>
      </c>
      <c r="W697">
        <v>83.454700000000003</v>
      </c>
      <c r="X697">
        <v>14.319000000000001</v>
      </c>
      <c r="Y697">
        <f>Table5438[[#This Row],[CFNM]]/Table5438[[#This Row],[CAREA]]</f>
        <v>0.17157811363530154</v>
      </c>
      <c r="Z697">
        <v>2.2668900000000001</v>
      </c>
      <c r="AA697">
        <f>-(Table6439[[#This Row],[time]]-2)*2</f>
        <v>-0.53378000000000014</v>
      </c>
      <c r="AB697">
        <v>83.206900000000005</v>
      </c>
      <c r="AC697">
        <v>6.0327000000000002</v>
      </c>
      <c r="AD697">
        <f>Table6439[[#This Row],[CFNM]]/Table6439[[#This Row],[CAREA]]</f>
        <v>7.2502400642254425E-2</v>
      </c>
      <c r="AE697">
        <v>2.2668900000000001</v>
      </c>
      <c r="AF697">
        <f>-(Table7440[[#This Row],[time]]-2)*2</f>
        <v>-0.53378000000000014</v>
      </c>
      <c r="AG697">
        <v>80.458200000000005</v>
      </c>
      <c r="AH697">
        <v>26.3596</v>
      </c>
      <c r="AI697">
        <f>Table7440[[#This Row],[CFNM]]/Table7440[[#This Row],[CAREA]]</f>
        <v>0.32761856467084771</v>
      </c>
      <c r="AJ697">
        <v>2.2668900000000001</v>
      </c>
      <c r="AK697">
        <f>-(Table8441[[#This Row],[time]]-2)*2</f>
        <v>-0.53378000000000014</v>
      </c>
      <c r="AL697">
        <v>82.584599999999995</v>
      </c>
      <c r="AM697">
        <v>16.2013</v>
      </c>
      <c r="AN697">
        <f>Table8441[[#This Row],[CFNM]]/Table8441[[#This Row],[CAREA]]</f>
        <v>0.19617822208983274</v>
      </c>
    </row>
    <row r="698" spans="1:40" x14ac:dyDescent="0.25">
      <c r="A698">
        <v>2.3262700000000001</v>
      </c>
      <c r="B698">
        <f>-(Table1434[[#This Row],[time]]-2)*2</f>
        <v>-0.65254000000000012</v>
      </c>
      <c r="C698">
        <v>89.229900000000001</v>
      </c>
      <c r="D698">
        <v>13.637</v>
      </c>
      <c r="E698">
        <f>Table1434[[#This Row],[CFNM]]/Table1434[[#This Row],[CAREA]]</f>
        <v>0.15282993705024886</v>
      </c>
      <c r="F698">
        <v>2.3262700000000001</v>
      </c>
      <c r="G698">
        <f>-(Table2435[[#This Row],[time]]-2)*2</f>
        <v>-0.65254000000000012</v>
      </c>
      <c r="H698">
        <v>93.810500000000005</v>
      </c>
      <c r="I698">
        <v>0.204621</v>
      </c>
      <c r="J698">
        <f>Table2435[[#This Row],[CFNM]]/Table2435[[#This Row],[CAREA]]</f>
        <v>2.1812163883573798E-3</v>
      </c>
      <c r="K698">
        <v>2.3262700000000001</v>
      </c>
      <c r="L698">
        <f>-(Table3436[[#This Row],[time]]-2)*2</f>
        <v>-0.65254000000000012</v>
      </c>
      <c r="M698">
        <v>90.089299999999994</v>
      </c>
      <c r="N698">
        <v>8.7863799999999994</v>
      </c>
      <c r="O698">
        <f>Table3436[[#This Row],[CFNM]]/Table3436[[#This Row],[CAREA]]</f>
        <v>9.7529673335235156E-2</v>
      </c>
      <c r="P698">
        <v>2.3262700000000001</v>
      </c>
      <c r="Q698">
        <f>-(Table4437[[#This Row],[time]]-2)*2</f>
        <v>-0.65254000000000012</v>
      </c>
      <c r="R698">
        <v>81.4191</v>
      </c>
      <c r="S698">
        <v>2.6043099999999999</v>
      </c>
      <c r="T698">
        <f>Table4437[[#This Row],[CFNM]]/Table4437[[#This Row],[CAREA]]</f>
        <v>3.1986474918047486E-2</v>
      </c>
      <c r="U698">
        <v>2.3262700000000001</v>
      </c>
      <c r="V698">
        <f>-(Table5438[[#This Row],[time]]-2)*2</f>
        <v>-0.65254000000000012</v>
      </c>
      <c r="W698">
        <v>84.1541</v>
      </c>
      <c r="X698">
        <v>16.182600000000001</v>
      </c>
      <c r="Y698">
        <f>Table5438[[#This Row],[CFNM]]/Table5438[[#This Row],[CAREA]]</f>
        <v>0.19229722616010392</v>
      </c>
      <c r="Z698">
        <v>2.3262700000000001</v>
      </c>
      <c r="AA698">
        <f>-(Table6439[[#This Row],[time]]-2)*2</f>
        <v>-0.65254000000000012</v>
      </c>
      <c r="AB698">
        <v>82.895899999999997</v>
      </c>
      <c r="AC698">
        <v>4.69482</v>
      </c>
      <c r="AD698">
        <f>Table6439[[#This Row],[CFNM]]/Table6439[[#This Row],[CAREA]]</f>
        <v>5.6635129119775529E-2</v>
      </c>
      <c r="AE698">
        <v>2.3262700000000001</v>
      </c>
      <c r="AF698">
        <f>-(Table7440[[#This Row],[time]]-2)*2</f>
        <v>-0.65254000000000012</v>
      </c>
      <c r="AG698">
        <v>80.167299999999997</v>
      </c>
      <c r="AH698">
        <v>28.735600000000002</v>
      </c>
      <c r="AI698">
        <f>Table7440[[#This Row],[CFNM]]/Table7440[[#This Row],[CAREA]]</f>
        <v>0.35844540105504369</v>
      </c>
      <c r="AJ698">
        <v>2.3262700000000001</v>
      </c>
      <c r="AK698">
        <f>-(Table8441[[#This Row],[time]]-2)*2</f>
        <v>-0.65254000000000012</v>
      </c>
      <c r="AL698">
        <v>82.38</v>
      </c>
      <c r="AM698">
        <v>15.473699999999999</v>
      </c>
      <c r="AN698">
        <f>Table8441[[#This Row],[CFNM]]/Table8441[[#This Row],[CAREA]]</f>
        <v>0.18783321194464675</v>
      </c>
    </row>
    <row r="699" spans="1:40" x14ac:dyDescent="0.25">
      <c r="A699">
        <v>2.3684599999999998</v>
      </c>
      <c r="B699">
        <f>-(Table1434[[#This Row],[time]]-2)*2</f>
        <v>-0.73691999999999958</v>
      </c>
      <c r="C699">
        <v>89.339500000000001</v>
      </c>
      <c r="D699">
        <v>14.0311</v>
      </c>
      <c r="E699">
        <f>Table1434[[#This Row],[CFNM]]/Table1434[[#This Row],[CAREA]]</f>
        <v>0.15705371084458722</v>
      </c>
      <c r="F699">
        <v>2.3684599999999998</v>
      </c>
      <c r="G699">
        <f>-(Table2435[[#This Row],[time]]-2)*2</f>
        <v>-0.73691999999999958</v>
      </c>
      <c r="H699">
        <v>93.694000000000003</v>
      </c>
      <c r="I699">
        <v>5.8693500000000003E-2</v>
      </c>
      <c r="J699">
        <f>Table2435[[#This Row],[CFNM]]/Table2435[[#This Row],[CAREA]]</f>
        <v>6.2643819241360176E-4</v>
      </c>
      <c r="K699">
        <v>2.3684599999999998</v>
      </c>
      <c r="L699">
        <f>-(Table3436[[#This Row],[time]]-2)*2</f>
        <v>-0.73691999999999958</v>
      </c>
      <c r="M699">
        <v>89.897900000000007</v>
      </c>
      <c r="N699">
        <v>9.8869100000000003</v>
      </c>
      <c r="O699">
        <f>Table3436[[#This Row],[CFNM]]/Table3436[[#This Row],[CAREA]]</f>
        <v>0.10997932098525104</v>
      </c>
      <c r="P699">
        <v>2.3684599999999998</v>
      </c>
      <c r="Q699">
        <f>-(Table4437[[#This Row],[time]]-2)*2</f>
        <v>-0.73691999999999958</v>
      </c>
      <c r="R699">
        <v>80.885300000000001</v>
      </c>
      <c r="S699">
        <v>2.76831</v>
      </c>
      <c r="T699">
        <f>Table4437[[#This Row],[CFNM]]/Table4437[[#This Row],[CAREA]]</f>
        <v>3.4225131142494369E-2</v>
      </c>
      <c r="U699">
        <v>2.3684599999999998</v>
      </c>
      <c r="V699">
        <f>-(Table5438[[#This Row],[time]]-2)*2</f>
        <v>-0.73691999999999958</v>
      </c>
      <c r="W699">
        <v>84.117000000000004</v>
      </c>
      <c r="X699">
        <v>17.528300000000002</v>
      </c>
      <c r="Y699">
        <f>Table5438[[#This Row],[CFNM]]/Table5438[[#This Row],[CAREA]]</f>
        <v>0.20837999453142647</v>
      </c>
      <c r="Z699">
        <v>2.3684599999999998</v>
      </c>
      <c r="AA699">
        <f>-(Table6439[[#This Row],[time]]-2)*2</f>
        <v>-0.73691999999999958</v>
      </c>
      <c r="AB699">
        <v>80.681100000000001</v>
      </c>
      <c r="AC699">
        <v>3.8663599999999998</v>
      </c>
      <c r="AD699">
        <f>Table6439[[#This Row],[CFNM]]/Table6439[[#This Row],[CAREA]]</f>
        <v>4.7921508259059428E-2</v>
      </c>
      <c r="AE699">
        <v>2.3684599999999998</v>
      </c>
      <c r="AF699">
        <f>-(Table7440[[#This Row],[time]]-2)*2</f>
        <v>-0.73691999999999958</v>
      </c>
      <c r="AG699">
        <v>79.677199999999999</v>
      </c>
      <c r="AH699">
        <v>30.735399999999998</v>
      </c>
      <c r="AI699">
        <f>Table7440[[#This Row],[CFNM]]/Table7440[[#This Row],[CAREA]]</f>
        <v>0.38574899720371697</v>
      </c>
      <c r="AJ699">
        <v>2.3684599999999998</v>
      </c>
      <c r="AK699">
        <f>-(Table8441[[#This Row],[time]]-2)*2</f>
        <v>-0.73691999999999958</v>
      </c>
      <c r="AL699">
        <v>82.490600000000001</v>
      </c>
      <c r="AM699">
        <v>14.9594</v>
      </c>
      <c r="AN699">
        <f>Table8441[[#This Row],[CFNM]]/Table8441[[#This Row],[CAREA]]</f>
        <v>0.18134672314178829</v>
      </c>
    </row>
    <row r="700" spans="1:40" x14ac:dyDescent="0.25">
      <c r="A700">
        <v>2.4278300000000002</v>
      </c>
      <c r="B700">
        <f>-(Table1434[[#This Row],[time]]-2)*2</f>
        <v>-0.85566000000000031</v>
      </c>
      <c r="C700">
        <v>89.810599999999994</v>
      </c>
      <c r="D700">
        <v>14.5625</v>
      </c>
      <c r="E700">
        <f>Table1434[[#This Row],[CFNM]]/Table1434[[#This Row],[CAREA]]</f>
        <v>0.16214678445528702</v>
      </c>
      <c r="F700">
        <v>2.4278300000000002</v>
      </c>
      <c r="G700">
        <f>-(Table2435[[#This Row],[time]]-2)*2</f>
        <v>-0.85566000000000031</v>
      </c>
      <c r="H700">
        <v>93.467399999999998</v>
      </c>
      <c r="I700">
        <v>5.1707699999999999E-3</v>
      </c>
      <c r="J700">
        <f>Table2435[[#This Row],[CFNM]]/Table2435[[#This Row],[CAREA]]</f>
        <v>5.5321641556307334E-5</v>
      </c>
      <c r="K700">
        <v>2.4278300000000002</v>
      </c>
      <c r="L700">
        <f>-(Table3436[[#This Row],[time]]-2)*2</f>
        <v>-0.85566000000000031</v>
      </c>
      <c r="M700">
        <v>90.135800000000003</v>
      </c>
      <c r="N700">
        <v>11.538500000000001</v>
      </c>
      <c r="O700">
        <f>Table3436[[#This Row],[CFNM]]/Table3436[[#This Row],[CAREA]]</f>
        <v>0.12801239906896039</v>
      </c>
      <c r="P700">
        <v>2.4278300000000002</v>
      </c>
      <c r="Q700">
        <f>-(Table4437[[#This Row],[time]]-2)*2</f>
        <v>-0.85566000000000031</v>
      </c>
      <c r="R700">
        <v>79.381699999999995</v>
      </c>
      <c r="S700">
        <v>3.0985299999999998</v>
      </c>
      <c r="T700">
        <f>Table4437[[#This Row],[CFNM]]/Table4437[[#This Row],[CAREA]]</f>
        <v>3.9033303645550549E-2</v>
      </c>
      <c r="U700">
        <v>2.4278300000000002</v>
      </c>
      <c r="V700">
        <f>-(Table5438[[#This Row],[time]]-2)*2</f>
        <v>-0.85566000000000031</v>
      </c>
      <c r="W700">
        <v>84.008099999999999</v>
      </c>
      <c r="X700">
        <v>19.5642</v>
      </c>
      <c r="Y700">
        <f>Table5438[[#This Row],[CFNM]]/Table5438[[#This Row],[CAREA]]</f>
        <v>0.23288468611955276</v>
      </c>
      <c r="Z700">
        <v>2.4278300000000002</v>
      </c>
      <c r="AA700">
        <f>-(Table6439[[#This Row],[time]]-2)*2</f>
        <v>-0.85566000000000031</v>
      </c>
      <c r="AB700">
        <v>79.528400000000005</v>
      </c>
      <c r="AC700">
        <v>2.94258</v>
      </c>
      <c r="AD700">
        <f>Table6439[[#This Row],[CFNM]]/Table6439[[#This Row],[CAREA]]</f>
        <v>3.700036716443434E-2</v>
      </c>
      <c r="AE700">
        <v>2.4278300000000002</v>
      </c>
      <c r="AF700">
        <f>-(Table7440[[#This Row],[time]]-2)*2</f>
        <v>-0.85566000000000031</v>
      </c>
      <c r="AG700">
        <v>78.250699999999995</v>
      </c>
      <c r="AH700">
        <v>33.808399999999999</v>
      </c>
      <c r="AI700">
        <f>Table7440[[#This Row],[CFNM]]/Table7440[[#This Row],[CAREA]]</f>
        <v>0.43205236502676653</v>
      </c>
      <c r="AJ700">
        <v>2.4278300000000002</v>
      </c>
      <c r="AK700">
        <f>-(Table8441[[#This Row],[time]]-2)*2</f>
        <v>-0.85566000000000031</v>
      </c>
      <c r="AL700">
        <v>81.927300000000002</v>
      </c>
      <c r="AM700">
        <v>14.3064</v>
      </c>
      <c r="AN700">
        <f>Table8441[[#This Row],[CFNM]]/Table8441[[#This Row],[CAREA]]</f>
        <v>0.17462311097765945</v>
      </c>
    </row>
    <row r="701" spans="1:40" x14ac:dyDescent="0.25">
      <c r="A701">
        <v>2.4542000000000002</v>
      </c>
      <c r="B701">
        <f>-(Table1434[[#This Row],[time]]-2)*2</f>
        <v>-0.90840000000000032</v>
      </c>
      <c r="C701">
        <v>90.225300000000004</v>
      </c>
      <c r="D701">
        <v>14.8477</v>
      </c>
      <c r="E701">
        <f>Table1434[[#This Row],[CFNM]]/Table1434[[#This Row],[CAREA]]</f>
        <v>0.16456248967861564</v>
      </c>
      <c r="F701">
        <v>2.4542000000000002</v>
      </c>
      <c r="G701">
        <f>-(Table2435[[#This Row],[time]]-2)*2</f>
        <v>-0.90840000000000032</v>
      </c>
      <c r="H701">
        <v>92.663499999999999</v>
      </c>
      <c r="I701">
        <v>5.0508000000000003E-3</v>
      </c>
      <c r="J701">
        <f>Table2435[[#This Row],[CFNM]]/Table2435[[#This Row],[CAREA]]</f>
        <v>5.4506898617039073E-5</v>
      </c>
      <c r="K701">
        <v>2.4542000000000002</v>
      </c>
      <c r="L701">
        <f>-(Table3436[[#This Row],[time]]-2)*2</f>
        <v>-0.90840000000000032</v>
      </c>
      <c r="M701">
        <v>90.120599999999996</v>
      </c>
      <c r="N701">
        <v>12.3413</v>
      </c>
      <c r="O701">
        <f>Table3436[[#This Row],[CFNM]]/Table3436[[#This Row],[CAREA]]</f>
        <v>0.13694205320426187</v>
      </c>
      <c r="P701">
        <v>2.4542000000000002</v>
      </c>
      <c r="Q701">
        <f>-(Table4437[[#This Row],[time]]-2)*2</f>
        <v>-0.90840000000000032</v>
      </c>
      <c r="R701">
        <v>79.221999999999994</v>
      </c>
      <c r="S701">
        <v>3.2667299999999999</v>
      </c>
      <c r="T701">
        <f>Table4437[[#This Row],[CFNM]]/Table4437[[#This Row],[CAREA]]</f>
        <v>4.1235136704450788E-2</v>
      </c>
      <c r="U701">
        <v>2.4542000000000002</v>
      </c>
      <c r="V701">
        <f>-(Table5438[[#This Row],[time]]-2)*2</f>
        <v>-0.90840000000000032</v>
      </c>
      <c r="W701">
        <v>84.438199999999995</v>
      </c>
      <c r="X701">
        <v>20.545500000000001</v>
      </c>
      <c r="Y701">
        <f>Table5438[[#This Row],[CFNM]]/Table5438[[#This Row],[CAREA]]</f>
        <v>0.24331996655542162</v>
      </c>
      <c r="Z701">
        <v>2.4542000000000002</v>
      </c>
      <c r="AA701">
        <f>-(Table6439[[#This Row],[time]]-2)*2</f>
        <v>-0.90840000000000032</v>
      </c>
      <c r="AB701">
        <v>79.465699999999998</v>
      </c>
      <c r="AC701">
        <v>2.6473499999999999</v>
      </c>
      <c r="AD701">
        <f>Table6439[[#This Row],[CFNM]]/Table6439[[#This Row],[CAREA]]</f>
        <v>3.3314373371152582E-2</v>
      </c>
      <c r="AE701">
        <v>2.4542000000000002</v>
      </c>
      <c r="AF701">
        <f>-(Table7440[[#This Row],[time]]-2)*2</f>
        <v>-0.90840000000000032</v>
      </c>
      <c r="AG701">
        <v>77.709199999999996</v>
      </c>
      <c r="AH701">
        <v>35.247500000000002</v>
      </c>
      <c r="AI701">
        <f>Table7440[[#This Row],[CFNM]]/Table7440[[#This Row],[CAREA]]</f>
        <v>0.45358207265034262</v>
      </c>
      <c r="AJ701">
        <v>2.4542000000000002</v>
      </c>
      <c r="AK701">
        <f>-(Table8441[[#This Row],[time]]-2)*2</f>
        <v>-0.90840000000000032</v>
      </c>
      <c r="AL701">
        <v>81.987399999999994</v>
      </c>
      <c r="AM701">
        <v>13.998799999999999</v>
      </c>
      <c r="AN701">
        <f>Table8441[[#This Row],[CFNM]]/Table8441[[#This Row],[CAREA]]</f>
        <v>0.17074330933777629</v>
      </c>
    </row>
    <row r="702" spans="1:40" x14ac:dyDescent="0.25">
      <c r="A702">
        <v>2.5061499999999999</v>
      </c>
      <c r="B702">
        <f>-(Table1434[[#This Row],[time]]-2)*2</f>
        <v>-1.0122999999999998</v>
      </c>
      <c r="C702">
        <v>90.660799999999995</v>
      </c>
      <c r="D702">
        <v>15.927199999999999</v>
      </c>
      <c r="E702">
        <f>Table1434[[#This Row],[CFNM]]/Table1434[[#This Row],[CAREA]]</f>
        <v>0.17567901452446924</v>
      </c>
      <c r="F702">
        <v>2.5061499999999999</v>
      </c>
      <c r="G702">
        <f>-(Table2435[[#This Row],[time]]-2)*2</f>
        <v>-1.0122999999999998</v>
      </c>
      <c r="H702">
        <v>91.517200000000003</v>
      </c>
      <c r="I702">
        <v>4.94584E-3</v>
      </c>
      <c r="J702">
        <f>Table2435[[#This Row],[CFNM]]/Table2435[[#This Row],[CAREA]]</f>
        <v>5.4042737321508958E-5</v>
      </c>
      <c r="K702">
        <v>2.5061499999999999</v>
      </c>
      <c r="L702">
        <f>-(Table3436[[#This Row],[time]]-2)*2</f>
        <v>-1.0122999999999998</v>
      </c>
      <c r="M702">
        <v>89.9268</v>
      </c>
      <c r="N702">
        <v>14.392099999999999</v>
      </c>
      <c r="O702">
        <f>Table3436[[#This Row],[CFNM]]/Table3436[[#This Row],[CAREA]]</f>
        <v>0.1600423900327822</v>
      </c>
      <c r="P702">
        <v>2.5061499999999999</v>
      </c>
      <c r="Q702">
        <f>-(Table4437[[#This Row],[time]]-2)*2</f>
        <v>-1.0122999999999998</v>
      </c>
      <c r="R702">
        <v>77.811700000000002</v>
      </c>
      <c r="S702">
        <v>3.5413999999999999</v>
      </c>
      <c r="T702">
        <f>Table4437[[#This Row],[CFNM]]/Table4437[[#This Row],[CAREA]]</f>
        <v>4.5512435790504513E-2</v>
      </c>
      <c r="U702">
        <v>2.5061499999999999</v>
      </c>
      <c r="V702">
        <f>-(Table5438[[#This Row],[time]]-2)*2</f>
        <v>-1.0122999999999998</v>
      </c>
      <c r="W702">
        <v>84.241</v>
      </c>
      <c r="X702">
        <v>23.138100000000001</v>
      </c>
      <c r="Y702">
        <f>Table5438[[#This Row],[CFNM]]/Table5438[[#This Row],[CAREA]]</f>
        <v>0.27466554290666068</v>
      </c>
      <c r="Z702">
        <v>2.5061499999999999</v>
      </c>
      <c r="AA702">
        <f>-(Table6439[[#This Row],[time]]-2)*2</f>
        <v>-1.0122999999999998</v>
      </c>
      <c r="AB702">
        <v>78.159099999999995</v>
      </c>
      <c r="AC702">
        <v>2.23922</v>
      </c>
      <c r="AD702">
        <f>Table6439[[#This Row],[CFNM]]/Table6439[[#This Row],[CAREA]]</f>
        <v>2.8649511061411916E-2</v>
      </c>
      <c r="AE702">
        <v>2.5061499999999999</v>
      </c>
      <c r="AF702">
        <f>-(Table7440[[#This Row],[time]]-2)*2</f>
        <v>-1.0122999999999998</v>
      </c>
      <c r="AG702">
        <v>76.2012</v>
      </c>
      <c r="AH702">
        <v>38.942900000000002</v>
      </c>
      <c r="AI702">
        <f>Table7440[[#This Row],[CFNM]]/Table7440[[#This Row],[CAREA]]</f>
        <v>0.51105363170133811</v>
      </c>
      <c r="AJ702">
        <v>2.5061499999999999</v>
      </c>
      <c r="AK702">
        <f>-(Table8441[[#This Row],[time]]-2)*2</f>
        <v>-1.0122999999999998</v>
      </c>
      <c r="AL702">
        <v>81.375600000000006</v>
      </c>
      <c r="AM702">
        <v>13.1347</v>
      </c>
      <c r="AN702">
        <f>Table8441[[#This Row],[CFNM]]/Table8441[[#This Row],[CAREA]]</f>
        <v>0.1614083337019942</v>
      </c>
    </row>
    <row r="703" spans="1:40" x14ac:dyDescent="0.25">
      <c r="A703">
        <v>2.5507599999999999</v>
      </c>
      <c r="B703">
        <f>-(Table1434[[#This Row],[time]]-2)*2</f>
        <v>-1.1015199999999998</v>
      </c>
      <c r="C703">
        <v>90.963700000000003</v>
      </c>
      <c r="D703">
        <v>16.716200000000001</v>
      </c>
      <c r="E703">
        <f>Table1434[[#This Row],[CFNM]]/Table1434[[#This Row],[CAREA]]</f>
        <v>0.18376781067612685</v>
      </c>
      <c r="F703">
        <v>2.5507599999999999</v>
      </c>
      <c r="G703">
        <f>-(Table2435[[#This Row],[time]]-2)*2</f>
        <v>-1.1015199999999998</v>
      </c>
      <c r="H703">
        <v>91.084100000000007</v>
      </c>
      <c r="I703">
        <v>4.8913699999999999E-3</v>
      </c>
      <c r="J703">
        <f>Table2435[[#This Row],[CFNM]]/Table2435[[#This Row],[CAREA]]</f>
        <v>5.3701688878739533E-5</v>
      </c>
      <c r="K703">
        <v>2.5507599999999999</v>
      </c>
      <c r="L703">
        <f>-(Table3436[[#This Row],[time]]-2)*2</f>
        <v>-1.1015199999999998</v>
      </c>
      <c r="M703">
        <v>89.719700000000003</v>
      </c>
      <c r="N703">
        <v>15.7653</v>
      </c>
      <c r="O703">
        <f>Table3436[[#This Row],[CFNM]]/Table3436[[#This Row],[CAREA]]</f>
        <v>0.17571726164933676</v>
      </c>
      <c r="P703">
        <v>2.5507599999999999</v>
      </c>
      <c r="Q703">
        <f>-(Table4437[[#This Row],[time]]-2)*2</f>
        <v>-1.1015199999999998</v>
      </c>
      <c r="R703">
        <v>77.640900000000002</v>
      </c>
      <c r="S703">
        <v>3.7117800000000001</v>
      </c>
      <c r="T703">
        <f>Table4437[[#This Row],[CFNM]]/Table4437[[#This Row],[CAREA]]</f>
        <v>4.7807019238571426E-2</v>
      </c>
      <c r="U703">
        <v>2.5507599999999999</v>
      </c>
      <c r="V703">
        <f>-(Table5438[[#This Row],[time]]-2)*2</f>
        <v>-1.1015199999999998</v>
      </c>
      <c r="W703">
        <v>84.300200000000004</v>
      </c>
      <c r="X703">
        <v>24.803799999999999</v>
      </c>
      <c r="Y703">
        <f>Table5438[[#This Row],[CFNM]]/Table5438[[#This Row],[CAREA]]</f>
        <v>0.29423180490674988</v>
      </c>
      <c r="Z703">
        <v>2.5507599999999999</v>
      </c>
      <c r="AA703">
        <f>-(Table6439[[#This Row],[time]]-2)*2</f>
        <v>-1.1015199999999998</v>
      </c>
      <c r="AB703">
        <v>76.472999999999999</v>
      </c>
      <c r="AC703">
        <v>1.9980800000000001</v>
      </c>
      <c r="AD703">
        <f>Table6439[[#This Row],[CFNM]]/Table6439[[#This Row],[CAREA]]</f>
        <v>2.6127914427314217E-2</v>
      </c>
      <c r="AE703">
        <v>2.5507599999999999</v>
      </c>
      <c r="AF703">
        <f>-(Table7440[[#This Row],[time]]-2)*2</f>
        <v>-1.1015199999999998</v>
      </c>
      <c r="AG703">
        <v>75.1267</v>
      </c>
      <c r="AH703">
        <v>41.319600000000001</v>
      </c>
      <c r="AI703">
        <f>Table7440[[#This Row],[CFNM]]/Table7440[[#This Row],[CAREA]]</f>
        <v>0.54999886857801561</v>
      </c>
      <c r="AJ703">
        <v>2.5507599999999999</v>
      </c>
      <c r="AK703">
        <f>-(Table8441[[#This Row],[time]]-2)*2</f>
        <v>-1.1015199999999998</v>
      </c>
      <c r="AL703">
        <v>80.6965</v>
      </c>
      <c r="AM703">
        <v>12.5405</v>
      </c>
      <c r="AN703">
        <f>Table8441[[#This Row],[CFNM]]/Table8441[[#This Row],[CAREA]]</f>
        <v>0.15540327027814094</v>
      </c>
    </row>
    <row r="704" spans="1:40" x14ac:dyDescent="0.25">
      <c r="A704">
        <v>2.60453</v>
      </c>
      <c r="B704">
        <f>-(Table1434[[#This Row],[time]]-2)*2</f>
        <v>-1.20906</v>
      </c>
      <c r="C704">
        <v>91.432000000000002</v>
      </c>
      <c r="D704">
        <v>17.702200000000001</v>
      </c>
      <c r="E704">
        <f>Table1434[[#This Row],[CFNM]]/Table1434[[#This Row],[CAREA]]</f>
        <v>0.19361055210429609</v>
      </c>
      <c r="F704">
        <v>2.60453</v>
      </c>
      <c r="G704">
        <f>-(Table2435[[#This Row],[time]]-2)*2</f>
        <v>-1.20906</v>
      </c>
      <c r="H704">
        <v>90.601500000000001</v>
      </c>
      <c r="I704">
        <v>4.82461E-3</v>
      </c>
      <c r="J704">
        <f>Table2435[[#This Row],[CFNM]]/Table2435[[#This Row],[CAREA]]</f>
        <v>5.3250884367256611E-5</v>
      </c>
      <c r="K704">
        <v>2.60453</v>
      </c>
      <c r="L704">
        <f>-(Table3436[[#This Row],[time]]-2)*2</f>
        <v>-1.20906</v>
      </c>
      <c r="M704">
        <v>89.406400000000005</v>
      </c>
      <c r="N704">
        <v>17.4086</v>
      </c>
      <c r="O704">
        <f>Table3436[[#This Row],[CFNM]]/Table3436[[#This Row],[CAREA]]</f>
        <v>0.1947131301562304</v>
      </c>
      <c r="P704">
        <v>2.60453</v>
      </c>
      <c r="Q704">
        <f>-(Table4437[[#This Row],[time]]-2)*2</f>
        <v>-1.20906</v>
      </c>
      <c r="R704">
        <v>77.090900000000005</v>
      </c>
      <c r="S704">
        <v>3.9239700000000002</v>
      </c>
      <c r="T704">
        <f>Table4437[[#This Row],[CFNM]]/Table4437[[#This Row],[CAREA]]</f>
        <v>5.0900560247707574E-2</v>
      </c>
      <c r="U704">
        <v>2.60453</v>
      </c>
      <c r="V704">
        <f>-(Table5438[[#This Row],[time]]-2)*2</f>
        <v>-1.20906</v>
      </c>
      <c r="W704">
        <v>84.418300000000002</v>
      </c>
      <c r="X704">
        <v>26.745999999999999</v>
      </c>
      <c r="Y704">
        <f>Table5438[[#This Row],[CFNM]]/Table5438[[#This Row],[CAREA]]</f>
        <v>0.31682703868710926</v>
      </c>
      <c r="Z704">
        <v>2.60453</v>
      </c>
      <c r="AA704">
        <f>-(Table6439[[#This Row],[time]]-2)*2</f>
        <v>-1.20906</v>
      </c>
      <c r="AB704">
        <v>74.684899999999999</v>
      </c>
      <c r="AC704">
        <v>1.9084300000000001</v>
      </c>
      <c r="AD704">
        <f>Table6439[[#This Row],[CFNM]]/Table6439[[#This Row],[CAREA]]</f>
        <v>2.5553090383732189E-2</v>
      </c>
      <c r="AE704">
        <v>2.60453</v>
      </c>
      <c r="AF704">
        <f>-(Table7440[[#This Row],[time]]-2)*2</f>
        <v>-1.20906</v>
      </c>
      <c r="AG704">
        <v>74.129900000000006</v>
      </c>
      <c r="AH704">
        <v>44.096800000000002</v>
      </c>
      <c r="AI704">
        <f>Table7440[[#This Row],[CFNM]]/Table7440[[#This Row],[CAREA]]</f>
        <v>0.59485848490285298</v>
      </c>
      <c r="AJ704">
        <v>2.60453</v>
      </c>
      <c r="AK704">
        <f>-(Table8441[[#This Row],[time]]-2)*2</f>
        <v>-1.20906</v>
      </c>
      <c r="AL704">
        <v>79.732399999999998</v>
      </c>
      <c r="AM704">
        <v>11.842000000000001</v>
      </c>
      <c r="AN704">
        <f>Table8441[[#This Row],[CFNM]]/Table8441[[#This Row],[CAREA]]</f>
        <v>0.1485218054391941</v>
      </c>
    </row>
    <row r="705" spans="1:40" x14ac:dyDescent="0.25">
      <c r="A705">
        <v>2.65273</v>
      </c>
      <c r="B705">
        <f>-(Table1434[[#This Row],[time]]-2)*2</f>
        <v>-1.3054600000000001</v>
      </c>
      <c r="C705">
        <v>92.002399999999994</v>
      </c>
      <c r="D705">
        <v>18.937999999999999</v>
      </c>
      <c r="E705">
        <f>Table1434[[#This Row],[CFNM]]/Table1434[[#This Row],[CAREA]]</f>
        <v>0.20584245628374911</v>
      </c>
      <c r="F705">
        <v>2.65273</v>
      </c>
      <c r="G705">
        <f>-(Table2435[[#This Row],[time]]-2)*2</f>
        <v>-1.3054600000000001</v>
      </c>
      <c r="H705">
        <v>89.613200000000006</v>
      </c>
      <c r="I705">
        <v>4.7290600000000002E-3</v>
      </c>
      <c r="J705">
        <f>Table2435[[#This Row],[CFNM]]/Table2435[[#This Row],[CAREA]]</f>
        <v>5.2771913066378615E-5</v>
      </c>
      <c r="K705">
        <v>2.65273</v>
      </c>
      <c r="L705">
        <f>-(Table3436[[#This Row],[time]]-2)*2</f>
        <v>-1.3054600000000001</v>
      </c>
      <c r="M705">
        <v>89.005499999999998</v>
      </c>
      <c r="N705">
        <v>19.29</v>
      </c>
      <c r="O705">
        <f>Table3436[[#This Row],[CFNM]]/Table3436[[#This Row],[CAREA]]</f>
        <v>0.21672817971923083</v>
      </c>
      <c r="P705">
        <v>2.65273</v>
      </c>
      <c r="Q705">
        <f>-(Table4437[[#This Row],[time]]-2)*2</f>
        <v>-1.3054600000000001</v>
      </c>
      <c r="R705">
        <v>75.151200000000003</v>
      </c>
      <c r="S705">
        <v>4.1148999999999996</v>
      </c>
      <c r="T705">
        <f>Table4437[[#This Row],[CFNM]]/Table4437[[#This Row],[CAREA]]</f>
        <v>5.4754947359456664E-2</v>
      </c>
      <c r="U705">
        <v>2.65273</v>
      </c>
      <c r="V705">
        <f>-(Table5438[[#This Row],[time]]-2)*2</f>
        <v>-1.3054600000000001</v>
      </c>
      <c r="W705">
        <v>84.053600000000003</v>
      </c>
      <c r="X705">
        <v>29.004799999999999</v>
      </c>
      <c r="Y705">
        <f>Table5438[[#This Row],[CFNM]]/Table5438[[#This Row],[CAREA]]</f>
        <v>0.34507504735073807</v>
      </c>
      <c r="Z705">
        <v>2.65273</v>
      </c>
      <c r="AA705">
        <f>-(Table6439[[#This Row],[time]]-2)*2</f>
        <v>-1.3054600000000001</v>
      </c>
      <c r="AB705">
        <v>73.882099999999994</v>
      </c>
      <c r="AC705">
        <v>1.7745899999999999</v>
      </c>
      <c r="AD705">
        <f>Table6439[[#This Row],[CFNM]]/Table6439[[#This Row],[CAREA]]</f>
        <v>2.4019214396991964E-2</v>
      </c>
      <c r="AE705">
        <v>2.65273</v>
      </c>
      <c r="AF705">
        <f>-(Table7440[[#This Row],[time]]-2)*2</f>
        <v>-1.3054600000000001</v>
      </c>
      <c r="AG705">
        <v>73.061999999999998</v>
      </c>
      <c r="AH705">
        <v>47.193100000000001</v>
      </c>
      <c r="AI705">
        <f>Table7440[[#This Row],[CFNM]]/Table7440[[#This Row],[CAREA]]</f>
        <v>0.6459322219484821</v>
      </c>
      <c r="AJ705">
        <v>2.65273</v>
      </c>
      <c r="AK705">
        <f>-(Table8441[[#This Row],[time]]-2)*2</f>
        <v>-1.3054600000000001</v>
      </c>
      <c r="AL705">
        <v>79.771299999999997</v>
      </c>
      <c r="AM705">
        <v>10.994999999999999</v>
      </c>
      <c r="AN705">
        <f>Table8441[[#This Row],[CFNM]]/Table8441[[#This Row],[CAREA]]</f>
        <v>0.13783152587459399</v>
      </c>
    </row>
    <row r="706" spans="1:40" x14ac:dyDescent="0.25">
      <c r="A706">
        <v>2.7006199999999998</v>
      </c>
      <c r="B706">
        <f>-(Table1434[[#This Row],[time]]-2)*2</f>
        <v>-1.4012399999999996</v>
      </c>
      <c r="C706">
        <v>92.672399999999996</v>
      </c>
      <c r="D706">
        <v>20.078800000000001</v>
      </c>
      <c r="E706">
        <f>Table1434[[#This Row],[CFNM]]/Table1434[[#This Row],[CAREA]]</f>
        <v>0.21666429271282497</v>
      </c>
      <c r="F706">
        <v>2.7006199999999998</v>
      </c>
      <c r="G706">
        <f>-(Table2435[[#This Row],[time]]-2)*2</f>
        <v>-1.4012399999999996</v>
      </c>
      <c r="H706">
        <v>88.777900000000002</v>
      </c>
      <c r="I706">
        <v>4.6430999999999998E-3</v>
      </c>
      <c r="J706">
        <f>Table2435[[#This Row],[CFNM]]/Table2435[[#This Row],[CAREA]]</f>
        <v>5.23001783101425E-5</v>
      </c>
      <c r="K706">
        <v>2.7006199999999998</v>
      </c>
      <c r="L706">
        <f>-(Table3436[[#This Row],[time]]-2)*2</f>
        <v>-1.4012399999999996</v>
      </c>
      <c r="M706">
        <v>88.706199999999995</v>
      </c>
      <c r="N706">
        <v>21.002600000000001</v>
      </c>
      <c r="O706">
        <f>Table3436[[#This Row],[CFNM]]/Table3436[[#This Row],[CAREA]]</f>
        <v>0.23676586304001301</v>
      </c>
      <c r="P706">
        <v>2.7006199999999998</v>
      </c>
      <c r="Q706">
        <f>-(Table4437[[#This Row],[time]]-2)*2</f>
        <v>-1.4012399999999996</v>
      </c>
      <c r="R706">
        <v>74.562200000000004</v>
      </c>
      <c r="S706">
        <v>4.2611999999999997</v>
      </c>
      <c r="T706">
        <f>Table4437[[#This Row],[CFNM]]/Table4437[[#This Row],[CAREA]]</f>
        <v>5.7149601272494632E-2</v>
      </c>
      <c r="U706">
        <v>2.7006199999999998</v>
      </c>
      <c r="V706">
        <f>-(Table5438[[#This Row],[time]]-2)*2</f>
        <v>-1.4012399999999996</v>
      </c>
      <c r="W706">
        <v>84.268100000000004</v>
      </c>
      <c r="X706">
        <v>30.962900000000001</v>
      </c>
      <c r="Y706">
        <f>Table5438[[#This Row],[CFNM]]/Table5438[[#This Row],[CAREA]]</f>
        <v>0.36743322799493522</v>
      </c>
      <c r="Z706">
        <v>2.7006199999999998</v>
      </c>
      <c r="AA706">
        <f>-(Table6439[[#This Row],[time]]-2)*2</f>
        <v>-1.4012399999999996</v>
      </c>
      <c r="AB706">
        <v>73.1845</v>
      </c>
      <c r="AC706">
        <v>1.6017699999999999</v>
      </c>
      <c r="AD706">
        <f>Table6439[[#This Row],[CFNM]]/Table6439[[#This Row],[CAREA]]</f>
        <v>2.1886738312074275E-2</v>
      </c>
      <c r="AE706">
        <v>2.7006199999999998</v>
      </c>
      <c r="AF706">
        <f>-(Table7440[[#This Row],[time]]-2)*2</f>
        <v>-1.4012399999999996</v>
      </c>
      <c r="AG706">
        <v>72.2059</v>
      </c>
      <c r="AH706">
        <v>49.939300000000003</v>
      </c>
      <c r="AI706">
        <f>Table7440[[#This Row],[CFNM]]/Table7440[[#This Row],[CAREA]]</f>
        <v>0.69162353768874851</v>
      </c>
      <c r="AJ706">
        <v>2.7006199999999998</v>
      </c>
      <c r="AK706">
        <f>-(Table8441[[#This Row],[time]]-2)*2</f>
        <v>-1.4012399999999996</v>
      </c>
      <c r="AL706">
        <v>78.754199999999997</v>
      </c>
      <c r="AM706">
        <v>10.2334</v>
      </c>
      <c r="AN706">
        <f>Table8441[[#This Row],[CFNM]]/Table8441[[#This Row],[CAREA]]</f>
        <v>0.12994100632093272</v>
      </c>
    </row>
    <row r="707" spans="1:40" x14ac:dyDescent="0.25">
      <c r="A707">
        <v>2.75176</v>
      </c>
      <c r="B707">
        <f>-(Table1434[[#This Row],[time]]-2)*2</f>
        <v>-1.50352</v>
      </c>
      <c r="C707">
        <v>93.451099999999997</v>
      </c>
      <c r="D707">
        <v>21.482800000000001</v>
      </c>
      <c r="E707">
        <f>Table1434[[#This Row],[CFNM]]/Table1434[[#This Row],[CAREA]]</f>
        <v>0.22988279431702785</v>
      </c>
      <c r="F707">
        <v>2.75176</v>
      </c>
      <c r="G707">
        <f>-(Table2435[[#This Row],[time]]-2)*2</f>
        <v>-1.50352</v>
      </c>
      <c r="H707">
        <v>88.163899999999998</v>
      </c>
      <c r="I707">
        <v>4.5360799999999996E-3</v>
      </c>
      <c r="J707">
        <f>Table2435[[#This Row],[CFNM]]/Table2435[[#This Row],[CAREA]]</f>
        <v>5.1450537011180312E-5</v>
      </c>
      <c r="K707">
        <v>2.75176</v>
      </c>
      <c r="L707">
        <f>-(Table3436[[#This Row],[time]]-2)*2</f>
        <v>-1.50352</v>
      </c>
      <c r="M707">
        <v>88.292199999999994</v>
      </c>
      <c r="N707">
        <v>22.988499999999998</v>
      </c>
      <c r="O707">
        <f>Table3436[[#This Row],[CFNM]]/Table3436[[#This Row],[CAREA]]</f>
        <v>0.26036841306480074</v>
      </c>
      <c r="P707">
        <v>2.75176</v>
      </c>
      <c r="Q707">
        <f>-(Table4437[[#This Row],[time]]-2)*2</f>
        <v>-1.50352</v>
      </c>
      <c r="R707">
        <v>73.240099999999998</v>
      </c>
      <c r="S707">
        <v>4.4165099999999997</v>
      </c>
      <c r="T707">
        <f>Table4437[[#This Row],[CFNM]]/Table4437[[#This Row],[CAREA]]</f>
        <v>6.0301801881756031E-2</v>
      </c>
      <c r="U707">
        <v>2.75176</v>
      </c>
      <c r="V707">
        <f>-(Table5438[[#This Row],[time]]-2)*2</f>
        <v>-1.50352</v>
      </c>
      <c r="W707">
        <v>83.864599999999996</v>
      </c>
      <c r="X707">
        <v>33.138500000000001</v>
      </c>
      <c r="Y707">
        <f>Table5438[[#This Row],[CFNM]]/Table5438[[#This Row],[CAREA]]</f>
        <v>0.3951428850790441</v>
      </c>
      <c r="Z707">
        <v>2.75176</v>
      </c>
      <c r="AA707">
        <f>-(Table6439[[#This Row],[time]]-2)*2</f>
        <v>-1.50352</v>
      </c>
      <c r="AB707">
        <v>70.936099999999996</v>
      </c>
      <c r="AC707">
        <v>1.35242</v>
      </c>
      <c r="AD707">
        <f>Table6439[[#This Row],[CFNM]]/Table6439[[#This Row],[CAREA]]</f>
        <v>1.9065327809112707E-2</v>
      </c>
      <c r="AE707">
        <v>2.75176</v>
      </c>
      <c r="AF707">
        <f>-(Table7440[[#This Row],[time]]-2)*2</f>
        <v>-1.50352</v>
      </c>
      <c r="AG707">
        <v>71.288200000000003</v>
      </c>
      <c r="AH707">
        <v>52.834800000000001</v>
      </c>
      <c r="AI707">
        <f>Table7440[[#This Row],[CFNM]]/Table7440[[#This Row],[CAREA]]</f>
        <v>0.74114369559057458</v>
      </c>
      <c r="AJ707">
        <v>2.75176</v>
      </c>
      <c r="AK707">
        <f>-(Table8441[[#This Row],[time]]-2)*2</f>
        <v>-1.50352</v>
      </c>
      <c r="AL707">
        <v>78.486599999999996</v>
      </c>
      <c r="AM707">
        <v>9.3821399999999997</v>
      </c>
      <c r="AN707">
        <f>Table8441[[#This Row],[CFNM]]/Table8441[[#This Row],[CAREA]]</f>
        <v>0.11953811223826742</v>
      </c>
    </row>
    <row r="708" spans="1:40" x14ac:dyDescent="0.25">
      <c r="A708">
        <v>2.80444</v>
      </c>
      <c r="B708">
        <f>-(Table1434[[#This Row],[time]]-2)*2</f>
        <v>-1.6088800000000001</v>
      </c>
      <c r="C708">
        <v>94.648600000000002</v>
      </c>
      <c r="D708">
        <v>23.342600000000001</v>
      </c>
      <c r="E708">
        <f>Table1434[[#This Row],[CFNM]]/Table1434[[#This Row],[CAREA]]</f>
        <v>0.24662382750510836</v>
      </c>
      <c r="F708">
        <v>2.80444</v>
      </c>
      <c r="G708">
        <f>-(Table2435[[#This Row],[time]]-2)*2</f>
        <v>-1.6088800000000001</v>
      </c>
      <c r="H708">
        <v>86.360399999999998</v>
      </c>
      <c r="I708">
        <v>4.3736799999999996E-3</v>
      </c>
      <c r="J708">
        <f>Table2435[[#This Row],[CFNM]]/Table2435[[#This Row],[CAREA]]</f>
        <v>5.0644508362629165E-5</v>
      </c>
      <c r="K708">
        <v>2.80444</v>
      </c>
      <c r="L708">
        <f>-(Table3436[[#This Row],[time]]-2)*2</f>
        <v>-1.6088800000000001</v>
      </c>
      <c r="M708">
        <v>87.7684</v>
      </c>
      <c r="N708">
        <v>25.7499</v>
      </c>
      <c r="O708">
        <f>Table3436[[#This Row],[CFNM]]/Table3436[[#This Row],[CAREA]]</f>
        <v>0.29338463501670303</v>
      </c>
      <c r="P708">
        <v>2.80444</v>
      </c>
      <c r="Q708">
        <f>-(Table4437[[#This Row],[time]]-2)*2</f>
        <v>-1.6088800000000001</v>
      </c>
      <c r="R708">
        <v>72.9542</v>
      </c>
      <c r="S708">
        <v>4.4555199999999999</v>
      </c>
      <c r="T708">
        <f>Table4437[[#This Row],[CFNM]]/Table4437[[#This Row],[CAREA]]</f>
        <v>6.1072837478856598E-2</v>
      </c>
      <c r="U708">
        <v>2.80444</v>
      </c>
      <c r="V708">
        <f>-(Table5438[[#This Row],[time]]-2)*2</f>
        <v>-1.6088800000000001</v>
      </c>
      <c r="W708">
        <v>83.512600000000006</v>
      </c>
      <c r="X708">
        <v>35.784700000000001</v>
      </c>
      <c r="Y708">
        <f>Table5438[[#This Row],[CFNM]]/Table5438[[#This Row],[CAREA]]</f>
        <v>0.42849462236836117</v>
      </c>
      <c r="Z708">
        <v>2.80444</v>
      </c>
      <c r="AA708">
        <f>-(Table6439[[#This Row],[time]]-2)*2</f>
        <v>-1.6088800000000001</v>
      </c>
      <c r="AB708">
        <v>69.769000000000005</v>
      </c>
      <c r="AC708">
        <v>1.0455700000000001</v>
      </c>
      <c r="AD708">
        <f>Table6439[[#This Row],[CFNM]]/Table6439[[#This Row],[CAREA]]</f>
        <v>1.4986168642233658E-2</v>
      </c>
      <c r="AE708">
        <v>2.80444</v>
      </c>
      <c r="AF708">
        <f>-(Table7440[[#This Row],[time]]-2)*2</f>
        <v>-1.6088800000000001</v>
      </c>
      <c r="AG708">
        <v>70.2988</v>
      </c>
      <c r="AH708">
        <v>56.139400000000002</v>
      </c>
      <c r="AI708">
        <f>Table7440[[#This Row],[CFNM]]/Table7440[[#This Row],[CAREA]]</f>
        <v>0.79858262160947269</v>
      </c>
      <c r="AJ708">
        <v>2.80444</v>
      </c>
      <c r="AK708">
        <f>-(Table8441[[#This Row],[time]]-2)*2</f>
        <v>-1.6088800000000001</v>
      </c>
      <c r="AL708">
        <v>77.502899999999997</v>
      </c>
      <c r="AM708">
        <v>8.3844200000000004</v>
      </c>
      <c r="AN708">
        <f>Table8441[[#This Row],[CFNM]]/Table8441[[#This Row],[CAREA]]</f>
        <v>0.10818201641486964</v>
      </c>
    </row>
    <row r="709" spans="1:40" x14ac:dyDescent="0.25">
      <c r="A709">
        <v>2.8583699999999999</v>
      </c>
      <c r="B709">
        <f>-(Table1434[[#This Row],[time]]-2)*2</f>
        <v>-1.7167399999999997</v>
      </c>
      <c r="C709">
        <v>95.6023</v>
      </c>
      <c r="D709">
        <v>24.5609</v>
      </c>
      <c r="E709">
        <f>Table1434[[#This Row],[CFNM]]/Table1434[[#This Row],[CAREA]]</f>
        <v>0.25690699909939407</v>
      </c>
      <c r="F709">
        <v>2.8583699999999999</v>
      </c>
      <c r="G709">
        <f>-(Table2435[[#This Row],[time]]-2)*2</f>
        <v>-1.7167399999999997</v>
      </c>
      <c r="H709">
        <v>84.9619</v>
      </c>
      <c r="I709">
        <v>4.2536199999999996E-3</v>
      </c>
      <c r="J709">
        <f>Table2435[[#This Row],[CFNM]]/Table2435[[#This Row],[CAREA]]</f>
        <v>5.0065029148359435E-5</v>
      </c>
      <c r="K709">
        <v>2.8583699999999999</v>
      </c>
      <c r="L709">
        <f>-(Table3436[[#This Row],[time]]-2)*2</f>
        <v>-1.7167399999999997</v>
      </c>
      <c r="M709">
        <v>87.3583</v>
      </c>
      <c r="N709">
        <v>27.535</v>
      </c>
      <c r="O709">
        <f>Table3436[[#This Row],[CFNM]]/Table3436[[#This Row],[CAREA]]</f>
        <v>0.31519615193976991</v>
      </c>
      <c r="P709">
        <v>2.8583699999999999</v>
      </c>
      <c r="Q709">
        <f>-(Table4437[[#This Row],[time]]-2)*2</f>
        <v>-1.7167399999999997</v>
      </c>
      <c r="R709">
        <v>71.993799999999993</v>
      </c>
      <c r="S709">
        <v>4.4100099999999998</v>
      </c>
      <c r="T709">
        <f>Table4437[[#This Row],[CFNM]]/Table4437[[#This Row],[CAREA]]</f>
        <v>6.1255413660620775E-2</v>
      </c>
      <c r="U709">
        <v>2.8583699999999999</v>
      </c>
      <c r="V709">
        <f>-(Table5438[[#This Row],[time]]-2)*2</f>
        <v>-1.7167399999999997</v>
      </c>
      <c r="W709">
        <v>83.253699999999995</v>
      </c>
      <c r="X709">
        <v>37.484499999999997</v>
      </c>
      <c r="Y709">
        <f>Table5438[[#This Row],[CFNM]]/Table5438[[#This Row],[CAREA]]</f>
        <v>0.45024425340855723</v>
      </c>
      <c r="Z709">
        <v>2.8583699999999999</v>
      </c>
      <c r="AA709">
        <f>-(Table6439[[#This Row],[time]]-2)*2</f>
        <v>-1.7167399999999997</v>
      </c>
      <c r="AB709">
        <v>69.502499999999998</v>
      </c>
      <c r="AC709">
        <v>0.86330700000000005</v>
      </c>
      <c r="AD709">
        <f>Table6439[[#This Row],[CFNM]]/Table6439[[#This Row],[CAREA]]</f>
        <v>1.2421236646163809E-2</v>
      </c>
      <c r="AE709">
        <v>2.8583699999999999</v>
      </c>
      <c r="AF709">
        <f>-(Table7440[[#This Row],[time]]-2)*2</f>
        <v>-1.7167399999999997</v>
      </c>
      <c r="AG709">
        <v>69.7029</v>
      </c>
      <c r="AH709">
        <v>58.159700000000001</v>
      </c>
      <c r="AI709">
        <f>Table7440[[#This Row],[CFNM]]/Table7440[[#This Row],[CAREA]]</f>
        <v>0.83439426480103407</v>
      </c>
      <c r="AJ709">
        <v>2.8583699999999999</v>
      </c>
      <c r="AK709">
        <f>-(Table8441[[#This Row],[time]]-2)*2</f>
        <v>-1.7167399999999997</v>
      </c>
      <c r="AL709">
        <v>77.526499999999999</v>
      </c>
      <c r="AM709">
        <v>7.7853199999999996</v>
      </c>
      <c r="AN709">
        <f>Table8441[[#This Row],[CFNM]]/Table8441[[#This Row],[CAREA]]</f>
        <v>0.1004214042940156</v>
      </c>
    </row>
    <row r="710" spans="1:40" x14ac:dyDescent="0.25">
      <c r="A710">
        <v>2.9134199999999999</v>
      </c>
      <c r="B710">
        <f>-(Table1434[[#This Row],[time]]-2)*2</f>
        <v>-1.8268399999999998</v>
      </c>
      <c r="C710">
        <v>96.851600000000005</v>
      </c>
      <c r="D710">
        <v>26.2973</v>
      </c>
      <c r="E710">
        <f>Table1434[[#This Row],[CFNM]]/Table1434[[#This Row],[CAREA]]</f>
        <v>0.27152158560106388</v>
      </c>
      <c r="F710">
        <v>2.9134199999999999</v>
      </c>
      <c r="G710">
        <f>-(Table2435[[#This Row],[time]]-2)*2</f>
        <v>-1.8268399999999998</v>
      </c>
      <c r="H710">
        <v>84.413899999999998</v>
      </c>
      <c r="I710">
        <v>4.0831000000000001E-3</v>
      </c>
      <c r="J710">
        <f>Table2435[[#This Row],[CFNM]]/Table2435[[#This Row],[CAREA]]</f>
        <v>4.8369995936688151E-5</v>
      </c>
      <c r="K710">
        <v>2.9134199999999999</v>
      </c>
      <c r="L710">
        <f>-(Table3436[[#This Row],[time]]-2)*2</f>
        <v>-1.8268399999999998</v>
      </c>
      <c r="M710">
        <v>86.706400000000002</v>
      </c>
      <c r="N710">
        <v>30.032299999999999</v>
      </c>
      <c r="O710">
        <f>Table3436[[#This Row],[CFNM]]/Table3436[[#This Row],[CAREA]]</f>
        <v>0.34636774217358807</v>
      </c>
      <c r="P710">
        <v>2.9134199999999999</v>
      </c>
      <c r="Q710">
        <f>-(Table4437[[#This Row],[time]]-2)*2</f>
        <v>-1.8268399999999998</v>
      </c>
      <c r="R710">
        <v>70.283299999999997</v>
      </c>
      <c r="S710">
        <v>4.3259800000000004</v>
      </c>
      <c r="T710">
        <f>Table4437[[#This Row],[CFNM]]/Table4437[[#This Row],[CAREA]]</f>
        <v>6.1550610173398239E-2</v>
      </c>
      <c r="U710">
        <v>2.9134199999999999</v>
      </c>
      <c r="V710">
        <f>-(Table5438[[#This Row],[time]]-2)*2</f>
        <v>-1.8268399999999998</v>
      </c>
      <c r="W710">
        <v>82.936800000000005</v>
      </c>
      <c r="X710">
        <v>39.820599999999999</v>
      </c>
      <c r="Y710">
        <f>Table5438[[#This Row],[CFNM]]/Table5438[[#This Row],[CAREA]]</f>
        <v>0.48013185943995906</v>
      </c>
      <c r="Z710">
        <v>2.9134199999999999</v>
      </c>
      <c r="AA710">
        <f>-(Table6439[[#This Row],[time]]-2)*2</f>
        <v>-1.8268399999999998</v>
      </c>
      <c r="AB710">
        <v>68.081599999999995</v>
      </c>
      <c r="AC710">
        <v>0.63402099999999995</v>
      </c>
      <c r="AD710">
        <f>Table6439[[#This Row],[CFNM]]/Table6439[[#This Row],[CAREA]]</f>
        <v>9.3126630396465418E-3</v>
      </c>
      <c r="AE710">
        <v>2.9134199999999999</v>
      </c>
      <c r="AF710">
        <f>-(Table7440[[#This Row],[time]]-2)*2</f>
        <v>-1.8268399999999998</v>
      </c>
      <c r="AG710">
        <v>68.908299999999997</v>
      </c>
      <c r="AH710">
        <v>61.001399999999997</v>
      </c>
      <c r="AI710">
        <f>Table7440[[#This Row],[CFNM]]/Table7440[[#This Row],[CAREA]]</f>
        <v>0.88525475160466882</v>
      </c>
      <c r="AJ710">
        <v>2.9134199999999999</v>
      </c>
      <c r="AK710">
        <f>-(Table8441[[#This Row],[time]]-2)*2</f>
        <v>-1.8268399999999998</v>
      </c>
      <c r="AL710">
        <v>75.916300000000007</v>
      </c>
      <c r="AM710">
        <v>6.9733400000000003</v>
      </c>
      <c r="AN710">
        <f>Table8441[[#This Row],[CFNM]]/Table8441[[#This Row],[CAREA]]</f>
        <v>9.185563574620996E-2</v>
      </c>
    </row>
    <row r="711" spans="1:40" x14ac:dyDescent="0.25">
      <c r="A711">
        <v>2.9619599999999999</v>
      </c>
      <c r="B711">
        <f>-(Table1434[[#This Row],[time]]-2)*2</f>
        <v>-1.9239199999999999</v>
      </c>
      <c r="C711">
        <v>98.079599999999999</v>
      </c>
      <c r="D711">
        <v>28.782699999999998</v>
      </c>
      <c r="E711">
        <f>Table1434[[#This Row],[CFNM]]/Table1434[[#This Row],[CAREA]]</f>
        <v>0.29346265686238521</v>
      </c>
      <c r="F711">
        <v>2.9619599999999999</v>
      </c>
      <c r="G711">
        <f>-(Table2435[[#This Row],[time]]-2)*2</f>
        <v>-1.9239199999999999</v>
      </c>
      <c r="H711">
        <v>82.378100000000003</v>
      </c>
      <c r="I711">
        <v>3.83322E-3</v>
      </c>
      <c r="J711">
        <f>Table2435[[#This Row],[CFNM]]/Table2435[[#This Row],[CAREA]]</f>
        <v>4.653202732279574E-5</v>
      </c>
      <c r="K711">
        <v>2.9619599999999999</v>
      </c>
      <c r="L711">
        <f>-(Table3436[[#This Row],[time]]-2)*2</f>
        <v>-1.9239199999999999</v>
      </c>
      <c r="M711">
        <v>85.890100000000004</v>
      </c>
      <c r="N711">
        <v>33.305</v>
      </c>
      <c r="O711">
        <f>Table3436[[#This Row],[CFNM]]/Table3436[[#This Row],[CAREA]]</f>
        <v>0.38776296686113998</v>
      </c>
      <c r="P711">
        <v>2.9619599999999999</v>
      </c>
      <c r="Q711">
        <f>-(Table4437[[#This Row],[time]]-2)*2</f>
        <v>-1.9239199999999999</v>
      </c>
      <c r="R711">
        <v>69.23</v>
      </c>
      <c r="S711">
        <v>4.1413599999999997</v>
      </c>
      <c r="T711">
        <f>Table4437[[#This Row],[CFNM]]/Table4437[[#This Row],[CAREA]]</f>
        <v>5.9820309114545708E-2</v>
      </c>
      <c r="U711">
        <v>2.9619599999999999</v>
      </c>
      <c r="V711">
        <f>-(Table5438[[#This Row],[time]]-2)*2</f>
        <v>-1.9239199999999999</v>
      </c>
      <c r="W711">
        <v>82.5047</v>
      </c>
      <c r="X711">
        <v>42.891500000000001</v>
      </c>
      <c r="Y711">
        <f>Table5438[[#This Row],[CFNM]]/Table5438[[#This Row],[CAREA]]</f>
        <v>0.51986735301140419</v>
      </c>
      <c r="Z711">
        <v>2.9619599999999999</v>
      </c>
      <c r="AA711">
        <f>-(Table6439[[#This Row],[time]]-2)*2</f>
        <v>-1.9239199999999999</v>
      </c>
      <c r="AB711">
        <v>64.012699999999995</v>
      </c>
      <c r="AC711">
        <v>0.393372</v>
      </c>
      <c r="AD711">
        <f>Table6439[[#This Row],[CFNM]]/Table6439[[#This Row],[CAREA]]</f>
        <v>6.1452180582915582E-3</v>
      </c>
      <c r="AE711">
        <v>2.9619599999999999</v>
      </c>
      <c r="AF711">
        <f>-(Table7440[[#This Row],[time]]-2)*2</f>
        <v>-1.9239199999999999</v>
      </c>
      <c r="AG711">
        <v>67.915499999999994</v>
      </c>
      <c r="AH711">
        <v>64.699600000000004</v>
      </c>
      <c r="AI711">
        <f>Table7440[[#This Row],[CFNM]]/Table7440[[#This Row],[CAREA]]</f>
        <v>0.95264851175357623</v>
      </c>
      <c r="AJ711">
        <v>2.9619599999999999</v>
      </c>
      <c r="AK711">
        <f>-(Table8441[[#This Row],[time]]-2)*2</f>
        <v>-1.9239199999999999</v>
      </c>
      <c r="AL711">
        <v>73.930999999999997</v>
      </c>
      <c r="AM711">
        <v>5.8913900000000003</v>
      </c>
      <c r="AN711">
        <f>Table8441[[#This Row],[CFNM]]/Table8441[[#This Row],[CAREA]]</f>
        <v>7.9687681757314263E-2</v>
      </c>
    </row>
    <row r="712" spans="1:40" x14ac:dyDescent="0.25">
      <c r="A712">
        <v>3</v>
      </c>
      <c r="B712">
        <f>-(Table1434[[#This Row],[time]]-2)*2</f>
        <v>-2</v>
      </c>
      <c r="C712">
        <v>98.592600000000004</v>
      </c>
      <c r="D712">
        <v>29.988199999999999</v>
      </c>
      <c r="E712">
        <f>Table1434[[#This Row],[CFNM]]/Table1434[[#This Row],[CAREA]]</f>
        <v>0.30416278706515498</v>
      </c>
      <c r="F712">
        <v>3</v>
      </c>
      <c r="G712">
        <f>-(Table2435[[#This Row],[time]]-2)*2</f>
        <v>-2</v>
      </c>
      <c r="H712">
        <v>81.582300000000004</v>
      </c>
      <c r="I712">
        <v>3.7134500000000001E-3</v>
      </c>
      <c r="J712">
        <f>Table2435[[#This Row],[CFNM]]/Table2435[[#This Row],[CAREA]]</f>
        <v>4.5517839041066502E-5</v>
      </c>
      <c r="K712">
        <v>3</v>
      </c>
      <c r="L712">
        <f>-(Table3436[[#This Row],[time]]-2)*2</f>
        <v>-2</v>
      </c>
      <c r="M712">
        <v>85.5608</v>
      </c>
      <c r="N712">
        <v>34.805700000000002</v>
      </c>
      <c r="O712">
        <f>Table3436[[#This Row],[CFNM]]/Table3436[[#This Row],[CAREA]]</f>
        <v>0.40679493412871315</v>
      </c>
      <c r="P712">
        <v>3</v>
      </c>
      <c r="Q712">
        <f>-(Table4437[[#This Row],[time]]-2)*2</f>
        <v>-2</v>
      </c>
      <c r="R712">
        <v>67.345600000000005</v>
      </c>
      <c r="S712">
        <v>4.0047899999999998</v>
      </c>
      <c r="T712">
        <f>Table4437[[#This Row],[CFNM]]/Table4437[[#This Row],[CAREA]]</f>
        <v>5.9466245753248909E-2</v>
      </c>
      <c r="U712">
        <v>3</v>
      </c>
      <c r="V712">
        <f>-(Table5438[[#This Row],[time]]-2)*2</f>
        <v>-2</v>
      </c>
      <c r="W712">
        <v>82.249899999999997</v>
      </c>
      <c r="X712">
        <v>44.310499999999998</v>
      </c>
      <c r="Y712">
        <f>Table5438[[#This Row],[CFNM]]/Table5438[[#This Row],[CAREA]]</f>
        <v>0.53873013827372429</v>
      </c>
      <c r="Z712">
        <v>3</v>
      </c>
      <c r="AA712">
        <f>-(Table6439[[#This Row],[time]]-2)*2</f>
        <v>-2</v>
      </c>
      <c r="AB712">
        <v>63.795000000000002</v>
      </c>
      <c r="AC712">
        <v>0.29865799999999998</v>
      </c>
      <c r="AD712">
        <f>Table6439[[#This Row],[CFNM]]/Table6439[[#This Row],[CAREA]]</f>
        <v>4.6815267654204866E-3</v>
      </c>
      <c r="AE712">
        <v>3</v>
      </c>
      <c r="AF712">
        <f>-(Table7440[[#This Row],[time]]-2)*2</f>
        <v>-2</v>
      </c>
      <c r="AG712">
        <v>67.500900000000001</v>
      </c>
      <c r="AH712">
        <v>66.391000000000005</v>
      </c>
      <c r="AI712">
        <f>Table7440[[#This Row],[CFNM]]/Table7440[[#This Row],[CAREA]]</f>
        <v>0.98355725627362012</v>
      </c>
      <c r="AJ712">
        <v>3</v>
      </c>
      <c r="AK712">
        <f>-(Table8441[[#This Row],[time]]-2)*2</f>
        <v>-2</v>
      </c>
      <c r="AL712">
        <v>72.110699999999994</v>
      </c>
      <c r="AM712">
        <v>5.3855000000000004</v>
      </c>
      <c r="AN712">
        <f>Table8441[[#This Row],[CFNM]]/Table8441[[#This Row],[CAREA]]</f>
        <v>7.4683784791993432E-2</v>
      </c>
    </row>
    <row r="714" spans="1:40" x14ac:dyDescent="0.25">
      <c r="A714" t="s">
        <v>71</v>
      </c>
      <c r="E714" t="s">
        <v>1</v>
      </c>
    </row>
    <row r="715" spans="1:40" x14ac:dyDescent="0.25">
      <c r="A715" t="s">
        <v>72</v>
      </c>
      <c r="E715" t="s">
        <v>2</v>
      </c>
      <c r="F715" t="s">
        <v>3</v>
      </c>
    </row>
    <row r="717" spans="1:40" x14ac:dyDescent="0.25">
      <c r="A717" t="s">
        <v>5</v>
      </c>
      <c r="F717" t="s">
        <v>6</v>
      </c>
      <c r="K717" t="s">
        <v>7</v>
      </c>
      <c r="P717" t="s">
        <v>19</v>
      </c>
      <c r="U717" t="s">
        <v>8</v>
      </c>
      <c r="Z717" t="s">
        <v>9</v>
      </c>
      <c r="AE717" t="s">
        <v>10</v>
      </c>
      <c r="AJ717" t="s">
        <v>11</v>
      </c>
    </row>
    <row r="718" spans="1:40" x14ac:dyDescent="0.25">
      <c r="A718" t="s">
        <v>12</v>
      </c>
      <c r="B718" t="s">
        <v>13</v>
      </c>
      <c r="C718" t="s">
        <v>17</v>
      </c>
      <c r="D718" t="s">
        <v>15</v>
      </c>
      <c r="E718" t="s">
        <v>16</v>
      </c>
      <c r="F718" t="s">
        <v>12</v>
      </c>
      <c r="G718" t="s">
        <v>13</v>
      </c>
      <c r="H718" t="s">
        <v>17</v>
      </c>
      <c r="I718" t="s">
        <v>15</v>
      </c>
      <c r="J718" t="s">
        <v>16</v>
      </c>
      <c r="K718" t="s">
        <v>12</v>
      </c>
      <c r="L718" t="s">
        <v>13</v>
      </c>
      <c r="M718" t="s">
        <v>17</v>
      </c>
      <c r="N718" t="s">
        <v>15</v>
      </c>
      <c r="O718" t="s">
        <v>16</v>
      </c>
      <c r="P718" t="s">
        <v>12</v>
      </c>
      <c r="Q718" t="s">
        <v>13</v>
      </c>
      <c r="R718" t="s">
        <v>17</v>
      </c>
      <c r="S718" t="s">
        <v>15</v>
      </c>
      <c r="T718" t="s">
        <v>16</v>
      </c>
      <c r="U718" t="s">
        <v>12</v>
      </c>
      <c r="V718" t="s">
        <v>13</v>
      </c>
      <c r="W718" t="s">
        <v>17</v>
      </c>
      <c r="X718" t="s">
        <v>15</v>
      </c>
      <c r="Y718" t="s">
        <v>16</v>
      </c>
      <c r="Z718" t="s">
        <v>12</v>
      </c>
      <c r="AA718" t="s">
        <v>13</v>
      </c>
      <c r="AB718" t="s">
        <v>17</v>
      </c>
      <c r="AC718" t="s">
        <v>15</v>
      </c>
      <c r="AD718" t="s">
        <v>16</v>
      </c>
      <c r="AE718" t="s">
        <v>12</v>
      </c>
      <c r="AF718" t="s">
        <v>13</v>
      </c>
      <c r="AG718" t="s">
        <v>17</v>
      </c>
      <c r="AH718" t="s">
        <v>15</v>
      </c>
      <c r="AI718" t="s">
        <v>16</v>
      </c>
      <c r="AJ718" t="s">
        <v>12</v>
      </c>
      <c r="AK718" t="s">
        <v>13</v>
      </c>
      <c r="AL718" t="s">
        <v>17</v>
      </c>
      <c r="AM718" t="s">
        <v>15</v>
      </c>
      <c r="AN718" t="s">
        <v>16</v>
      </c>
    </row>
    <row r="719" spans="1:40" x14ac:dyDescent="0.25">
      <c r="A719">
        <v>2</v>
      </c>
      <c r="B719">
        <f>(Table110442[[#This Row],[time]]-2)*2</f>
        <v>0</v>
      </c>
      <c r="C719">
        <v>89.938400000000001</v>
      </c>
      <c r="D719">
        <v>9.7723600000000008</v>
      </c>
      <c r="E719" s="2">
        <f>Table110442[[#This Row],[CFNM]]/Table110442[[#This Row],[CAREA]]</f>
        <v>0.10865614687386034</v>
      </c>
      <c r="F719">
        <v>2</v>
      </c>
      <c r="G719">
        <f>(Table211443[[#This Row],[time]]-2)*2</f>
        <v>0</v>
      </c>
      <c r="H719">
        <v>94.646000000000001</v>
      </c>
      <c r="I719">
        <v>2.6699700000000002</v>
      </c>
      <c r="J719" s="2">
        <f>Table211443[[#This Row],[CFNM]]/Table211443[[#This Row],[CAREA]]</f>
        <v>2.8210066986454792E-2</v>
      </c>
      <c r="K719">
        <v>2</v>
      </c>
      <c r="L719">
        <f>(Table312444[[#This Row],[time]]-2)*2</f>
        <v>0</v>
      </c>
      <c r="M719">
        <v>88.069500000000005</v>
      </c>
      <c r="N719">
        <v>3.05586</v>
      </c>
      <c r="O719">
        <f>Table312444[[#This Row],[CFNM]]/Table312444[[#This Row],[CAREA]]</f>
        <v>3.4698278064483161E-2</v>
      </c>
      <c r="P719">
        <v>2</v>
      </c>
      <c r="Q719">
        <f>(Table413445[[#This Row],[time]]-2)*2</f>
        <v>0</v>
      </c>
      <c r="R719">
        <v>85.109300000000005</v>
      </c>
      <c r="S719">
        <v>5.3593999999999999</v>
      </c>
      <c r="T719">
        <f>Table413445[[#This Row],[CFNM]]/Table413445[[#This Row],[CAREA]]</f>
        <v>6.2970791676115301E-2</v>
      </c>
      <c r="U719">
        <v>2</v>
      </c>
      <c r="V719">
        <f>(Table514446[[#This Row],[time]]-2)*2</f>
        <v>0</v>
      </c>
      <c r="W719">
        <v>82.472200000000001</v>
      </c>
      <c r="X719">
        <v>7.9013</v>
      </c>
      <c r="Y719">
        <f>Table514446[[#This Row],[CFNM]]/Table514446[[#This Row],[CAREA]]</f>
        <v>9.580561692303588E-2</v>
      </c>
      <c r="Z719">
        <v>2</v>
      </c>
      <c r="AA719">
        <f>(Table615447[[#This Row],[time]]-2)*2</f>
        <v>0</v>
      </c>
      <c r="AB719">
        <v>88.875200000000007</v>
      </c>
      <c r="AC719">
        <v>14.234400000000001</v>
      </c>
      <c r="AD719">
        <f>Table615447[[#This Row],[CFNM]]/Table615447[[#This Row],[CAREA]]</f>
        <v>0.16016166489639405</v>
      </c>
      <c r="AE719">
        <v>2</v>
      </c>
      <c r="AF719">
        <f>(Table716448[[#This Row],[time]]-2)*2</f>
        <v>0</v>
      </c>
      <c r="AG719">
        <v>77.929299999999998</v>
      </c>
      <c r="AH719">
        <v>21.065899999999999</v>
      </c>
      <c r="AI719">
        <f>Table716448[[#This Row],[CFNM]]/Table716448[[#This Row],[CAREA]]</f>
        <v>0.27032066244660224</v>
      </c>
      <c r="AJ719">
        <v>2</v>
      </c>
      <c r="AK719">
        <f>(Table817449[[#This Row],[time]]-2)*2</f>
        <v>0</v>
      </c>
      <c r="AL719">
        <v>83.325199999999995</v>
      </c>
      <c r="AM719">
        <v>21.034700000000001</v>
      </c>
      <c r="AN719">
        <f>Table817449[[#This Row],[CFNM]]/Table817449[[#This Row],[CAREA]]</f>
        <v>0.25244103824533276</v>
      </c>
    </row>
    <row r="720" spans="1:40" x14ac:dyDescent="0.25">
      <c r="A720">
        <v>2.0512600000000001</v>
      </c>
      <c r="B720">
        <f>(Table110442[[#This Row],[time]]-2)*2</f>
        <v>0.10252000000000017</v>
      </c>
      <c r="C720">
        <v>89.895200000000003</v>
      </c>
      <c r="D720">
        <v>9.45669</v>
      </c>
      <c r="E720">
        <f>Table110442[[#This Row],[CFNM]]/Table110442[[#This Row],[CAREA]]</f>
        <v>0.10519682919666455</v>
      </c>
      <c r="F720">
        <v>2.0512600000000001</v>
      </c>
      <c r="G720">
        <f>(Table211443[[#This Row],[time]]-2)*2</f>
        <v>0.10252000000000017</v>
      </c>
      <c r="H720">
        <v>94.647900000000007</v>
      </c>
      <c r="I720">
        <v>3.1741700000000002</v>
      </c>
      <c r="J720">
        <f>Table211443[[#This Row],[CFNM]]/Table211443[[#This Row],[CAREA]]</f>
        <v>3.353661306801313E-2</v>
      </c>
      <c r="K720">
        <v>2.0512600000000001</v>
      </c>
      <c r="L720">
        <f>(Table312444[[#This Row],[time]]-2)*2</f>
        <v>0.10252000000000017</v>
      </c>
      <c r="M720">
        <v>87.628500000000003</v>
      </c>
      <c r="N720">
        <v>2.60222</v>
      </c>
      <c r="O720">
        <f>Table312444[[#This Row],[CFNM]]/Table312444[[#This Row],[CAREA]]</f>
        <v>2.9696046377605458E-2</v>
      </c>
      <c r="P720">
        <v>2.0512600000000001</v>
      </c>
      <c r="Q720">
        <f>(Table413445[[#This Row],[time]]-2)*2</f>
        <v>0.10252000000000017</v>
      </c>
      <c r="R720">
        <v>85.261600000000001</v>
      </c>
      <c r="S720">
        <v>6.2819700000000003</v>
      </c>
      <c r="T720">
        <f>Table413445[[#This Row],[CFNM]]/Table413445[[#This Row],[CAREA]]</f>
        <v>7.3678772155343089E-2</v>
      </c>
      <c r="U720">
        <v>2.0512600000000001</v>
      </c>
      <c r="V720">
        <f>(Table514446[[#This Row],[time]]-2)*2</f>
        <v>0.10252000000000017</v>
      </c>
      <c r="W720">
        <v>82.679100000000005</v>
      </c>
      <c r="X720">
        <v>7.2054</v>
      </c>
      <c r="Y720">
        <f>Table514446[[#This Row],[CFNM]]/Table514446[[#This Row],[CAREA]]</f>
        <v>8.714898928507929E-2</v>
      </c>
      <c r="Z720">
        <v>2.0512600000000001</v>
      </c>
      <c r="AA720">
        <f>(Table615447[[#This Row],[time]]-2)*2</f>
        <v>0.10252000000000017</v>
      </c>
      <c r="AB720">
        <v>88.891499999999994</v>
      </c>
      <c r="AC720">
        <v>15.6556</v>
      </c>
      <c r="AD720">
        <f>Table615447[[#This Row],[CFNM]]/Table615447[[#This Row],[CAREA]]</f>
        <v>0.17612032646541009</v>
      </c>
      <c r="AE720">
        <v>2.0512600000000001</v>
      </c>
      <c r="AF720">
        <f>(Table716448[[#This Row],[time]]-2)*2</f>
        <v>0.10252000000000017</v>
      </c>
      <c r="AG720">
        <v>77.741</v>
      </c>
      <c r="AH720">
        <v>20.542899999999999</v>
      </c>
      <c r="AI720">
        <f>Table716448[[#This Row],[CFNM]]/Table716448[[#This Row],[CAREA]]</f>
        <v>0.26424795153136699</v>
      </c>
      <c r="AJ720">
        <v>2.0512600000000001</v>
      </c>
      <c r="AK720">
        <f>(Table817449[[#This Row],[time]]-2)*2</f>
        <v>0.10252000000000017</v>
      </c>
      <c r="AL720">
        <v>83.4786</v>
      </c>
      <c r="AM720">
        <v>22.225000000000001</v>
      </c>
      <c r="AN720">
        <f>Table817449[[#This Row],[CFNM]]/Table817449[[#This Row],[CAREA]]</f>
        <v>0.26623589758333277</v>
      </c>
    </row>
    <row r="721" spans="1:40" x14ac:dyDescent="0.25">
      <c r="A721">
        <v>2.1153300000000002</v>
      </c>
      <c r="B721">
        <f>(Table110442[[#This Row],[time]]-2)*2</f>
        <v>0.23066000000000031</v>
      </c>
      <c r="C721">
        <v>89.859200000000001</v>
      </c>
      <c r="D721">
        <v>8.7270800000000008</v>
      </c>
      <c r="E721">
        <f>Table110442[[#This Row],[CFNM]]/Table110442[[#This Row],[CAREA]]</f>
        <v>9.711949360777751E-2</v>
      </c>
      <c r="F721">
        <v>2.1153300000000002</v>
      </c>
      <c r="G721">
        <f>(Table211443[[#This Row],[time]]-2)*2</f>
        <v>0.23066000000000031</v>
      </c>
      <c r="H721">
        <v>94.517600000000002</v>
      </c>
      <c r="I721">
        <v>3.9910899999999998</v>
      </c>
      <c r="J721">
        <f>Table211443[[#This Row],[CFNM]]/Table211443[[#This Row],[CAREA]]</f>
        <v>4.2225892320583679E-2</v>
      </c>
      <c r="K721">
        <v>2.1153300000000002</v>
      </c>
      <c r="L721">
        <f>(Table312444[[#This Row],[time]]-2)*2</f>
        <v>0.23066000000000031</v>
      </c>
      <c r="M721">
        <v>87.382099999999994</v>
      </c>
      <c r="N721">
        <v>1.87808</v>
      </c>
      <c r="O721">
        <f>Table312444[[#This Row],[CFNM]]/Table312444[[#This Row],[CAREA]]</f>
        <v>2.1492731348868935E-2</v>
      </c>
      <c r="P721">
        <v>2.1153300000000002</v>
      </c>
      <c r="Q721">
        <f>(Table413445[[#This Row],[time]]-2)*2</f>
        <v>0.23066000000000031</v>
      </c>
      <c r="R721">
        <v>86.432100000000005</v>
      </c>
      <c r="S721">
        <v>7.7672999999999996</v>
      </c>
      <c r="T721">
        <f>Table413445[[#This Row],[CFNM]]/Table413445[[#This Row],[CAREA]]</f>
        <v>8.9865917870791054E-2</v>
      </c>
      <c r="U721">
        <v>2.1153300000000002</v>
      </c>
      <c r="V721">
        <f>(Table514446[[#This Row],[time]]-2)*2</f>
        <v>0.23066000000000031</v>
      </c>
      <c r="W721">
        <v>81.918700000000001</v>
      </c>
      <c r="X721">
        <v>6.2566499999999996</v>
      </c>
      <c r="Y721">
        <f>Table514446[[#This Row],[CFNM]]/Table514446[[#This Row],[CAREA]]</f>
        <v>7.6376334097098708E-2</v>
      </c>
      <c r="Z721">
        <v>2.1153300000000002</v>
      </c>
      <c r="AA721">
        <f>(Table615447[[#This Row],[time]]-2)*2</f>
        <v>0.23066000000000031</v>
      </c>
      <c r="AB721">
        <v>89.482299999999995</v>
      </c>
      <c r="AC721">
        <v>18.6172</v>
      </c>
      <c r="AD721">
        <f>Table615447[[#This Row],[CFNM]]/Table615447[[#This Row],[CAREA]]</f>
        <v>0.20805455380561297</v>
      </c>
      <c r="AE721">
        <v>2.1153300000000002</v>
      </c>
      <c r="AF721">
        <f>(Table716448[[#This Row],[time]]-2)*2</f>
        <v>0.23066000000000031</v>
      </c>
      <c r="AG721">
        <v>77.5137</v>
      </c>
      <c r="AH721">
        <v>20.109400000000001</v>
      </c>
      <c r="AI721">
        <f>Table716448[[#This Row],[CFNM]]/Table716448[[#This Row],[CAREA]]</f>
        <v>0.25943026845576977</v>
      </c>
      <c r="AJ721">
        <v>2.1153300000000002</v>
      </c>
      <c r="AK721">
        <f>(Table817449[[#This Row],[time]]-2)*2</f>
        <v>0.23066000000000031</v>
      </c>
      <c r="AL721">
        <v>83.711399999999998</v>
      </c>
      <c r="AM721">
        <v>23.956099999999999</v>
      </c>
      <c r="AN721">
        <f>Table817449[[#This Row],[CFNM]]/Table817449[[#This Row],[CAREA]]</f>
        <v>0.28617488179626671</v>
      </c>
    </row>
    <row r="722" spans="1:40" x14ac:dyDescent="0.25">
      <c r="A722">
        <v>2.16533</v>
      </c>
      <c r="B722">
        <f>(Table110442[[#This Row],[time]]-2)*2</f>
        <v>0.33065999999999995</v>
      </c>
      <c r="C722">
        <v>89.802199999999999</v>
      </c>
      <c r="D722">
        <v>8.1762200000000007</v>
      </c>
      <c r="E722">
        <f>Table110442[[#This Row],[CFNM]]/Table110442[[#This Row],[CAREA]]</f>
        <v>9.104698994011283E-2</v>
      </c>
      <c r="F722">
        <v>2.16533</v>
      </c>
      <c r="G722">
        <f>(Table211443[[#This Row],[time]]-2)*2</f>
        <v>0.33065999999999995</v>
      </c>
      <c r="H722">
        <v>94.413300000000007</v>
      </c>
      <c r="I722">
        <v>4.5976800000000004</v>
      </c>
      <c r="J722">
        <f>Table211443[[#This Row],[CFNM]]/Table211443[[#This Row],[CAREA]]</f>
        <v>4.8697376323039235E-2</v>
      </c>
      <c r="K722">
        <v>2.16533</v>
      </c>
      <c r="L722">
        <f>(Table312444[[#This Row],[time]]-2)*2</f>
        <v>0.33065999999999995</v>
      </c>
      <c r="M722">
        <v>87.184899999999999</v>
      </c>
      <c r="N722">
        <v>1.40795</v>
      </c>
      <c r="O722">
        <f>Table312444[[#This Row],[CFNM]]/Table312444[[#This Row],[CAREA]]</f>
        <v>1.614901204222291E-2</v>
      </c>
      <c r="P722">
        <v>2.16533</v>
      </c>
      <c r="Q722">
        <f>(Table413445[[#This Row],[time]]-2)*2</f>
        <v>0.33065999999999995</v>
      </c>
      <c r="R722">
        <v>86.936800000000005</v>
      </c>
      <c r="S722">
        <v>9.0236900000000002</v>
      </c>
      <c r="T722">
        <f>Table413445[[#This Row],[CFNM]]/Table413445[[#This Row],[CAREA]]</f>
        <v>0.10379597592734031</v>
      </c>
      <c r="U722">
        <v>2.16533</v>
      </c>
      <c r="V722">
        <f>(Table514446[[#This Row],[time]]-2)*2</f>
        <v>0.33065999999999995</v>
      </c>
      <c r="W722">
        <v>81.351900000000001</v>
      </c>
      <c r="X722">
        <v>5.6411699999999998</v>
      </c>
      <c r="Y722">
        <f>Table514446[[#This Row],[CFNM]]/Table514446[[#This Row],[CAREA]]</f>
        <v>6.9342818053419769E-2</v>
      </c>
      <c r="Z722">
        <v>2.16533</v>
      </c>
      <c r="AA722">
        <f>(Table615447[[#This Row],[time]]-2)*2</f>
        <v>0.33065999999999995</v>
      </c>
      <c r="AB722">
        <v>89.481300000000005</v>
      </c>
      <c r="AC722">
        <v>21.186299999999999</v>
      </c>
      <c r="AD722">
        <f>Table615447[[#This Row],[CFNM]]/Table615447[[#This Row],[CAREA]]</f>
        <v>0.23676790569649747</v>
      </c>
      <c r="AE722">
        <v>2.16533</v>
      </c>
      <c r="AF722">
        <f>(Table716448[[#This Row],[time]]-2)*2</f>
        <v>0.33065999999999995</v>
      </c>
      <c r="AG722">
        <v>77.368200000000002</v>
      </c>
      <c r="AH722">
        <v>19.827200000000001</v>
      </c>
      <c r="AI722">
        <f>Table716448[[#This Row],[CFNM]]/Table716448[[#This Row],[CAREA]]</f>
        <v>0.25627066417468675</v>
      </c>
      <c r="AJ722">
        <v>2.16533</v>
      </c>
      <c r="AK722">
        <f>(Table817449[[#This Row],[time]]-2)*2</f>
        <v>0.33065999999999995</v>
      </c>
      <c r="AL722">
        <v>83.917699999999996</v>
      </c>
      <c r="AM722">
        <v>25.6447</v>
      </c>
      <c r="AN722">
        <f>Table817449[[#This Row],[CFNM]]/Table817449[[#This Row],[CAREA]]</f>
        <v>0.30559345644601799</v>
      </c>
    </row>
    <row r="723" spans="1:40" x14ac:dyDescent="0.25">
      <c r="A723">
        <v>2.2246999999999999</v>
      </c>
      <c r="B723">
        <f>(Table110442[[#This Row],[time]]-2)*2</f>
        <v>0.4493999999999998</v>
      </c>
      <c r="C723">
        <v>89.687299999999993</v>
      </c>
      <c r="D723">
        <v>7.5145900000000001</v>
      </c>
      <c r="E723">
        <f>Table110442[[#This Row],[CFNM]]/Table110442[[#This Row],[CAREA]]</f>
        <v>8.3786556179079985E-2</v>
      </c>
      <c r="F723">
        <v>2.2246999999999999</v>
      </c>
      <c r="G723">
        <f>(Table211443[[#This Row],[time]]-2)*2</f>
        <v>0.4493999999999998</v>
      </c>
      <c r="H723">
        <v>94.181100000000001</v>
      </c>
      <c r="I723">
        <v>5.2918399999999997</v>
      </c>
      <c r="J723">
        <f>Table211443[[#This Row],[CFNM]]/Table211443[[#This Row],[CAREA]]</f>
        <v>5.6187918807488975E-2</v>
      </c>
      <c r="K723">
        <v>2.2246999999999999</v>
      </c>
      <c r="L723">
        <f>(Table312444[[#This Row],[time]]-2)*2</f>
        <v>0.4493999999999998</v>
      </c>
      <c r="M723">
        <v>85.817599999999999</v>
      </c>
      <c r="N723">
        <v>1.0110300000000001</v>
      </c>
      <c r="O723">
        <f>Table312444[[#This Row],[CFNM]]/Table312444[[#This Row],[CAREA]]</f>
        <v>1.1781149787456188E-2</v>
      </c>
      <c r="P723">
        <v>2.2246999999999999</v>
      </c>
      <c r="Q723">
        <f>(Table413445[[#This Row],[time]]-2)*2</f>
        <v>0.4493999999999998</v>
      </c>
      <c r="R723">
        <v>87.765900000000002</v>
      </c>
      <c r="S723">
        <v>10.48</v>
      </c>
      <c r="T723">
        <f>Table413445[[#This Row],[CFNM]]/Table413445[[#This Row],[CAREA]]</f>
        <v>0.119408563006817</v>
      </c>
      <c r="U723">
        <v>2.2246999999999999</v>
      </c>
      <c r="V723">
        <f>(Table514446[[#This Row],[time]]-2)*2</f>
        <v>0.4493999999999998</v>
      </c>
      <c r="W723">
        <v>80.989900000000006</v>
      </c>
      <c r="X723">
        <v>4.8501200000000004</v>
      </c>
      <c r="Y723">
        <f>Table514446[[#This Row],[CFNM]]/Table514446[[#This Row],[CAREA]]</f>
        <v>5.9885491894668345E-2</v>
      </c>
      <c r="Z723">
        <v>2.2246999999999999</v>
      </c>
      <c r="AA723">
        <f>(Table615447[[#This Row],[time]]-2)*2</f>
        <v>0.4493999999999998</v>
      </c>
      <c r="AB723">
        <v>91.828199999999995</v>
      </c>
      <c r="AC723">
        <v>24.264700000000001</v>
      </c>
      <c r="AD723">
        <f>Table615447[[#This Row],[CFNM]]/Table615447[[#This Row],[CAREA]]</f>
        <v>0.26424017894285201</v>
      </c>
      <c r="AE723">
        <v>2.2246999999999999</v>
      </c>
      <c r="AF723">
        <f>(Table716448[[#This Row],[time]]-2)*2</f>
        <v>0.4493999999999998</v>
      </c>
      <c r="AG723">
        <v>77.466499999999996</v>
      </c>
      <c r="AH723">
        <v>19.492100000000001</v>
      </c>
      <c r="AI723">
        <f>Table716448[[#This Row],[CFNM]]/Table716448[[#This Row],[CAREA]]</f>
        <v>0.25161973240045699</v>
      </c>
      <c r="AJ723">
        <v>2.2246999999999999</v>
      </c>
      <c r="AK723">
        <f>(Table817449[[#This Row],[time]]-2)*2</f>
        <v>0.4493999999999998</v>
      </c>
      <c r="AL723">
        <v>83.9315</v>
      </c>
      <c r="AM723">
        <v>28.048500000000001</v>
      </c>
      <c r="AN723">
        <f>Table817449[[#This Row],[CFNM]]/Table817449[[#This Row],[CAREA]]</f>
        <v>0.33418323275528261</v>
      </c>
    </row>
    <row r="724" spans="1:40" x14ac:dyDescent="0.25">
      <c r="A724">
        <v>2.2668900000000001</v>
      </c>
      <c r="B724">
        <f>(Table110442[[#This Row],[time]]-2)*2</f>
        <v>0.53378000000000014</v>
      </c>
      <c r="C724">
        <v>89.606899999999996</v>
      </c>
      <c r="D724">
        <v>7.1883800000000004</v>
      </c>
      <c r="E724">
        <f>Table110442[[#This Row],[CFNM]]/Table110442[[#This Row],[CAREA]]</f>
        <v>8.0221277602506066E-2</v>
      </c>
      <c r="F724">
        <v>2.2668900000000001</v>
      </c>
      <c r="G724">
        <f>(Table211443[[#This Row],[time]]-2)*2</f>
        <v>0.53378000000000014</v>
      </c>
      <c r="H724">
        <v>94.182199999999995</v>
      </c>
      <c r="I724">
        <v>5.6475600000000004</v>
      </c>
      <c r="J724">
        <f>Table211443[[#This Row],[CFNM]]/Table211443[[#This Row],[CAREA]]</f>
        <v>5.9964197056343989E-2</v>
      </c>
      <c r="K724">
        <v>2.2668900000000001</v>
      </c>
      <c r="L724">
        <f>(Table312444[[#This Row],[time]]-2)*2</f>
        <v>0.53378000000000014</v>
      </c>
      <c r="M724">
        <v>85.689599999999999</v>
      </c>
      <c r="N724">
        <v>1.0088999999999999</v>
      </c>
      <c r="O724">
        <f>Table312444[[#This Row],[CFNM]]/Table312444[[#This Row],[CAREA]]</f>
        <v>1.1773890880573604E-2</v>
      </c>
      <c r="P724">
        <v>2.2668900000000001</v>
      </c>
      <c r="Q724">
        <f>(Table413445[[#This Row],[time]]-2)*2</f>
        <v>0.53378000000000014</v>
      </c>
      <c r="R724">
        <v>88.064400000000006</v>
      </c>
      <c r="S724">
        <v>11.1129</v>
      </c>
      <c r="T724">
        <f>Table413445[[#This Row],[CFNM]]/Table413445[[#This Row],[CAREA]]</f>
        <v>0.12619060596563422</v>
      </c>
      <c r="U724">
        <v>2.2668900000000001</v>
      </c>
      <c r="V724">
        <f>(Table514446[[#This Row],[time]]-2)*2</f>
        <v>0.53378000000000014</v>
      </c>
      <c r="W724">
        <v>80.337299999999999</v>
      </c>
      <c r="X724">
        <v>4.5532300000000001</v>
      </c>
      <c r="Y724">
        <f>Table514446[[#This Row],[CFNM]]/Table514446[[#This Row],[CAREA]]</f>
        <v>5.6676413073379367E-2</v>
      </c>
      <c r="Z724">
        <v>2.2668900000000001</v>
      </c>
      <c r="AA724">
        <f>(Table615447[[#This Row],[time]]-2)*2</f>
        <v>0.53378000000000014</v>
      </c>
      <c r="AB724">
        <v>92.505300000000005</v>
      </c>
      <c r="AC724">
        <v>25.743500000000001</v>
      </c>
      <c r="AD724">
        <f>Table615447[[#This Row],[CFNM]]/Table615447[[#This Row],[CAREA]]</f>
        <v>0.27829216271932528</v>
      </c>
      <c r="AE724">
        <v>2.2668900000000001</v>
      </c>
      <c r="AF724">
        <f>(Table716448[[#This Row],[time]]-2)*2</f>
        <v>0.53378000000000014</v>
      </c>
      <c r="AG724">
        <v>77.349000000000004</v>
      </c>
      <c r="AH724">
        <v>19.321100000000001</v>
      </c>
      <c r="AI724">
        <f>Table716448[[#This Row],[CFNM]]/Table716448[[#This Row],[CAREA]]</f>
        <v>0.24979120609186933</v>
      </c>
      <c r="AJ724">
        <v>2.2668900000000001</v>
      </c>
      <c r="AK724">
        <f>(Table817449[[#This Row],[time]]-2)*2</f>
        <v>0.53378000000000014</v>
      </c>
      <c r="AL724">
        <v>83.812200000000004</v>
      </c>
      <c r="AM724">
        <v>29.238</v>
      </c>
      <c r="AN724">
        <f>Table817449[[#This Row],[CFNM]]/Table817449[[#This Row],[CAREA]]</f>
        <v>0.34885136054178267</v>
      </c>
    </row>
    <row r="725" spans="1:40" x14ac:dyDescent="0.25">
      <c r="A725">
        <v>2.3262700000000001</v>
      </c>
      <c r="B725">
        <f>(Table110442[[#This Row],[time]]-2)*2</f>
        <v>0.65254000000000012</v>
      </c>
      <c r="C725">
        <v>89.304699999999997</v>
      </c>
      <c r="D725">
        <v>6.54223</v>
      </c>
      <c r="E725">
        <f>Table110442[[#This Row],[CFNM]]/Table110442[[#This Row],[CAREA]]</f>
        <v>7.3257398546773017E-2</v>
      </c>
      <c r="F725">
        <v>2.3262700000000001</v>
      </c>
      <c r="G725">
        <f>(Table211443[[#This Row],[time]]-2)*2</f>
        <v>0.65254000000000012</v>
      </c>
      <c r="H725">
        <v>94.3994</v>
      </c>
      <c r="I725">
        <v>6.3565199999999997</v>
      </c>
      <c r="J725">
        <f>Table211443[[#This Row],[CFNM]]/Table211443[[#This Row],[CAREA]]</f>
        <v>6.7336444935031367E-2</v>
      </c>
      <c r="K725">
        <v>2.3262700000000001</v>
      </c>
      <c r="L725">
        <f>(Table312444[[#This Row],[time]]-2)*2</f>
        <v>0.65254000000000012</v>
      </c>
      <c r="M725">
        <v>84.626099999999994</v>
      </c>
      <c r="N725">
        <v>1.08815</v>
      </c>
      <c r="O725">
        <f>Table312444[[#This Row],[CFNM]]/Table312444[[#This Row],[CAREA]]</f>
        <v>1.2858326213780382E-2</v>
      </c>
      <c r="P725">
        <v>2.3262700000000001</v>
      </c>
      <c r="Q725">
        <f>(Table413445[[#This Row],[time]]-2)*2</f>
        <v>0.65254000000000012</v>
      </c>
      <c r="R725">
        <v>88.861400000000003</v>
      </c>
      <c r="S725">
        <v>12.640599999999999</v>
      </c>
      <c r="T725">
        <f>Table413445[[#This Row],[CFNM]]/Table413445[[#This Row],[CAREA]]</f>
        <v>0.14225074104166713</v>
      </c>
      <c r="U725">
        <v>2.3262700000000001</v>
      </c>
      <c r="V725">
        <f>(Table514446[[#This Row],[time]]-2)*2</f>
        <v>0.65254000000000012</v>
      </c>
      <c r="W725">
        <v>78.1417</v>
      </c>
      <c r="X725">
        <v>4.1974099999999996</v>
      </c>
      <c r="Y725">
        <f>Table514446[[#This Row],[CFNM]]/Table514446[[#This Row],[CAREA]]</f>
        <v>5.3715365803405857E-2</v>
      </c>
      <c r="Z725">
        <v>2.3262700000000001</v>
      </c>
      <c r="AA725">
        <f>(Table615447[[#This Row],[time]]-2)*2</f>
        <v>0.65254000000000012</v>
      </c>
      <c r="AB725">
        <v>92.403800000000004</v>
      </c>
      <c r="AC725">
        <v>29.295200000000001</v>
      </c>
      <c r="AD725">
        <f>Table615447[[#This Row],[CFNM]]/Table615447[[#This Row],[CAREA]]</f>
        <v>0.31703458082892694</v>
      </c>
      <c r="AE725">
        <v>2.3262700000000001</v>
      </c>
      <c r="AF725">
        <f>(Table716448[[#This Row],[time]]-2)*2</f>
        <v>0.65254000000000012</v>
      </c>
      <c r="AG725">
        <v>76.612700000000004</v>
      </c>
      <c r="AH725">
        <v>18.9908</v>
      </c>
      <c r="AI725">
        <f>Table716448[[#This Row],[CFNM]]/Table716448[[#This Row],[CAREA]]</f>
        <v>0.24788057332531027</v>
      </c>
      <c r="AJ725">
        <v>2.3262700000000001</v>
      </c>
      <c r="AK725">
        <f>(Table817449[[#This Row],[time]]-2)*2</f>
        <v>0.65254000000000012</v>
      </c>
      <c r="AL725">
        <v>83.355099999999993</v>
      </c>
      <c r="AM725">
        <v>32.494300000000003</v>
      </c>
      <c r="AN725">
        <f>Table817449[[#This Row],[CFNM]]/Table817449[[#This Row],[CAREA]]</f>
        <v>0.38982977646238809</v>
      </c>
    </row>
    <row r="726" spans="1:40" x14ac:dyDescent="0.25">
      <c r="A726">
        <v>2.3684599999999998</v>
      </c>
      <c r="B726">
        <f>(Table110442[[#This Row],[time]]-2)*2</f>
        <v>0.73691999999999958</v>
      </c>
      <c r="C726">
        <v>89.060199999999995</v>
      </c>
      <c r="D726">
        <v>6.2487599999999999</v>
      </c>
      <c r="E726">
        <f>Table110442[[#This Row],[CFNM]]/Table110442[[#This Row],[CAREA]]</f>
        <v>7.0163327726638844E-2</v>
      </c>
      <c r="F726">
        <v>2.3684599999999998</v>
      </c>
      <c r="G726">
        <f>(Table211443[[#This Row],[time]]-2)*2</f>
        <v>0.73691999999999958</v>
      </c>
      <c r="H726">
        <v>94.453100000000006</v>
      </c>
      <c r="I726">
        <v>6.69306</v>
      </c>
      <c r="J726">
        <f>Table211443[[#This Row],[CFNM]]/Table211443[[#This Row],[CAREA]]</f>
        <v>7.0861199897091776E-2</v>
      </c>
      <c r="K726">
        <v>2.3684599999999998</v>
      </c>
      <c r="L726">
        <f>(Table312444[[#This Row],[time]]-2)*2</f>
        <v>0.73691999999999958</v>
      </c>
      <c r="M726">
        <v>84.5291</v>
      </c>
      <c r="N726">
        <v>1.18208</v>
      </c>
      <c r="O726">
        <f>Table312444[[#This Row],[CFNM]]/Table312444[[#This Row],[CAREA]]</f>
        <v>1.3984296532200154E-2</v>
      </c>
      <c r="P726">
        <v>2.3684599999999998</v>
      </c>
      <c r="Q726">
        <f>(Table413445[[#This Row],[time]]-2)*2</f>
        <v>0.73691999999999958</v>
      </c>
      <c r="R726">
        <v>89.342799999999997</v>
      </c>
      <c r="S726">
        <v>13.6068</v>
      </c>
      <c r="T726">
        <f>Table413445[[#This Row],[CFNM]]/Table413445[[#This Row],[CAREA]]</f>
        <v>0.15229878624802445</v>
      </c>
      <c r="U726">
        <v>2.3684599999999998</v>
      </c>
      <c r="V726">
        <f>(Table514446[[#This Row],[time]]-2)*2</f>
        <v>0.73691999999999958</v>
      </c>
      <c r="W726">
        <v>76.742000000000004</v>
      </c>
      <c r="X726">
        <v>4.1085000000000003</v>
      </c>
      <c r="Y726">
        <f>Table514446[[#This Row],[CFNM]]/Table514446[[#This Row],[CAREA]]</f>
        <v>5.3536524979802456E-2</v>
      </c>
      <c r="Z726">
        <v>2.3684599999999998</v>
      </c>
      <c r="AA726">
        <f>(Table615447[[#This Row],[time]]-2)*2</f>
        <v>0.73691999999999958</v>
      </c>
      <c r="AB726">
        <v>93.197500000000005</v>
      </c>
      <c r="AC726">
        <v>31.248200000000001</v>
      </c>
      <c r="AD726">
        <f>Table615447[[#This Row],[CFNM]]/Table615447[[#This Row],[CAREA]]</f>
        <v>0.33529010971324336</v>
      </c>
      <c r="AE726">
        <v>2.3684599999999998</v>
      </c>
      <c r="AF726">
        <f>(Table716448[[#This Row],[time]]-2)*2</f>
        <v>0.73691999999999958</v>
      </c>
      <c r="AG726">
        <v>76.628500000000003</v>
      </c>
      <c r="AH726">
        <v>18.692699999999999</v>
      </c>
      <c r="AI726">
        <f>Table716448[[#This Row],[CFNM]]/Table716448[[#This Row],[CAREA]]</f>
        <v>0.24393926541691405</v>
      </c>
      <c r="AJ726">
        <v>2.3684599999999998</v>
      </c>
      <c r="AK726">
        <f>(Table817449[[#This Row],[time]]-2)*2</f>
        <v>0.73691999999999958</v>
      </c>
      <c r="AL726">
        <v>82.919499999999999</v>
      </c>
      <c r="AM726">
        <v>34.5017</v>
      </c>
      <c r="AN726">
        <f>Table817449[[#This Row],[CFNM]]/Table817449[[#This Row],[CAREA]]</f>
        <v>0.41608668648508496</v>
      </c>
    </row>
    <row r="727" spans="1:40" x14ac:dyDescent="0.25">
      <c r="A727">
        <v>2.4278300000000002</v>
      </c>
      <c r="B727">
        <f>(Table110442[[#This Row],[time]]-2)*2</f>
        <v>0.85566000000000031</v>
      </c>
      <c r="C727">
        <v>88.976699999999994</v>
      </c>
      <c r="D727">
        <v>5.9506600000000001</v>
      </c>
      <c r="E727">
        <f>Table110442[[#This Row],[CFNM]]/Table110442[[#This Row],[CAREA]]</f>
        <v>6.6878857049092633E-2</v>
      </c>
      <c r="F727">
        <v>2.4278300000000002</v>
      </c>
      <c r="G727">
        <f>(Table211443[[#This Row],[time]]-2)*2</f>
        <v>0.85566000000000031</v>
      </c>
      <c r="H727">
        <v>94.905600000000007</v>
      </c>
      <c r="I727">
        <v>7.1405599999999998</v>
      </c>
      <c r="J727">
        <f>Table211443[[#This Row],[CFNM]]/Table211443[[#This Row],[CAREA]]</f>
        <v>7.5238552835659847E-2</v>
      </c>
      <c r="K727">
        <v>2.4278300000000002</v>
      </c>
      <c r="L727">
        <f>(Table312444[[#This Row],[time]]-2)*2</f>
        <v>0.85566000000000031</v>
      </c>
      <c r="M727">
        <v>83.851100000000002</v>
      </c>
      <c r="N727">
        <v>1.2975300000000001</v>
      </c>
      <c r="O727">
        <f>Table312444[[#This Row],[CFNM]]/Table312444[[#This Row],[CAREA]]</f>
        <v>1.5474215603611641E-2</v>
      </c>
      <c r="P727">
        <v>2.4278300000000002</v>
      </c>
      <c r="Q727">
        <f>(Table413445[[#This Row],[time]]-2)*2</f>
        <v>0.85566000000000031</v>
      </c>
      <c r="R727">
        <v>89.991399999999999</v>
      </c>
      <c r="S727">
        <v>14.962400000000001</v>
      </c>
      <c r="T727">
        <f>Table413445[[#This Row],[CFNM]]/Table413445[[#This Row],[CAREA]]</f>
        <v>0.16626477641196827</v>
      </c>
      <c r="U727">
        <v>2.4278300000000002</v>
      </c>
      <c r="V727">
        <f>(Table514446[[#This Row],[time]]-2)*2</f>
        <v>0.85566000000000031</v>
      </c>
      <c r="W727">
        <v>74.963200000000001</v>
      </c>
      <c r="X727">
        <v>4.0160999999999998</v>
      </c>
      <c r="Y727">
        <f>Table514446[[#This Row],[CFNM]]/Table514446[[#This Row],[CAREA]]</f>
        <v>5.3574287116878679E-2</v>
      </c>
      <c r="Z727">
        <v>2.4278300000000002</v>
      </c>
      <c r="AA727">
        <f>(Table615447[[#This Row],[time]]-2)*2</f>
        <v>0.85566000000000031</v>
      </c>
      <c r="AB727">
        <v>93.474599999999995</v>
      </c>
      <c r="AC727">
        <v>33.646000000000001</v>
      </c>
      <c r="AD727">
        <f>Table615447[[#This Row],[CFNM]]/Table615447[[#This Row],[CAREA]]</f>
        <v>0.3599480500585186</v>
      </c>
      <c r="AE727">
        <v>2.4278300000000002</v>
      </c>
      <c r="AF727">
        <f>(Table716448[[#This Row],[time]]-2)*2</f>
        <v>0.85566000000000031</v>
      </c>
      <c r="AG727">
        <v>76.423900000000003</v>
      </c>
      <c r="AH727">
        <v>18.513300000000001</v>
      </c>
      <c r="AI727">
        <f>Table716448[[#This Row],[CFNM]]/Table716448[[#This Row],[CAREA]]</f>
        <v>0.24224489982845682</v>
      </c>
      <c r="AJ727">
        <v>2.4278300000000002</v>
      </c>
      <c r="AK727">
        <f>(Table817449[[#This Row],[time]]-2)*2</f>
        <v>0.85566000000000031</v>
      </c>
      <c r="AL727">
        <v>82.352400000000003</v>
      </c>
      <c r="AM727">
        <v>37.189300000000003</v>
      </c>
      <c r="AN727">
        <f>Table817449[[#This Row],[CFNM]]/Table817449[[#This Row],[CAREA]]</f>
        <v>0.45158732471670532</v>
      </c>
    </row>
    <row r="728" spans="1:40" x14ac:dyDescent="0.25">
      <c r="A728">
        <v>2.4542000000000002</v>
      </c>
      <c r="B728">
        <f>(Table110442[[#This Row],[time]]-2)*2</f>
        <v>0.90840000000000032</v>
      </c>
      <c r="C728">
        <v>88.201700000000002</v>
      </c>
      <c r="D728">
        <v>5.7443799999999996</v>
      </c>
      <c r="E728">
        <f>Table110442[[#This Row],[CFNM]]/Table110442[[#This Row],[CAREA]]</f>
        <v>6.5127769646163278E-2</v>
      </c>
      <c r="F728">
        <v>2.4542000000000002</v>
      </c>
      <c r="G728">
        <f>(Table211443[[#This Row],[time]]-2)*2</f>
        <v>0.90840000000000032</v>
      </c>
      <c r="H728">
        <v>95.290800000000004</v>
      </c>
      <c r="I728">
        <v>7.6682100000000002</v>
      </c>
      <c r="J728">
        <f>Table211443[[#This Row],[CFNM]]/Table211443[[#This Row],[CAREA]]</f>
        <v>8.0471671976728082E-2</v>
      </c>
      <c r="K728">
        <v>2.4542000000000002</v>
      </c>
      <c r="L728">
        <f>(Table312444[[#This Row],[time]]-2)*2</f>
        <v>0.90840000000000032</v>
      </c>
      <c r="M728">
        <v>83.272900000000007</v>
      </c>
      <c r="N728">
        <v>1.4029499999999999</v>
      </c>
      <c r="O728">
        <f>Table312444[[#This Row],[CFNM]]/Table312444[[#This Row],[CAREA]]</f>
        <v>1.6847617892495635E-2</v>
      </c>
      <c r="P728">
        <v>2.4542000000000002</v>
      </c>
      <c r="Q728">
        <f>(Table413445[[#This Row],[time]]-2)*2</f>
        <v>0.90840000000000032</v>
      </c>
      <c r="R728">
        <v>90.278599999999997</v>
      </c>
      <c r="S728">
        <v>16.649100000000001</v>
      </c>
      <c r="T728">
        <f>Table413445[[#This Row],[CFNM]]/Table413445[[#This Row],[CAREA]]</f>
        <v>0.18441912036739605</v>
      </c>
      <c r="U728">
        <v>2.4542000000000002</v>
      </c>
      <c r="V728">
        <f>(Table514446[[#This Row],[time]]-2)*2</f>
        <v>0.90840000000000032</v>
      </c>
      <c r="W728">
        <v>73.500900000000001</v>
      </c>
      <c r="X728">
        <v>3.92075</v>
      </c>
      <c r="Y728">
        <f>Table514446[[#This Row],[CFNM]]/Table514446[[#This Row],[CAREA]]</f>
        <v>5.3342884236791656E-2</v>
      </c>
      <c r="Z728">
        <v>2.4542000000000002</v>
      </c>
      <c r="AA728">
        <f>(Table615447[[#This Row],[time]]-2)*2</f>
        <v>0.90840000000000032</v>
      </c>
      <c r="AB728">
        <v>94.224699999999999</v>
      </c>
      <c r="AC728">
        <v>36.3825</v>
      </c>
      <c r="AD728">
        <f>Table615447[[#This Row],[CFNM]]/Table615447[[#This Row],[CAREA]]</f>
        <v>0.38612486959364162</v>
      </c>
      <c r="AE728">
        <v>2.4542000000000002</v>
      </c>
      <c r="AF728">
        <f>(Table716448[[#This Row],[time]]-2)*2</f>
        <v>0.90840000000000032</v>
      </c>
      <c r="AG728">
        <v>76.361500000000007</v>
      </c>
      <c r="AH728">
        <v>18.272099999999998</v>
      </c>
      <c r="AI728">
        <f>Table716448[[#This Row],[CFNM]]/Table716448[[#This Row],[CAREA]]</f>
        <v>0.23928419426019651</v>
      </c>
      <c r="AJ728">
        <v>2.4542000000000002</v>
      </c>
      <c r="AK728">
        <f>(Table817449[[#This Row],[time]]-2)*2</f>
        <v>0.90840000000000032</v>
      </c>
      <c r="AL728">
        <v>81.895300000000006</v>
      </c>
      <c r="AM728">
        <v>40.3476</v>
      </c>
      <c r="AN728">
        <f>Table817449[[#This Row],[CFNM]]/Table817449[[#This Row],[CAREA]]</f>
        <v>0.4926729616962145</v>
      </c>
    </row>
    <row r="729" spans="1:40" x14ac:dyDescent="0.25">
      <c r="A729">
        <v>2.5061499999999999</v>
      </c>
      <c r="B729">
        <f>(Table110442[[#This Row],[time]]-2)*2</f>
        <v>1.0122999999999998</v>
      </c>
      <c r="C729">
        <v>87.543899999999994</v>
      </c>
      <c r="D729">
        <v>5.6296299999999997</v>
      </c>
      <c r="E729">
        <f>Table110442[[#This Row],[CFNM]]/Table110442[[#This Row],[CAREA]]</f>
        <v>6.430636514937077E-2</v>
      </c>
      <c r="F729">
        <v>2.5061499999999999</v>
      </c>
      <c r="G729">
        <f>(Table211443[[#This Row],[time]]-2)*2</f>
        <v>1.0122999999999998</v>
      </c>
      <c r="H729">
        <v>96.249399999999994</v>
      </c>
      <c r="I729">
        <v>8.2860300000000002</v>
      </c>
      <c r="J729">
        <f>Table211443[[#This Row],[CFNM]]/Table211443[[#This Row],[CAREA]]</f>
        <v>8.6089160036322318E-2</v>
      </c>
      <c r="K729">
        <v>2.5061499999999999</v>
      </c>
      <c r="L729">
        <f>(Table312444[[#This Row],[time]]-2)*2</f>
        <v>1.0122999999999998</v>
      </c>
      <c r="M729">
        <v>81.717100000000002</v>
      </c>
      <c r="N729">
        <v>1.55497</v>
      </c>
      <c r="O729">
        <f>Table312444[[#This Row],[CFNM]]/Table312444[[#This Row],[CAREA]]</f>
        <v>1.9028697787855906E-2</v>
      </c>
      <c r="P729">
        <v>2.5061499999999999</v>
      </c>
      <c r="Q729">
        <f>(Table413445[[#This Row],[time]]-2)*2</f>
        <v>1.0122999999999998</v>
      </c>
      <c r="R729">
        <v>90.388999999999996</v>
      </c>
      <c r="S729">
        <v>18.4589</v>
      </c>
      <c r="T729">
        <f>Table413445[[#This Row],[CFNM]]/Table413445[[#This Row],[CAREA]]</f>
        <v>0.20421622100034298</v>
      </c>
      <c r="U729">
        <v>2.5061499999999999</v>
      </c>
      <c r="V729">
        <f>(Table514446[[#This Row],[time]]-2)*2</f>
        <v>1.0122999999999998</v>
      </c>
      <c r="W729">
        <v>71.807000000000002</v>
      </c>
      <c r="X729">
        <v>3.7242899999999999</v>
      </c>
      <c r="Y729">
        <f>Table514446[[#This Row],[CFNM]]/Table514446[[#This Row],[CAREA]]</f>
        <v>5.1865277758435802E-2</v>
      </c>
      <c r="Z729">
        <v>2.5061499999999999</v>
      </c>
      <c r="AA729">
        <f>(Table615447[[#This Row],[time]]-2)*2</f>
        <v>1.0122999999999998</v>
      </c>
      <c r="AB729">
        <v>94.418400000000005</v>
      </c>
      <c r="AC729">
        <v>39.051000000000002</v>
      </c>
      <c r="AD729">
        <f>Table615447[[#This Row],[CFNM]]/Table615447[[#This Row],[CAREA]]</f>
        <v>0.41359523143794008</v>
      </c>
      <c r="AE729">
        <v>2.5061499999999999</v>
      </c>
      <c r="AF729">
        <f>(Table716448[[#This Row],[time]]-2)*2</f>
        <v>1.0122999999999998</v>
      </c>
      <c r="AG729">
        <v>75.505799999999994</v>
      </c>
      <c r="AH729">
        <v>17.972300000000001</v>
      </c>
      <c r="AI729">
        <f>Table716448[[#This Row],[CFNM]]/Table716448[[#This Row],[CAREA]]</f>
        <v>0.23802542321252146</v>
      </c>
      <c r="AJ729">
        <v>2.5061499999999999</v>
      </c>
      <c r="AK729">
        <f>(Table817449[[#This Row],[time]]-2)*2</f>
        <v>1.0122999999999998</v>
      </c>
      <c r="AL729">
        <v>81.402100000000004</v>
      </c>
      <c r="AM729">
        <v>43.370199999999997</v>
      </c>
      <c r="AN729">
        <f>Table817449[[#This Row],[CFNM]]/Table817449[[#This Row],[CAREA]]</f>
        <v>0.532789694614758</v>
      </c>
    </row>
    <row r="730" spans="1:40" x14ac:dyDescent="0.25">
      <c r="A730">
        <v>2.5507599999999999</v>
      </c>
      <c r="B730">
        <f>(Table110442[[#This Row],[time]]-2)*2</f>
        <v>1.1015199999999998</v>
      </c>
      <c r="C730">
        <v>86.415800000000004</v>
      </c>
      <c r="D730">
        <v>5.5961600000000002</v>
      </c>
      <c r="E730">
        <f>Table110442[[#This Row],[CFNM]]/Table110442[[#This Row],[CAREA]]</f>
        <v>6.4758527954378711E-2</v>
      </c>
      <c r="F730">
        <v>2.5507599999999999</v>
      </c>
      <c r="G730">
        <f>(Table211443[[#This Row],[time]]-2)*2</f>
        <v>1.1015199999999998</v>
      </c>
      <c r="H730">
        <v>96.680300000000003</v>
      </c>
      <c r="I730">
        <v>9.1161999999999992</v>
      </c>
      <c r="J730">
        <f>Table211443[[#This Row],[CFNM]]/Table211443[[#This Row],[CAREA]]</f>
        <v>9.42922187870745E-2</v>
      </c>
      <c r="K730">
        <v>2.5507599999999999</v>
      </c>
      <c r="L730">
        <f>(Table312444[[#This Row],[time]]-2)*2</f>
        <v>1.1015199999999998</v>
      </c>
      <c r="M730">
        <v>81.523399999999995</v>
      </c>
      <c r="N730">
        <v>1.6735800000000001</v>
      </c>
      <c r="O730">
        <f>Table312444[[#This Row],[CFNM]]/Table312444[[#This Row],[CAREA]]</f>
        <v>2.0528829759308372E-2</v>
      </c>
      <c r="P730">
        <v>2.5507599999999999</v>
      </c>
      <c r="Q730">
        <f>(Table413445[[#This Row],[time]]-2)*2</f>
        <v>1.1015199999999998</v>
      </c>
      <c r="R730">
        <v>90.316900000000004</v>
      </c>
      <c r="S730">
        <v>20.641500000000001</v>
      </c>
      <c r="T730">
        <f>Table413445[[#This Row],[CFNM]]/Table413445[[#This Row],[CAREA]]</f>
        <v>0.22854526672195347</v>
      </c>
      <c r="U730">
        <v>2.5507599999999999</v>
      </c>
      <c r="V730">
        <f>(Table514446[[#This Row],[time]]-2)*2</f>
        <v>1.1015199999999998</v>
      </c>
      <c r="W730">
        <v>71.209000000000003</v>
      </c>
      <c r="X730">
        <v>3.4971700000000001</v>
      </c>
      <c r="Y730">
        <f>Table514446[[#This Row],[CFNM]]/Table514446[[#This Row],[CAREA]]</f>
        <v>4.9111348284626939E-2</v>
      </c>
      <c r="Z730">
        <v>2.5507599999999999</v>
      </c>
      <c r="AA730">
        <f>(Table615447[[#This Row],[time]]-2)*2</f>
        <v>1.1015199999999998</v>
      </c>
      <c r="AB730">
        <v>94.176299999999998</v>
      </c>
      <c r="AC730">
        <v>42.152700000000003</v>
      </c>
      <c r="AD730">
        <f>Table615447[[#This Row],[CFNM]]/Table615447[[#This Row],[CAREA]]</f>
        <v>0.44759350282395893</v>
      </c>
      <c r="AE730">
        <v>2.5507599999999999</v>
      </c>
      <c r="AF730">
        <f>(Table716448[[#This Row],[time]]-2)*2</f>
        <v>1.1015199999999998</v>
      </c>
      <c r="AG730">
        <v>75.376800000000003</v>
      </c>
      <c r="AH730">
        <v>17.5825</v>
      </c>
      <c r="AI730">
        <f>Table716448[[#This Row],[CFNM]]/Table716448[[#This Row],[CAREA]]</f>
        <v>0.23326142791946591</v>
      </c>
      <c r="AJ730">
        <v>2.5507599999999999</v>
      </c>
      <c r="AK730">
        <f>(Table817449[[#This Row],[time]]-2)*2</f>
        <v>1.1015199999999998</v>
      </c>
      <c r="AL730">
        <v>80.807900000000004</v>
      </c>
      <c r="AM730">
        <v>46.807699999999997</v>
      </c>
      <c r="AN730">
        <f>Table817449[[#This Row],[CFNM]]/Table817449[[#This Row],[CAREA]]</f>
        <v>0.57924658356423064</v>
      </c>
    </row>
    <row r="731" spans="1:40" x14ac:dyDescent="0.25">
      <c r="A731">
        <v>2.60453</v>
      </c>
      <c r="B731">
        <f>(Table110442[[#This Row],[time]]-2)*2</f>
        <v>1.20906</v>
      </c>
      <c r="C731">
        <v>85.345600000000005</v>
      </c>
      <c r="D731">
        <v>5.5970599999999999</v>
      </c>
      <c r="E731">
        <f>Table110442[[#This Row],[CFNM]]/Table110442[[#This Row],[CAREA]]</f>
        <v>6.5581119589059073E-2</v>
      </c>
      <c r="F731">
        <v>2.60453</v>
      </c>
      <c r="G731">
        <f>(Table211443[[#This Row],[time]]-2)*2</f>
        <v>1.20906</v>
      </c>
      <c r="H731">
        <v>97.020899999999997</v>
      </c>
      <c r="I731">
        <v>10.284800000000001</v>
      </c>
      <c r="J731">
        <f>Table211443[[#This Row],[CFNM]]/Table211443[[#This Row],[CAREA]]</f>
        <v>0.10600602550584462</v>
      </c>
      <c r="K731">
        <v>2.60453</v>
      </c>
      <c r="L731">
        <f>(Table312444[[#This Row],[time]]-2)*2</f>
        <v>1.20906</v>
      </c>
      <c r="M731">
        <v>80.611500000000007</v>
      </c>
      <c r="N731">
        <v>1.7347399999999999</v>
      </c>
      <c r="O731">
        <f>Table312444[[#This Row],[CFNM]]/Table312444[[#This Row],[CAREA]]</f>
        <v>2.1519758347134092E-2</v>
      </c>
      <c r="P731">
        <v>2.60453</v>
      </c>
      <c r="Q731">
        <f>(Table413445[[#This Row],[time]]-2)*2</f>
        <v>1.20906</v>
      </c>
      <c r="R731">
        <v>90.391199999999998</v>
      </c>
      <c r="S731">
        <v>22.658100000000001</v>
      </c>
      <c r="T731">
        <f>Table413445[[#This Row],[CFNM]]/Table413445[[#This Row],[CAREA]]</f>
        <v>0.25066710033720097</v>
      </c>
      <c r="U731">
        <v>2.60453</v>
      </c>
      <c r="V731">
        <f>(Table514446[[#This Row],[time]]-2)*2</f>
        <v>1.20906</v>
      </c>
      <c r="W731">
        <v>70.170299999999997</v>
      </c>
      <c r="X731">
        <v>3.2791899999999998</v>
      </c>
      <c r="Y731">
        <f>Table514446[[#This Row],[CFNM]]/Table514446[[#This Row],[CAREA]]</f>
        <v>4.6731879441872133E-2</v>
      </c>
      <c r="Z731">
        <v>2.60453</v>
      </c>
      <c r="AA731">
        <f>(Table615447[[#This Row],[time]]-2)*2</f>
        <v>1.20906</v>
      </c>
      <c r="AB731">
        <v>94.402299999999997</v>
      </c>
      <c r="AC731">
        <v>45.049399999999999</v>
      </c>
      <c r="AD731">
        <f>Table615447[[#This Row],[CFNM]]/Table615447[[#This Row],[CAREA]]</f>
        <v>0.47720659348342148</v>
      </c>
      <c r="AE731">
        <v>2.60453</v>
      </c>
      <c r="AF731">
        <f>(Table716448[[#This Row],[time]]-2)*2</f>
        <v>1.20906</v>
      </c>
      <c r="AG731">
        <v>74.659800000000004</v>
      </c>
      <c r="AH731">
        <v>17.148</v>
      </c>
      <c r="AI731">
        <f>Table716448[[#This Row],[CFNM]]/Table716448[[#This Row],[CAREA]]</f>
        <v>0.2296818368117782</v>
      </c>
      <c r="AJ731">
        <v>2.60453</v>
      </c>
      <c r="AK731">
        <f>(Table817449[[#This Row],[time]]-2)*2</f>
        <v>1.20906</v>
      </c>
      <c r="AL731">
        <v>80.274100000000004</v>
      </c>
      <c r="AM731">
        <v>49.890700000000002</v>
      </c>
      <c r="AN731">
        <f>Table817449[[#This Row],[CFNM]]/Table817449[[#This Row],[CAREA]]</f>
        <v>0.62150432082078777</v>
      </c>
    </row>
    <row r="732" spans="1:40" x14ac:dyDescent="0.25">
      <c r="A732">
        <v>2.65273</v>
      </c>
      <c r="B732">
        <f>(Table110442[[#This Row],[time]]-2)*2</f>
        <v>1.3054600000000001</v>
      </c>
      <c r="C732">
        <v>84.072400000000002</v>
      </c>
      <c r="D732">
        <v>5.66425</v>
      </c>
      <c r="E732">
        <f>Table110442[[#This Row],[CFNM]]/Table110442[[#This Row],[CAREA]]</f>
        <v>6.7373478097449341E-2</v>
      </c>
      <c r="F732">
        <v>2.65273</v>
      </c>
      <c r="G732">
        <f>(Table211443[[#This Row],[time]]-2)*2</f>
        <v>1.3054600000000001</v>
      </c>
      <c r="H732">
        <v>97.903199999999998</v>
      </c>
      <c r="I732">
        <v>12.187900000000001</v>
      </c>
      <c r="J732">
        <f>Table211443[[#This Row],[CFNM]]/Table211443[[#This Row],[CAREA]]</f>
        <v>0.12448929146340468</v>
      </c>
      <c r="K732">
        <v>2.65273</v>
      </c>
      <c r="L732">
        <f>(Table312444[[#This Row],[time]]-2)*2</f>
        <v>1.3054600000000001</v>
      </c>
      <c r="M732">
        <v>79.904799999999994</v>
      </c>
      <c r="N732">
        <v>1.70217</v>
      </c>
      <c r="O732">
        <f>Table312444[[#This Row],[CFNM]]/Table312444[[#This Row],[CAREA]]</f>
        <v>2.1302474945184773E-2</v>
      </c>
      <c r="P732">
        <v>2.65273</v>
      </c>
      <c r="Q732">
        <f>(Table413445[[#This Row],[time]]-2)*2</f>
        <v>1.3054600000000001</v>
      </c>
      <c r="R732">
        <v>90.242900000000006</v>
      </c>
      <c r="S732">
        <v>25.547899999999998</v>
      </c>
      <c r="T732">
        <f>Table413445[[#This Row],[CFNM]]/Table413445[[#This Row],[CAREA]]</f>
        <v>0.28310149607337526</v>
      </c>
      <c r="U732">
        <v>2.65273</v>
      </c>
      <c r="V732">
        <f>(Table514446[[#This Row],[time]]-2)*2</f>
        <v>1.3054600000000001</v>
      </c>
      <c r="W732">
        <v>68.461399999999998</v>
      </c>
      <c r="X732">
        <v>2.8909899999999999</v>
      </c>
      <c r="Y732">
        <f>Table514446[[#This Row],[CFNM]]/Table514446[[#This Row],[CAREA]]</f>
        <v>4.2228029225227649E-2</v>
      </c>
      <c r="Z732">
        <v>2.65273</v>
      </c>
      <c r="AA732">
        <f>(Table615447[[#This Row],[time]]-2)*2</f>
        <v>1.3054600000000001</v>
      </c>
      <c r="AB732">
        <v>94.051400000000001</v>
      </c>
      <c r="AC732">
        <v>48.887900000000002</v>
      </c>
      <c r="AD732">
        <f>Table615447[[#This Row],[CFNM]]/Table615447[[#This Row],[CAREA]]</f>
        <v>0.51979981159238464</v>
      </c>
      <c r="AE732">
        <v>2.65273</v>
      </c>
      <c r="AF732">
        <f>(Table716448[[#This Row],[time]]-2)*2</f>
        <v>1.3054600000000001</v>
      </c>
      <c r="AG732">
        <v>73.807599999999994</v>
      </c>
      <c r="AH732">
        <v>16.607700000000001</v>
      </c>
      <c r="AI732">
        <f>Table716448[[#This Row],[CFNM]]/Table716448[[#This Row],[CAREA]]</f>
        <v>0.22501341325283578</v>
      </c>
      <c r="AJ732">
        <v>2.65273</v>
      </c>
      <c r="AK732">
        <f>(Table817449[[#This Row],[time]]-2)*2</f>
        <v>1.3054600000000001</v>
      </c>
      <c r="AL732">
        <v>79.673699999999997</v>
      </c>
      <c r="AM732">
        <v>54.121899999999997</v>
      </c>
      <c r="AN732">
        <f>Table817449[[#This Row],[CFNM]]/Table817449[[#This Row],[CAREA]]</f>
        <v>0.67929442212423918</v>
      </c>
    </row>
    <row r="733" spans="1:40" x14ac:dyDescent="0.25">
      <c r="A733">
        <v>2.7006199999999998</v>
      </c>
      <c r="B733">
        <f>(Table110442[[#This Row],[time]]-2)*2</f>
        <v>1.4012399999999996</v>
      </c>
      <c r="C733">
        <v>82.668499999999995</v>
      </c>
      <c r="D733">
        <v>5.6942599999999999</v>
      </c>
      <c r="E733">
        <f>Table110442[[#This Row],[CFNM]]/Table110442[[#This Row],[CAREA]]</f>
        <v>6.8880649824298257E-2</v>
      </c>
      <c r="F733">
        <v>2.7006199999999998</v>
      </c>
      <c r="G733">
        <f>(Table211443[[#This Row],[time]]-2)*2</f>
        <v>1.4012399999999996</v>
      </c>
      <c r="H733">
        <v>98.033000000000001</v>
      </c>
      <c r="I733">
        <v>13.352</v>
      </c>
      <c r="J733">
        <f>Table211443[[#This Row],[CFNM]]/Table211443[[#This Row],[CAREA]]</f>
        <v>0.13619903501882019</v>
      </c>
      <c r="K733">
        <v>2.7006199999999998</v>
      </c>
      <c r="L733">
        <f>(Table312444[[#This Row],[time]]-2)*2</f>
        <v>1.4012399999999996</v>
      </c>
      <c r="M733">
        <v>79.166600000000003</v>
      </c>
      <c r="N733">
        <v>1.61551</v>
      </c>
      <c r="O733">
        <f>Table312444[[#This Row],[CFNM]]/Table312444[[#This Row],[CAREA]]</f>
        <v>2.0406459289649927E-2</v>
      </c>
      <c r="P733">
        <v>2.7006199999999998</v>
      </c>
      <c r="Q733">
        <f>(Table413445[[#This Row],[time]]-2)*2</f>
        <v>1.4012399999999996</v>
      </c>
      <c r="R733">
        <v>89.951700000000002</v>
      </c>
      <c r="S733">
        <v>27.138000000000002</v>
      </c>
      <c r="T733">
        <f>Table413445[[#This Row],[CFNM]]/Table413445[[#This Row],[CAREA]]</f>
        <v>0.30169524311380441</v>
      </c>
      <c r="U733">
        <v>2.7006199999999998</v>
      </c>
      <c r="V733">
        <f>(Table514446[[#This Row],[time]]-2)*2</f>
        <v>1.4012399999999996</v>
      </c>
      <c r="W733">
        <v>68.010599999999997</v>
      </c>
      <c r="X733">
        <v>2.6036800000000002</v>
      </c>
      <c r="Y733">
        <f>Table514446[[#This Row],[CFNM]]/Table514446[[#This Row],[CAREA]]</f>
        <v>3.8283444051368465E-2</v>
      </c>
      <c r="Z733">
        <v>2.7006199999999998</v>
      </c>
      <c r="AA733">
        <f>(Table615447[[#This Row],[time]]-2)*2</f>
        <v>1.4012399999999996</v>
      </c>
      <c r="AB733">
        <v>94.209000000000003</v>
      </c>
      <c r="AC733">
        <v>50.970599999999997</v>
      </c>
      <c r="AD733">
        <f>Table615447[[#This Row],[CFNM]]/Table615447[[#This Row],[CAREA]]</f>
        <v>0.54103748049549405</v>
      </c>
      <c r="AE733">
        <v>2.7006199999999998</v>
      </c>
      <c r="AF733">
        <f>(Table716448[[#This Row],[time]]-2)*2</f>
        <v>1.4012399999999996</v>
      </c>
      <c r="AG733">
        <v>73.607799999999997</v>
      </c>
      <c r="AH733">
        <v>16.249500000000001</v>
      </c>
      <c r="AI733">
        <f>Table716448[[#This Row],[CFNM]]/Table716448[[#This Row],[CAREA]]</f>
        <v>0.22075785446651036</v>
      </c>
      <c r="AJ733">
        <v>2.7006199999999998</v>
      </c>
      <c r="AK733">
        <f>(Table817449[[#This Row],[time]]-2)*2</f>
        <v>1.4012399999999996</v>
      </c>
      <c r="AL733">
        <v>79.379900000000006</v>
      </c>
      <c r="AM733">
        <v>56.425699999999999</v>
      </c>
      <c r="AN733">
        <f>Table817449[[#This Row],[CFNM]]/Table817449[[#This Row],[CAREA]]</f>
        <v>0.71083107940423196</v>
      </c>
    </row>
    <row r="734" spans="1:40" x14ac:dyDescent="0.25">
      <c r="A734">
        <v>2.75176</v>
      </c>
      <c r="B734">
        <f>(Table110442[[#This Row],[time]]-2)*2</f>
        <v>1.50352</v>
      </c>
      <c r="C734">
        <v>80.303600000000003</v>
      </c>
      <c r="D734">
        <v>5.6971699999999998</v>
      </c>
      <c r="E734">
        <f>Table110442[[#This Row],[CFNM]]/Table110442[[#This Row],[CAREA]]</f>
        <v>7.094538725536588E-2</v>
      </c>
      <c r="F734">
        <v>2.75176</v>
      </c>
      <c r="G734">
        <f>(Table211443[[#This Row],[time]]-2)*2</f>
        <v>1.50352</v>
      </c>
      <c r="H734">
        <v>99.304199999999994</v>
      </c>
      <c r="I734">
        <v>15.583</v>
      </c>
      <c r="J734">
        <f>Table211443[[#This Row],[CFNM]]/Table211443[[#This Row],[CAREA]]</f>
        <v>0.15692186231800873</v>
      </c>
      <c r="K734">
        <v>2.75176</v>
      </c>
      <c r="L734">
        <f>(Table312444[[#This Row],[time]]-2)*2</f>
        <v>1.50352</v>
      </c>
      <c r="M734">
        <v>78.411299999999997</v>
      </c>
      <c r="N734">
        <v>1.48393</v>
      </c>
      <c r="O734">
        <f>Table312444[[#This Row],[CFNM]]/Table312444[[#This Row],[CAREA]]</f>
        <v>1.8924950868050905E-2</v>
      </c>
      <c r="P734">
        <v>2.75176</v>
      </c>
      <c r="Q734">
        <f>(Table413445[[#This Row],[time]]-2)*2</f>
        <v>1.50352</v>
      </c>
      <c r="R734">
        <v>89.927099999999996</v>
      </c>
      <c r="S734">
        <v>29.935199999999998</v>
      </c>
      <c r="T734">
        <f>Table413445[[#This Row],[CFNM]]/Table413445[[#This Row],[CAREA]]</f>
        <v>0.33288296853784899</v>
      </c>
      <c r="U734">
        <v>2.75176</v>
      </c>
      <c r="V734">
        <f>(Table514446[[#This Row],[time]]-2)*2</f>
        <v>1.50352</v>
      </c>
      <c r="W734">
        <v>67.135199999999998</v>
      </c>
      <c r="X734">
        <v>2.0041099999999998</v>
      </c>
      <c r="Y734">
        <f>Table514446[[#This Row],[CFNM]]/Table514446[[#This Row],[CAREA]]</f>
        <v>2.9851851189837818E-2</v>
      </c>
      <c r="Z734">
        <v>2.75176</v>
      </c>
      <c r="AA734">
        <f>(Table615447[[#This Row],[time]]-2)*2</f>
        <v>1.50352</v>
      </c>
      <c r="AB734">
        <v>93.782300000000006</v>
      </c>
      <c r="AC734">
        <v>54.585500000000003</v>
      </c>
      <c r="AD734">
        <f>Table615447[[#This Row],[CFNM]]/Table615447[[#This Row],[CAREA]]</f>
        <v>0.58204479949841281</v>
      </c>
      <c r="AE734">
        <v>2.75176</v>
      </c>
      <c r="AF734">
        <f>(Table716448[[#This Row],[time]]-2)*2</f>
        <v>1.50352</v>
      </c>
      <c r="AG734">
        <v>72.968299999999999</v>
      </c>
      <c r="AH734">
        <v>15.496499999999999</v>
      </c>
      <c r="AI734">
        <f>Table716448[[#This Row],[CFNM]]/Table716448[[#This Row],[CAREA]]</f>
        <v>0.21237304418494057</v>
      </c>
      <c r="AJ734">
        <v>2.75176</v>
      </c>
      <c r="AK734">
        <f>(Table817449[[#This Row],[time]]-2)*2</f>
        <v>1.50352</v>
      </c>
      <c r="AL734">
        <v>78.751400000000004</v>
      </c>
      <c r="AM734">
        <v>60.546199999999999</v>
      </c>
      <c r="AN734">
        <f>Table817449[[#This Row],[CFNM]]/Table817449[[#This Row],[CAREA]]</f>
        <v>0.76882696688566798</v>
      </c>
    </row>
    <row r="735" spans="1:40" x14ac:dyDescent="0.25">
      <c r="A735">
        <v>2.80444</v>
      </c>
      <c r="B735">
        <f>(Table110442[[#This Row],[time]]-2)*2</f>
        <v>1.6088800000000001</v>
      </c>
      <c r="C735">
        <v>78.466800000000006</v>
      </c>
      <c r="D735">
        <v>5.6467799999999997</v>
      </c>
      <c r="E735">
        <f>Table110442[[#This Row],[CFNM]]/Table110442[[#This Row],[CAREA]]</f>
        <v>7.1963938888803924E-2</v>
      </c>
      <c r="F735">
        <v>2.80444</v>
      </c>
      <c r="G735">
        <f>(Table211443[[#This Row],[time]]-2)*2</f>
        <v>1.6088800000000001</v>
      </c>
      <c r="H735">
        <v>99.574799999999996</v>
      </c>
      <c r="I735">
        <v>17.076599999999999</v>
      </c>
      <c r="J735">
        <f>Table211443[[#This Row],[CFNM]]/Table211443[[#This Row],[CAREA]]</f>
        <v>0.17149519758011061</v>
      </c>
      <c r="K735">
        <v>2.80444</v>
      </c>
      <c r="L735">
        <f>(Table312444[[#This Row],[time]]-2)*2</f>
        <v>1.6088800000000001</v>
      </c>
      <c r="M735">
        <v>76.634</v>
      </c>
      <c r="N735">
        <v>1.3734599999999999</v>
      </c>
      <c r="O735">
        <f>Table312444[[#This Row],[CFNM]]/Table312444[[#This Row],[CAREA]]</f>
        <v>1.7922332124122451E-2</v>
      </c>
      <c r="P735">
        <v>2.80444</v>
      </c>
      <c r="Q735">
        <f>(Table413445[[#This Row],[time]]-2)*2</f>
        <v>1.6088800000000001</v>
      </c>
      <c r="R735">
        <v>89.705299999999994</v>
      </c>
      <c r="S735">
        <v>31.7254</v>
      </c>
      <c r="T735">
        <f>Table413445[[#This Row],[CFNM]]/Table413445[[#This Row],[CAREA]]</f>
        <v>0.35366249262864069</v>
      </c>
      <c r="U735">
        <v>2.80444</v>
      </c>
      <c r="V735">
        <f>(Table514446[[#This Row],[time]]-2)*2</f>
        <v>1.6088800000000001</v>
      </c>
      <c r="W735">
        <v>66.189300000000003</v>
      </c>
      <c r="X735">
        <v>1.5908800000000001</v>
      </c>
      <c r="Y735">
        <f>Table514446[[#This Row],[CFNM]]/Table514446[[#This Row],[CAREA]]</f>
        <v>2.4035304800020547E-2</v>
      </c>
      <c r="Z735">
        <v>2.80444</v>
      </c>
      <c r="AA735">
        <f>(Table615447[[#This Row],[time]]-2)*2</f>
        <v>1.6088800000000001</v>
      </c>
      <c r="AB735">
        <v>93.482200000000006</v>
      </c>
      <c r="AC735">
        <v>56.919499999999999</v>
      </c>
      <c r="AD735">
        <f>Table615447[[#This Row],[CFNM]]/Table615447[[#This Row],[CAREA]]</f>
        <v>0.60888062112359354</v>
      </c>
      <c r="AE735">
        <v>2.80444</v>
      </c>
      <c r="AF735">
        <f>(Table716448[[#This Row],[time]]-2)*2</f>
        <v>1.6088800000000001</v>
      </c>
      <c r="AG735">
        <v>72.002799999999993</v>
      </c>
      <c r="AH735">
        <v>14.9802</v>
      </c>
      <c r="AI735">
        <f>Table716448[[#This Row],[CFNM]]/Table716448[[#This Row],[CAREA]]</f>
        <v>0.20805024249056983</v>
      </c>
      <c r="AJ735">
        <v>2.80444</v>
      </c>
      <c r="AK735">
        <f>(Table817449[[#This Row],[time]]-2)*2</f>
        <v>1.6088800000000001</v>
      </c>
      <c r="AL735">
        <v>78.203900000000004</v>
      </c>
      <c r="AM735">
        <v>63.172800000000002</v>
      </c>
      <c r="AN735">
        <f>Table817449[[#This Row],[CFNM]]/Table817449[[#This Row],[CAREA]]</f>
        <v>0.80779603063274341</v>
      </c>
    </row>
    <row r="736" spans="1:40" x14ac:dyDescent="0.25">
      <c r="A736">
        <v>2.8583699999999999</v>
      </c>
      <c r="B736">
        <f>(Table110442[[#This Row],[time]]-2)*2</f>
        <v>1.7167399999999997</v>
      </c>
      <c r="C736">
        <v>76.232299999999995</v>
      </c>
      <c r="D736">
        <v>5.5681500000000002</v>
      </c>
      <c r="E736">
        <f>Table110442[[#This Row],[CFNM]]/Table110442[[#This Row],[CAREA]]</f>
        <v>7.3041873326660747E-2</v>
      </c>
      <c r="F736">
        <v>2.8583699999999999</v>
      </c>
      <c r="G736">
        <f>(Table211443[[#This Row],[time]]-2)*2</f>
        <v>1.7167399999999997</v>
      </c>
      <c r="H736">
        <v>100.804</v>
      </c>
      <c r="I736">
        <v>19.040900000000001</v>
      </c>
      <c r="J736">
        <f>Table211443[[#This Row],[CFNM]]/Table211443[[#This Row],[CAREA]]</f>
        <v>0.18889032181262649</v>
      </c>
      <c r="K736">
        <v>2.8583699999999999</v>
      </c>
      <c r="L736">
        <f>(Table312444[[#This Row],[time]]-2)*2</f>
        <v>1.7167399999999997</v>
      </c>
      <c r="M736">
        <v>76.584900000000005</v>
      </c>
      <c r="N736">
        <v>1.1834</v>
      </c>
      <c r="O736">
        <f>Table312444[[#This Row],[CFNM]]/Table312444[[#This Row],[CAREA]]</f>
        <v>1.5452132208829678E-2</v>
      </c>
      <c r="P736">
        <v>2.8583699999999999</v>
      </c>
      <c r="Q736">
        <f>(Table413445[[#This Row],[time]]-2)*2</f>
        <v>1.7167399999999997</v>
      </c>
      <c r="R736">
        <v>89.425799999999995</v>
      </c>
      <c r="S736">
        <v>34.419499999999999</v>
      </c>
      <c r="T736">
        <f>Table413445[[#This Row],[CFNM]]/Table413445[[#This Row],[CAREA]]</f>
        <v>0.38489451590033302</v>
      </c>
      <c r="U736">
        <v>2.8583699999999999</v>
      </c>
      <c r="V736">
        <f>(Table514446[[#This Row],[time]]-2)*2</f>
        <v>1.7167399999999997</v>
      </c>
      <c r="W736">
        <v>64.700199999999995</v>
      </c>
      <c r="X736">
        <v>1.08033</v>
      </c>
      <c r="Y736">
        <f>Table514446[[#This Row],[CFNM]]/Table514446[[#This Row],[CAREA]]</f>
        <v>1.6697475432842557E-2</v>
      </c>
      <c r="Z736">
        <v>2.8583699999999999</v>
      </c>
      <c r="AA736">
        <f>(Table615447[[#This Row],[time]]-2)*2</f>
        <v>1.7167399999999997</v>
      </c>
      <c r="AB736">
        <v>93.1828</v>
      </c>
      <c r="AC736">
        <v>59.984099999999998</v>
      </c>
      <c r="AD736">
        <f>Table615447[[#This Row],[CFNM]]/Table615447[[#This Row],[CAREA]]</f>
        <v>0.64372502221440009</v>
      </c>
      <c r="AE736">
        <v>2.8583699999999999</v>
      </c>
      <c r="AF736">
        <f>(Table716448[[#This Row],[time]]-2)*2</f>
        <v>1.7167399999999997</v>
      </c>
      <c r="AG736">
        <v>70.924400000000006</v>
      </c>
      <c r="AH736">
        <v>14.3201</v>
      </c>
      <c r="AI736">
        <f>Table716448[[#This Row],[CFNM]]/Table716448[[#This Row],[CAREA]]</f>
        <v>0.20190653710147705</v>
      </c>
      <c r="AJ736">
        <v>2.8583699999999999</v>
      </c>
      <c r="AK736">
        <f>(Table817449[[#This Row],[time]]-2)*2</f>
        <v>1.7167399999999997</v>
      </c>
      <c r="AL736">
        <v>77.406199999999998</v>
      </c>
      <c r="AM736">
        <v>66.482500000000002</v>
      </c>
      <c r="AN736">
        <f>Table817449[[#This Row],[CFNM]]/Table817449[[#This Row],[CAREA]]</f>
        <v>0.8588782293924776</v>
      </c>
    </row>
    <row r="737" spans="1:40" x14ac:dyDescent="0.25">
      <c r="A737">
        <v>2.9134199999999999</v>
      </c>
      <c r="B737">
        <f>(Table110442[[#This Row],[time]]-2)*2</f>
        <v>1.8268399999999998</v>
      </c>
      <c r="C737">
        <v>74.192599999999999</v>
      </c>
      <c r="D737">
        <v>5.41662</v>
      </c>
      <c r="E737">
        <f>Table110442[[#This Row],[CFNM]]/Table110442[[#This Row],[CAREA]]</f>
        <v>7.3007550618255729E-2</v>
      </c>
      <c r="F737">
        <v>2.9134199999999999</v>
      </c>
      <c r="G737">
        <f>(Table211443[[#This Row],[time]]-2)*2</f>
        <v>1.8268399999999998</v>
      </c>
      <c r="H737">
        <v>102.508</v>
      </c>
      <c r="I737">
        <v>20.936399999999999</v>
      </c>
      <c r="J737">
        <f>Table211443[[#This Row],[CFNM]]/Table211443[[#This Row],[CAREA]]</f>
        <v>0.20424162016623093</v>
      </c>
      <c r="K737">
        <v>2.9134199999999999</v>
      </c>
      <c r="L737">
        <f>(Table312444[[#This Row],[time]]-2)*2</f>
        <v>1.8268399999999998</v>
      </c>
      <c r="M737">
        <v>75.031099999999995</v>
      </c>
      <c r="N737">
        <v>1.00918</v>
      </c>
      <c r="O737">
        <f>Table312444[[#This Row],[CFNM]]/Table312444[[#This Row],[CAREA]]</f>
        <v>1.3450156001977846E-2</v>
      </c>
      <c r="P737">
        <v>2.9134199999999999</v>
      </c>
      <c r="Q737">
        <f>(Table413445[[#This Row],[time]]-2)*2</f>
        <v>1.8268399999999998</v>
      </c>
      <c r="R737">
        <v>89.238500000000002</v>
      </c>
      <c r="S737">
        <v>36.8583</v>
      </c>
      <c r="T737">
        <f>Table413445[[#This Row],[CFNM]]/Table413445[[#This Row],[CAREA]]</f>
        <v>0.41303137098897896</v>
      </c>
      <c r="U737">
        <v>2.9134199999999999</v>
      </c>
      <c r="V737">
        <f>(Table514446[[#This Row],[time]]-2)*2</f>
        <v>1.8268399999999998</v>
      </c>
      <c r="W737">
        <v>64.352800000000002</v>
      </c>
      <c r="X737">
        <v>0.72209800000000002</v>
      </c>
      <c r="Y737">
        <f>Table514446[[#This Row],[CFNM]]/Table514446[[#This Row],[CAREA]]</f>
        <v>1.122092589599831E-2</v>
      </c>
      <c r="Z737">
        <v>2.9134199999999999</v>
      </c>
      <c r="AA737">
        <f>(Table615447[[#This Row],[time]]-2)*2</f>
        <v>1.8268399999999998</v>
      </c>
      <c r="AB737">
        <v>92.738200000000006</v>
      </c>
      <c r="AC737">
        <v>62.841000000000001</v>
      </c>
      <c r="AD737">
        <f>Table615447[[#This Row],[CFNM]]/Table615447[[#This Row],[CAREA]]</f>
        <v>0.67761720628608269</v>
      </c>
      <c r="AE737">
        <v>2.9134199999999999</v>
      </c>
      <c r="AF737">
        <f>(Table716448[[#This Row],[time]]-2)*2</f>
        <v>1.8268399999999998</v>
      </c>
      <c r="AG737">
        <v>70.661600000000007</v>
      </c>
      <c r="AH737">
        <v>13.6958</v>
      </c>
      <c r="AI737">
        <f>Table716448[[#This Row],[CFNM]]/Table716448[[#This Row],[CAREA]]</f>
        <v>0.19382238726550205</v>
      </c>
      <c r="AJ737">
        <v>2.9134199999999999</v>
      </c>
      <c r="AK737">
        <f>(Table817449[[#This Row],[time]]-2)*2</f>
        <v>1.8268399999999998</v>
      </c>
      <c r="AL737">
        <v>76.679400000000001</v>
      </c>
      <c r="AM737">
        <v>69.477500000000006</v>
      </c>
      <c r="AN737">
        <f>Table817449[[#This Row],[CFNM]]/Table817449[[#This Row],[CAREA]]</f>
        <v>0.9060777731698475</v>
      </c>
    </row>
    <row r="738" spans="1:40" x14ac:dyDescent="0.25">
      <c r="A738">
        <v>2.9619599999999999</v>
      </c>
      <c r="B738">
        <f>(Table110442[[#This Row],[time]]-2)*2</f>
        <v>1.9239199999999999</v>
      </c>
      <c r="C738">
        <v>70.7453</v>
      </c>
      <c r="D738">
        <v>5.07986</v>
      </c>
      <c r="E738">
        <f>Table110442[[#This Row],[CFNM]]/Table110442[[#This Row],[CAREA]]</f>
        <v>7.1804911421677484E-2</v>
      </c>
      <c r="F738">
        <v>2.9619599999999999</v>
      </c>
      <c r="G738">
        <f>(Table211443[[#This Row],[time]]-2)*2</f>
        <v>1.9239199999999999</v>
      </c>
      <c r="H738">
        <v>104.461</v>
      </c>
      <c r="I738">
        <v>23.834099999999999</v>
      </c>
      <c r="J738">
        <f>Table211443[[#This Row],[CFNM]]/Table211443[[#This Row],[CAREA]]</f>
        <v>0.22816266357779458</v>
      </c>
      <c r="K738">
        <v>2.9619599999999999</v>
      </c>
      <c r="L738">
        <f>(Table312444[[#This Row],[time]]-2)*2</f>
        <v>1.9239199999999999</v>
      </c>
      <c r="M738">
        <v>73.332800000000006</v>
      </c>
      <c r="N738">
        <v>0.68701800000000002</v>
      </c>
      <c r="O738">
        <f>Table312444[[#This Row],[CFNM]]/Table312444[[#This Row],[CAREA]]</f>
        <v>9.3684954072393248E-3</v>
      </c>
      <c r="P738">
        <v>2.9619599999999999</v>
      </c>
      <c r="Q738">
        <f>(Table413445[[#This Row],[time]]-2)*2</f>
        <v>1.9239199999999999</v>
      </c>
      <c r="R738">
        <v>88.622200000000007</v>
      </c>
      <c r="S738">
        <v>40.507800000000003</v>
      </c>
      <c r="T738">
        <f>Table413445[[#This Row],[CFNM]]/Table413445[[#This Row],[CAREA]]</f>
        <v>0.45708411662089182</v>
      </c>
      <c r="U738">
        <v>2.9619599999999999</v>
      </c>
      <c r="V738">
        <f>(Table514446[[#This Row],[time]]-2)*2</f>
        <v>1.9239199999999999</v>
      </c>
      <c r="W738">
        <v>62.2044</v>
      </c>
      <c r="X738">
        <v>0.47718300000000002</v>
      </c>
      <c r="Y738">
        <f>Table514446[[#This Row],[CFNM]]/Table514446[[#This Row],[CAREA]]</f>
        <v>7.6712097536508674E-3</v>
      </c>
      <c r="Z738">
        <v>2.9619599999999999</v>
      </c>
      <c r="AA738">
        <f>(Table615447[[#This Row],[time]]-2)*2</f>
        <v>1.9239199999999999</v>
      </c>
      <c r="AB738">
        <v>92.140100000000004</v>
      </c>
      <c r="AC738">
        <v>67.351900000000001</v>
      </c>
      <c r="AD738">
        <f>Table615447[[#This Row],[CFNM]]/Table615447[[#This Row],[CAREA]]</f>
        <v>0.73097272523038281</v>
      </c>
      <c r="AE738">
        <v>2.9619599999999999</v>
      </c>
      <c r="AF738">
        <f>(Table716448[[#This Row],[time]]-2)*2</f>
        <v>1.9239199999999999</v>
      </c>
      <c r="AG738">
        <v>70.246799999999993</v>
      </c>
      <c r="AH738">
        <v>12.81</v>
      </c>
      <c r="AI738">
        <f>Table716448[[#This Row],[CFNM]]/Table716448[[#This Row],[CAREA]]</f>
        <v>0.18235706110456279</v>
      </c>
      <c r="AJ738">
        <v>2.9619599999999999</v>
      </c>
      <c r="AK738">
        <f>(Table817449[[#This Row],[time]]-2)*2</f>
        <v>1.9239199999999999</v>
      </c>
      <c r="AL738">
        <v>75.743399999999994</v>
      </c>
      <c r="AM738">
        <v>73.922499999999999</v>
      </c>
      <c r="AN738">
        <f>Table817449[[#This Row],[CFNM]]/Table817449[[#This Row],[CAREA]]</f>
        <v>0.9759596215643872</v>
      </c>
    </row>
    <row r="739" spans="1:40" x14ac:dyDescent="0.25">
      <c r="A739">
        <v>3</v>
      </c>
      <c r="B739">
        <f>(Table110442[[#This Row],[time]]-2)*2</f>
        <v>2</v>
      </c>
      <c r="C739">
        <v>70.176000000000002</v>
      </c>
      <c r="D739">
        <v>4.94625</v>
      </c>
      <c r="E739">
        <f>Table110442[[#This Row],[CFNM]]/Table110442[[#This Row],[CAREA]]</f>
        <v>7.0483498632010949E-2</v>
      </c>
      <c r="F739">
        <v>3</v>
      </c>
      <c r="G739">
        <f>(Table211443[[#This Row],[time]]-2)*2</f>
        <v>2</v>
      </c>
      <c r="H739">
        <v>105.16800000000001</v>
      </c>
      <c r="I739">
        <v>24.815000000000001</v>
      </c>
      <c r="J739">
        <f>Table211443[[#This Row],[CFNM]]/Table211443[[#This Row],[CAREA]]</f>
        <v>0.23595580404685837</v>
      </c>
      <c r="K739">
        <v>3</v>
      </c>
      <c r="L739">
        <f>(Table312444[[#This Row],[time]]-2)*2</f>
        <v>2</v>
      </c>
      <c r="M739">
        <v>71.291399999999996</v>
      </c>
      <c r="N739">
        <v>0.56812499999999999</v>
      </c>
      <c r="O739">
        <f>Table312444[[#This Row],[CFNM]]/Table312444[[#This Row],[CAREA]]</f>
        <v>7.9690537708615623E-3</v>
      </c>
      <c r="P739">
        <v>3</v>
      </c>
      <c r="Q739">
        <f>(Table413445[[#This Row],[time]]-2)*2</f>
        <v>2</v>
      </c>
      <c r="R739">
        <v>88.3934</v>
      </c>
      <c r="S739">
        <v>41.753399999999999</v>
      </c>
      <c r="T739">
        <f>Table413445[[#This Row],[CFNM]]/Table413445[[#This Row],[CAREA]]</f>
        <v>0.47235879601870728</v>
      </c>
      <c r="U739">
        <v>3</v>
      </c>
      <c r="V739">
        <f>(Table514446[[#This Row],[time]]-2)*2</f>
        <v>2</v>
      </c>
      <c r="W739">
        <v>61.660800000000002</v>
      </c>
      <c r="X739">
        <v>0.44114900000000001</v>
      </c>
      <c r="Y739">
        <f>Table514446[[#This Row],[CFNM]]/Table514446[[#This Row],[CAREA]]</f>
        <v>7.1544482069645548E-3</v>
      </c>
      <c r="Z739">
        <v>3</v>
      </c>
      <c r="AA739">
        <f>(Table615447[[#This Row],[time]]-2)*2</f>
        <v>2</v>
      </c>
      <c r="AB739">
        <v>91.908699999999996</v>
      </c>
      <c r="AC739">
        <v>68.936199999999999</v>
      </c>
      <c r="AD739">
        <f>Table615447[[#This Row],[CFNM]]/Table615447[[#This Row],[CAREA]]</f>
        <v>0.75005086569606583</v>
      </c>
      <c r="AE739">
        <v>3</v>
      </c>
      <c r="AF739">
        <f>(Table716448[[#This Row],[time]]-2)*2</f>
        <v>2</v>
      </c>
      <c r="AG739">
        <v>69.192800000000005</v>
      </c>
      <c r="AH739">
        <v>12.525399999999999</v>
      </c>
      <c r="AI739">
        <f>Table716448[[#This Row],[CFNM]]/Table716448[[#This Row],[CAREA]]</f>
        <v>0.18102172480373679</v>
      </c>
      <c r="AJ739">
        <v>3</v>
      </c>
      <c r="AK739">
        <f>(Table817449[[#This Row],[time]]-2)*2</f>
        <v>2</v>
      </c>
      <c r="AL739">
        <v>75.4101</v>
      </c>
      <c r="AM739">
        <v>75.447100000000006</v>
      </c>
      <c r="AN739">
        <f>Table817449[[#This Row],[CFNM]]/Table817449[[#This Row],[CAREA]]</f>
        <v>1.0004906504566364</v>
      </c>
    </row>
    <row r="742" spans="1:40" x14ac:dyDescent="0.25">
      <c r="A742" s="1" t="s">
        <v>31</v>
      </c>
    </row>
    <row r="743" spans="1:40" x14ac:dyDescent="0.25">
      <c r="A743" t="s">
        <v>73</v>
      </c>
      <c r="F743" t="s">
        <v>1</v>
      </c>
    </row>
    <row r="744" spans="1:40" x14ac:dyDescent="0.25">
      <c r="F744" t="s">
        <v>2</v>
      </c>
      <c r="G744" t="s">
        <v>3</v>
      </c>
    </row>
    <row r="747" spans="1:40" x14ac:dyDescent="0.25">
      <c r="A747" t="s">
        <v>5</v>
      </c>
      <c r="F747" t="s">
        <v>6</v>
      </c>
      <c r="K747" t="s">
        <v>7</v>
      </c>
      <c r="P747" t="s">
        <v>19</v>
      </c>
      <c r="U747" t="s">
        <v>8</v>
      </c>
      <c r="Z747" t="s">
        <v>9</v>
      </c>
      <c r="AE747" t="s">
        <v>10</v>
      </c>
      <c r="AJ747" t="s">
        <v>11</v>
      </c>
    </row>
    <row r="748" spans="1:40" x14ac:dyDescent="0.25">
      <c r="A748" t="s">
        <v>12</v>
      </c>
      <c r="B748" t="s">
        <v>13</v>
      </c>
      <c r="C748" t="s">
        <v>17</v>
      </c>
      <c r="D748" t="s">
        <v>15</v>
      </c>
      <c r="E748" t="s">
        <v>16</v>
      </c>
      <c r="F748" t="s">
        <v>12</v>
      </c>
      <c r="G748" t="s">
        <v>13</v>
      </c>
      <c r="H748" t="s">
        <v>17</v>
      </c>
      <c r="I748" t="s">
        <v>15</v>
      </c>
      <c r="J748" t="s">
        <v>16</v>
      </c>
      <c r="K748" t="s">
        <v>12</v>
      </c>
      <c r="L748" t="s">
        <v>13</v>
      </c>
      <c r="M748" t="s">
        <v>17</v>
      </c>
      <c r="N748" t="s">
        <v>15</v>
      </c>
      <c r="O748" t="s">
        <v>16</v>
      </c>
      <c r="P748" t="s">
        <v>12</v>
      </c>
      <c r="Q748" t="s">
        <v>13</v>
      </c>
      <c r="R748" t="s">
        <v>17</v>
      </c>
      <c r="S748" t="s">
        <v>15</v>
      </c>
      <c r="T748" t="s">
        <v>16</v>
      </c>
      <c r="U748" t="s">
        <v>12</v>
      </c>
      <c r="V748" t="s">
        <v>13</v>
      </c>
      <c r="W748" t="s">
        <v>17</v>
      </c>
      <c r="X748" t="s">
        <v>15</v>
      </c>
      <c r="Y748" t="s">
        <v>16</v>
      </c>
      <c r="Z748" t="s">
        <v>12</v>
      </c>
      <c r="AA748" t="s">
        <v>13</v>
      </c>
      <c r="AB748" t="s">
        <v>17</v>
      </c>
      <c r="AC748" t="s">
        <v>15</v>
      </c>
      <c r="AD748" t="s">
        <v>16</v>
      </c>
      <c r="AE748" t="s">
        <v>12</v>
      </c>
      <c r="AF748" t="s">
        <v>13</v>
      </c>
      <c r="AG748" t="s">
        <v>17</v>
      </c>
      <c r="AH748" t="s">
        <v>15</v>
      </c>
      <c r="AI748" t="s">
        <v>16</v>
      </c>
      <c r="AJ748" t="s">
        <v>12</v>
      </c>
      <c r="AK748" t="s">
        <v>13</v>
      </c>
      <c r="AL748" t="s">
        <v>17</v>
      </c>
      <c r="AM748" t="s">
        <v>15</v>
      </c>
      <c r="AN748" t="s">
        <v>16</v>
      </c>
    </row>
    <row r="749" spans="1:40" x14ac:dyDescent="0.25">
      <c r="A749">
        <v>2</v>
      </c>
      <c r="B749">
        <f>-(Table1450[[#This Row],[time]]-2)*2</f>
        <v>0</v>
      </c>
      <c r="C749">
        <v>89.597300000000004</v>
      </c>
      <c r="D749">
        <v>7.6775399999999996</v>
      </c>
      <c r="E749" s="2">
        <f>Table1450[[#This Row],[CFNM]]/Table1450[[#This Row],[CAREA]]</f>
        <v>8.5689412515778926E-2</v>
      </c>
      <c r="F749">
        <v>2</v>
      </c>
      <c r="G749">
        <f>-(Table2451[[#This Row],[time]]-2)*2</f>
        <v>0</v>
      </c>
      <c r="H749">
        <v>92.131299999999996</v>
      </c>
      <c r="I749">
        <v>0.23485200000000001</v>
      </c>
      <c r="J749" s="2">
        <f>Table2451[[#This Row],[CFNM]]/Table2451[[#This Row],[CAREA]]</f>
        <v>2.5491011198148731E-3</v>
      </c>
      <c r="K749">
        <v>2</v>
      </c>
      <c r="L749">
        <f>-(Table3452[[#This Row],[time]]-2)*2</f>
        <v>0</v>
      </c>
      <c r="M749">
        <v>87.840900000000005</v>
      </c>
      <c r="N749">
        <v>1.0432900000000001</v>
      </c>
      <c r="O749">
        <f>Table3452[[#This Row],[CFNM]]/Table3452[[#This Row],[CAREA]]</f>
        <v>1.1877041332682156E-2</v>
      </c>
      <c r="P749">
        <v>2</v>
      </c>
      <c r="Q749">
        <f>-(Table4453[[#This Row],[time]]-2)*2</f>
        <v>0</v>
      </c>
      <c r="R749">
        <v>82.212800000000001</v>
      </c>
      <c r="S749">
        <v>1.2537100000000001</v>
      </c>
      <c r="T749">
        <f>Table4453[[#This Row],[CFNM]]/Table4453[[#This Row],[CAREA]]</f>
        <v>1.5249571842827395E-2</v>
      </c>
      <c r="U749">
        <v>2</v>
      </c>
      <c r="V749">
        <f>-(Table5454[[#This Row],[time]]-2)*2</f>
        <v>0</v>
      </c>
      <c r="W749">
        <v>83.035700000000006</v>
      </c>
      <c r="X749">
        <v>4.7089100000000004</v>
      </c>
      <c r="Y749">
        <f>Table5454[[#This Row],[CFNM]]/Table5454[[#This Row],[CAREA]]</f>
        <v>5.6709463519907702E-2</v>
      </c>
      <c r="Z749">
        <v>2</v>
      </c>
      <c r="AA749">
        <f>-(Table6455[[#This Row],[time]]-2)*2</f>
        <v>0</v>
      </c>
      <c r="AB749">
        <v>86.564499999999995</v>
      </c>
      <c r="AC749">
        <v>7.2600199999999999</v>
      </c>
      <c r="AD749">
        <f>Table6455[[#This Row],[CFNM]]/Table6455[[#This Row],[CAREA]]</f>
        <v>8.3868329395999516E-2</v>
      </c>
      <c r="AE749">
        <v>2</v>
      </c>
      <c r="AF749">
        <f>-(Table7456[[#This Row],[time]]-2)*2</f>
        <v>0</v>
      </c>
      <c r="AG749">
        <v>77.847899999999996</v>
      </c>
      <c r="AH749">
        <v>20.320699999999999</v>
      </c>
      <c r="AI749">
        <f>Table7456[[#This Row],[CFNM]]/Table7456[[#This Row],[CAREA]]</f>
        <v>0.26103080494143066</v>
      </c>
      <c r="AJ749">
        <v>2</v>
      </c>
      <c r="AK749">
        <f>-(Table8457[[#This Row],[time]]-2)*2</f>
        <v>0</v>
      </c>
      <c r="AL749">
        <v>83.372500000000002</v>
      </c>
      <c r="AM749">
        <v>19.753900000000002</v>
      </c>
      <c r="AN749">
        <f>Table8457[[#This Row],[CFNM]]/Table8457[[#This Row],[CAREA]]</f>
        <v>0.23693544034303879</v>
      </c>
    </row>
    <row r="750" spans="1:40" x14ac:dyDescent="0.25">
      <c r="A750">
        <v>2.0512600000000001</v>
      </c>
      <c r="B750">
        <f>-(Table1450[[#This Row],[time]]-2)*2</f>
        <v>-0.10252000000000017</v>
      </c>
      <c r="C750">
        <v>90.663700000000006</v>
      </c>
      <c r="D750">
        <v>10.552899999999999</v>
      </c>
      <c r="E750">
        <f>Table1450[[#This Row],[CFNM]]/Table1450[[#This Row],[CAREA]]</f>
        <v>0.11639608796023104</v>
      </c>
      <c r="F750">
        <v>2.0512600000000001</v>
      </c>
      <c r="G750">
        <f>-(Table2451[[#This Row],[time]]-2)*2</f>
        <v>-0.10252000000000017</v>
      </c>
      <c r="H750">
        <v>93.965500000000006</v>
      </c>
      <c r="I750">
        <v>1.6899299999999999</v>
      </c>
      <c r="J750">
        <f>Table2451[[#This Row],[CFNM]]/Table2451[[#This Row],[CAREA]]</f>
        <v>1.7984579446711824E-2</v>
      </c>
      <c r="K750">
        <v>2.0512600000000001</v>
      </c>
      <c r="L750">
        <f>-(Table3452[[#This Row],[time]]-2)*2</f>
        <v>-0.10252000000000017</v>
      </c>
      <c r="M750">
        <v>89.2898</v>
      </c>
      <c r="N750">
        <v>3.9961199999999999</v>
      </c>
      <c r="O750">
        <f>Table3452[[#This Row],[CFNM]]/Table3452[[#This Row],[CAREA]]</f>
        <v>4.4754496034261473E-2</v>
      </c>
      <c r="P750">
        <v>2.0512600000000001</v>
      </c>
      <c r="Q750">
        <f>-(Table4453[[#This Row],[time]]-2)*2</f>
        <v>-0.10252000000000017</v>
      </c>
      <c r="R750">
        <v>83.941500000000005</v>
      </c>
      <c r="S750">
        <v>4.5073299999999996</v>
      </c>
      <c r="T750">
        <f>Table4453[[#This Row],[CFNM]]/Table4453[[#This Row],[CAREA]]</f>
        <v>5.3696085964630123E-2</v>
      </c>
      <c r="U750">
        <v>2.0512600000000001</v>
      </c>
      <c r="V750">
        <f>-(Table5454[[#This Row],[time]]-2)*2</f>
        <v>-0.10252000000000017</v>
      </c>
      <c r="W750">
        <v>82.587000000000003</v>
      </c>
      <c r="X750">
        <v>9.0920799999999993</v>
      </c>
      <c r="Y750">
        <f>Table5454[[#This Row],[CFNM]]/Table5454[[#This Row],[CAREA]]</f>
        <v>0.11009093440856307</v>
      </c>
      <c r="Z750">
        <v>2.0512600000000001</v>
      </c>
      <c r="AA750">
        <f>-(Table6455[[#This Row],[time]]-2)*2</f>
        <v>-0.10252000000000017</v>
      </c>
      <c r="AB750">
        <v>87.491</v>
      </c>
      <c r="AC750">
        <v>11.0969</v>
      </c>
      <c r="AD750">
        <f>Table6455[[#This Row],[CFNM]]/Table6455[[#This Row],[CAREA]]</f>
        <v>0.12683476014675796</v>
      </c>
      <c r="AE750">
        <v>2.0512600000000001</v>
      </c>
      <c r="AF750">
        <f>-(Table7456[[#This Row],[time]]-2)*2</f>
        <v>-0.10252000000000017</v>
      </c>
      <c r="AG750">
        <v>78.645600000000002</v>
      </c>
      <c r="AH750">
        <v>21.845600000000001</v>
      </c>
      <c r="AI750">
        <f>Table7456[[#This Row],[CFNM]]/Table7456[[#This Row],[CAREA]]</f>
        <v>0.27777269166997265</v>
      </c>
      <c r="AJ750">
        <v>2.0512600000000001</v>
      </c>
      <c r="AK750">
        <f>-(Table8457[[#This Row],[time]]-2)*2</f>
        <v>-0.10252000000000017</v>
      </c>
      <c r="AL750">
        <v>83.055800000000005</v>
      </c>
      <c r="AM750">
        <v>20.014299999999999</v>
      </c>
      <c r="AN750">
        <f>Table8457[[#This Row],[CFNM]]/Table8457[[#This Row],[CAREA]]</f>
        <v>0.24097414027677774</v>
      </c>
    </row>
    <row r="751" spans="1:40" x14ac:dyDescent="0.25">
      <c r="A751">
        <v>2.1153300000000002</v>
      </c>
      <c r="B751">
        <f>-(Table1450[[#This Row],[time]]-2)*2</f>
        <v>-0.23066000000000031</v>
      </c>
      <c r="C751">
        <v>90.389799999999994</v>
      </c>
      <c r="D751">
        <v>11.0397</v>
      </c>
      <c r="E751">
        <f>Table1450[[#This Row],[CFNM]]/Table1450[[#This Row],[CAREA]]</f>
        <v>0.12213435586758684</v>
      </c>
      <c r="F751">
        <v>2.1153300000000002</v>
      </c>
      <c r="G751">
        <f>-(Table2451[[#This Row],[time]]-2)*2</f>
        <v>-0.23066000000000031</v>
      </c>
      <c r="H751">
        <v>93.508700000000005</v>
      </c>
      <c r="I751">
        <v>1.2516499999999999</v>
      </c>
      <c r="J751">
        <f>Table2451[[#This Row],[CFNM]]/Table2451[[#This Row],[CAREA]]</f>
        <v>1.3385385530971983E-2</v>
      </c>
      <c r="K751">
        <v>2.1153300000000002</v>
      </c>
      <c r="L751">
        <f>-(Table3452[[#This Row],[time]]-2)*2</f>
        <v>-0.23066000000000031</v>
      </c>
      <c r="M751">
        <v>89.754499999999993</v>
      </c>
      <c r="N751">
        <v>4.7369199999999996</v>
      </c>
      <c r="O751">
        <f>Table3452[[#This Row],[CFNM]]/Table3452[[#This Row],[CAREA]]</f>
        <v>5.2776406753978905E-2</v>
      </c>
      <c r="P751">
        <v>2.1153300000000002</v>
      </c>
      <c r="Q751">
        <f>-(Table4453[[#This Row],[time]]-2)*2</f>
        <v>-0.23066000000000031</v>
      </c>
      <c r="R751">
        <v>82.321299999999994</v>
      </c>
      <c r="S751">
        <v>4.1425200000000002</v>
      </c>
      <c r="T751">
        <f>Table4453[[#This Row],[CFNM]]/Table4453[[#This Row],[CAREA]]</f>
        <v>5.0321362757876763E-2</v>
      </c>
      <c r="U751">
        <v>2.1153300000000002</v>
      </c>
      <c r="V751">
        <f>-(Table5454[[#This Row],[time]]-2)*2</f>
        <v>-0.23066000000000031</v>
      </c>
      <c r="W751">
        <v>83.711799999999997</v>
      </c>
      <c r="X751">
        <v>10.3635</v>
      </c>
      <c r="Y751">
        <f>Table5454[[#This Row],[CFNM]]/Table5454[[#This Row],[CAREA]]</f>
        <v>0.12379975105062847</v>
      </c>
      <c r="Z751">
        <v>2.1153300000000002</v>
      </c>
      <c r="AA751">
        <f>-(Table6455[[#This Row],[time]]-2)*2</f>
        <v>-0.23066000000000031</v>
      </c>
      <c r="AB751">
        <v>84.993200000000002</v>
      </c>
      <c r="AC751">
        <v>8.13354</v>
      </c>
      <c r="AD751">
        <f>Table6455[[#This Row],[CFNM]]/Table6455[[#This Row],[CAREA]]</f>
        <v>9.5696361591280241E-2</v>
      </c>
      <c r="AE751">
        <v>2.1153300000000002</v>
      </c>
      <c r="AF751">
        <f>-(Table7456[[#This Row],[time]]-2)*2</f>
        <v>-0.23066000000000031</v>
      </c>
      <c r="AG751">
        <v>79.391499999999994</v>
      </c>
      <c r="AH751">
        <v>22.817900000000002</v>
      </c>
      <c r="AI751">
        <f>Table7456[[#This Row],[CFNM]]/Table7456[[#This Row],[CAREA]]</f>
        <v>0.28740986125718754</v>
      </c>
      <c r="AJ751">
        <v>2.1153300000000002</v>
      </c>
      <c r="AK751">
        <f>-(Table8457[[#This Row],[time]]-2)*2</f>
        <v>-0.23066000000000031</v>
      </c>
      <c r="AL751">
        <v>82.7941</v>
      </c>
      <c r="AM751">
        <v>18.842500000000001</v>
      </c>
      <c r="AN751">
        <f>Table8457[[#This Row],[CFNM]]/Table8457[[#This Row],[CAREA]]</f>
        <v>0.22758264175828954</v>
      </c>
    </row>
    <row r="752" spans="1:40" x14ac:dyDescent="0.25">
      <c r="A752">
        <v>2.16533</v>
      </c>
      <c r="B752">
        <f>-(Table1450[[#This Row],[time]]-2)*2</f>
        <v>-0.33065999999999995</v>
      </c>
      <c r="C752">
        <v>90.688599999999994</v>
      </c>
      <c r="D752">
        <v>11.6547</v>
      </c>
      <c r="E752">
        <f>Table1450[[#This Row],[CFNM]]/Table1450[[#This Row],[CAREA]]</f>
        <v>0.12851339639160822</v>
      </c>
      <c r="F752">
        <v>2.16533</v>
      </c>
      <c r="G752">
        <f>-(Table2451[[#This Row],[time]]-2)*2</f>
        <v>-0.33065999999999995</v>
      </c>
      <c r="H752">
        <v>92.104299999999995</v>
      </c>
      <c r="I752">
        <v>0.880332</v>
      </c>
      <c r="J752">
        <f>Table2451[[#This Row],[CFNM]]/Table2451[[#This Row],[CAREA]]</f>
        <v>9.5579902349836009E-3</v>
      </c>
      <c r="K752">
        <v>2.16533</v>
      </c>
      <c r="L752">
        <f>-(Table3452[[#This Row],[time]]-2)*2</f>
        <v>-0.33065999999999995</v>
      </c>
      <c r="M752">
        <v>90.241500000000002</v>
      </c>
      <c r="N752">
        <v>6.3767399999999999</v>
      </c>
      <c r="O752">
        <f>Table3452[[#This Row],[CFNM]]/Table3452[[#This Row],[CAREA]]</f>
        <v>7.0663054138062856E-2</v>
      </c>
      <c r="P752">
        <v>2.16533</v>
      </c>
      <c r="Q752">
        <f>-(Table4453[[#This Row],[time]]-2)*2</f>
        <v>-0.33065999999999995</v>
      </c>
      <c r="R752">
        <v>80.902199999999993</v>
      </c>
      <c r="S752">
        <v>4.0314199999999998</v>
      </c>
      <c r="T752">
        <f>Table4453[[#This Row],[CFNM]]/Table4453[[#This Row],[CAREA]]</f>
        <v>4.9830783340873305E-2</v>
      </c>
      <c r="U752">
        <v>2.16533</v>
      </c>
      <c r="V752">
        <f>-(Table5454[[#This Row],[time]]-2)*2</f>
        <v>-0.33065999999999995</v>
      </c>
      <c r="W752">
        <v>83.462500000000006</v>
      </c>
      <c r="X752">
        <v>11.773099999999999</v>
      </c>
      <c r="Y752">
        <f>Table5454[[#This Row],[CFNM]]/Table5454[[#This Row],[CAREA]]</f>
        <v>0.14105855923318855</v>
      </c>
      <c r="Z752">
        <v>2.16533</v>
      </c>
      <c r="AA752">
        <f>-(Table6455[[#This Row],[time]]-2)*2</f>
        <v>-0.33065999999999995</v>
      </c>
      <c r="AB752">
        <v>82.948099999999997</v>
      </c>
      <c r="AC752">
        <v>5.4339500000000003</v>
      </c>
      <c r="AD752">
        <f>Table6455[[#This Row],[CFNM]]/Table6455[[#This Row],[CAREA]]</f>
        <v>6.5510240740897022E-2</v>
      </c>
      <c r="AE752">
        <v>2.16533</v>
      </c>
      <c r="AF752">
        <f>-(Table7456[[#This Row],[time]]-2)*2</f>
        <v>-0.33065999999999995</v>
      </c>
      <c r="AG752">
        <v>80.076400000000007</v>
      </c>
      <c r="AH752">
        <v>24.176400000000001</v>
      </c>
      <c r="AI752">
        <f>Table7456[[#This Row],[CFNM]]/Table7456[[#This Row],[CAREA]]</f>
        <v>0.30191666958055058</v>
      </c>
      <c r="AJ752">
        <v>2.16533</v>
      </c>
      <c r="AK752">
        <f>-(Table8457[[#This Row],[time]]-2)*2</f>
        <v>-0.33065999999999995</v>
      </c>
      <c r="AL752">
        <v>82.657700000000006</v>
      </c>
      <c r="AM752">
        <v>17.792999999999999</v>
      </c>
      <c r="AN752">
        <f>Table8457[[#This Row],[CFNM]]/Table8457[[#This Row],[CAREA]]</f>
        <v>0.21526125212775093</v>
      </c>
    </row>
    <row r="753" spans="1:40" x14ac:dyDescent="0.25">
      <c r="A753">
        <v>2.2246999999999999</v>
      </c>
      <c r="B753">
        <f>-(Table1450[[#This Row],[time]]-2)*2</f>
        <v>-0.4493999999999998</v>
      </c>
      <c r="C753">
        <v>90.869</v>
      </c>
      <c r="D753">
        <v>12.1296</v>
      </c>
      <c r="E753">
        <f>Table1450[[#This Row],[CFNM]]/Table1450[[#This Row],[CAREA]]</f>
        <v>0.13348446664979255</v>
      </c>
      <c r="F753">
        <v>2.2246999999999999</v>
      </c>
      <c r="G753">
        <f>-(Table2451[[#This Row],[time]]-2)*2</f>
        <v>-0.4493999999999998</v>
      </c>
      <c r="H753">
        <v>91.3489</v>
      </c>
      <c r="I753">
        <v>0.78730199999999995</v>
      </c>
      <c r="J753">
        <f>Table2451[[#This Row],[CFNM]]/Table2451[[#This Row],[CAREA]]</f>
        <v>8.6186259495188225E-3</v>
      </c>
      <c r="K753">
        <v>2.2246999999999999</v>
      </c>
      <c r="L753">
        <f>-(Table3452[[#This Row],[time]]-2)*2</f>
        <v>-0.4493999999999998</v>
      </c>
      <c r="M753">
        <v>90.098500000000001</v>
      </c>
      <c r="N753">
        <v>7.23726</v>
      </c>
      <c r="O753">
        <f>Table3452[[#This Row],[CFNM]]/Table3452[[#This Row],[CAREA]]</f>
        <v>8.0326087559726297E-2</v>
      </c>
      <c r="P753">
        <v>2.2246999999999999</v>
      </c>
      <c r="Q753">
        <f>-(Table4453[[#This Row],[time]]-2)*2</f>
        <v>-0.4493999999999998</v>
      </c>
      <c r="R753">
        <v>80.713999999999999</v>
      </c>
      <c r="S753">
        <v>4.0930200000000001</v>
      </c>
      <c r="T753">
        <f>Table4453[[#This Row],[CFNM]]/Table4453[[#This Row],[CAREA]]</f>
        <v>5.0710161805882503E-2</v>
      </c>
      <c r="U753">
        <v>2.2246999999999999</v>
      </c>
      <c r="V753">
        <f>-(Table5454[[#This Row],[time]]-2)*2</f>
        <v>-0.4493999999999998</v>
      </c>
      <c r="W753">
        <v>84.217200000000005</v>
      </c>
      <c r="X753">
        <v>12.577500000000001</v>
      </c>
      <c r="Y753">
        <f>Table5454[[#This Row],[CFNM]]/Table5454[[#This Row],[CAREA]]</f>
        <v>0.1493459768313361</v>
      </c>
      <c r="Z753">
        <v>2.2246999999999999</v>
      </c>
      <c r="AA753">
        <f>-(Table6455[[#This Row],[time]]-2)*2</f>
        <v>-0.4493999999999998</v>
      </c>
      <c r="AB753">
        <v>82.714799999999997</v>
      </c>
      <c r="AC753">
        <v>4.5323099999999998</v>
      </c>
      <c r="AD753">
        <f>Table6455[[#This Row],[CFNM]]/Table6455[[#This Row],[CAREA]]</f>
        <v>5.4794426148645707E-2</v>
      </c>
      <c r="AE753">
        <v>2.2246999999999999</v>
      </c>
      <c r="AF753">
        <f>-(Table7456[[#This Row],[time]]-2)*2</f>
        <v>-0.4493999999999998</v>
      </c>
      <c r="AG753">
        <v>80.343800000000002</v>
      </c>
      <c r="AH753">
        <v>24.9679</v>
      </c>
      <c r="AI753">
        <f>Table7456[[#This Row],[CFNM]]/Table7456[[#This Row],[CAREA]]</f>
        <v>0.31076324495480673</v>
      </c>
      <c r="AJ753">
        <v>2.2246999999999999</v>
      </c>
      <c r="AK753">
        <f>-(Table8457[[#This Row],[time]]-2)*2</f>
        <v>-0.4493999999999998</v>
      </c>
      <c r="AL753">
        <v>82.6691</v>
      </c>
      <c r="AM753">
        <v>17.304200000000002</v>
      </c>
      <c r="AN753">
        <f>Table8457[[#This Row],[CFNM]]/Table8457[[#This Row],[CAREA]]</f>
        <v>0.20931883859870257</v>
      </c>
    </row>
    <row r="754" spans="1:40" x14ac:dyDescent="0.25">
      <c r="A754">
        <v>2.2668900000000001</v>
      </c>
      <c r="B754">
        <f>-(Table1450[[#This Row],[time]]-2)*2</f>
        <v>-0.53378000000000014</v>
      </c>
      <c r="C754">
        <v>91.722999999999999</v>
      </c>
      <c r="D754">
        <v>13.5427</v>
      </c>
      <c r="E754">
        <f>Table1450[[#This Row],[CFNM]]/Table1450[[#This Row],[CAREA]]</f>
        <v>0.14764780916454978</v>
      </c>
      <c r="F754">
        <v>2.2668900000000001</v>
      </c>
      <c r="G754">
        <f>-(Table2451[[#This Row],[time]]-2)*2</f>
        <v>-0.53378000000000014</v>
      </c>
      <c r="H754">
        <v>89.872699999999995</v>
      </c>
      <c r="I754">
        <v>0.49286799999999997</v>
      </c>
      <c r="J754">
        <f>Table2451[[#This Row],[CFNM]]/Table2451[[#This Row],[CAREA]]</f>
        <v>5.4840680206558832E-3</v>
      </c>
      <c r="K754">
        <v>2.2668900000000001</v>
      </c>
      <c r="L754">
        <f>-(Table3452[[#This Row],[time]]-2)*2</f>
        <v>-0.53378000000000014</v>
      </c>
      <c r="M754">
        <v>90.556799999999996</v>
      </c>
      <c r="N754">
        <v>9.4177999999999997</v>
      </c>
      <c r="O754">
        <f>Table3452[[#This Row],[CFNM]]/Table3452[[#This Row],[CAREA]]</f>
        <v>0.10399881621258703</v>
      </c>
      <c r="P754">
        <v>2.2668900000000001</v>
      </c>
      <c r="Q754">
        <f>-(Table4453[[#This Row],[time]]-2)*2</f>
        <v>-0.53378000000000014</v>
      </c>
      <c r="R754">
        <v>78.897800000000004</v>
      </c>
      <c r="S754">
        <v>4.15116</v>
      </c>
      <c r="T754">
        <f>Table4453[[#This Row],[CFNM]]/Table4453[[#This Row],[CAREA]]</f>
        <v>5.2614394824697264E-2</v>
      </c>
      <c r="U754">
        <v>2.2668900000000001</v>
      </c>
      <c r="V754">
        <f>-(Table5454[[#This Row],[time]]-2)*2</f>
        <v>-0.53378000000000014</v>
      </c>
      <c r="W754">
        <v>84.227999999999994</v>
      </c>
      <c r="X754">
        <v>14.595800000000001</v>
      </c>
      <c r="Y754">
        <f>Table5454[[#This Row],[CFNM]]/Table5454[[#This Row],[CAREA]]</f>
        <v>0.17328916749774423</v>
      </c>
      <c r="Z754">
        <v>2.2668900000000001</v>
      </c>
      <c r="AA754">
        <f>-(Table6455[[#This Row],[time]]-2)*2</f>
        <v>-0.53378000000000014</v>
      </c>
      <c r="AB754">
        <v>79.981800000000007</v>
      </c>
      <c r="AC754">
        <v>3.0653800000000002</v>
      </c>
      <c r="AD754">
        <f>Table6455[[#This Row],[CFNM]]/Table6455[[#This Row],[CAREA]]</f>
        <v>3.832596915798344E-2</v>
      </c>
      <c r="AE754">
        <v>2.2668900000000001</v>
      </c>
      <c r="AF754">
        <f>-(Table7456[[#This Row],[time]]-2)*2</f>
        <v>-0.53378000000000014</v>
      </c>
      <c r="AG754">
        <v>80.433700000000002</v>
      </c>
      <c r="AH754">
        <v>27.083600000000001</v>
      </c>
      <c r="AI754">
        <f>Table7456[[#This Row],[CFNM]]/Table7456[[#This Row],[CAREA]]</f>
        <v>0.33671955909028178</v>
      </c>
      <c r="AJ754">
        <v>2.2668900000000001</v>
      </c>
      <c r="AK754">
        <f>-(Table8457[[#This Row],[time]]-2)*2</f>
        <v>-0.53378000000000014</v>
      </c>
      <c r="AL754">
        <v>82.437299999999993</v>
      </c>
      <c r="AM754">
        <v>16.312999999999999</v>
      </c>
      <c r="AN754">
        <f>Table8457[[#This Row],[CFNM]]/Table8457[[#This Row],[CAREA]]</f>
        <v>0.1978837249643062</v>
      </c>
    </row>
    <row r="755" spans="1:40" x14ac:dyDescent="0.25">
      <c r="A755">
        <v>2.3262700000000001</v>
      </c>
      <c r="B755">
        <f>-(Table1450[[#This Row],[time]]-2)*2</f>
        <v>-0.65254000000000012</v>
      </c>
      <c r="C755">
        <v>93.524199999999993</v>
      </c>
      <c r="D755">
        <v>15.3108</v>
      </c>
      <c r="E755">
        <f>Table1450[[#This Row],[CFNM]]/Table1450[[#This Row],[CAREA]]</f>
        <v>0.16370949978722085</v>
      </c>
      <c r="F755">
        <v>2.3262700000000001</v>
      </c>
      <c r="G755">
        <f>-(Table2451[[#This Row],[time]]-2)*2</f>
        <v>-0.65254000000000012</v>
      </c>
      <c r="H755">
        <v>88.778000000000006</v>
      </c>
      <c r="I755">
        <v>0.197515</v>
      </c>
      <c r="J755">
        <f>Table2451[[#This Row],[CFNM]]/Table2451[[#This Row],[CAREA]]</f>
        <v>2.2248192119669287E-3</v>
      </c>
      <c r="K755">
        <v>2.3262700000000001</v>
      </c>
      <c r="L755">
        <f>-(Table3452[[#This Row],[time]]-2)*2</f>
        <v>-0.65254000000000012</v>
      </c>
      <c r="M755">
        <v>90.387600000000006</v>
      </c>
      <c r="N755">
        <v>11.754</v>
      </c>
      <c r="O755">
        <f>Table3452[[#This Row],[CFNM]]/Table3452[[#This Row],[CAREA]]</f>
        <v>0.13003996123362052</v>
      </c>
      <c r="P755">
        <v>2.3262700000000001</v>
      </c>
      <c r="Q755">
        <f>-(Table4453[[#This Row],[time]]-2)*2</f>
        <v>-0.65254000000000012</v>
      </c>
      <c r="R755">
        <v>78.226600000000005</v>
      </c>
      <c r="S755">
        <v>4.1569799999999999</v>
      </c>
      <c r="T755">
        <f>Table4453[[#This Row],[CFNM]]/Table4453[[#This Row],[CAREA]]</f>
        <v>5.3140236185645284E-2</v>
      </c>
      <c r="U755">
        <v>2.3262700000000001</v>
      </c>
      <c r="V755">
        <f>-(Table5454[[#This Row],[time]]-2)*2</f>
        <v>-0.65254000000000012</v>
      </c>
      <c r="W755">
        <v>84.619600000000005</v>
      </c>
      <c r="X755">
        <v>17.060400000000001</v>
      </c>
      <c r="Y755">
        <f>Table5454[[#This Row],[CFNM]]/Table5454[[#This Row],[CAREA]]</f>
        <v>0.20161286510453844</v>
      </c>
      <c r="Z755">
        <v>2.3262700000000001</v>
      </c>
      <c r="AA755">
        <f>-(Table6455[[#This Row],[time]]-2)*2</f>
        <v>-0.65254000000000012</v>
      </c>
      <c r="AB755">
        <v>79.208500000000001</v>
      </c>
      <c r="AC755">
        <v>2.37371</v>
      </c>
      <c r="AD755">
        <f>Table6455[[#This Row],[CFNM]]/Table6455[[#This Row],[CAREA]]</f>
        <v>2.9967869609953478E-2</v>
      </c>
      <c r="AE755">
        <v>2.3262700000000001</v>
      </c>
      <c r="AF755">
        <f>-(Table7456[[#This Row],[time]]-2)*2</f>
        <v>-0.65254000000000012</v>
      </c>
      <c r="AG755">
        <v>79.893900000000002</v>
      </c>
      <c r="AH755">
        <v>29.788</v>
      </c>
      <c r="AI755">
        <f>Table7456[[#This Row],[CFNM]]/Table7456[[#This Row],[CAREA]]</f>
        <v>0.37284448499822892</v>
      </c>
      <c r="AJ755">
        <v>2.3262700000000001</v>
      </c>
      <c r="AK755">
        <f>-(Table8457[[#This Row],[time]]-2)*2</f>
        <v>-0.65254000000000012</v>
      </c>
      <c r="AL755">
        <v>82.570800000000006</v>
      </c>
      <c r="AM755">
        <v>15.493399999999999</v>
      </c>
      <c r="AN755">
        <f>Table8457[[#This Row],[CFNM]]/Table8457[[#This Row],[CAREA]]</f>
        <v>0.18763776056426726</v>
      </c>
    </row>
    <row r="756" spans="1:40" x14ac:dyDescent="0.25">
      <c r="A756">
        <v>2.3684599999999998</v>
      </c>
      <c r="B756">
        <f>-(Table1450[[#This Row],[time]]-2)*2</f>
        <v>-0.73691999999999958</v>
      </c>
      <c r="C756">
        <v>95.171700000000001</v>
      </c>
      <c r="D756">
        <v>16.806999999999999</v>
      </c>
      <c r="E756">
        <f>Table1450[[#This Row],[CFNM]]/Table1450[[#This Row],[CAREA]]</f>
        <v>0.17659661432967991</v>
      </c>
      <c r="F756">
        <v>2.3684599999999998</v>
      </c>
      <c r="G756">
        <f>-(Table2451[[#This Row],[time]]-2)*2</f>
        <v>-0.73691999999999958</v>
      </c>
      <c r="H756">
        <v>87.582300000000004</v>
      </c>
      <c r="I756">
        <v>7.3671799999999996E-2</v>
      </c>
      <c r="J756">
        <f>Table2451[[#This Row],[CFNM]]/Table2451[[#This Row],[CAREA]]</f>
        <v>8.4117224599034274E-4</v>
      </c>
      <c r="K756">
        <v>2.3684599999999998</v>
      </c>
      <c r="L756">
        <f>-(Table3452[[#This Row],[time]]-2)*2</f>
        <v>-0.73691999999999958</v>
      </c>
      <c r="M756">
        <v>90.110200000000006</v>
      </c>
      <c r="N756">
        <v>13.481199999999999</v>
      </c>
      <c r="O756">
        <f>Table3452[[#This Row],[CFNM]]/Table3452[[#This Row],[CAREA]]</f>
        <v>0.14960792451908883</v>
      </c>
      <c r="P756">
        <v>2.3684599999999998</v>
      </c>
      <c r="Q756">
        <f>-(Table4453[[#This Row],[time]]-2)*2</f>
        <v>-0.73691999999999958</v>
      </c>
      <c r="R756">
        <v>77.314099999999996</v>
      </c>
      <c r="S756">
        <v>4.1230500000000001</v>
      </c>
      <c r="T756">
        <f>Table4453[[#This Row],[CFNM]]/Table4453[[#This Row],[CAREA]]</f>
        <v>5.3328564906013266E-2</v>
      </c>
      <c r="U756">
        <v>2.3684599999999998</v>
      </c>
      <c r="V756">
        <f>-(Table5454[[#This Row],[time]]-2)*2</f>
        <v>-0.73691999999999958</v>
      </c>
      <c r="W756">
        <v>84.532499999999999</v>
      </c>
      <c r="X756">
        <v>18.9681</v>
      </c>
      <c r="Y756">
        <f>Table5454[[#This Row],[CFNM]]/Table5454[[#This Row],[CAREA]]</f>
        <v>0.22438825303877208</v>
      </c>
      <c r="Z756">
        <v>2.3684599999999998</v>
      </c>
      <c r="AA756">
        <f>-(Table6455[[#This Row],[time]]-2)*2</f>
        <v>-0.73691999999999958</v>
      </c>
      <c r="AB756">
        <v>78.393600000000006</v>
      </c>
      <c r="AC756">
        <v>2.21549</v>
      </c>
      <c r="AD756">
        <f>Table6455[[#This Row],[CFNM]]/Table6455[[#This Row],[CAREA]]</f>
        <v>2.8261108049636701E-2</v>
      </c>
      <c r="AE756">
        <v>2.3684599999999998</v>
      </c>
      <c r="AF756">
        <f>-(Table7456[[#This Row],[time]]-2)*2</f>
        <v>-0.73691999999999958</v>
      </c>
      <c r="AG756">
        <v>78.939400000000006</v>
      </c>
      <c r="AH756">
        <v>31.929500000000001</v>
      </c>
      <c r="AI756">
        <f>Table7456[[#This Row],[CFNM]]/Table7456[[#This Row],[CAREA]]</f>
        <v>0.40448115896497816</v>
      </c>
      <c r="AJ756">
        <v>2.3684599999999998</v>
      </c>
      <c r="AK756">
        <f>-(Table8457[[#This Row],[time]]-2)*2</f>
        <v>-0.73691999999999958</v>
      </c>
      <c r="AL756">
        <v>82.023099999999999</v>
      </c>
      <c r="AM756">
        <v>14.959099999999999</v>
      </c>
      <c r="AN756">
        <f>Table8457[[#This Row],[CFNM]]/Table8457[[#This Row],[CAREA]]</f>
        <v>0.18237667193753954</v>
      </c>
    </row>
    <row r="757" spans="1:40" x14ac:dyDescent="0.25">
      <c r="A757">
        <v>2.4278300000000002</v>
      </c>
      <c r="B757">
        <f>-(Table1450[[#This Row],[time]]-2)*2</f>
        <v>-0.85566000000000031</v>
      </c>
      <c r="C757">
        <v>97.163600000000002</v>
      </c>
      <c r="D757">
        <v>19.240300000000001</v>
      </c>
      <c r="E757">
        <f>Table1450[[#This Row],[CFNM]]/Table1450[[#This Row],[CAREA]]</f>
        <v>0.19801962874986107</v>
      </c>
      <c r="F757">
        <v>2.4278300000000002</v>
      </c>
      <c r="G757">
        <f>-(Table2451[[#This Row],[time]]-2)*2</f>
        <v>-0.85566000000000031</v>
      </c>
      <c r="H757">
        <v>85.610299999999995</v>
      </c>
      <c r="I757">
        <v>5.4310799999999996E-3</v>
      </c>
      <c r="J757">
        <f>Table2451[[#This Row],[CFNM]]/Table2451[[#This Row],[CAREA]]</f>
        <v>6.3439562762891843E-5</v>
      </c>
      <c r="K757">
        <v>2.4278300000000002</v>
      </c>
      <c r="L757">
        <f>-(Table3452[[#This Row],[time]]-2)*2</f>
        <v>-0.85566000000000031</v>
      </c>
      <c r="M757">
        <v>89.536199999999994</v>
      </c>
      <c r="N757">
        <v>16.0731</v>
      </c>
      <c r="O757">
        <f>Table3452[[#This Row],[CFNM]]/Table3452[[#This Row],[CAREA]]</f>
        <v>0.1795151011546168</v>
      </c>
      <c r="P757">
        <v>2.4278300000000002</v>
      </c>
      <c r="Q757">
        <f>-(Table4453[[#This Row],[time]]-2)*2</f>
        <v>-0.85566000000000031</v>
      </c>
      <c r="R757">
        <v>76.301400000000001</v>
      </c>
      <c r="S757">
        <v>3.9852300000000001</v>
      </c>
      <c r="T757">
        <f>Table4453[[#This Row],[CFNM]]/Table4453[[#This Row],[CAREA]]</f>
        <v>5.2230103248433191E-2</v>
      </c>
      <c r="U757">
        <v>2.4278300000000002</v>
      </c>
      <c r="V757">
        <f>-(Table5454[[#This Row],[time]]-2)*2</f>
        <v>-0.85566000000000031</v>
      </c>
      <c r="W757">
        <v>84.588200000000001</v>
      </c>
      <c r="X757">
        <v>21.702100000000002</v>
      </c>
      <c r="Y757">
        <f>Table5454[[#This Row],[CFNM]]/Table5454[[#This Row],[CAREA]]</f>
        <v>0.25656178994233242</v>
      </c>
      <c r="Z757">
        <v>2.4278300000000002</v>
      </c>
      <c r="AA757">
        <f>-(Table6455[[#This Row],[time]]-2)*2</f>
        <v>-0.85566000000000031</v>
      </c>
      <c r="AB757">
        <v>75.835599999999999</v>
      </c>
      <c r="AC757">
        <v>2.06521</v>
      </c>
      <c r="AD757">
        <f>Table6455[[#This Row],[CFNM]]/Table6455[[#This Row],[CAREA]]</f>
        <v>2.7232724472411374E-2</v>
      </c>
      <c r="AE757">
        <v>2.4278300000000002</v>
      </c>
      <c r="AF757">
        <f>-(Table7456[[#This Row],[time]]-2)*2</f>
        <v>-0.85566000000000031</v>
      </c>
      <c r="AG757">
        <v>77.480999999999995</v>
      </c>
      <c r="AH757">
        <v>35.197800000000001</v>
      </c>
      <c r="AI757">
        <f>Table7456[[#This Row],[CFNM]]/Table7456[[#This Row],[CAREA]]</f>
        <v>0.45427653231114729</v>
      </c>
      <c r="AJ757">
        <v>2.4278300000000002</v>
      </c>
      <c r="AK757">
        <f>-(Table8457[[#This Row],[time]]-2)*2</f>
        <v>-0.85566000000000031</v>
      </c>
      <c r="AL757">
        <v>82.140799999999999</v>
      </c>
      <c r="AM757">
        <v>14.186299999999999</v>
      </c>
      <c r="AN757">
        <f>Table8457[[#This Row],[CFNM]]/Table8457[[#This Row],[CAREA]]</f>
        <v>0.17270710779539522</v>
      </c>
    </row>
    <row r="758" spans="1:40" x14ac:dyDescent="0.25">
      <c r="A758">
        <v>2.4542000000000002</v>
      </c>
      <c r="B758">
        <f>-(Table1450[[#This Row],[time]]-2)*2</f>
        <v>-0.90840000000000032</v>
      </c>
      <c r="C758">
        <v>98.258099999999999</v>
      </c>
      <c r="D758">
        <v>21.5212</v>
      </c>
      <c r="E758">
        <f>Table1450[[#This Row],[CFNM]]/Table1450[[#This Row],[CAREA]]</f>
        <v>0.21902723541367072</v>
      </c>
      <c r="F758">
        <v>2.4542000000000002</v>
      </c>
      <c r="G758">
        <f>-(Table2451[[#This Row],[time]]-2)*2</f>
        <v>-0.90840000000000032</v>
      </c>
      <c r="H758">
        <v>84.453100000000006</v>
      </c>
      <c r="I758">
        <v>4.9653299999999996E-3</v>
      </c>
      <c r="J758">
        <f>Table2451[[#This Row],[CFNM]]/Table2451[[#This Row],[CAREA]]</f>
        <v>5.87939341480656E-5</v>
      </c>
      <c r="K758">
        <v>2.4542000000000002</v>
      </c>
      <c r="L758">
        <f>-(Table3452[[#This Row],[time]]-2)*2</f>
        <v>-0.90840000000000032</v>
      </c>
      <c r="M758">
        <v>88.952299999999994</v>
      </c>
      <c r="N758">
        <v>18.318300000000001</v>
      </c>
      <c r="O758">
        <f>Table3452[[#This Row],[CFNM]]/Table3452[[#This Row],[CAREA]]</f>
        <v>0.20593396685639384</v>
      </c>
      <c r="P758">
        <v>2.4542000000000002</v>
      </c>
      <c r="Q758">
        <f>-(Table4453[[#This Row],[time]]-2)*2</f>
        <v>-0.90840000000000032</v>
      </c>
      <c r="R758">
        <v>74.448899999999995</v>
      </c>
      <c r="S758">
        <v>3.8844799999999999</v>
      </c>
      <c r="T758">
        <f>Table4453[[#This Row],[CFNM]]/Table4453[[#This Row],[CAREA]]</f>
        <v>5.2176459289526106E-2</v>
      </c>
      <c r="U758">
        <v>2.4542000000000002</v>
      </c>
      <c r="V758">
        <f>-(Table5454[[#This Row],[time]]-2)*2</f>
        <v>-0.90840000000000032</v>
      </c>
      <c r="W758">
        <v>84.621399999999994</v>
      </c>
      <c r="X758">
        <v>24.085899999999999</v>
      </c>
      <c r="Y758">
        <f>Table5454[[#This Row],[CFNM]]/Table5454[[#This Row],[CAREA]]</f>
        <v>0.28463131075590808</v>
      </c>
      <c r="Z758">
        <v>2.4542000000000002</v>
      </c>
      <c r="AA758">
        <f>-(Table6455[[#This Row],[time]]-2)*2</f>
        <v>-0.90840000000000032</v>
      </c>
      <c r="AB758">
        <v>74.390900000000002</v>
      </c>
      <c r="AC758">
        <v>1.85995</v>
      </c>
      <c r="AD758">
        <f>Table6455[[#This Row],[CFNM]]/Table6455[[#This Row],[CAREA]]</f>
        <v>2.5002386044529638E-2</v>
      </c>
      <c r="AE758">
        <v>2.4542000000000002</v>
      </c>
      <c r="AF758">
        <f>-(Table7456[[#This Row],[time]]-2)*2</f>
        <v>-0.90840000000000032</v>
      </c>
      <c r="AG758">
        <v>76.366600000000005</v>
      </c>
      <c r="AH758">
        <v>38.0062</v>
      </c>
      <c r="AI758">
        <f>Table7456[[#This Row],[CFNM]]/Table7456[[#This Row],[CAREA]]</f>
        <v>0.49768092333559433</v>
      </c>
      <c r="AJ758">
        <v>2.4542000000000002</v>
      </c>
      <c r="AK758">
        <f>-(Table8457[[#This Row],[time]]-2)*2</f>
        <v>-0.90840000000000032</v>
      </c>
      <c r="AL758">
        <v>80.798699999999997</v>
      </c>
      <c r="AM758">
        <v>13.435700000000001</v>
      </c>
      <c r="AN758">
        <f>Table8457[[#This Row],[CFNM]]/Table8457[[#This Row],[CAREA]]</f>
        <v>0.16628609123661645</v>
      </c>
    </row>
    <row r="759" spans="1:40" x14ac:dyDescent="0.25">
      <c r="A759">
        <v>2.5061499999999999</v>
      </c>
      <c r="B759">
        <f>-(Table1450[[#This Row],[time]]-2)*2</f>
        <v>-1.0122999999999998</v>
      </c>
      <c r="C759">
        <v>99.204599999999999</v>
      </c>
      <c r="D759">
        <v>23.623999999999999</v>
      </c>
      <c r="E759">
        <f>Table1450[[#This Row],[CFNM]]/Table1450[[#This Row],[CAREA]]</f>
        <v>0.23813411878078233</v>
      </c>
      <c r="F759">
        <v>2.5061499999999999</v>
      </c>
      <c r="G759">
        <f>-(Table2451[[#This Row],[time]]-2)*2</f>
        <v>-1.0122999999999998</v>
      </c>
      <c r="H759">
        <v>83.301699999999997</v>
      </c>
      <c r="I759">
        <v>4.6807799999999998E-3</v>
      </c>
      <c r="J759">
        <f>Table2451[[#This Row],[CFNM]]/Table2451[[#This Row],[CAREA]]</f>
        <v>5.6190689985918656E-5</v>
      </c>
      <c r="K759">
        <v>2.5061499999999999</v>
      </c>
      <c r="L759">
        <f>-(Table3452[[#This Row],[time]]-2)*2</f>
        <v>-1.0122999999999998</v>
      </c>
      <c r="M759">
        <v>88.4315</v>
      </c>
      <c r="N759">
        <v>20.391300000000001</v>
      </c>
      <c r="O759">
        <f>Table3452[[#This Row],[CFNM]]/Table3452[[#This Row],[CAREA]]</f>
        <v>0.23058864771037471</v>
      </c>
      <c r="P759">
        <v>2.5061499999999999</v>
      </c>
      <c r="Q759">
        <f>-(Table4453[[#This Row],[time]]-2)*2</f>
        <v>-1.0122999999999998</v>
      </c>
      <c r="R759">
        <v>73.738</v>
      </c>
      <c r="S759">
        <v>3.81609</v>
      </c>
      <c r="T759">
        <f>Table4453[[#This Row],[CFNM]]/Table4453[[#This Row],[CAREA]]</f>
        <v>5.1752013887005344E-2</v>
      </c>
      <c r="U759">
        <v>2.5061499999999999</v>
      </c>
      <c r="V759">
        <f>-(Table5454[[#This Row],[time]]-2)*2</f>
        <v>-1.0122999999999998</v>
      </c>
      <c r="W759">
        <v>84.375</v>
      </c>
      <c r="X759">
        <v>26.249199999999998</v>
      </c>
      <c r="Y759">
        <f>Table5454[[#This Row],[CFNM]]/Table5454[[#This Row],[CAREA]]</f>
        <v>0.31110162962962962</v>
      </c>
      <c r="Z759">
        <v>2.5061499999999999</v>
      </c>
      <c r="AA759">
        <f>-(Table6455[[#This Row],[time]]-2)*2</f>
        <v>-1.0122999999999998</v>
      </c>
      <c r="AB759">
        <v>73.281499999999994</v>
      </c>
      <c r="AC759">
        <v>1.6370899999999999</v>
      </c>
      <c r="AD759">
        <f>Table6455[[#This Row],[CFNM]]/Table6455[[#This Row],[CAREA]]</f>
        <v>2.233974468317379E-2</v>
      </c>
      <c r="AE759">
        <v>2.5061499999999999</v>
      </c>
      <c r="AF759">
        <f>-(Table7456[[#This Row],[time]]-2)*2</f>
        <v>-1.0122999999999998</v>
      </c>
      <c r="AG759">
        <v>75.246200000000002</v>
      </c>
      <c r="AH759">
        <v>40.449599999999997</v>
      </c>
      <c r="AI759">
        <f>Table7456[[#This Row],[CFNM]]/Table7456[[#This Row],[CAREA]]</f>
        <v>0.53756335868123573</v>
      </c>
      <c r="AJ759">
        <v>2.5061499999999999</v>
      </c>
      <c r="AK759">
        <f>-(Table8457[[#This Row],[time]]-2)*2</f>
        <v>-1.0122999999999998</v>
      </c>
      <c r="AL759">
        <v>80.877099999999999</v>
      </c>
      <c r="AM759">
        <v>12.769299999999999</v>
      </c>
      <c r="AN759">
        <f>Table8457[[#This Row],[CFNM]]/Table8457[[#This Row],[CAREA]]</f>
        <v>0.15788523574658339</v>
      </c>
    </row>
    <row r="760" spans="1:40" x14ac:dyDescent="0.25">
      <c r="A760">
        <v>2.5507599999999999</v>
      </c>
      <c r="B760">
        <f>-(Table1450[[#This Row],[time]]-2)*2</f>
        <v>-1.1015199999999998</v>
      </c>
      <c r="C760">
        <v>100.22</v>
      </c>
      <c r="D760">
        <v>27.833400000000001</v>
      </c>
      <c r="E760">
        <f>Table1450[[#This Row],[CFNM]]/Table1450[[#This Row],[CAREA]]</f>
        <v>0.27772300937936539</v>
      </c>
      <c r="F760">
        <v>2.5507599999999999</v>
      </c>
      <c r="G760">
        <f>-(Table2451[[#This Row],[time]]-2)*2</f>
        <v>-1.1015199999999998</v>
      </c>
      <c r="H760">
        <v>81.515699999999995</v>
      </c>
      <c r="I760">
        <v>4.2816699999999996E-3</v>
      </c>
      <c r="J760">
        <f>Table2451[[#This Row],[CFNM]]/Table2451[[#This Row],[CAREA]]</f>
        <v>5.252570977124652E-5</v>
      </c>
      <c r="K760">
        <v>2.5507599999999999</v>
      </c>
      <c r="L760">
        <f>-(Table3452[[#This Row],[time]]-2)*2</f>
        <v>-1.1015199999999998</v>
      </c>
      <c r="M760">
        <v>86.969499999999996</v>
      </c>
      <c r="N760">
        <v>24.8264</v>
      </c>
      <c r="O760">
        <f>Table3452[[#This Row],[CFNM]]/Table3452[[#This Row],[CAREA]]</f>
        <v>0.28546099494650423</v>
      </c>
      <c r="P760">
        <v>2.5507599999999999</v>
      </c>
      <c r="Q760">
        <f>-(Table4453[[#This Row],[time]]-2)*2</f>
        <v>-1.1015199999999998</v>
      </c>
      <c r="R760">
        <v>71.823099999999997</v>
      </c>
      <c r="S760">
        <v>3.89039</v>
      </c>
      <c r="T760">
        <f>Table4453[[#This Row],[CFNM]]/Table4453[[#This Row],[CAREA]]</f>
        <v>5.4166277980204146E-2</v>
      </c>
      <c r="U760">
        <v>2.5507599999999999</v>
      </c>
      <c r="V760">
        <f>-(Table5454[[#This Row],[time]]-2)*2</f>
        <v>-1.1015199999999998</v>
      </c>
      <c r="W760">
        <v>84.165999999999997</v>
      </c>
      <c r="X760">
        <v>30.299399999999999</v>
      </c>
      <c r="Y760">
        <f>Table5454[[#This Row],[CFNM]]/Table5454[[#This Row],[CAREA]]</f>
        <v>0.35999572273839792</v>
      </c>
      <c r="Z760">
        <v>2.5507599999999999</v>
      </c>
      <c r="AA760">
        <f>-(Table6455[[#This Row],[time]]-2)*2</f>
        <v>-1.1015199999999998</v>
      </c>
      <c r="AB760">
        <v>70.415700000000001</v>
      </c>
      <c r="AC760">
        <v>1.2200200000000001</v>
      </c>
      <c r="AD760">
        <f>Table6455[[#This Row],[CFNM]]/Table6455[[#This Row],[CAREA]]</f>
        <v>1.7325965658226788E-2</v>
      </c>
      <c r="AE760">
        <v>2.5507599999999999</v>
      </c>
      <c r="AF760">
        <f>-(Table7456[[#This Row],[time]]-2)*2</f>
        <v>-1.1015199999999998</v>
      </c>
      <c r="AG760">
        <v>73.618499999999997</v>
      </c>
      <c r="AH760">
        <v>44.908099999999997</v>
      </c>
      <c r="AI760">
        <f>Table7456[[#This Row],[CFNM]]/Table7456[[#This Row],[CAREA]]</f>
        <v>0.61001107058687698</v>
      </c>
      <c r="AJ760">
        <v>2.5507599999999999</v>
      </c>
      <c r="AK760">
        <f>-(Table8457[[#This Row],[time]]-2)*2</f>
        <v>-1.1015199999999998</v>
      </c>
      <c r="AL760">
        <v>79.8934</v>
      </c>
      <c r="AM760">
        <v>11.4628</v>
      </c>
      <c r="AN760">
        <f>Table8457[[#This Row],[CFNM]]/Table8457[[#This Row],[CAREA]]</f>
        <v>0.14347618201253171</v>
      </c>
    </row>
    <row r="761" spans="1:40" x14ac:dyDescent="0.25">
      <c r="A761">
        <v>2.60453</v>
      </c>
      <c r="B761">
        <f>-(Table1450[[#This Row],[time]]-2)*2</f>
        <v>-1.20906</v>
      </c>
      <c r="C761">
        <v>100.961</v>
      </c>
      <c r="D761">
        <v>30.8888</v>
      </c>
      <c r="E761">
        <f>Table1450[[#This Row],[CFNM]]/Table1450[[#This Row],[CAREA]]</f>
        <v>0.30594784124562951</v>
      </c>
      <c r="F761">
        <v>2.60453</v>
      </c>
      <c r="G761">
        <f>-(Table2451[[#This Row],[time]]-2)*2</f>
        <v>-1.20906</v>
      </c>
      <c r="H761">
        <v>80.273799999999994</v>
      </c>
      <c r="I761">
        <v>4.0226300000000001E-3</v>
      </c>
      <c r="J761">
        <f>Table2451[[#This Row],[CFNM]]/Table2451[[#This Row],[CAREA]]</f>
        <v>5.0111368840144613E-5</v>
      </c>
      <c r="K761">
        <v>2.60453</v>
      </c>
      <c r="L761">
        <f>-(Table3452[[#This Row],[time]]-2)*2</f>
        <v>-1.20906</v>
      </c>
      <c r="M761">
        <v>85.983900000000006</v>
      </c>
      <c r="N761">
        <v>28.228300000000001</v>
      </c>
      <c r="O761">
        <f>Table3452[[#This Row],[CFNM]]/Table3452[[#This Row],[CAREA]]</f>
        <v>0.32829750685884218</v>
      </c>
      <c r="P761">
        <v>2.60453</v>
      </c>
      <c r="Q761">
        <f>-(Table4453[[#This Row],[time]]-2)*2</f>
        <v>-1.20906</v>
      </c>
      <c r="R761">
        <v>71.050399999999996</v>
      </c>
      <c r="S761">
        <v>3.8849200000000002</v>
      </c>
      <c r="T761">
        <f>Table4453[[#This Row],[CFNM]]/Table4453[[#This Row],[CAREA]]</f>
        <v>5.4678369157668362E-2</v>
      </c>
      <c r="U761">
        <v>2.60453</v>
      </c>
      <c r="V761">
        <f>-(Table5454[[#This Row],[time]]-2)*2</f>
        <v>-1.20906</v>
      </c>
      <c r="W761">
        <v>83.883799999999994</v>
      </c>
      <c r="X761">
        <v>33.129199999999997</v>
      </c>
      <c r="Y761">
        <f>Table5454[[#This Row],[CFNM]]/Table5454[[#This Row],[CAREA]]</f>
        <v>0.39494157393918733</v>
      </c>
      <c r="Z761">
        <v>2.60453</v>
      </c>
      <c r="AA761">
        <f>-(Table6455[[#This Row],[time]]-2)*2</f>
        <v>-1.20906</v>
      </c>
      <c r="AB761">
        <v>69.424999999999997</v>
      </c>
      <c r="AC761">
        <v>0.96217200000000003</v>
      </c>
      <c r="AD761">
        <f>Table6455[[#This Row],[CFNM]]/Table6455[[#This Row],[CAREA]]</f>
        <v>1.3859157364061939E-2</v>
      </c>
      <c r="AE761">
        <v>2.60453</v>
      </c>
      <c r="AF761">
        <f>-(Table7456[[#This Row],[time]]-2)*2</f>
        <v>-1.20906</v>
      </c>
      <c r="AG761">
        <v>72.741100000000003</v>
      </c>
      <c r="AH761">
        <v>47.888800000000003</v>
      </c>
      <c r="AI761">
        <f>Table7456[[#This Row],[CFNM]]/Table7456[[#This Row],[CAREA]]</f>
        <v>0.65834583199869123</v>
      </c>
      <c r="AJ761">
        <v>2.60453</v>
      </c>
      <c r="AK761">
        <f>-(Table8457[[#This Row],[time]]-2)*2</f>
        <v>-1.20906</v>
      </c>
      <c r="AL761">
        <v>79.214500000000001</v>
      </c>
      <c r="AM761">
        <v>10.552199999999999</v>
      </c>
      <c r="AN761">
        <f>Table8457[[#This Row],[CFNM]]/Table8457[[#This Row],[CAREA]]</f>
        <v>0.1332104602061491</v>
      </c>
    </row>
    <row r="762" spans="1:40" x14ac:dyDescent="0.25">
      <c r="A762">
        <v>2.65273</v>
      </c>
      <c r="B762">
        <f>-(Table1450[[#This Row],[time]]-2)*2</f>
        <v>-1.3054600000000001</v>
      </c>
      <c r="C762">
        <v>101.063</v>
      </c>
      <c r="D762">
        <v>32.149000000000001</v>
      </c>
      <c r="E762">
        <f>Table1450[[#This Row],[CFNM]]/Table1450[[#This Row],[CAREA]]</f>
        <v>0.31810850657510664</v>
      </c>
      <c r="F762">
        <v>2.65273</v>
      </c>
      <c r="G762">
        <f>-(Table2451[[#This Row],[time]]-2)*2</f>
        <v>-1.3054600000000001</v>
      </c>
      <c r="H762">
        <v>79.324799999999996</v>
      </c>
      <c r="I762">
        <v>3.9011699999999998E-3</v>
      </c>
      <c r="J762">
        <f>Table2451[[#This Row],[CFNM]]/Table2451[[#This Row],[CAREA]]</f>
        <v>4.9179701682197749E-5</v>
      </c>
      <c r="K762">
        <v>2.65273</v>
      </c>
      <c r="L762">
        <f>-(Table3452[[#This Row],[time]]-2)*2</f>
        <v>-1.3054600000000001</v>
      </c>
      <c r="M762">
        <v>85.689700000000002</v>
      </c>
      <c r="N762">
        <v>29.319700000000001</v>
      </c>
      <c r="O762">
        <f>Table3452[[#This Row],[CFNM]]/Table3452[[#This Row],[CAREA]]</f>
        <v>0.34216130993573324</v>
      </c>
      <c r="P762">
        <v>2.65273</v>
      </c>
      <c r="Q762">
        <f>-(Table4453[[#This Row],[time]]-2)*2</f>
        <v>-1.3054600000000001</v>
      </c>
      <c r="R762">
        <v>70.099599999999995</v>
      </c>
      <c r="S762">
        <v>3.8944999999999999</v>
      </c>
      <c r="T762">
        <f>Table4453[[#This Row],[CFNM]]/Table4453[[#This Row],[CAREA]]</f>
        <v>5.5556665087960561E-2</v>
      </c>
      <c r="U762">
        <v>2.65273</v>
      </c>
      <c r="V762">
        <f>-(Table5454[[#This Row],[time]]-2)*2</f>
        <v>-1.3054600000000001</v>
      </c>
      <c r="W762">
        <v>83.750600000000006</v>
      </c>
      <c r="X762">
        <v>34.016599999999997</v>
      </c>
      <c r="Y762">
        <f>Table5454[[#This Row],[CFNM]]/Table5454[[#This Row],[CAREA]]</f>
        <v>0.40616544836693702</v>
      </c>
      <c r="Z762">
        <v>2.65273</v>
      </c>
      <c r="AA762">
        <f>-(Table6455[[#This Row],[time]]-2)*2</f>
        <v>-1.3054600000000001</v>
      </c>
      <c r="AB762">
        <v>69.333500000000001</v>
      </c>
      <c r="AC762">
        <v>0.89170799999999995</v>
      </c>
      <c r="AD762">
        <f>Table6455[[#This Row],[CFNM]]/Table6455[[#This Row],[CAREA]]</f>
        <v>1.2861142160715959E-2</v>
      </c>
      <c r="AE762">
        <v>2.65273</v>
      </c>
      <c r="AF762">
        <f>-(Table7456[[#This Row],[time]]-2)*2</f>
        <v>-1.3054600000000001</v>
      </c>
      <c r="AG762">
        <v>72.431700000000006</v>
      </c>
      <c r="AH762">
        <v>48.7742</v>
      </c>
      <c r="AI762">
        <f>Table7456[[#This Row],[CFNM]]/Table7456[[#This Row],[CAREA]]</f>
        <v>0.67338195845189319</v>
      </c>
      <c r="AJ762">
        <v>2.65273</v>
      </c>
      <c r="AK762">
        <f>-(Table8457[[#This Row],[time]]-2)*2</f>
        <v>-1.3054600000000001</v>
      </c>
      <c r="AL762">
        <v>78.908100000000005</v>
      </c>
      <c r="AM762">
        <v>10.282299999999999</v>
      </c>
      <c r="AN762">
        <f>Table8457[[#This Row],[CFNM]]/Table8457[[#This Row],[CAREA]]</f>
        <v>0.13030728150848897</v>
      </c>
    </row>
    <row r="763" spans="1:40" x14ac:dyDescent="0.25">
      <c r="A763">
        <v>2.7006199999999998</v>
      </c>
      <c r="B763">
        <f>-(Table1450[[#This Row],[time]]-2)*2</f>
        <v>-1.4012399999999996</v>
      </c>
      <c r="C763">
        <v>101.252</v>
      </c>
      <c r="D763">
        <v>36.261299999999999</v>
      </c>
      <c r="E763">
        <f>Table1450[[#This Row],[CFNM]]/Table1450[[#This Row],[CAREA]]</f>
        <v>0.35812922213882198</v>
      </c>
      <c r="F763">
        <v>2.7006199999999998</v>
      </c>
      <c r="G763">
        <f>-(Table2451[[#This Row],[time]]-2)*2</f>
        <v>-1.4012399999999996</v>
      </c>
      <c r="H763">
        <v>77.798699999999997</v>
      </c>
      <c r="I763">
        <v>3.65183E-3</v>
      </c>
      <c r="J763">
        <f>Table2451[[#This Row],[CFNM]]/Table2451[[#This Row],[CAREA]]</f>
        <v>4.693947328168723E-5</v>
      </c>
      <c r="K763">
        <v>2.7006199999999998</v>
      </c>
      <c r="L763">
        <f>-(Table3452[[#This Row],[time]]-2)*2</f>
        <v>-1.4012399999999996</v>
      </c>
      <c r="M763">
        <v>84.401200000000003</v>
      </c>
      <c r="N763">
        <v>33.153399999999998</v>
      </c>
      <c r="O763">
        <f>Table3452[[#This Row],[CFNM]]/Table3452[[#This Row],[CAREA]]</f>
        <v>0.39280721127187762</v>
      </c>
      <c r="P763">
        <v>2.7006199999999998</v>
      </c>
      <c r="Q763">
        <f>-(Table4453[[#This Row],[time]]-2)*2</f>
        <v>-1.4012399999999996</v>
      </c>
      <c r="R763">
        <v>67.806700000000006</v>
      </c>
      <c r="S763">
        <v>3.9116399999999998</v>
      </c>
      <c r="T763">
        <f>Table4453[[#This Row],[CFNM]]/Table4453[[#This Row],[CAREA]]</f>
        <v>5.7688104567837684E-2</v>
      </c>
      <c r="U763">
        <v>2.7006199999999998</v>
      </c>
      <c r="V763">
        <f>-(Table5454[[#This Row],[time]]-2)*2</f>
        <v>-1.4012399999999996</v>
      </c>
      <c r="W763">
        <v>83.191199999999995</v>
      </c>
      <c r="X763">
        <v>37.116300000000003</v>
      </c>
      <c r="Y763">
        <f>Table5454[[#This Row],[CFNM]]/Table5454[[#This Row],[CAREA]]</f>
        <v>0.44615656463664433</v>
      </c>
      <c r="Z763">
        <v>2.7006199999999998</v>
      </c>
      <c r="AA763">
        <f>-(Table6455[[#This Row],[time]]-2)*2</f>
        <v>-1.4012399999999996</v>
      </c>
      <c r="AB763">
        <v>68.023499999999999</v>
      </c>
      <c r="AC763">
        <v>0.68406100000000003</v>
      </c>
      <c r="AD763">
        <f>Table6455[[#This Row],[CFNM]]/Table6455[[#This Row],[CAREA]]</f>
        <v>1.005624526817938E-2</v>
      </c>
      <c r="AE763">
        <v>2.7006199999999998</v>
      </c>
      <c r="AF763">
        <f>-(Table7456[[#This Row],[time]]-2)*2</f>
        <v>-1.4012399999999996</v>
      </c>
      <c r="AG763">
        <v>71.481899999999996</v>
      </c>
      <c r="AH763">
        <v>51.836799999999997</v>
      </c>
      <c r="AI763">
        <f>Table7456[[#This Row],[CFNM]]/Table7456[[#This Row],[CAREA]]</f>
        <v>0.72517378525193088</v>
      </c>
      <c r="AJ763">
        <v>2.7006199999999998</v>
      </c>
      <c r="AK763">
        <f>-(Table8457[[#This Row],[time]]-2)*2</f>
        <v>-1.4012399999999996</v>
      </c>
      <c r="AL763">
        <v>78.634</v>
      </c>
      <c r="AM763">
        <v>9.3427799999999994</v>
      </c>
      <c r="AN763">
        <f>Table8457[[#This Row],[CFNM]]/Table8457[[#This Row],[CAREA]]</f>
        <v>0.11881349034768675</v>
      </c>
    </row>
    <row r="764" spans="1:40" x14ac:dyDescent="0.25">
      <c r="A764">
        <v>2.75176</v>
      </c>
      <c r="B764">
        <f>-(Table1450[[#This Row],[time]]-2)*2</f>
        <v>-1.50352</v>
      </c>
      <c r="C764">
        <v>101.23699999999999</v>
      </c>
      <c r="D764">
        <v>41.4221</v>
      </c>
      <c r="E764">
        <f>Table1450[[#This Row],[CFNM]]/Table1450[[#This Row],[CAREA]]</f>
        <v>0.40915969457806933</v>
      </c>
      <c r="F764">
        <v>2.75176</v>
      </c>
      <c r="G764">
        <f>-(Table2451[[#This Row],[time]]-2)*2</f>
        <v>-1.50352</v>
      </c>
      <c r="H764">
        <v>75.398200000000003</v>
      </c>
      <c r="I764">
        <v>3.3924699999999999E-3</v>
      </c>
      <c r="J764">
        <f>Table2451[[#This Row],[CFNM]]/Table2451[[#This Row],[CAREA]]</f>
        <v>4.4994044950675211E-5</v>
      </c>
      <c r="K764">
        <v>2.75176</v>
      </c>
      <c r="L764">
        <f>-(Table3452[[#This Row],[time]]-2)*2</f>
        <v>-1.50352</v>
      </c>
      <c r="M764">
        <v>83.139700000000005</v>
      </c>
      <c r="N764">
        <v>38.700800000000001</v>
      </c>
      <c r="O764">
        <f>Table3452[[#This Row],[CFNM]]/Table3452[[#This Row],[CAREA]]</f>
        <v>0.4654912153880757</v>
      </c>
      <c r="P764">
        <v>2.75176</v>
      </c>
      <c r="Q764">
        <f>-(Table4453[[#This Row],[time]]-2)*2</f>
        <v>-1.50352</v>
      </c>
      <c r="R764">
        <v>65.247699999999995</v>
      </c>
      <c r="S764">
        <v>3.5746600000000002</v>
      </c>
      <c r="T764">
        <f>Table4453[[#This Row],[CFNM]]/Table4453[[#This Row],[CAREA]]</f>
        <v>5.4785992456439087E-2</v>
      </c>
      <c r="U764">
        <v>2.75176</v>
      </c>
      <c r="V764">
        <f>-(Table5454[[#This Row],[time]]-2)*2</f>
        <v>-1.50352</v>
      </c>
      <c r="W764">
        <v>82.468999999999994</v>
      </c>
      <c r="X764">
        <v>41.042400000000001</v>
      </c>
      <c r="Y764">
        <f>Table5454[[#This Row],[CFNM]]/Table5454[[#This Row],[CAREA]]</f>
        <v>0.49767063987680221</v>
      </c>
      <c r="Z764">
        <v>2.75176</v>
      </c>
      <c r="AA764">
        <f>-(Table6455[[#This Row],[time]]-2)*2</f>
        <v>-1.50352</v>
      </c>
      <c r="AB764">
        <v>63.440899999999999</v>
      </c>
      <c r="AC764">
        <v>0.47093600000000002</v>
      </c>
      <c r="AD764">
        <f>Table6455[[#This Row],[CFNM]]/Table6455[[#This Row],[CAREA]]</f>
        <v>7.4232238193342156E-3</v>
      </c>
      <c r="AE764">
        <v>2.75176</v>
      </c>
      <c r="AF764">
        <f>-(Table7456[[#This Row],[time]]-2)*2</f>
        <v>-1.50352</v>
      </c>
      <c r="AG764">
        <v>70.338399999999993</v>
      </c>
      <c r="AH764">
        <v>55.586300000000001</v>
      </c>
      <c r="AI764">
        <f>Table7456[[#This Row],[CFNM]]/Table7456[[#This Row],[CAREA]]</f>
        <v>0.79026961090954595</v>
      </c>
      <c r="AJ764">
        <v>2.75176</v>
      </c>
      <c r="AK764">
        <f>-(Table8457[[#This Row],[time]]-2)*2</f>
        <v>-1.50352</v>
      </c>
      <c r="AL764">
        <v>77.695599999999999</v>
      </c>
      <c r="AM764">
        <v>8.1524599999999996</v>
      </c>
      <c r="AN764">
        <f>Table8457[[#This Row],[CFNM]]/Table8457[[#This Row],[CAREA]]</f>
        <v>0.10492820700271314</v>
      </c>
    </row>
    <row r="765" spans="1:40" x14ac:dyDescent="0.25">
      <c r="A765">
        <v>2.80444</v>
      </c>
      <c r="B765">
        <f>-(Table1450[[#This Row],[time]]-2)*2</f>
        <v>-1.6088800000000001</v>
      </c>
      <c r="C765">
        <v>100.899</v>
      </c>
      <c r="D765">
        <v>44.167499999999997</v>
      </c>
      <c r="E765">
        <f>Table1450[[#This Row],[CFNM]]/Table1450[[#This Row],[CAREA]]</f>
        <v>0.4377397199179377</v>
      </c>
      <c r="F765">
        <v>2.80444</v>
      </c>
      <c r="G765">
        <f>-(Table2451[[#This Row],[time]]-2)*2</f>
        <v>-1.6088800000000001</v>
      </c>
      <c r="H765">
        <v>72.1614</v>
      </c>
      <c r="I765">
        <v>3.26428E-3</v>
      </c>
      <c r="J765">
        <f>Table2451[[#This Row],[CFNM]]/Table2451[[#This Row],[CAREA]]</f>
        <v>4.5235818595537224E-5</v>
      </c>
      <c r="K765">
        <v>2.80444</v>
      </c>
      <c r="L765">
        <f>-(Table3452[[#This Row],[time]]-2)*2</f>
        <v>-1.6088800000000001</v>
      </c>
      <c r="M765">
        <v>82.474900000000005</v>
      </c>
      <c r="N765">
        <v>41.760800000000003</v>
      </c>
      <c r="O765">
        <f>Table3452[[#This Row],[CFNM]]/Table3452[[#This Row],[CAREA]]</f>
        <v>0.50634556695430977</v>
      </c>
      <c r="P765">
        <v>2.80444</v>
      </c>
      <c r="Q765">
        <f>-(Table4453[[#This Row],[time]]-2)*2</f>
        <v>-1.6088800000000001</v>
      </c>
      <c r="R765">
        <v>65.118099999999998</v>
      </c>
      <c r="S765">
        <v>3.37236</v>
      </c>
      <c r="T765">
        <f>Table4453[[#This Row],[CFNM]]/Table4453[[#This Row],[CAREA]]</f>
        <v>5.1788366061049078E-2</v>
      </c>
      <c r="U765">
        <v>2.80444</v>
      </c>
      <c r="V765">
        <f>-(Table5454[[#This Row],[time]]-2)*2</f>
        <v>-1.6088800000000001</v>
      </c>
      <c r="W765">
        <v>82.102199999999996</v>
      </c>
      <c r="X765">
        <v>43.213999999999999</v>
      </c>
      <c r="Y765">
        <f>Table5454[[#This Row],[CFNM]]/Table5454[[#This Row],[CAREA]]</f>
        <v>0.52634399565419687</v>
      </c>
      <c r="Z765">
        <v>2.80444</v>
      </c>
      <c r="AA765">
        <f>-(Table6455[[#This Row],[time]]-2)*2</f>
        <v>-1.6088800000000001</v>
      </c>
      <c r="AB765">
        <v>62.5062</v>
      </c>
      <c r="AC765">
        <v>0.36930000000000002</v>
      </c>
      <c r="AD765">
        <f>Table6455[[#This Row],[CFNM]]/Table6455[[#This Row],[CAREA]]</f>
        <v>5.9082139051806065E-3</v>
      </c>
      <c r="AE765">
        <v>2.80444</v>
      </c>
      <c r="AF765">
        <f>-(Table7456[[#This Row],[time]]-2)*2</f>
        <v>-1.6088800000000001</v>
      </c>
      <c r="AG765">
        <v>69.720299999999995</v>
      </c>
      <c r="AH765">
        <v>57.670699999999997</v>
      </c>
      <c r="AI765">
        <f>Table7456[[#This Row],[CFNM]]/Table7456[[#This Row],[CAREA]]</f>
        <v>0.82717228698097978</v>
      </c>
      <c r="AJ765">
        <v>2.80444</v>
      </c>
      <c r="AK765">
        <f>-(Table8457[[#This Row],[time]]-2)*2</f>
        <v>-1.6088800000000001</v>
      </c>
      <c r="AL765">
        <v>77.072100000000006</v>
      </c>
      <c r="AM765">
        <v>7.5195800000000004</v>
      </c>
      <c r="AN765">
        <f>Table8457[[#This Row],[CFNM]]/Table8457[[#This Row],[CAREA]]</f>
        <v>9.7565526305887607E-2</v>
      </c>
    </row>
    <row r="766" spans="1:40" x14ac:dyDescent="0.25">
      <c r="A766">
        <v>2.8583699999999999</v>
      </c>
      <c r="B766">
        <f>-(Table1450[[#This Row],[time]]-2)*2</f>
        <v>-1.7167399999999997</v>
      </c>
      <c r="C766">
        <v>100.29300000000001</v>
      </c>
      <c r="D766">
        <v>48.637300000000003</v>
      </c>
      <c r="E766">
        <f>Table1450[[#This Row],[CFNM]]/Table1450[[#This Row],[CAREA]]</f>
        <v>0.48495209037520065</v>
      </c>
      <c r="F766">
        <v>2.8583699999999999</v>
      </c>
      <c r="G766">
        <f>-(Table2451[[#This Row],[time]]-2)*2</f>
        <v>-1.7167399999999997</v>
      </c>
      <c r="H766">
        <v>70.161000000000001</v>
      </c>
      <c r="I766">
        <v>3.0843099999999998E-3</v>
      </c>
      <c r="J766">
        <f>Table2451[[#This Row],[CFNM]]/Table2451[[#This Row],[CAREA]]</f>
        <v>4.3960462365131621E-5</v>
      </c>
      <c r="K766">
        <v>2.8583699999999999</v>
      </c>
      <c r="L766">
        <f>-(Table3452[[#This Row],[time]]-2)*2</f>
        <v>-1.7167399999999997</v>
      </c>
      <c r="M766">
        <v>81.408100000000005</v>
      </c>
      <c r="N766">
        <v>46.640500000000003</v>
      </c>
      <c r="O766">
        <f>Table3452[[#This Row],[CFNM]]/Table3452[[#This Row],[CAREA]]</f>
        <v>0.57292210480283901</v>
      </c>
      <c r="P766">
        <v>2.8583699999999999</v>
      </c>
      <c r="Q766">
        <f>-(Table4453[[#This Row],[time]]-2)*2</f>
        <v>-1.7167399999999997</v>
      </c>
      <c r="R766">
        <v>63.522500000000001</v>
      </c>
      <c r="S766">
        <v>3.0471200000000001</v>
      </c>
      <c r="T766">
        <f>Table4453[[#This Row],[CFNM]]/Table4453[[#This Row],[CAREA]]</f>
        <v>4.7969144791215709E-2</v>
      </c>
      <c r="U766">
        <v>2.8583699999999999</v>
      </c>
      <c r="V766">
        <f>-(Table5454[[#This Row],[time]]-2)*2</f>
        <v>-1.7167399999999997</v>
      </c>
      <c r="W766">
        <v>81.387600000000006</v>
      </c>
      <c r="X766">
        <v>46.764499999999998</v>
      </c>
      <c r="Y766">
        <f>Table5454[[#This Row],[CFNM]]/Table5454[[#This Row],[CAREA]]</f>
        <v>0.57458998668101768</v>
      </c>
      <c r="Z766">
        <v>2.8583699999999999</v>
      </c>
      <c r="AA766">
        <f>-(Table6455[[#This Row],[time]]-2)*2</f>
        <v>-1.7167399999999997</v>
      </c>
      <c r="AB766">
        <v>62.240699999999997</v>
      </c>
      <c r="AC766">
        <v>0.22136600000000001</v>
      </c>
      <c r="AD766">
        <f>Table6455[[#This Row],[CFNM]]/Table6455[[#This Row],[CAREA]]</f>
        <v>3.5566116704985645E-3</v>
      </c>
      <c r="AE766">
        <v>2.8583699999999999</v>
      </c>
      <c r="AF766">
        <f>-(Table7456[[#This Row],[time]]-2)*2</f>
        <v>-1.7167399999999997</v>
      </c>
      <c r="AG766">
        <v>68.769900000000007</v>
      </c>
      <c r="AH766">
        <v>61.128500000000003</v>
      </c>
      <c r="AI766">
        <f>Table7456[[#This Row],[CFNM]]/Table7456[[#This Row],[CAREA]]</f>
        <v>0.88888452651523409</v>
      </c>
      <c r="AJ766">
        <v>2.8583699999999999</v>
      </c>
      <c r="AK766">
        <f>-(Table8457[[#This Row],[time]]-2)*2</f>
        <v>-1.7167399999999997</v>
      </c>
      <c r="AL766">
        <v>74.816900000000004</v>
      </c>
      <c r="AM766">
        <v>6.5062100000000003</v>
      </c>
      <c r="AN766">
        <f>Table8457[[#This Row],[CFNM]]/Table8457[[#This Row],[CAREA]]</f>
        <v>8.6961769332864633E-2</v>
      </c>
    </row>
    <row r="767" spans="1:40" x14ac:dyDescent="0.25">
      <c r="A767">
        <v>2.9134199999999999</v>
      </c>
      <c r="B767">
        <f>-(Table1450[[#This Row],[time]]-2)*2</f>
        <v>-1.8268399999999998</v>
      </c>
      <c r="C767">
        <v>99.765699999999995</v>
      </c>
      <c r="D767">
        <v>51.538899999999998</v>
      </c>
      <c r="E767">
        <f>Table1450[[#This Row],[CFNM]]/Table1450[[#This Row],[CAREA]]</f>
        <v>0.51659939237633778</v>
      </c>
      <c r="F767">
        <v>2.9134199999999999</v>
      </c>
      <c r="G767">
        <f>-(Table2451[[#This Row],[time]]-2)*2</f>
        <v>-1.8268399999999998</v>
      </c>
      <c r="H767">
        <v>69.681200000000004</v>
      </c>
      <c r="I767">
        <v>2.9707100000000001E-3</v>
      </c>
      <c r="J767">
        <f>Table2451[[#This Row],[CFNM]]/Table2451[[#This Row],[CAREA]]</f>
        <v>4.2632876586511136E-5</v>
      </c>
      <c r="K767">
        <v>2.9134199999999999</v>
      </c>
      <c r="L767">
        <f>-(Table3452[[#This Row],[time]]-2)*2</f>
        <v>-1.8268399999999998</v>
      </c>
      <c r="M767">
        <v>80.742400000000004</v>
      </c>
      <c r="N767">
        <v>49.8185</v>
      </c>
      <c r="O767">
        <f>Table3452[[#This Row],[CFNM]]/Table3452[[#This Row],[CAREA]]</f>
        <v>0.61700543952124287</v>
      </c>
      <c r="P767">
        <v>2.9134199999999999</v>
      </c>
      <c r="Q767">
        <f>-(Table4453[[#This Row],[time]]-2)*2</f>
        <v>-1.8268399999999998</v>
      </c>
      <c r="R767">
        <v>63.4086</v>
      </c>
      <c r="S767">
        <v>2.85609</v>
      </c>
      <c r="T767">
        <f>Table4453[[#This Row],[CFNM]]/Table4453[[#This Row],[CAREA]]</f>
        <v>4.5042628287014698E-2</v>
      </c>
      <c r="U767">
        <v>2.9134199999999999</v>
      </c>
      <c r="V767">
        <f>-(Table5454[[#This Row],[time]]-2)*2</f>
        <v>-1.8268399999999998</v>
      </c>
      <c r="W767">
        <v>80.958699999999993</v>
      </c>
      <c r="X767">
        <v>49.1496</v>
      </c>
      <c r="Y767">
        <f>Table5454[[#This Row],[CFNM]]/Table5454[[#This Row],[CAREA]]</f>
        <v>0.6070947285467776</v>
      </c>
      <c r="Z767">
        <v>2.9134199999999999</v>
      </c>
      <c r="AA767">
        <f>-(Table6455[[#This Row],[time]]-2)*2</f>
        <v>-1.8268399999999998</v>
      </c>
      <c r="AB767">
        <v>59.756999999999998</v>
      </c>
      <c r="AC767">
        <v>0.129242</v>
      </c>
      <c r="AD767">
        <f>Table6455[[#This Row],[CFNM]]/Table6455[[#This Row],[CAREA]]</f>
        <v>2.1627926435396688E-3</v>
      </c>
      <c r="AE767">
        <v>2.9134199999999999</v>
      </c>
      <c r="AF767">
        <f>-(Table7456[[#This Row],[time]]-2)*2</f>
        <v>-1.8268399999999998</v>
      </c>
      <c r="AG767">
        <v>68.0672</v>
      </c>
      <c r="AH767">
        <v>63.435000000000002</v>
      </c>
      <c r="AI767">
        <f>Table7456[[#This Row],[CFNM]]/Table7456[[#This Row],[CAREA]]</f>
        <v>0.93194666447275643</v>
      </c>
      <c r="AJ767">
        <v>2.9134199999999999</v>
      </c>
      <c r="AK767">
        <f>-(Table8457[[#This Row],[time]]-2)*2</f>
        <v>-1.8268399999999998</v>
      </c>
      <c r="AL767">
        <v>73.372299999999996</v>
      </c>
      <c r="AM767">
        <v>5.8447300000000002</v>
      </c>
      <c r="AN767">
        <f>Table8457[[#This Row],[CFNM]]/Table8457[[#This Row],[CAREA]]</f>
        <v>7.9658535987014181E-2</v>
      </c>
    </row>
    <row r="768" spans="1:40" x14ac:dyDescent="0.25">
      <c r="A768">
        <v>2.9619599999999999</v>
      </c>
      <c r="B768">
        <f>-(Table1450[[#This Row],[time]]-2)*2</f>
        <v>-1.9239199999999999</v>
      </c>
      <c r="C768">
        <v>98.763499999999993</v>
      </c>
      <c r="D768">
        <v>55.379300000000001</v>
      </c>
      <c r="E768">
        <f>Table1450[[#This Row],[CFNM]]/Table1450[[#This Row],[CAREA]]</f>
        <v>0.56072638170984224</v>
      </c>
      <c r="F768">
        <v>2.9619599999999999</v>
      </c>
      <c r="G768">
        <f>-(Table2451[[#This Row],[time]]-2)*2</f>
        <v>-1.9239199999999999</v>
      </c>
      <c r="H768">
        <v>66.415099999999995</v>
      </c>
      <c r="I768">
        <v>2.8231699999999998E-3</v>
      </c>
      <c r="J768">
        <f>Table2451[[#This Row],[CFNM]]/Table2451[[#This Row],[CAREA]]</f>
        <v>4.2507953763526671E-5</v>
      </c>
      <c r="K768">
        <v>2.9619599999999999</v>
      </c>
      <c r="L768">
        <f>-(Table3452[[#This Row],[time]]-2)*2</f>
        <v>-1.9239199999999999</v>
      </c>
      <c r="M768">
        <v>79.897300000000001</v>
      </c>
      <c r="N768">
        <v>54.023200000000003</v>
      </c>
      <c r="O768">
        <f>Table3452[[#This Row],[CFNM]]/Table3452[[#This Row],[CAREA]]</f>
        <v>0.67615801785542196</v>
      </c>
      <c r="P768">
        <v>2.9619599999999999</v>
      </c>
      <c r="Q768">
        <f>-(Table4453[[#This Row],[time]]-2)*2</f>
        <v>-1.9239199999999999</v>
      </c>
      <c r="R768">
        <v>62.605899999999998</v>
      </c>
      <c r="S768">
        <v>2.6372300000000002</v>
      </c>
      <c r="T768">
        <f>Table4453[[#This Row],[CFNM]]/Table4453[[#This Row],[CAREA]]</f>
        <v>4.2124304578322495E-2</v>
      </c>
      <c r="U768">
        <v>2.9619599999999999</v>
      </c>
      <c r="V768">
        <f>-(Table5454[[#This Row],[time]]-2)*2</f>
        <v>-1.9239199999999999</v>
      </c>
      <c r="W768">
        <v>80.215999999999994</v>
      </c>
      <c r="X768">
        <v>52.436</v>
      </c>
      <c r="Y768">
        <f>Table5454[[#This Row],[CFNM]]/Table5454[[#This Row],[CAREA]]</f>
        <v>0.65368505036401725</v>
      </c>
      <c r="Z768">
        <v>2.9619599999999999</v>
      </c>
      <c r="AA768">
        <f>-(Table6455[[#This Row],[time]]-2)*2</f>
        <v>-1.9239199999999999</v>
      </c>
      <c r="AB768">
        <v>56.894399999999997</v>
      </c>
      <c r="AC768">
        <v>3.8139699999999999E-3</v>
      </c>
      <c r="AD768">
        <f>Table6455[[#This Row],[CFNM]]/Table6455[[#This Row],[CAREA]]</f>
        <v>6.7035947298855418E-5</v>
      </c>
      <c r="AE768">
        <v>2.9619599999999999</v>
      </c>
      <c r="AF768">
        <f>-(Table7456[[#This Row],[time]]-2)*2</f>
        <v>-1.9239199999999999</v>
      </c>
      <c r="AG768">
        <v>67.208299999999994</v>
      </c>
      <c r="AH768">
        <v>66.622799999999998</v>
      </c>
      <c r="AI768">
        <f>Table7456[[#This Row],[CFNM]]/Table7456[[#This Row],[CAREA]]</f>
        <v>0.99128827838228317</v>
      </c>
      <c r="AJ768">
        <v>2.9619599999999999</v>
      </c>
      <c r="AK768">
        <f>-(Table8457[[#This Row],[time]]-2)*2</f>
        <v>-1.9239199999999999</v>
      </c>
      <c r="AL768">
        <v>71.196100000000001</v>
      </c>
      <c r="AM768">
        <v>4.9196299999999997</v>
      </c>
      <c r="AN768">
        <f>Table8457[[#This Row],[CFNM]]/Table8457[[#This Row],[CAREA]]</f>
        <v>6.9099711922422716E-2</v>
      </c>
    </row>
    <row r="769" spans="1:40" x14ac:dyDescent="0.25">
      <c r="A769">
        <v>3</v>
      </c>
      <c r="B769">
        <f>-(Table1450[[#This Row],[time]]-2)*2</f>
        <v>-2</v>
      </c>
      <c r="C769">
        <v>97.952299999999994</v>
      </c>
      <c r="D769">
        <v>58.197699999999998</v>
      </c>
      <c r="E769">
        <f>Table1450[[#This Row],[CFNM]]/Table1450[[#This Row],[CAREA]]</f>
        <v>0.59414327177616044</v>
      </c>
      <c r="F769">
        <v>3</v>
      </c>
      <c r="G769">
        <f>-(Table2451[[#This Row],[time]]-2)*2</f>
        <v>-2</v>
      </c>
      <c r="H769">
        <v>64.928200000000004</v>
      </c>
      <c r="I769">
        <v>2.7273200000000001E-3</v>
      </c>
      <c r="J769">
        <f>Table2451[[#This Row],[CFNM]]/Table2451[[#This Row],[CAREA]]</f>
        <v>4.2005168786444099E-5</v>
      </c>
      <c r="K769">
        <v>3</v>
      </c>
      <c r="L769">
        <f>-(Table3452[[#This Row],[time]]-2)*2</f>
        <v>-2</v>
      </c>
      <c r="M769">
        <v>79.357500000000002</v>
      </c>
      <c r="N769">
        <v>57.099699999999999</v>
      </c>
      <c r="O769">
        <f>Table3452[[#This Row],[CFNM]]/Table3452[[#This Row],[CAREA]]</f>
        <v>0.71952493463125722</v>
      </c>
      <c r="P769">
        <v>3</v>
      </c>
      <c r="Q769">
        <f>-(Table4453[[#This Row],[time]]-2)*2</f>
        <v>-2</v>
      </c>
      <c r="R769">
        <v>62.4925</v>
      </c>
      <c r="S769">
        <v>2.4871300000000001</v>
      </c>
      <c r="T769">
        <f>Table4453[[#This Row],[CFNM]]/Table4453[[#This Row],[CAREA]]</f>
        <v>3.9798855862703528E-2</v>
      </c>
      <c r="U769">
        <v>3</v>
      </c>
      <c r="V769">
        <f>-(Table5454[[#This Row],[time]]-2)*2</f>
        <v>-2</v>
      </c>
      <c r="W769">
        <v>79.928700000000006</v>
      </c>
      <c r="X769">
        <v>54.8902</v>
      </c>
      <c r="Y769">
        <f>Table5454[[#This Row],[CFNM]]/Table5454[[#This Row],[CAREA]]</f>
        <v>0.68673955662984631</v>
      </c>
      <c r="Z769">
        <v>3</v>
      </c>
      <c r="AA769">
        <f>-(Table6455[[#This Row],[time]]-2)*2</f>
        <v>-2</v>
      </c>
      <c r="AB769">
        <v>56.050699999999999</v>
      </c>
      <c r="AC769">
        <v>2.3551000000000002E-3</v>
      </c>
      <c r="AD769">
        <f>Table6455[[#This Row],[CFNM]]/Table6455[[#This Row],[CAREA]]</f>
        <v>4.2017316465271626E-5</v>
      </c>
      <c r="AE769">
        <v>3</v>
      </c>
      <c r="AF769">
        <f>-(Table7456[[#This Row],[time]]-2)*2</f>
        <v>-2</v>
      </c>
      <c r="AG769">
        <v>66.557000000000002</v>
      </c>
      <c r="AH769">
        <v>69.008700000000005</v>
      </c>
      <c r="AI769">
        <f>Table7456[[#This Row],[CFNM]]/Table7456[[#This Row],[CAREA]]</f>
        <v>1.0368360953768949</v>
      </c>
      <c r="AJ769">
        <v>3</v>
      </c>
      <c r="AK769">
        <f>-(Table8457[[#This Row],[time]]-2)*2</f>
        <v>-2</v>
      </c>
      <c r="AL769">
        <v>70.607699999999994</v>
      </c>
      <c r="AM769">
        <v>4.2718299999999996</v>
      </c>
      <c r="AN769">
        <f>Table8457[[#This Row],[CFNM]]/Table8457[[#This Row],[CAREA]]</f>
        <v>6.0500908541136447E-2</v>
      </c>
    </row>
    <row r="771" spans="1:40" x14ac:dyDescent="0.25">
      <c r="A771" t="s">
        <v>74</v>
      </c>
      <c r="E771" t="s">
        <v>1</v>
      </c>
    </row>
    <row r="772" spans="1:40" x14ac:dyDescent="0.25">
      <c r="A772" t="s">
        <v>75</v>
      </c>
      <c r="E772" t="s">
        <v>2</v>
      </c>
      <c r="F772" t="s">
        <v>3</v>
      </c>
    </row>
    <row r="774" spans="1:40" x14ac:dyDescent="0.25">
      <c r="A774" t="s">
        <v>5</v>
      </c>
      <c r="F774" t="s">
        <v>6</v>
      </c>
      <c r="K774" t="s">
        <v>7</v>
      </c>
      <c r="P774" t="s">
        <v>19</v>
      </c>
      <c r="U774" t="s">
        <v>8</v>
      </c>
      <c r="Z774" t="s">
        <v>9</v>
      </c>
      <c r="AE774" t="s">
        <v>10</v>
      </c>
      <c r="AJ774" t="s">
        <v>11</v>
      </c>
    </row>
    <row r="775" spans="1:40" x14ac:dyDescent="0.25">
      <c r="A775" t="s">
        <v>12</v>
      </c>
      <c r="B775" t="s">
        <v>13</v>
      </c>
      <c r="C775" t="s">
        <v>17</v>
      </c>
      <c r="D775" t="s">
        <v>15</v>
      </c>
      <c r="E775" t="s">
        <v>16</v>
      </c>
      <c r="F775" t="s">
        <v>12</v>
      </c>
      <c r="G775" t="s">
        <v>13</v>
      </c>
      <c r="H775" t="s">
        <v>17</v>
      </c>
      <c r="I775" t="s">
        <v>15</v>
      </c>
      <c r="J775" t="s">
        <v>16</v>
      </c>
      <c r="K775" t="s">
        <v>12</v>
      </c>
      <c r="L775" t="s">
        <v>13</v>
      </c>
      <c r="M775" t="s">
        <v>17</v>
      </c>
      <c r="N775" t="s">
        <v>15</v>
      </c>
      <c r="O775" t="s">
        <v>16</v>
      </c>
      <c r="P775" t="s">
        <v>12</v>
      </c>
      <c r="Q775" t="s">
        <v>13</v>
      </c>
      <c r="R775" t="s">
        <v>17</v>
      </c>
      <c r="S775" t="s">
        <v>15</v>
      </c>
      <c r="T775" t="s">
        <v>16</v>
      </c>
      <c r="U775" t="s">
        <v>12</v>
      </c>
      <c r="V775" t="s">
        <v>13</v>
      </c>
      <c r="W775" t="s">
        <v>17</v>
      </c>
      <c r="X775" t="s">
        <v>15</v>
      </c>
      <c r="Y775" t="s">
        <v>16</v>
      </c>
      <c r="Z775" t="s">
        <v>12</v>
      </c>
      <c r="AA775" t="s">
        <v>13</v>
      </c>
      <c r="AB775" t="s">
        <v>17</v>
      </c>
      <c r="AC775" t="s">
        <v>15</v>
      </c>
      <c r="AD775" t="s">
        <v>16</v>
      </c>
      <c r="AE775" t="s">
        <v>12</v>
      </c>
      <c r="AF775" t="s">
        <v>13</v>
      </c>
      <c r="AG775" t="s">
        <v>17</v>
      </c>
      <c r="AH775" t="s">
        <v>15</v>
      </c>
      <c r="AI775" t="s">
        <v>16</v>
      </c>
      <c r="AJ775" t="s">
        <v>12</v>
      </c>
      <c r="AK775" t="s">
        <v>13</v>
      </c>
      <c r="AL775" t="s">
        <v>17</v>
      </c>
      <c r="AM775" t="s">
        <v>15</v>
      </c>
      <c r="AN775" t="s">
        <v>16</v>
      </c>
    </row>
    <row r="776" spans="1:40" x14ac:dyDescent="0.25">
      <c r="A776">
        <v>2</v>
      </c>
      <c r="B776">
        <f>(Table110458[[#This Row],[time]]-2)*2</f>
        <v>0</v>
      </c>
      <c r="C776">
        <v>89.597300000000004</v>
      </c>
      <c r="D776">
        <v>7.6775399999999996</v>
      </c>
      <c r="E776" s="2">
        <f>Table110458[[#This Row],[CFNM]]/Table110458[[#This Row],[CAREA]]</f>
        <v>8.5689412515778926E-2</v>
      </c>
      <c r="F776">
        <v>2</v>
      </c>
      <c r="G776">
        <f>(Table211459[[#This Row],[time]]-2)*2</f>
        <v>0</v>
      </c>
      <c r="H776">
        <v>92.131299999999996</v>
      </c>
      <c r="I776">
        <v>0.23485200000000001</v>
      </c>
      <c r="J776" s="2">
        <f>Table211459[[#This Row],[CFNM]]/Table211459[[#This Row],[CAREA]]</f>
        <v>2.5491011198148731E-3</v>
      </c>
      <c r="K776">
        <v>2</v>
      </c>
      <c r="L776">
        <f>(Table312460[[#This Row],[time]]-2)*2</f>
        <v>0</v>
      </c>
      <c r="M776">
        <v>87.840900000000005</v>
      </c>
      <c r="N776">
        <v>1.0432900000000001</v>
      </c>
      <c r="O776">
        <f>Table312460[[#This Row],[CFNM]]/Table312460[[#This Row],[CAREA]]</f>
        <v>1.1877041332682156E-2</v>
      </c>
      <c r="P776">
        <v>2</v>
      </c>
      <c r="Q776">
        <f>(Table413461[[#This Row],[time]]-2)*2</f>
        <v>0</v>
      </c>
      <c r="R776">
        <v>82.212800000000001</v>
      </c>
      <c r="S776">
        <v>1.2537100000000001</v>
      </c>
      <c r="T776">
        <f>Table413461[[#This Row],[CFNM]]/Table413461[[#This Row],[CAREA]]</f>
        <v>1.5249571842827395E-2</v>
      </c>
      <c r="U776">
        <v>2</v>
      </c>
      <c r="V776">
        <f>(Table514462[[#This Row],[time]]-2)*2</f>
        <v>0</v>
      </c>
      <c r="W776">
        <v>83.035700000000006</v>
      </c>
      <c r="X776">
        <v>4.7089100000000004</v>
      </c>
      <c r="Y776">
        <f>Table514462[[#This Row],[CFNM]]/Table514462[[#This Row],[CAREA]]</f>
        <v>5.6709463519907702E-2</v>
      </c>
      <c r="Z776">
        <v>2</v>
      </c>
      <c r="AA776">
        <f>(Table615463[[#This Row],[time]]-2)*2</f>
        <v>0</v>
      </c>
      <c r="AB776">
        <v>86.564499999999995</v>
      </c>
      <c r="AC776">
        <v>7.2600199999999999</v>
      </c>
      <c r="AD776">
        <f>Table615463[[#This Row],[CFNM]]/Table615463[[#This Row],[CAREA]]</f>
        <v>8.3868329395999516E-2</v>
      </c>
      <c r="AE776">
        <v>2</v>
      </c>
      <c r="AF776">
        <f>(Table716464[[#This Row],[time]]-2)*2</f>
        <v>0</v>
      </c>
      <c r="AG776">
        <v>77.847899999999996</v>
      </c>
      <c r="AH776">
        <v>20.320699999999999</v>
      </c>
      <c r="AI776">
        <f>Table716464[[#This Row],[CFNM]]/Table716464[[#This Row],[CAREA]]</f>
        <v>0.26103080494143066</v>
      </c>
      <c r="AJ776">
        <v>2</v>
      </c>
      <c r="AK776">
        <f>(Table817465[[#This Row],[time]]-2)*2</f>
        <v>0</v>
      </c>
      <c r="AL776">
        <v>83.372500000000002</v>
      </c>
      <c r="AM776">
        <v>19.753900000000002</v>
      </c>
      <c r="AN776">
        <f>Table817465[[#This Row],[CFNM]]/Table817465[[#This Row],[CAREA]]</f>
        <v>0.23693544034303879</v>
      </c>
    </row>
    <row r="777" spans="1:40" x14ac:dyDescent="0.25">
      <c r="A777">
        <v>2.0512600000000001</v>
      </c>
      <c r="B777">
        <f>(Table110458[[#This Row],[time]]-2)*2</f>
        <v>0.10252000000000017</v>
      </c>
      <c r="C777">
        <v>90.537000000000006</v>
      </c>
      <c r="D777">
        <v>9.4145900000000005</v>
      </c>
      <c r="E777">
        <f>Table110458[[#This Row],[CFNM]]/Table110458[[#This Row],[CAREA]]</f>
        <v>0.1039861051282901</v>
      </c>
      <c r="F777">
        <v>2.0512600000000001</v>
      </c>
      <c r="G777">
        <f>(Table211459[[#This Row],[time]]-2)*2</f>
        <v>0.10252000000000017</v>
      </c>
      <c r="H777">
        <v>94.039299999999997</v>
      </c>
      <c r="I777">
        <v>2.65394</v>
      </c>
      <c r="J777">
        <f>Table211459[[#This Row],[CFNM]]/Table211459[[#This Row],[CAREA]]</f>
        <v>2.8221605222497403E-2</v>
      </c>
      <c r="K777">
        <v>2.0512600000000001</v>
      </c>
      <c r="L777">
        <f>(Table312460[[#This Row],[time]]-2)*2</f>
        <v>0.10252000000000017</v>
      </c>
      <c r="M777">
        <v>87.544799999999995</v>
      </c>
      <c r="N777">
        <v>2.8002899999999999</v>
      </c>
      <c r="O777">
        <f>Table312460[[#This Row],[CFNM]]/Table312460[[#This Row],[CAREA]]</f>
        <v>3.198693697398361E-2</v>
      </c>
      <c r="P777">
        <v>2.0512600000000001</v>
      </c>
      <c r="Q777">
        <f>(Table413461[[#This Row],[time]]-2)*2</f>
        <v>0.10252000000000017</v>
      </c>
      <c r="R777">
        <v>85.295699999999997</v>
      </c>
      <c r="S777">
        <v>5.8578200000000002</v>
      </c>
      <c r="T777">
        <f>Table413461[[#This Row],[CFNM]]/Table413461[[#This Row],[CAREA]]</f>
        <v>6.8676615585545345E-2</v>
      </c>
      <c r="U777">
        <v>2.0512600000000001</v>
      </c>
      <c r="V777">
        <f>(Table514462[[#This Row],[time]]-2)*2</f>
        <v>0.10252000000000017</v>
      </c>
      <c r="W777">
        <v>82.494799999999998</v>
      </c>
      <c r="X777">
        <v>7.0091900000000003</v>
      </c>
      <c r="Y777">
        <f>Table514462[[#This Row],[CFNM]]/Table514462[[#This Row],[CAREA]]</f>
        <v>8.4965234172335716E-2</v>
      </c>
      <c r="Z777">
        <v>2.0512600000000001</v>
      </c>
      <c r="AA777">
        <f>(Table615463[[#This Row],[time]]-2)*2</f>
        <v>0.10252000000000017</v>
      </c>
      <c r="AB777">
        <v>89.550899999999999</v>
      </c>
      <c r="AC777">
        <v>15.900499999999999</v>
      </c>
      <c r="AD777">
        <f>Table615463[[#This Row],[CFNM]]/Table615463[[#This Row],[CAREA]]</f>
        <v>0.17755823782898886</v>
      </c>
      <c r="AE777">
        <v>2.0512600000000001</v>
      </c>
      <c r="AF777">
        <f>(Table716464[[#This Row],[time]]-2)*2</f>
        <v>0.10252000000000017</v>
      </c>
      <c r="AG777">
        <v>77.694699999999997</v>
      </c>
      <c r="AH777">
        <v>20.8062</v>
      </c>
      <c r="AI777">
        <f>Table716464[[#This Row],[CFNM]]/Table716464[[#This Row],[CAREA]]</f>
        <v>0.26779432831325689</v>
      </c>
      <c r="AJ777">
        <v>2.0512600000000001</v>
      </c>
      <c r="AK777">
        <f>(Table817465[[#This Row],[time]]-2)*2</f>
        <v>0.10252000000000017</v>
      </c>
      <c r="AL777">
        <v>83.491600000000005</v>
      </c>
      <c r="AM777">
        <v>22.209800000000001</v>
      </c>
      <c r="AN777">
        <f>Table817465[[#This Row],[CFNM]]/Table817465[[#This Row],[CAREA]]</f>
        <v>0.26601238927029786</v>
      </c>
    </row>
    <row r="778" spans="1:40" x14ac:dyDescent="0.25">
      <c r="A778">
        <v>2.1153300000000002</v>
      </c>
      <c r="B778">
        <f>(Table110458[[#This Row],[time]]-2)*2</f>
        <v>0.23066000000000031</v>
      </c>
      <c r="C778">
        <v>88.748500000000007</v>
      </c>
      <c r="D778">
        <v>8.9496800000000007</v>
      </c>
      <c r="E778">
        <f>Table110458[[#This Row],[CFNM]]/Table110458[[#This Row],[CAREA]]</f>
        <v>0.10084316918032417</v>
      </c>
      <c r="F778">
        <v>2.1153300000000002</v>
      </c>
      <c r="G778">
        <f>(Table211459[[#This Row],[time]]-2)*2</f>
        <v>0.23066000000000031</v>
      </c>
      <c r="H778">
        <v>94.626999999999995</v>
      </c>
      <c r="I778">
        <v>3.3706399999999999</v>
      </c>
      <c r="J778">
        <f>Table211459[[#This Row],[CFNM]]/Table211459[[#This Row],[CAREA]]</f>
        <v>3.5620277510647065E-2</v>
      </c>
      <c r="K778">
        <v>2.1153300000000002</v>
      </c>
      <c r="L778">
        <f>(Table312460[[#This Row],[time]]-2)*2</f>
        <v>0.23066000000000031</v>
      </c>
      <c r="M778">
        <v>85.608199999999997</v>
      </c>
      <c r="N778">
        <v>2.01139</v>
      </c>
      <c r="O778">
        <f>Table312460[[#This Row],[CFNM]]/Table312460[[#This Row],[CAREA]]</f>
        <v>2.3495296011363399E-2</v>
      </c>
      <c r="P778">
        <v>2.1153300000000002</v>
      </c>
      <c r="Q778">
        <f>(Table413461[[#This Row],[time]]-2)*2</f>
        <v>0.23066000000000031</v>
      </c>
      <c r="R778">
        <v>87.836600000000004</v>
      </c>
      <c r="S778">
        <v>8.4008900000000004</v>
      </c>
      <c r="T778">
        <f>Table413461[[#This Row],[CFNM]]/Table413461[[#This Row],[CAREA]]</f>
        <v>9.5642249358467879E-2</v>
      </c>
      <c r="U778">
        <v>2.1153300000000002</v>
      </c>
      <c r="V778">
        <f>(Table514462[[#This Row],[time]]-2)*2</f>
        <v>0.23066000000000031</v>
      </c>
      <c r="W778">
        <v>81.043199999999999</v>
      </c>
      <c r="X778">
        <v>5.2145299999999999</v>
      </c>
      <c r="Y778">
        <f>Table514462[[#This Row],[CFNM]]/Table514462[[#This Row],[CAREA]]</f>
        <v>6.4342597528231862E-2</v>
      </c>
      <c r="Z778">
        <v>2.1153300000000002</v>
      </c>
      <c r="AA778">
        <f>(Table615463[[#This Row],[time]]-2)*2</f>
        <v>0.23066000000000031</v>
      </c>
      <c r="AB778">
        <v>90.447999999999993</v>
      </c>
      <c r="AC778">
        <v>20.2089</v>
      </c>
      <c r="AD778">
        <f>Table615463[[#This Row],[CFNM]]/Table615463[[#This Row],[CAREA]]</f>
        <v>0.22343114275605874</v>
      </c>
      <c r="AE778">
        <v>2.1153300000000002</v>
      </c>
      <c r="AF778">
        <f>(Table716464[[#This Row],[time]]-2)*2</f>
        <v>0.23066000000000031</v>
      </c>
      <c r="AG778">
        <v>77.578199999999995</v>
      </c>
      <c r="AH778">
        <v>20.484500000000001</v>
      </c>
      <c r="AI778">
        <f>Table716464[[#This Row],[CFNM]]/Table716464[[#This Row],[CAREA]]</f>
        <v>0.26404969437290376</v>
      </c>
      <c r="AJ778">
        <v>2.1153300000000002</v>
      </c>
      <c r="AK778">
        <f>(Table817465[[#This Row],[time]]-2)*2</f>
        <v>0.23066000000000031</v>
      </c>
      <c r="AL778">
        <v>83.779300000000006</v>
      </c>
      <c r="AM778">
        <v>24.471599999999999</v>
      </c>
      <c r="AN778">
        <f>Table817465[[#This Row],[CFNM]]/Table817465[[#This Row],[CAREA]]</f>
        <v>0.2920960189450138</v>
      </c>
    </row>
    <row r="779" spans="1:40" x14ac:dyDescent="0.25">
      <c r="A779">
        <v>2.16533</v>
      </c>
      <c r="B779">
        <f>(Table110458[[#This Row],[time]]-2)*2</f>
        <v>0.33065999999999995</v>
      </c>
      <c r="C779">
        <v>87.583500000000001</v>
      </c>
      <c r="D779">
        <v>8.8979199999999992</v>
      </c>
      <c r="E779">
        <f>Table110458[[#This Row],[CFNM]]/Table110458[[#This Row],[CAREA]]</f>
        <v>0.10159356499797335</v>
      </c>
      <c r="F779">
        <v>2.16533</v>
      </c>
      <c r="G779">
        <f>(Table211459[[#This Row],[time]]-2)*2</f>
        <v>0.33065999999999995</v>
      </c>
      <c r="H779">
        <v>95.856200000000001</v>
      </c>
      <c r="I779">
        <v>3.8283100000000001</v>
      </c>
      <c r="J779">
        <f>Table211459[[#This Row],[CFNM]]/Table211459[[#This Row],[CAREA]]</f>
        <v>3.9938053041952422E-2</v>
      </c>
      <c r="K779">
        <v>2.16533</v>
      </c>
      <c r="L779">
        <f>(Table312460[[#This Row],[time]]-2)*2</f>
        <v>0.33065999999999995</v>
      </c>
      <c r="M779">
        <v>85.166600000000003</v>
      </c>
      <c r="N779">
        <v>2.0896400000000002</v>
      </c>
      <c r="O779">
        <f>Table312460[[#This Row],[CFNM]]/Table312460[[#This Row],[CAREA]]</f>
        <v>2.4535909617150388E-2</v>
      </c>
      <c r="P779">
        <v>2.16533</v>
      </c>
      <c r="Q779">
        <f>(Table413461[[#This Row],[time]]-2)*2</f>
        <v>0.33065999999999995</v>
      </c>
      <c r="R779">
        <v>88.468299999999999</v>
      </c>
      <c r="S779">
        <v>9.51431</v>
      </c>
      <c r="T779">
        <f>Table413461[[#This Row],[CFNM]]/Table413461[[#This Row],[CAREA]]</f>
        <v>0.10754484939803297</v>
      </c>
      <c r="U779">
        <v>2.16533</v>
      </c>
      <c r="V779">
        <f>(Table514462[[#This Row],[time]]-2)*2</f>
        <v>0.33065999999999995</v>
      </c>
      <c r="W779">
        <v>79.421700000000001</v>
      </c>
      <c r="X779">
        <v>4.7496</v>
      </c>
      <c r="Y779">
        <f>Table514462[[#This Row],[CFNM]]/Table514462[[#This Row],[CAREA]]</f>
        <v>5.9802295846097475E-2</v>
      </c>
      <c r="Z779">
        <v>2.16533</v>
      </c>
      <c r="AA779">
        <f>(Table615463[[#This Row],[time]]-2)*2</f>
        <v>0.33065999999999995</v>
      </c>
      <c r="AB779">
        <v>92.395499999999998</v>
      </c>
      <c r="AC779">
        <v>22.095800000000001</v>
      </c>
      <c r="AD779">
        <f>Table615463[[#This Row],[CFNM]]/Table615463[[#This Row],[CAREA]]</f>
        <v>0.23914368123988725</v>
      </c>
      <c r="AE779">
        <v>2.16533</v>
      </c>
      <c r="AF779">
        <f>(Table716464[[#This Row],[time]]-2)*2</f>
        <v>0.33065999999999995</v>
      </c>
      <c r="AG779">
        <v>77.405000000000001</v>
      </c>
      <c r="AH779">
        <v>20.355399999999999</v>
      </c>
      <c r="AI779">
        <f>Table716464[[#This Row],[CFNM]]/Table716464[[#This Row],[CAREA]]</f>
        <v>0.26297267618370906</v>
      </c>
      <c r="AJ779">
        <v>2.16533</v>
      </c>
      <c r="AK779">
        <f>(Table817465[[#This Row],[time]]-2)*2</f>
        <v>0.33065999999999995</v>
      </c>
      <c r="AL779">
        <v>83.754300000000001</v>
      </c>
      <c r="AM779">
        <v>25.732399999999998</v>
      </c>
      <c r="AN779">
        <f>Table817465[[#This Row],[CFNM]]/Table817465[[#This Row],[CAREA]]</f>
        <v>0.30723676276919509</v>
      </c>
    </row>
    <row r="780" spans="1:40" x14ac:dyDescent="0.25">
      <c r="A780">
        <v>2.2246999999999999</v>
      </c>
      <c r="B780">
        <f>(Table110458[[#This Row],[time]]-2)*2</f>
        <v>0.4493999999999998</v>
      </c>
      <c r="C780">
        <v>84.827500000000001</v>
      </c>
      <c r="D780">
        <v>8.9190900000000006</v>
      </c>
      <c r="E780">
        <f>Table110458[[#This Row],[CFNM]]/Table110458[[#This Row],[CAREA]]</f>
        <v>0.1051438507559459</v>
      </c>
      <c r="F780">
        <v>2.2246999999999999</v>
      </c>
      <c r="G780">
        <f>(Table211459[[#This Row],[time]]-2)*2</f>
        <v>0.4493999999999998</v>
      </c>
      <c r="H780">
        <v>97.226799999999997</v>
      </c>
      <c r="I780">
        <v>5.2788300000000001</v>
      </c>
      <c r="J780">
        <f>Table211459[[#This Row],[CFNM]]/Table211459[[#This Row],[CAREA]]</f>
        <v>5.4293980671995791E-2</v>
      </c>
      <c r="K780">
        <v>2.2246999999999999</v>
      </c>
      <c r="L780">
        <f>(Table312460[[#This Row],[time]]-2)*2</f>
        <v>0.4493999999999998</v>
      </c>
      <c r="M780">
        <v>83.551500000000004</v>
      </c>
      <c r="N780">
        <v>2.0094699999999999</v>
      </c>
      <c r="O780">
        <f>Table312460[[#This Row],[CFNM]]/Table312460[[#This Row],[CAREA]]</f>
        <v>2.405067533198087E-2</v>
      </c>
      <c r="P780">
        <v>2.2246999999999999</v>
      </c>
      <c r="Q780">
        <f>(Table413461[[#This Row],[time]]-2)*2</f>
        <v>0.4493999999999998</v>
      </c>
      <c r="R780">
        <v>89.415400000000005</v>
      </c>
      <c r="S780">
        <v>11.7113</v>
      </c>
      <c r="T780">
        <f>Table413461[[#This Row],[CFNM]]/Table413461[[#This Row],[CAREA]]</f>
        <v>0.13097631951543021</v>
      </c>
      <c r="U780">
        <v>2.2246999999999999</v>
      </c>
      <c r="V780">
        <f>(Table514462[[#This Row],[time]]-2)*2</f>
        <v>0.4493999999999998</v>
      </c>
      <c r="W780">
        <v>76.477599999999995</v>
      </c>
      <c r="X780">
        <v>4.3465299999999996</v>
      </c>
      <c r="Y780">
        <f>Table514462[[#This Row],[CFNM]]/Table514462[[#This Row],[CAREA]]</f>
        <v>5.6834027218427355E-2</v>
      </c>
      <c r="Z780">
        <v>2.2246999999999999</v>
      </c>
      <c r="AA780">
        <f>(Table615463[[#This Row],[time]]-2)*2</f>
        <v>0.4493999999999998</v>
      </c>
      <c r="AB780">
        <v>92.255499999999998</v>
      </c>
      <c r="AC780">
        <v>25.773900000000001</v>
      </c>
      <c r="AD780">
        <f>Table615463[[#This Row],[CFNM]]/Table615463[[#This Row],[CAREA]]</f>
        <v>0.27937521340191102</v>
      </c>
      <c r="AE780">
        <v>2.2246999999999999</v>
      </c>
      <c r="AF780">
        <f>(Table716464[[#This Row],[time]]-2)*2</f>
        <v>0.4493999999999998</v>
      </c>
      <c r="AG780">
        <v>77.478200000000001</v>
      </c>
      <c r="AH780">
        <v>20.100300000000001</v>
      </c>
      <c r="AI780">
        <f>Table716464[[#This Row],[CFNM]]/Table716464[[#This Row],[CAREA]]</f>
        <v>0.25943168529986499</v>
      </c>
      <c r="AJ780">
        <v>2.2246999999999999</v>
      </c>
      <c r="AK780">
        <f>(Table817465[[#This Row],[time]]-2)*2</f>
        <v>0.4493999999999998</v>
      </c>
      <c r="AL780">
        <v>83.697299999999998</v>
      </c>
      <c r="AM780">
        <v>28.3399</v>
      </c>
      <c r="AN780">
        <f>Table817465[[#This Row],[CFNM]]/Table817465[[#This Row],[CAREA]]</f>
        <v>0.33859993094161939</v>
      </c>
    </row>
    <row r="781" spans="1:40" x14ac:dyDescent="0.25">
      <c r="A781">
        <v>2.2668900000000001</v>
      </c>
      <c r="B781">
        <f>(Table110458[[#This Row],[time]]-2)*2</f>
        <v>0.53378000000000014</v>
      </c>
      <c r="C781">
        <v>81.444999999999993</v>
      </c>
      <c r="D781">
        <v>8.9329099999999997</v>
      </c>
      <c r="E781">
        <f>Table110458[[#This Row],[CFNM]]/Table110458[[#This Row],[CAREA]]</f>
        <v>0.10968027503223035</v>
      </c>
      <c r="F781">
        <v>2.2668900000000001</v>
      </c>
      <c r="G781">
        <f>(Table211459[[#This Row],[time]]-2)*2</f>
        <v>0.53378000000000014</v>
      </c>
      <c r="H781">
        <v>98.275199999999998</v>
      </c>
      <c r="I781">
        <v>7.3764200000000004</v>
      </c>
      <c r="J781">
        <f>Table211459[[#This Row],[CFNM]]/Table211459[[#This Row],[CAREA]]</f>
        <v>7.5058814431311266E-2</v>
      </c>
      <c r="K781">
        <v>2.2668900000000001</v>
      </c>
      <c r="L781">
        <f>(Table312460[[#This Row],[time]]-2)*2</f>
        <v>0.53378000000000014</v>
      </c>
      <c r="M781">
        <v>82.882099999999994</v>
      </c>
      <c r="N781">
        <v>1.79444</v>
      </c>
      <c r="O781">
        <f>Table312460[[#This Row],[CFNM]]/Table312460[[#This Row],[CAREA]]</f>
        <v>2.165051319886924E-2</v>
      </c>
      <c r="P781">
        <v>2.2668900000000001</v>
      </c>
      <c r="Q781">
        <f>(Table413461[[#This Row],[time]]-2)*2</f>
        <v>0.53378000000000014</v>
      </c>
      <c r="R781">
        <v>89.844899999999996</v>
      </c>
      <c r="S781">
        <v>14.0573</v>
      </c>
      <c r="T781">
        <f>Table413461[[#This Row],[CFNM]]/Table413461[[#This Row],[CAREA]]</f>
        <v>0.1564618581577808</v>
      </c>
      <c r="U781">
        <v>2.2668900000000001</v>
      </c>
      <c r="V781">
        <f>(Table514462[[#This Row],[time]]-2)*2</f>
        <v>0.53378000000000014</v>
      </c>
      <c r="W781">
        <v>73.6768</v>
      </c>
      <c r="X781">
        <v>3.9881000000000002</v>
      </c>
      <c r="Y781">
        <f>Table514462[[#This Row],[CFNM]]/Table514462[[#This Row],[CAREA]]</f>
        <v>5.4129658182765814E-2</v>
      </c>
      <c r="Z781">
        <v>2.2668900000000001</v>
      </c>
      <c r="AA781">
        <f>(Table615463[[#This Row],[time]]-2)*2</f>
        <v>0.53378000000000014</v>
      </c>
      <c r="AB781">
        <v>93.4756</v>
      </c>
      <c r="AC781">
        <v>29.145</v>
      </c>
      <c r="AD781">
        <f>Table615463[[#This Row],[CFNM]]/Table615463[[#This Row],[CAREA]]</f>
        <v>0.31179259614273669</v>
      </c>
      <c r="AE781">
        <v>2.2668900000000001</v>
      </c>
      <c r="AF781">
        <f>(Table716464[[#This Row],[time]]-2)*2</f>
        <v>0.53378000000000014</v>
      </c>
      <c r="AG781">
        <v>76.730400000000003</v>
      </c>
      <c r="AH781">
        <v>19.804400000000001</v>
      </c>
      <c r="AI781">
        <f>Table716464[[#This Row],[CFNM]]/Table716464[[#This Row],[CAREA]]</f>
        <v>0.25810369814310885</v>
      </c>
      <c r="AJ781">
        <v>2.2668900000000001</v>
      </c>
      <c r="AK781">
        <f>(Table817465[[#This Row],[time]]-2)*2</f>
        <v>0.53378000000000014</v>
      </c>
      <c r="AL781">
        <v>83.206500000000005</v>
      </c>
      <c r="AM781">
        <v>31.003599999999999</v>
      </c>
      <c r="AN781">
        <f>Table817465[[#This Row],[CFNM]]/Table817465[[#This Row],[CAREA]]</f>
        <v>0.37261031289622804</v>
      </c>
    </row>
    <row r="782" spans="1:40" x14ac:dyDescent="0.25">
      <c r="A782">
        <v>2.3262700000000001</v>
      </c>
      <c r="B782">
        <f>(Table110458[[#This Row],[time]]-2)*2</f>
        <v>0.65254000000000012</v>
      </c>
      <c r="C782">
        <v>79.111800000000002</v>
      </c>
      <c r="D782">
        <v>8.9490999999999996</v>
      </c>
      <c r="E782">
        <f>Table110458[[#This Row],[CFNM]]/Table110458[[#This Row],[CAREA]]</f>
        <v>0.11311966103665951</v>
      </c>
      <c r="F782">
        <v>2.3262700000000001</v>
      </c>
      <c r="G782">
        <f>(Table211459[[#This Row],[time]]-2)*2</f>
        <v>0.65254000000000012</v>
      </c>
      <c r="H782">
        <v>99.4756</v>
      </c>
      <c r="I782">
        <v>9.1610499999999995</v>
      </c>
      <c r="J782">
        <f>Table211459[[#This Row],[CFNM]]/Table211459[[#This Row],[CAREA]]</f>
        <v>9.2093437988813337E-2</v>
      </c>
      <c r="K782">
        <v>2.3262700000000001</v>
      </c>
      <c r="L782">
        <f>(Table312460[[#This Row],[time]]-2)*2</f>
        <v>0.65254000000000012</v>
      </c>
      <c r="M782">
        <v>81.302499999999995</v>
      </c>
      <c r="N782">
        <v>1.70695</v>
      </c>
      <c r="O782">
        <f>Table312460[[#This Row],[CFNM]]/Table312460[[#This Row],[CAREA]]</f>
        <v>2.0995049352725934E-2</v>
      </c>
      <c r="P782">
        <v>2.3262700000000001</v>
      </c>
      <c r="Q782">
        <f>(Table413461[[#This Row],[time]]-2)*2</f>
        <v>0.65254000000000012</v>
      </c>
      <c r="R782">
        <v>89.857100000000003</v>
      </c>
      <c r="S782">
        <v>15.93</v>
      </c>
      <c r="T782">
        <f>Table413461[[#This Row],[CFNM]]/Table413461[[#This Row],[CAREA]]</f>
        <v>0.17728148360007165</v>
      </c>
      <c r="U782">
        <v>2.3262700000000001</v>
      </c>
      <c r="V782">
        <f>(Table514462[[#This Row],[time]]-2)*2</f>
        <v>0.65254000000000012</v>
      </c>
      <c r="W782">
        <v>72.972999999999999</v>
      </c>
      <c r="X782">
        <v>3.6881900000000001</v>
      </c>
      <c r="Y782">
        <f>Table514462[[#This Row],[CFNM]]/Table514462[[#This Row],[CAREA]]</f>
        <v>5.0541844243761395E-2</v>
      </c>
      <c r="Z782">
        <v>2.3262700000000001</v>
      </c>
      <c r="AA782">
        <f>(Table615463[[#This Row],[time]]-2)*2</f>
        <v>0.65254000000000012</v>
      </c>
      <c r="AB782">
        <v>94.351100000000002</v>
      </c>
      <c r="AC782">
        <v>31.7715</v>
      </c>
      <c r="AD782">
        <f>Table615463[[#This Row],[CFNM]]/Table615463[[#This Row],[CAREA]]</f>
        <v>0.33673693258478171</v>
      </c>
      <c r="AE782">
        <v>2.3262700000000001</v>
      </c>
      <c r="AF782">
        <f>(Table716464[[#This Row],[time]]-2)*2</f>
        <v>0.65254000000000012</v>
      </c>
      <c r="AG782">
        <v>76.757400000000004</v>
      </c>
      <c r="AH782">
        <v>19.519600000000001</v>
      </c>
      <c r="AI782">
        <f>Table716464[[#This Row],[CFNM]]/Table716464[[#This Row],[CAREA]]</f>
        <v>0.25430251676059895</v>
      </c>
      <c r="AJ782">
        <v>2.3262700000000001</v>
      </c>
      <c r="AK782">
        <f>(Table817465[[#This Row],[time]]-2)*2</f>
        <v>0.65254000000000012</v>
      </c>
      <c r="AL782">
        <v>82.678600000000003</v>
      </c>
      <c r="AM782">
        <v>33.222999999999999</v>
      </c>
      <c r="AN782">
        <f>Table817465[[#This Row],[CFNM]]/Table817465[[#This Row],[CAREA]]</f>
        <v>0.40183312247667469</v>
      </c>
    </row>
    <row r="783" spans="1:40" x14ac:dyDescent="0.25">
      <c r="A783">
        <v>2.3684599999999998</v>
      </c>
      <c r="B783">
        <f>(Table110458[[#This Row],[time]]-2)*2</f>
        <v>0.73691999999999958</v>
      </c>
      <c r="C783">
        <v>77.186099999999996</v>
      </c>
      <c r="D783">
        <v>8.8815000000000008</v>
      </c>
      <c r="E783">
        <f>Table110458[[#This Row],[CFNM]]/Table110458[[#This Row],[CAREA]]</f>
        <v>0.11506605463937161</v>
      </c>
      <c r="F783">
        <v>2.3684599999999998</v>
      </c>
      <c r="G783">
        <f>(Table211459[[#This Row],[time]]-2)*2</f>
        <v>0.73691999999999958</v>
      </c>
      <c r="H783">
        <v>101.301</v>
      </c>
      <c r="I783">
        <v>11.415699999999999</v>
      </c>
      <c r="J783">
        <f>Table211459[[#This Row],[CFNM]]/Table211459[[#This Row],[CAREA]]</f>
        <v>0.11269089150156464</v>
      </c>
      <c r="K783">
        <v>2.3684599999999998</v>
      </c>
      <c r="L783">
        <f>(Table312460[[#This Row],[time]]-2)*2</f>
        <v>0.73691999999999958</v>
      </c>
      <c r="M783">
        <v>80.5214</v>
      </c>
      <c r="N783">
        <v>1.55406</v>
      </c>
      <c r="O783">
        <f>Table312460[[#This Row],[CFNM]]/Table312460[[#This Row],[CAREA]]</f>
        <v>1.929996249444247E-2</v>
      </c>
      <c r="P783">
        <v>2.3684599999999998</v>
      </c>
      <c r="Q783">
        <f>(Table413461[[#This Row],[time]]-2)*2</f>
        <v>0.73691999999999958</v>
      </c>
      <c r="R783">
        <v>89.864900000000006</v>
      </c>
      <c r="S783">
        <v>18.238800000000001</v>
      </c>
      <c r="T783">
        <f>Table413461[[#This Row],[CFNM]]/Table413461[[#This Row],[CAREA]]</f>
        <v>0.20295799583597154</v>
      </c>
      <c r="U783">
        <v>2.3684599999999998</v>
      </c>
      <c r="V783">
        <f>(Table514462[[#This Row],[time]]-2)*2</f>
        <v>0.73691999999999958</v>
      </c>
      <c r="W783">
        <v>71.311499999999995</v>
      </c>
      <c r="X783">
        <v>3.3482099999999999</v>
      </c>
      <c r="Y783">
        <f>Table514462[[#This Row],[CFNM]]/Table514462[[#This Row],[CAREA]]</f>
        <v>4.6951894154519259E-2</v>
      </c>
      <c r="Z783">
        <v>2.3684599999999998</v>
      </c>
      <c r="AA783">
        <f>(Table615463[[#This Row],[time]]-2)*2</f>
        <v>0.73691999999999958</v>
      </c>
      <c r="AB783">
        <v>94.484800000000007</v>
      </c>
      <c r="AC783">
        <v>35.028799999999997</v>
      </c>
      <c r="AD783">
        <f>Table615463[[#This Row],[CFNM]]/Table615463[[#This Row],[CAREA]]</f>
        <v>0.37073476368685748</v>
      </c>
      <c r="AE783">
        <v>2.3684599999999998</v>
      </c>
      <c r="AF783">
        <f>(Table716464[[#This Row],[time]]-2)*2</f>
        <v>0.73691999999999958</v>
      </c>
      <c r="AG783">
        <v>76.530100000000004</v>
      </c>
      <c r="AH783">
        <v>19.264900000000001</v>
      </c>
      <c r="AI783">
        <f>Table716464[[#This Row],[CFNM]]/Table716464[[#This Row],[CAREA]]</f>
        <v>0.25172971157753615</v>
      </c>
      <c r="AJ783">
        <v>2.3684599999999998</v>
      </c>
      <c r="AK783">
        <f>(Table817465[[#This Row],[time]]-2)*2</f>
        <v>0.73691999999999958</v>
      </c>
      <c r="AL783">
        <v>82.178399999999996</v>
      </c>
      <c r="AM783">
        <v>36.043500000000002</v>
      </c>
      <c r="AN783">
        <f>Table817465[[#This Row],[CFNM]]/Table817465[[#This Row],[CAREA]]</f>
        <v>0.43860065418650163</v>
      </c>
    </row>
    <row r="784" spans="1:40" x14ac:dyDescent="0.25">
      <c r="A784">
        <v>2.4278300000000002</v>
      </c>
      <c r="B784">
        <f>(Table110458[[#This Row],[time]]-2)*2</f>
        <v>0.85566000000000031</v>
      </c>
      <c r="C784">
        <v>73.585400000000007</v>
      </c>
      <c r="D784">
        <v>8.6920500000000001</v>
      </c>
      <c r="E784">
        <f>Table110458[[#This Row],[CFNM]]/Table110458[[#This Row],[CAREA]]</f>
        <v>0.11812193723211396</v>
      </c>
      <c r="F784">
        <v>2.4278300000000002</v>
      </c>
      <c r="G784">
        <f>(Table211459[[#This Row],[time]]-2)*2</f>
        <v>0.85566000000000031</v>
      </c>
      <c r="H784">
        <v>103.98399999999999</v>
      </c>
      <c r="I784">
        <v>14.1496</v>
      </c>
      <c r="J784">
        <f>Table211459[[#This Row],[CFNM]]/Table211459[[#This Row],[CAREA]]</f>
        <v>0.13607478073549778</v>
      </c>
      <c r="K784">
        <v>2.4278300000000002</v>
      </c>
      <c r="L784">
        <f>(Table312460[[#This Row],[time]]-2)*2</f>
        <v>0.85566000000000031</v>
      </c>
      <c r="M784">
        <v>79.566199999999995</v>
      </c>
      <c r="N784">
        <v>1.3642399999999999</v>
      </c>
      <c r="O784">
        <f>Table312460[[#This Row],[CFNM]]/Table312460[[#This Row],[CAREA]]</f>
        <v>1.7145974044254973E-2</v>
      </c>
      <c r="P784">
        <v>2.4278300000000002</v>
      </c>
      <c r="Q784">
        <f>(Table413461[[#This Row],[time]]-2)*2</f>
        <v>0.85566000000000031</v>
      </c>
      <c r="R784">
        <v>90.018900000000002</v>
      </c>
      <c r="S784">
        <v>20.9283</v>
      </c>
      <c r="T784">
        <f>Table413461[[#This Row],[CFNM]]/Table413461[[#This Row],[CAREA]]</f>
        <v>0.2324878442193806</v>
      </c>
      <c r="U784">
        <v>2.4278300000000002</v>
      </c>
      <c r="V784">
        <f>(Table514462[[#This Row],[time]]-2)*2</f>
        <v>0.85566000000000031</v>
      </c>
      <c r="W784">
        <v>70.120400000000004</v>
      </c>
      <c r="X784">
        <v>2.9468100000000002</v>
      </c>
      <c r="Y784">
        <f>Table514462[[#This Row],[CFNM]]/Table514462[[#This Row],[CAREA]]</f>
        <v>4.2025002709625156E-2</v>
      </c>
      <c r="Z784">
        <v>2.4278300000000002</v>
      </c>
      <c r="AA784">
        <f>(Table615463[[#This Row],[time]]-2)*2</f>
        <v>0.85566000000000031</v>
      </c>
      <c r="AB784">
        <v>94.170599999999993</v>
      </c>
      <c r="AC784">
        <v>38.696599999999997</v>
      </c>
      <c r="AD784">
        <f>Table615463[[#This Row],[CFNM]]/Table615463[[#This Row],[CAREA]]</f>
        <v>0.4109201810331462</v>
      </c>
      <c r="AE784">
        <v>2.4278300000000002</v>
      </c>
      <c r="AF784">
        <f>(Table716464[[#This Row],[time]]-2)*2</f>
        <v>0.85566000000000031</v>
      </c>
      <c r="AG784">
        <v>76.560699999999997</v>
      </c>
      <c r="AH784">
        <v>18.904399999999999</v>
      </c>
      <c r="AI784">
        <f>Table716464[[#This Row],[CFNM]]/Table716464[[#This Row],[CAREA]]</f>
        <v>0.24692041739430282</v>
      </c>
      <c r="AJ784">
        <v>2.4278300000000002</v>
      </c>
      <c r="AK784">
        <f>(Table817465[[#This Row],[time]]-2)*2</f>
        <v>0.85566000000000031</v>
      </c>
      <c r="AL784">
        <v>81.639600000000002</v>
      </c>
      <c r="AM784">
        <v>39.373399999999997</v>
      </c>
      <c r="AN784">
        <f>Table817465[[#This Row],[CFNM]]/Table817465[[#This Row],[CAREA]]</f>
        <v>0.48228310770753402</v>
      </c>
    </row>
    <row r="785" spans="1:40" x14ac:dyDescent="0.25">
      <c r="A785">
        <v>2.4542000000000002</v>
      </c>
      <c r="B785">
        <f>(Table110458[[#This Row],[time]]-2)*2</f>
        <v>0.90840000000000032</v>
      </c>
      <c r="C785">
        <v>72.053899999999999</v>
      </c>
      <c r="D785">
        <v>8.3166100000000007</v>
      </c>
      <c r="E785">
        <f>Table110458[[#This Row],[CFNM]]/Table110458[[#This Row],[CAREA]]</f>
        <v>0.11542206598116134</v>
      </c>
      <c r="F785">
        <v>2.4542000000000002</v>
      </c>
      <c r="G785">
        <f>(Table211459[[#This Row],[time]]-2)*2</f>
        <v>0.90840000000000032</v>
      </c>
      <c r="H785">
        <v>106.252</v>
      </c>
      <c r="I785">
        <v>16.9815</v>
      </c>
      <c r="J785">
        <f>Table211459[[#This Row],[CFNM]]/Table211459[[#This Row],[CAREA]]</f>
        <v>0.15982287392237324</v>
      </c>
      <c r="K785">
        <v>2.4542000000000002</v>
      </c>
      <c r="L785">
        <f>(Table312460[[#This Row],[time]]-2)*2</f>
        <v>0.90840000000000032</v>
      </c>
      <c r="M785">
        <v>78.799599999999998</v>
      </c>
      <c r="N785">
        <v>1.2082999999999999</v>
      </c>
      <c r="O785">
        <f>Table312460[[#This Row],[CFNM]]/Table312460[[#This Row],[CAREA]]</f>
        <v>1.5333834181899399E-2</v>
      </c>
      <c r="P785">
        <v>2.4542000000000002</v>
      </c>
      <c r="Q785">
        <f>(Table413461[[#This Row],[time]]-2)*2</f>
        <v>0.90840000000000032</v>
      </c>
      <c r="R785">
        <v>89.842399999999998</v>
      </c>
      <c r="S785">
        <v>23.740400000000001</v>
      </c>
      <c r="T785">
        <f>Table413461[[#This Row],[CFNM]]/Table413461[[#This Row],[CAREA]]</f>
        <v>0.26424494448055708</v>
      </c>
      <c r="U785">
        <v>2.4542000000000002</v>
      </c>
      <c r="V785">
        <f>(Table514462[[#This Row],[time]]-2)*2</f>
        <v>0.90840000000000032</v>
      </c>
      <c r="W785">
        <v>69.006399999999999</v>
      </c>
      <c r="X785">
        <v>2.5560800000000001</v>
      </c>
      <c r="Y785">
        <f>Table514462[[#This Row],[CFNM]]/Table514462[[#This Row],[CAREA]]</f>
        <v>3.7041201975468944E-2</v>
      </c>
      <c r="Z785">
        <v>2.4542000000000002</v>
      </c>
      <c r="AA785">
        <f>(Table615463[[#This Row],[time]]-2)*2</f>
        <v>0.90840000000000032</v>
      </c>
      <c r="AB785">
        <v>94.431700000000006</v>
      </c>
      <c r="AC785">
        <v>42.429200000000002</v>
      </c>
      <c r="AD785">
        <f>Table615463[[#This Row],[CFNM]]/Table615463[[#This Row],[CAREA]]</f>
        <v>0.44931098349389026</v>
      </c>
      <c r="AE785">
        <v>2.4542000000000002</v>
      </c>
      <c r="AF785">
        <f>(Table716464[[#This Row],[time]]-2)*2</f>
        <v>0.90840000000000032</v>
      </c>
      <c r="AG785">
        <v>75.624200000000002</v>
      </c>
      <c r="AH785">
        <v>18.508400000000002</v>
      </c>
      <c r="AI785">
        <f>Table716464[[#This Row],[CFNM]]/Table716464[[#This Row],[CAREA]]</f>
        <v>0.24474176255748822</v>
      </c>
      <c r="AJ785">
        <v>2.4542000000000002</v>
      </c>
      <c r="AK785">
        <f>(Table817465[[#This Row],[time]]-2)*2</f>
        <v>0.90840000000000032</v>
      </c>
      <c r="AL785">
        <v>81.094800000000006</v>
      </c>
      <c r="AM785">
        <v>42.729599999999998</v>
      </c>
      <c r="AN785">
        <f>Table817465[[#This Row],[CFNM]]/Table817465[[#This Row],[CAREA]]</f>
        <v>0.52690924695541508</v>
      </c>
    </row>
    <row r="786" spans="1:40" x14ac:dyDescent="0.25">
      <c r="A786">
        <v>2.5061499999999999</v>
      </c>
      <c r="B786">
        <f>(Table110458[[#This Row],[time]]-2)*2</f>
        <v>1.0122999999999998</v>
      </c>
      <c r="C786">
        <v>68.701099999999997</v>
      </c>
      <c r="D786">
        <v>7.9113499999999997</v>
      </c>
      <c r="E786">
        <f>Table110458[[#This Row],[CFNM]]/Table110458[[#This Row],[CAREA]]</f>
        <v>0.11515608920381187</v>
      </c>
      <c r="F786">
        <v>2.5061499999999999</v>
      </c>
      <c r="G786">
        <f>(Table211459[[#This Row],[time]]-2)*2</f>
        <v>1.0122999999999998</v>
      </c>
      <c r="H786">
        <v>107.00700000000001</v>
      </c>
      <c r="I786">
        <v>19.379899999999999</v>
      </c>
      <c r="J786">
        <f>Table211459[[#This Row],[CFNM]]/Table211459[[#This Row],[CAREA]]</f>
        <v>0.18110871251413457</v>
      </c>
      <c r="K786">
        <v>2.5061499999999999</v>
      </c>
      <c r="L786">
        <f>(Table312460[[#This Row],[time]]-2)*2</f>
        <v>1.0122999999999998</v>
      </c>
      <c r="M786">
        <v>77.505399999999995</v>
      </c>
      <c r="N786">
        <v>1.1055999999999999</v>
      </c>
      <c r="O786">
        <f>Table312460[[#This Row],[CFNM]]/Table312460[[#This Row],[CAREA]]</f>
        <v>1.4264812516289187E-2</v>
      </c>
      <c r="P786">
        <v>2.5061499999999999</v>
      </c>
      <c r="Q786">
        <f>(Table413461[[#This Row],[time]]-2)*2</f>
        <v>1.0122999999999998</v>
      </c>
      <c r="R786">
        <v>89.563000000000002</v>
      </c>
      <c r="S786">
        <v>26.138400000000001</v>
      </c>
      <c r="T786">
        <f>Table413461[[#This Row],[CFNM]]/Table413461[[#This Row],[CAREA]]</f>
        <v>0.2918437301117649</v>
      </c>
      <c r="U786">
        <v>2.5061499999999999</v>
      </c>
      <c r="V786">
        <f>(Table514462[[#This Row],[time]]-2)*2</f>
        <v>1.0122999999999998</v>
      </c>
      <c r="W786">
        <v>67.909300000000002</v>
      </c>
      <c r="X786">
        <v>2.2138499999999999</v>
      </c>
      <c r="Y786">
        <f>Table514462[[#This Row],[CFNM]]/Table514462[[#This Row],[CAREA]]</f>
        <v>3.2600100428070967E-2</v>
      </c>
      <c r="Z786">
        <v>2.5061499999999999</v>
      </c>
      <c r="AA786">
        <f>(Table615463[[#This Row],[time]]-2)*2</f>
        <v>1.0122999999999998</v>
      </c>
      <c r="AB786">
        <v>94.180499999999995</v>
      </c>
      <c r="AC786">
        <v>45.5351</v>
      </c>
      <c r="AD786">
        <f>Table615463[[#This Row],[CFNM]]/Table615463[[#This Row],[CAREA]]</f>
        <v>0.48348755846486269</v>
      </c>
      <c r="AE786">
        <v>2.5061499999999999</v>
      </c>
      <c r="AF786">
        <f>(Table716464[[#This Row],[time]]-2)*2</f>
        <v>1.0122999999999998</v>
      </c>
      <c r="AG786">
        <v>75.505300000000005</v>
      </c>
      <c r="AH786">
        <v>18.072099999999999</v>
      </c>
      <c r="AI786">
        <f>Table716464[[#This Row],[CFNM]]/Table716464[[#This Row],[CAREA]]</f>
        <v>0.23934876094790694</v>
      </c>
      <c r="AJ786">
        <v>2.5061499999999999</v>
      </c>
      <c r="AK786">
        <f>(Table817465[[#This Row],[time]]-2)*2</f>
        <v>1.0122999999999998</v>
      </c>
      <c r="AL786">
        <v>80.651799999999994</v>
      </c>
      <c r="AM786">
        <v>45.513199999999998</v>
      </c>
      <c r="AN786">
        <f>Table817465[[#This Row],[CFNM]]/Table817465[[#This Row],[CAREA]]</f>
        <v>0.5643172254060046</v>
      </c>
    </row>
    <row r="787" spans="1:40" x14ac:dyDescent="0.25">
      <c r="A787">
        <v>2.5507599999999999</v>
      </c>
      <c r="B787">
        <f>(Table110458[[#This Row],[time]]-2)*2</f>
        <v>1.1015199999999998</v>
      </c>
      <c r="C787">
        <v>66.147599999999997</v>
      </c>
      <c r="D787">
        <v>7.3013199999999996</v>
      </c>
      <c r="E787">
        <f>Table110458[[#This Row],[CFNM]]/Table110458[[#This Row],[CAREA]]</f>
        <v>0.11037921254890577</v>
      </c>
      <c r="F787">
        <v>2.5507599999999999</v>
      </c>
      <c r="G787">
        <f>(Table211459[[#This Row],[time]]-2)*2</f>
        <v>1.1015199999999998</v>
      </c>
      <c r="H787">
        <v>105.437</v>
      </c>
      <c r="I787">
        <v>22.8903</v>
      </c>
      <c r="J787">
        <f>Table211459[[#This Row],[CFNM]]/Table211459[[#This Row],[CAREA]]</f>
        <v>0.21709931048872788</v>
      </c>
      <c r="K787">
        <v>2.5507599999999999</v>
      </c>
      <c r="L787">
        <f>(Table312460[[#This Row],[time]]-2)*2</f>
        <v>1.1015199999999998</v>
      </c>
      <c r="M787">
        <v>76.351699999999994</v>
      </c>
      <c r="N787">
        <v>0.97149600000000003</v>
      </c>
      <c r="O787">
        <f>Table312460[[#This Row],[CFNM]]/Table312460[[#This Row],[CAREA]]</f>
        <v>1.2723960304747636E-2</v>
      </c>
      <c r="P787">
        <v>2.5507599999999999</v>
      </c>
      <c r="Q787">
        <f>(Table413461[[#This Row],[time]]-2)*2</f>
        <v>1.1015199999999998</v>
      </c>
      <c r="R787">
        <v>89.1327</v>
      </c>
      <c r="S787">
        <v>29.917400000000001</v>
      </c>
      <c r="T787">
        <f>Table413461[[#This Row],[CFNM]]/Table413461[[#This Row],[CAREA]]</f>
        <v>0.33565010372175419</v>
      </c>
      <c r="U787">
        <v>2.5507599999999999</v>
      </c>
      <c r="V787">
        <f>(Table514462[[#This Row],[time]]-2)*2</f>
        <v>1.1015199999999998</v>
      </c>
      <c r="W787">
        <v>67.152500000000003</v>
      </c>
      <c r="X787">
        <v>1.75213</v>
      </c>
      <c r="Y787">
        <f>Table514462[[#This Row],[CFNM]]/Table514462[[#This Row],[CAREA]]</f>
        <v>2.6091805964037078E-2</v>
      </c>
      <c r="Z787">
        <v>2.5507599999999999</v>
      </c>
      <c r="AA787">
        <f>(Table615463[[#This Row],[time]]-2)*2</f>
        <v>1.1015199999999998</v>
      </c>
      <c r="AB787">
        <v>94.100099999999998</v>
      </c>
      <c r="AC787">
        <v>50.159799999999997</v>
      </c>
      <c r="AD787">
        <f>Table615463[[#This Row],[CFNM]]/Table615463[[#This Row],[CAREA]]</f>
        <v>0.53304725499760364</v>
      </c>
      <c r="AE787">
        <v>2.5507599999999999</v>
      </c>
      <c r="AF787">
        <f>(Table716464[[#This Row],[time]]-2)*2</f>
        <v>1.1015199999999998</v>
      </c>
      <c r="AG787">
        <v>74.687700000000007</v>
      </c>
      <c r="AH787">
        <v>17.401499999999999</v>
      </c>
      <c r="AI787">
        <f>Table716464[[#This Row],[CFNM]]/Table716464[[#This Row],[CAREA]]</f>
        <v>0.23299017107234521</v>
      </c>
      <c r="AJ787">
        <v>2.5507599999999999</v>
      </c>
      <c r="AK787">
        <f>(Table817465[[#This Row],[time]]-2)*2</f>
        <v>1.1015199999999998</v>
      </c>
      <c r="AL787">
        <v>79.967699999999994</v>
      </c>
      <c r="AM787">
        <v>49.689100000000003</v>
      </c>
      <c r="AN787">
        <f>Table817465[[#This Row],[CFNM]]/Table817465[[#This Row],[CAREA]]</f>
        <v>0.62136462596773456</v>
      </c>
    </row>
    <row r="788" spans="1:40" x14ac:dyDescent="0.25">
      <c r="A788">
        <v>2.60453</v>
      </c>
      <c r="B788">
        <f>(Table110458[[#This Row],[time]]-2)*2</f>
        <v>1.20906</v>
      </c>
      <c r="C788">
        <v>64.299599999999998</v>
      </c>
      <c r="D788">
        <v>7.0380799999999999</v>
      </c>
      <c r="E788">
        <f>Table110458[[#This Row],[CFNM]]/Table110458[[#This Row],[CAREA]]</f>
        <v>0.1094576016024983</v>
      </c>
      <c r="F788">
        <v>2.60453</v>
      </c>
      <c r="G788">
        <f>(Table211459[[#This Row],[time]]-2)*2</f>
        <v>1.20906</v>
      </c>
      <c r="H788">
        <v>103.943</v>
      </c>
      <c r="I788">
        <v>25.294499999999999</v>
      </c>
      <c r="J788">
        <f>Table211459[[#This Row],[CFNM]]/Table211459[[#This Row],[CAREA]]</f>
        <v>0.24334972051990034</v>
      </c>
      <c r="K788">
        <v>2.60453</v>
      </c>
      <c r="L788">
        <f>(Table312460[[#This Row],[time]]-2)*2</f>
        <v>1.20906</v>
      </c>
      <c r="M788">
        <v>75.633300000000006</v>
      </c>
      <c r="N788">
        <v>0.91897600000000002</v>
      </c>
      <c r="O788">
        <f>Table312460[[#This Row],[CFNM]]/Table312460[[#This Row],[CAREA]]</f>
        <v>1.2150415227155233E-2</v>
      </c>
      <c r="P788">
        <v>2.60453</v>
      </c>
      <c r="Q788">
        <f>(Table413461[[#This Row],[time]]-2)*2</f>
        <v>1.20906</v>
      </c>
      <c r="R788">
        <v>88.757099999999994</v>
      </c>
      <c r="S788">
        <v>32.354599999999998</v>
      </c>
      <c r="T788">
        <f>Table413461[[#This Row],[CFNM]]/Table413461[[#This Row],[CAREA]]</f>
        <v>0.36452971086256764</v>
      </c>
      <c r="U788">
        <v>2.60453</v>
      </c>
      <c r="V788">
        <f>(Table514462[[#This Row],[time]]-2)*2</f>
        <v>1.20906</v>
      </c>
      <c r="W788">
        <v>66.273799999999994</v>
      </c>
      <c r="X788">
        <v>1.50116</v>
      </c>
      <c r="Y788">
        <f>Table514462[[#This Row],[CFNM]]/Table514462[[#This Row],[CAREA]]</f>
        <v>2.2650881645537153E-2</v>
      </c>
      <c r="Z788">
        <v>2.60453</v>
      </c>
      <c r="AA788">
        <f>(Table615463[[#This Row],[time]]-2)*2</f>
        <v>1.20906</v>
      </c>
      <c r="AB788">
        <v>93.741600000000005</v>
      </c>
      <c r="AC788">
        <v>52.826700000000002</v>
      </c>
      <c r="AD788">
        <f>Table615463[[#This Row],[CFNM]]/Table615463[[#This Row],[CAREA]]</f>
        <v>0.56353529276223147</v>
      </c>
      <c r="AE788">
        <v>2.60453</v>
      </c>
      <c r="AF788">
        <f>(Table716464[[#This Row],[time]]-2)*2</f>
        <v>1.20906</v>
      </c>
      <c r="AG788">
        <v>74.366699999999994</v>
      </c>
      <c r="AH788">
        <v>17.0596</v>
      </c>
      <c r="AI788">
        <f>Table716464[[#This Row],[CFNM]]/Table716464[[#This Row],[CAREA]]</f>
        <v>0.22939837319660547</v>
      </c>
      <c r="AJ788">
        <v>2.60453</v>
      </c>
      <c r="AK788">
        <f>(Table817465[[#This Row],[time]]-2)*2</f>
        <v>1.20906</v>
      </c>
      <c r="AL788">
        <v>79.404799999999994</v>
      </c>
      <c r="AM788">
        <v>52.052100000000003</v>
      </c>
      <c r="AN788">
        <f>Table817465[[#This Row],[CFNM]]/Table817465[[#This Row],[CAREA]]</f>
        <v>0.65552838115579926</v>
      </c>
    </row>
    <row r="789" spans="1:40" x14ac:dyDescent="0.25">
      <c r="A789">
        <v>2.65273</v>
      </c>
      <c r="B789">
        <f>(Table110458[[#This Row],[time]]-2)*2</f>
        <v>1.3054600000000001</v>
      </c>
      <c r="C789">
        <v>62.3994</v>
      </c>
      <c r="D789">
        <v>6.5002000000000004</v>
      </c>
      <c r="E789">
        <f>Table110458[[#This Row],[CFNM]]/Table110458[[#This Row],[CAREA]]</f>
        <v>0.10417087343788563</v>
      </c>
      <c r="F789">
        <v>2.65273</v>
      </c>
      <c r="G789">
        <f>(Table211459[[#This Row],[time]]-2)*2</f>
        <v>1.3054600000000001</v>
      </c>
      <c r="H789">
        <v>101.087</v>
      </c>
      <c r="I789">
        <v>29.9682</v>
      </c>
      <c r="J789">
        <f>Table211459[[#This Row],[CFNM]]/Table211459[[#This Row],[CAREA]]</f>
        <v>0.29645948539376971</v>
      </c>
      <c r="K789">
        <v>2.65273</v>
      </c>
      <c r="L789">
        <f>(Table312460[[#This Row],[time]]-2)*2</f>
        <v>1.3054600000000001</v>
      </c>
      <c r="M789">
        <v>73.742400000000004</v>
      </c>
      <c r="N789">
        <v>0.82955100000000004</v>
      </c>
      <c r="O789">
        <f>Table312460[[#This Row],[CFNM]]/Table312460[[#This Row],[CAREA]]</f>
        <v>1.1249308403306646E-2</v>
      </c>
      <c r="P789">
        <v>2.65273</v>
      </c>
      <c r="Q789">
        <f>(Table413461[[#This Row],[time]]-2)*2</f>
        <v>1.3054600000000001</v>
      </c>
      <c r="R789">
        <v>87.993899999999996</v>
      </c>
      <c r="S789">
        <v>36.891300000000001</v>
      </c>
      <c r="T789">
        <f>Table413461[[#This Row],[CFNM]]/Table413461[[#This Row],[CAREA]]</f>
        <v>0.41924837971723045</v>
      </c>
      <c r="U789">
        <v>2.65273</v>
      </c>
      <c r="V789">
        <f>(Table514462[[#This Row],[time]]-2)*2</f>
        <v>1.3054600000000001</v>
      </c>
      <c r="W789">
        <v>65.410899999999998</v>
      </c>
      <c r="X789">
        <v>1.06812</v>
      </c>
      <c r="Y789">
        <f>Table514462[[#This Row],[CFNM]]/Table514462[[#This Row],[CAREA]]</f>
        <v>1.632938852698862E-2</v>
      </c>
      <c r="Z789">
        <v>2.65273</v>
      </c>
      <c r="AA789">
        <f>(Table615463[[#This Row],[time]]-2)*2</f>
        <v>1.3054600000000001</v>
      </c>
      <c r="AB789">
        <v>93.127700000000004</v>
      </c>
      <c r="AC789">
        <v>57.783999999999999</v>
      </c>
      <c r="AD789">
        <f>Table615463[[#This Row],[CFNM]]/Table615463[[#This Row],[CAREA]]</f>
        <v>0.62048133906453173</v>
      </c>
      <c r="AE789">
        <v>2.65273</v>
      </c>
      <c r="AF789">
        <f>(Table716464[[#This Row],[time]]-2)*2</f>
        <v>1.3054600000000001</v>
      </c>
      <c r="AG789">
        <v>73.606899999999996</v>
      </c>
      <c r="AH789">
        <v>16.3123</v>
      </c>
      <c r="AI789">
        <f>Table716464[[#This Row],[CFNM]]/Table716464[[#This Row],[CAREA]]</f>
        <v>0.22161373458194819</v>
      </c>
      <c r="AJ789">
        <v>2.65273</v>
      </c>
      <c r="AK789">
        <f>(Table817465[[#This Row],[time]]-2)*2</f>
        <v>1.3054600000000001</v>
      </c>
      <c r="AL789">
        <v>79.0227</v>
      </c>
      <c r="AM789">
        <v>55.974800000000002</v>
      </c>
      <c r="AN789">
        <f>Table817465[[#This Row],[CFNM]]/Table817465[[#This Row],[CAREA]]</f>
        <v>0.70833823698759979</v>
      </c>
    </row>
    <row r="790" spans="1:40" x14ac:dyDescent="0.25">
      <c r="A790">
        <v>2.7006199999999998</v>
      </c>
      <c r="B790">
        <f>(Table110458[[#This Row],[time]]-2)*2</f>
        <v>1.4012399999999996</v>
      </c>
      <c r="C790">
        <v>61.170299999999997</v>
      </c>
      <c r="D790">
        <v>6.1285499999999997</v>
      </c>
      <c r="E790">
        <f>Table110458[[#This Row],[CFNM]]/Table110458[[#This Row],[CAREA]]</f>
        <v>0.10018832668795151</v>
      </c>
      <c r="F790">
        <v>2.7006199999999998</v>
      </c>
      <c r="G790">
        <f>(Table211459[[#This Row],[time]]-2)*2</f>
        <v>1.4012399999999996</v>
      </c>
      <c r="H790">
        <v>99.684200000000004</v>
      </c>
      <c r="I790">
        <v>33.800699999999999</v>
      </c>
      <c r="J790">
        <f>Table211459[[#This Row],[CFNM]]/Table211459[[#This Row],[CAREA]]</f>
        <v>0.33907780771676954</v>
      </c>
      <c r="K790">
        <v>2.7006199999999998</v>
      </c>
      <c r="L790">
        <f>(Table312460[[#This Row],[time]]-2)*2</f>
        <v>1.4012399999999996</v>
      </c>
      <c r="M790">
        <v>70.212299999999999</v>
      </c>
      <c r="N790">
        <v>0.80643900000000002</v>
      </c>
      <c r="O790">
        <f>Table312460[[#This Row],[CFNM]]/Table312460[[#This Row],[CAREA]]</f>
        <v>1.1485722587068078E-2</v>
      </c>
      <c r="P790">
        <v>2.7006199999999998</v>
      </c>
      <c r="Q790">
        <f>(Table413461[[#This Row],[time]]-2)*2</f>
        <v>1.4012399999999996</v>
      </c>
      <c r="R790">
        <v>87.049700000000001</v>
      </c>
      <c r="S790">
        <v>40.316000000000003</v>
      </c>
      <c r="T790">
        <f>Table413461[[#This Row],[CFNM]]/Table413461[[#This Row],[CAREA]]</f>
        <v>0.46313772477102161</v>
      </c>
      <c r="U790">
        <v>2.7006199999999998</v>
      </c>
      <c r="V790">
        <f>(Table514462[[#This Row],[time]]-2)*2</f>
        <v>1.4012399999999996</v>
      </c>
      <c r="W790">
        <v>64.566900000000004</v>
      </c>
      <c r="X790">
        <v>0.82722499999999999</v>
      </c>
      <c r="Y790">
        <f>Table514462[[#This Row],[CFNM]]/Table514462[[#This Row],[CAREA]]</f>
        <v>1.2811905171225503E-2</v>
      </c>
      <c r="Z790">
        <v>2.7006199999999998</v>
      </c>
      <c r="AA790">
        <f>(Table615463[[#This Row],[time]]-2)*2</f>
        <v>1.4012399999999996</v>
      </c>
      <c r="AB790">
        <v>92.776600000000002</v>
      </c>
      <c r="AC790">
        <v>61.488700000000001</v>
      </c>
      <c r="AD790">
        <f>Table615463[[#This Row],[CFNM]]/Table615463[[#This Row],[CAREA]]</f>
        <v>0.66276086858108618</v>
      </c>
      <c r="AE790">
        <v>2.7006199999999998</v>
      </c>
      <c r="AF790">
        <f>(Table716464[[#This Row],[time]]-2)*2</f>
        <v>1.4012399999999996</v>
      </c>
      <c r="AG790">
        <v>73.250399999999999</v>
      </c>
      <c r="AH790">
        <v>15.72</v>
      </c>
      <c r="AI790">
        <f>Table716464[[#This Row],[CFNM]]/Table716464[[#This Row],[CAREA]]</f>
        <v>0.2146063366206874</v>
      </c>
      <c r="AJ790">
        <v>2.7006199999999998</v>
      </c>
      <c r="AK790">
        <f>(Table817465[[#This Row],[time]]-2)*2</f>
        <v>1.4012399999999996</v>
      </c>
      <c r="AL790">
        <v>78.6434</v>
      </c>
      <c r="AM790">
        <v>58.654800000000002</v>
      </c>
      <c r="AN790">
        <f>Table817465[[#This Row],[CFNM]]/Table817465[[#This Row],[CAREA]]</f>
        <v>0.74583245383592267</v>
      </c>
    </row>
    <row r="791" spans="1:40" x14ac:dyDescent="0.25">
      <c r="A791">
        <v>2.75176</v>
      </c>
      <c r="B791">
        <f>(Table110458[[#This Row],[time]]-2)*2</f>
        <v>1.50352</v>
      </c>
      <c r="C791">
        <v>59.017699999999998</v>
      </c>
      <c r="D791">
        <v>5.6581299999999999</v>
      </c>
      <c r="E791">
        <f>Table110458[[#This Row],[CFNM]]/Table110458[[#This Row],[CAREA]]</f>
        <v>9.5871746950491124E-2</v>
      </c>
      <c r="F791">
        <v>2.75176</v>
      </c>
      <c r="G791">
        <f>(Table211459[[#This Row],[time]]-2)*2</f>
        <v>1.50352</v>
      </c>
      <c r="H791">
        <v>98.078699999999998</v>
      </c>
      <c r="I791">
        <v>39.0809</v>
      </c>
      <c r="J791">
        <f>Table211459[[#This Row],[CFNM]]/Table211459[[#This Row],[CAREA]]</f>
        <v>0.39846470232578535</v>
      </c>
      <c r="K791">
        <v>2.75176</v>
      </c>
      <c r="L791">
        <f>(Table312460[[#This Row],[time]]-2)*2</f>
        <v>1.50352</v>
      </c>
      <c r="M791">
        <v>65.518500000000003</v>
      </c>
      <c r="N791">
        <v>0.62071299999999996</v>
      </c>
      <c r="O791">
        <f>Table312460[[#This Row],[CFNM]]/Table312460[[#This Row],[CAREA]]</f>
        <v>9.4738585285072136E-3</v>
      </c>
      <c r="P791">
        <v>2.75176</v>
      </c>
      <c r="Q791">
        <f>(Table413461[[#This Row],[time]]-2)*2</f>
        <v>1.50352</v>
      </c>
      <c r="R791">
        <v>86.065799999999996</v>
      </c>
      <c r="S791">
        <v>45.508299999999998</v>
      </c>
      <c r="T791">
        <f>Table413461[[#This Row],[CFNM]]/Table413461[[#This Row],[CAREA]]</f>
        <v>0.5287617148739685</v>
      </c>
      <c r="U791">
        <v>2.75176</v>
      </c>
      <c r="V791">
        <f>(Table514462[[#This Row],[time]]-2)*2</f>
        <v>1.50352</v>
      </c>
      <c r="W791">
        <v>63.543300000000002</v>
      </c>
      <c r="X791">
        <v>0.66272200000000003</v>
      </c>
      <c r="Y791">
        <f>Table514462[[#This Row],[CFNM]]/Table514462[[#This Row],[CAREA]]</f>
        <v>1.042945519039773E-2</v>
      </c>
      <c r="Z791">
        <v>2.75176</v>
      </c>
      <c r="AA791">
        <f>(Table615463[[#This Row],[time]]-2)*2</f>
        <v>1.50352</v>
      </c>
      <c r="AB791">
        <v>91.997699999999995</v>
      </c>
      <c r="AC791">
        <v>67.005600000000001</v>
      </c>
      <c r="AD791">
        <f>Table615463[[#This Row],[CFNM]]/Table615463[[#This Row],[CAREA]]</f>
        <v>0.72833994762912557</v>
      </c>
      <c r="AE791">
        <v>2.75176</v>
      </c>
      <c r="AF791">
        <f>(Table716464[[#This Row],[time]]-2)*2</f>
        <v>1.50352</v>
      </c>
      <c r="AG791">
        <v>72.1404</v>
      </c>
      <c r="AH791">
        <v>14.8743</v>
      </c>
      <c r="AI791">
        <f>Table716464[[#This Row],[CFNM]]/Table716464[[#This Row],[CAREA]]</f>
        <v>0.20618543839512948</v>
      </c>
      <c r="AJ791">
        <v>2.75176</v>
      </c>
      <c r="AK791">
        <f>(Table817465[[#This Row],[time]]-2)*2</f>
        <v>1.50352</v>
      </c>
      <c r="AL791">
        <v>77.768100000000004</v>
      </c>
      <c r="AM791">
        <v>62.518700000000003</v>
      </c>
      <c r="AN791">
        <f>Table817465[[#This Row],[CFNM]]/Table817465[[#This Row],[CAREA]]</f>
        <v>0.80391188675047998</v>
      </c>
    </row>
    <row r="792" spans="1:40" x14ac:dyDescent="0.25">
      <c r="A792">
        <v>2.80444</v>
      </c>
      <c r="B792">
        <f>(Table110458[[#This Row],[time]]-2)*2</f>
        <v>1.6088800000000001</v>
      </c>
      <c r="C792">
        <v>58.696399999999997</v>
      </c>
      <c r="D792">
        <v>5.3280200000000004</v>
      </c>
      <c r="E792">
        <f>Table110458[[#This Row],[CFNM]]/Table110458[[#This Row],[CAREA]]</f>
        <v>9.0772517564961408E-2</v>
      </c>
      <c r="F792">
        <v>2.80444</v>
      </c>
      <c r="G792">
        <f>(Table211459[[#This Row],[time]]-2)*2</f>
        <v>1.6088800000000001</v>
      </c>
      <c r="H792">
        <v>96.928700000000006</v>
      </c>
      <c r="I792">
        <v>42.8155</v>
      </c>
      <c r="J792">
        <f>Table211459[[#This Row],[CFNM]]/Table211459[[#This Row],[CAREA]]</f>
        <v>0.44172159535823752</v>
      </c>
      <c r="K792">
        <v>2.80444</v>
      </c>
      <c r="L792">
        <f>(Table312460[[#This Row],[time]]-2)*2</f>
        <v>1.6088800000000001</v>
      </c>
      <c r="M792">
        <v>63.802399999999999</v>
      </c>
      <c r="N792">
        <v>0.465285</v>
      </c>
      <c r="O792">
        <f>Table312460[[#This Row],[CFNM]]/Table312460[[#This Row],[CAREA]]</f>
        <v>7.2925940090027962E-3</v>
      </c>
      <c r="P792">
        <v>2.80444</v>
      </c>
      <c r="Q792">
        <f>(Table413461[[#This Row],[time]]-2)*2</f>
        <v>1.6088800000000001</v>
      </c>
      <c r="R792">
        <v>85.482699999999994</v>
      </c>
      <c r="S792">
        <v>49.296199999999999</v>
      </c>
      <c r="T792">
        <f>Table413461[[#This Row],[CFNM]]/Table413461[[#This Row],[CAREA]]</f>
        <v>0.57668042773567052</v>
      </c>
      <c r="U792">
        <v>2.80444</v>
      </c>
      <c r="V792">
        <f>(Table514462[[#This Row],[time]]-2)*2</f>
        <v>1.6088800000000001</v>
      </c>
      <c r="W792">
        <v>62.390599999999999</v>
      </c>
      <c r="X792">
        <v>0.62359600000000004</v>
      </c>
      <c r="Y792">
        <f>Table514462[[#This Row],[CFNM]]/Table514462[[#This Row],[CAREA]]</f>
        <v>9.9950313027924089E-3</v>
      </c>
      <c r="Z792">
        <v>2.80444</v>
      </c>
      <c r="AA792">
        <f>(Table615463[[#This Row],[time]]-2)*2</f>
        <v>1.6088800000000001</v>
      </c>
      <c r="AB792">
        <v>91.397300000000001</v>
      </c>
      <c r="AC792">
        <v>71.220799999999997</v>
      </c>
      <c r="AD792">
        <f>Table615463[[#This Row],[CFNM]]/Table615463[[#This Row],[CAREA]]</f>
        <v>0.77924402580820218</v>
      </c>
      <c r="AE792">
        <v>2.80444</v>
      </c>
      <c r="AF792">
        <f>(Table716464[[#This Row],[time]]-2)*2</f>
        <v>1.6088800000000001</v>
      </c>
      <c r="AG792">
        <v>71.019400000000005</v>
      </c>
      <c r="AH792">
        <v>14.162599999999999</v>
      </c>
      <c r="AI792">
        <f>Table716464[[#This Row],[CFNM]]/Table716464[[#This Row],[CAREA]]</f>
        <v>0.19941875036961729</v>
      </c>
      <c r="AJ792">
        <v>2.80444</v>
      </c>
      <c r="AK792">
        <f>(Table817465[[#This Row],[time]]-2)*2</f>
        <v>1.6088800000000001</v>
      </c>
      <c r="AL792">
        <v>77.114199999999997</v>
      </c>
      <c r="AM792">
        <v>65.522400000000005</v>
      </c>
      <c r="AN792">
        <f>Table817465[[#This Row],[CFNM]]/Table817465[[#This Row],[CAREA]]</f>
        <v>0.84968008486115409</v>
      </c>
    </row>
    <row r="793" spans="1:40" x14ac:dyDescent="0.25">
      <c r="A793">
        <v>2.8583699999999999</v>
      </c>
      <c r="B793">
        <f>(Table110458[[#This Row],[time]]-2)*2</f>
        <v>1.7167399999999997</v>
      </c>
      <c r="C793">
        <v>57.6539</v>
      </c>
      <c r="D793">
        <v>4.96441</v>
      </c>
      <c r="E793">
        <f>Table110458[[#This Row],[CFNM]]/Table110458[[#This Row],[CAREA]]</f>
        <v>8.6107097698507815E-2</v>
      </c>
      <c r="F793">
        <v>2.8583699999999999</v>
      </c>
      <c r="G793">
        <f>(Table211459[[#This Row],[time]]-2)*2</f>
        <v>1.7167399999999997</v>
      </c>
      <c r="H793">
        <v>95.764399999999995</v>
      </c>
      <c r="I793">
        <v>46.939500000000002</v>
      </c>
      <c r="J793">
        <f>Table211459[[#This Row],[CFNM]]/Table211459[[#This Row],[CAREA]]</f>
        <v>0.49015604963848786</v>
      </c>
      <c r="K793">
        <v>2.8583699999999999</v>
      </c>
      <c r="L793">
        <f>(Table312460[[#This Row],[time]]-2)*2</f>
        <v>1.7167399999999997</v>
      </c>
      <c r="M793">
        <v>58.305500000000002</v>
      </c>
      <c r="N793">
        <v>0.32858300000000001</v>
      </c>
      <c r="O793">
        <f>Table312460[[#This Row],[CFNM]]/Table312460[[#This Row],[CAREA]]</f>
        <v>5.6355403864129456E-3</v>
      </c>
      <c r="P793">
        <v>2.8583699999999999</v>
      </c>
      <c r="Q793">
        <f>(Table413461[[#This Row],[time]]-2)*2</f>
        <v>1.7167399999999997</v>
      </c>
      <c r="R793">
        <v>84.670500000000004</v>
      </c>
      <c r="S793">
        <v>53.448</v>
      </c>
      <c r="T793">
        <f>Table413461[[#This Row],[CFNM]]/Table413461[[#This Row],[CAREA]]</f>
        <v>0.63124701046999843</v>
      </c>
      <c r="U793">
        <v>2.8583699999999999</v>
      </c>
      <c r="V793">
        <f>(Table514462[[#This Row],[time]]-2)*2</f>
        <v>1.7167399999999997</v>
      </c>
      <c r="W793">
        <v>61.418300000000002</v>
      </c>
      <c r="X793">
        <v>0.56965600000000005</v>
      </c>
      <c r="Y793">
        <f>Table514462[[#This Row],[CFNM]]/Table514462[[#This Row],[CAREA]]</f>
        <v>9.2750206371716576E-3</v>
      </c>
      <c r="Z793">
        <v>2.8583699999999999</v>
      </c>
      <c r="AA793">
        <f>(Table615463[[#This Row],[time]]-2)*2</f>
        <v>1.7167399999999997</v>
      </c>
      <c r="AB793">
        <v>90.798100000000005</v>
      </c>
      <c r="AC793">
        <v>76.037400000000005</v>
      </c>
      <c r="AD793">
        <f>Table615463[[#This Row],[CFNM]]/Table615463[[#This Row],[CAREA]]</f>
        <v>0.83743382295444513</v>
      </c>
      <c r="AE793">
        <v>2.8583699999999999</v>
      </c>
      <c r="AF793">
        <f>(Table716464[[#This Row],[time]]-2)*2</f>
        <v>1.7167399999999997</v>
      </c>
      <c r="AG793">
        <v>70.731399999999994</v>
      </c>
      <c r="AH793">
        <v>13.3428</v>
      </c>
      <c r="AI793">
        <f>Table716464[[#This Row],[CFNM]]/Table716464[[#This Row],[CAREA]]</f>
        <v>0.18864040581693564</v>
      </c>
      <c r="AJ793">
        <v>2.8583699999999999</v>
      </c>
      <c r="AK793">
        <f>(Table817465[[#This Row],[time]]-2)*2</f>
        <v>1.7167399999999997</v>
      </c>
      <c r="AL793">
        <v>76.215999999999994</v>
      </c>
      <c r="AM793">
        <v>68.995800000000003</v>
      </c>
      <c r="AN793">
        <f>Table817465[[#This Row],[CFNM]]/Table817465[[#This Row],[CAREA]]</f>
        <v>0.90526661068542047</v>
      </c>
    </row>
    <row r="794" spans="1:40" x14ac:dyDescent="0.25">
      <c r="A794">
        <v>2.9134199999999999</v>
      </c>
      <c r="B794">
        <f>(Table110458[[#This Row],[time]]-2)*2</f>
        <v>1.8268399999999998</v>
      </c>
      <c r="C794">
        <v>56.391199999999998</v>
      </c>
      <c r="D794">
        <v>4.6181200000000002</v>
      </c>
      <c r="E794">
        <f>Table110458[[#This Row],[CFNM]]/Table110458[[#This Row],[CAREA]]</f>
        <v>8.1894338123678884E-2</v>
      </c>
      <c r="F794">
        <v>2.9134199999999999</v>
      </c>
      <c r="G794">
        <f>(Table211459[[#This Row],[time]]-2)*2</f>
        <v>1.8268399999999998</v>
      </c>
      <c r="H794">
        <v>94.541899999999998</v>
      </c>
      <c r="I794">
        <v>50.822499999999998</v>
      </c>
      <c r="J794">
        <f>Table211459[[#This Row],[CFNM]]/Table211459[[#This Row],[CAREA]]</f>
        <v>0.53756588348658108</v>
      </c>
      <c r="K794">
        <v>2.9134199999999999</v>
      </c>
      <c r="L794">
        <f>(Table312460[[#This Row],[time]]-2)*2</f>
        <v>1.8268399999999998</v>
      </c>
      <c r="M794">
        <v>56.242699999999999</v>
      </c>
      <c r="N794">
        <v>0.21260000000000001</v>
      </c>
      <c r="O794">
        <f>Table312460[[#This Row],[CFNM]]/Table312460[[#This Row],[CAREA]]</f>
        <v>3.7800461215411071E-3</v>
      </c>
      <c r="P794">
        <v>2.9134199999999999</v>
      </c>
      <c r="Q794">
        <f>(Table413461[[#This Row],[time]]-2)*2</f>
        <v>1.8268399999999998</v>
      </c>
      <c r="R794">
        <v>83.726500000000001</v>
      </c>
      <c r="S794">
        <v>57.5077</v>
      </c>
      <c r="T794">
        <f>Table413461[[#This Row],[CFNM]]/Table413461[[#This Row],[CAREA]]</f>
        <v>0.6868518330516622</v>
      </c>
      <c r="U794">
        <v>2.9134199999999999</v>
      </c>
      <c r="V794">
        <f>(Table514462[[#This Row],[time]]-2)*2</f>
        <v>1.8268399999999998</v>
      </c>
      <c r="W794">
        <v>61.198</v>
      </c>
      <c r="X794">
        <v>0.47657300000000002</v>
      </c>
      <c r="Y794">
        <f>Table514462[[#This Row],[CFNM]]/Table514462[[#This Row],[CAREA]]</f>
        <v>7.7873950129089186E-3</v>
      </c>
      <c r="Z794">
        <v>2.9134199999999999</v>
      </c>
      <c r="AA794">
        <f>(Table615463[[#This Row],[time]]-2)*2</f>
        <v>1.8268399999999998</v>
      </c>
      <c r="AB794">
        <v>90.137</v>
      </c>
      <c r="AC794">
        <v>80.691199999999995</v>
      </c>
      <c r="AD794">
        <f>Table615463[[#This Row],[CFNM]]/Table615463[[#This Row],[CAREA]]</f>
        <v>0.89520618613887748</v>
      </c>
      <c r="AE794">
        <v>2.9134199999999999</v>
      </c>
      <c r="AF794">
        <f>(Table716464[[#This Row],[time]]-2)*2</f>
        <v>1.8268399999999998</v>
      </c>
      <c r="AG794">
        <v>70.438299999999998</v>
      </c>
      <c r="AH794">
        <v>12.5722</v>
      </c>
      <c r="AI794">
        <f>Table716464[[#This Row],[CFNM]]/Table716464[[#This Row],[CAREA]]</f>
        <v>0.17848528428426014</v>
      </c>
      <c r="AJ794">
        <v>2.9134199999999999</v>
      </c>
      <c r="AK794">
        <f>(Table817465[[#This Row],[time]]-2)*2</f>
        <v>1.8268399999999998</v>
      </c>
      <c r="AL794">
        <v>75.403700000000001</v>
      </c>
      <c r="AM794">
        <v>72.498000000000005</v>
      </c>
      <c r="AN794">
        <f>Table817465[[#This Row],[CFNM]]/Table817465[[#This Row],[CAREA]]</f>
        <v>0.96146475570827428</v>
      </c>
    </row>
    <row r="795" spans="1:40" x14ac:dyDescent="0.25">
      <c r="A795">
        <v>2.9619599999999999</v>
      </c>
      <c r="B795">
        <f>(Table110458[[#This Row],[time]]-2)*2</f>
        <v>1.9239199999999999</v>
      </c>
      <c r="C795">
        <v>56.346400000000003</v>
      </c>
      <c r="D795">
        <v>4.3679399999999999</v>
      </c>
      <c r="E795">
        <f>Table110458[[#This Row],[CFNM]]/Table110458[[#This Row],[CAREA]]</f>
        <v>7.7519415614839632E-2</v>
      </c>
      <c r="F795">
        <v>2.9619599999999999</v>
      </c>
      <c r="G795">
        <f>(Table211459[[#This Row],[time]]-2)*2</f>
        <v>1.9239199999999999</v>
      </c>
      <c r="H795">
        <v>93.453100000000006</v>
      </c>
      <c r="I795">
        <v>54.1</v>
      </c>
      <c r="J795">
        <f>Table211459[[#This Row],[CFNM]]/Table211459[[#This Row],[CAREA]]</f>
        <v>0.57890000438722733</v>
      </c>
      <c r="K795">
        <v>2.9619599999999999</v>
      </c>
      <c r="L795">
        <f>(Table312460[[#This Row],[time]]-2)*2</f>
        <v>1.9239199999999999</v>
      </c>
      <c r="M795">
        <v>53.51</v>
      </c>
      <c r="N795">
        <v>0.113455</v>
      </c>
      <c r="O795">
        <f>Table312460[[#This Row],[CFNM]]/Table312460[[#This Row],[CAREA]]</f>
        <v>2.1202578957204262E-3</v>
      </c>
      <c r="P795">
        <v>2.9619599999999999</v>
      </c>
      <c r="Q795">
        <f>(Table413461[[#This Row],[time]]-2)*2</f>
        <v>1.9239199999999999</v>
      </c>
      <c r="R795">
        <v>83.040400000000005</v>
      </c>
      <c r="S795">
        <v>61.014699999999998</v>
      </c>
      <c r="T795">
        <f>Table413461[[#This Row],[CFNM]]/Table413461[[#This Row],[CAREA]]</f>
        <v>0.73475922562993423</v>
      </c>
      <c r="U795">
        <v>2.9619599999999999</v>
      </c>
      <c r="V795">
        <f>(Table514462[[#This Row],[time]]-2)*2</f>
        <v>1.9239199999999999</v>
      </c>
      <c r="W795">
        <v>60.642200000000003</v>
      </c>
      <c r="X795">
        <v>0.38845400000000002</v>
      </c>
      <c r="Y795">
        <f>Table514462[[#This Row],[CFNM]]/Table514462[[#This Row],[CAREA]]</f>
        <v>6.4056712982048809E-3</v>
      </c>
      <c r="Z795">
        <v>2.9619599999999999</v>
      </c>
      <c r="AA795">
        <f>(Table615463[[#This Row],[time]]-2)*2</f>
        <v>1.9239199999999999</v>
      </c>
      <c r="AB795">
        <v>89.585400000000007</v>
      </c>
      <c r="AC795">
        <v>84.539699999999996</v>
      </c>
      <c r="AD795">
        <f>Table615463[[#This Row],[CFNM]]/Table615463[[#This Row],[CAREA]]</f>
        <v>0.94367720633049568</v>
      </c>
      <c r="AE795">
        <v>2.9619599999999999</v>
      </c>
      <c r="AF795">
        <f>(Table716464[[#This Row],[time]]-2)*2</f>
        <v>1.9239199999999999</v>
      </c>
      <c r="AG795">
        <v>69.255499999999998</v>
      </c>
      <c r="AH795">
        <v>11.923400000000001</v>
      </c>
      <c r="AI795">
        <f>Table716464[[#This Row],[CFNM]]/Table716464[[#This Row],[CAREA]]</f>
        <v>0.17216538758654548</v>
      </c>
      <c r="AJ795">
        <v>2.9619599999999999</v>
      </c>
      <c r="AK795">
        <f>(Table817465[[#This Row],[time]]-2)*2</f>
        <v>1.9239199999999999</v>
      </c>
      <c r="AL795">
        <v>74.680300000000003</v>
      </c>
      <c r="AM795">
        <v>75.579400000000007</v>
      </c>
      <c r="AN795">
        <f>Table817465[[#This Row],[CFNM]]/Table817465[[#This Row],[CAREA]]</f>
        <v>1.0120393196063755</v>
      </c>
    </row>
    <row r="796" spans="1:40" x14ac:dyDescent="0.25">
      <c r="A796">
        <v>3</v>
      </c>
      <c r="B796">
        <f>(Table110458[[#This Row],[time]]-2)*2</f>
        <v>2</v>
      </c>
      <c r="C796">
        <v>55.879800000000003</v>
      </c>
      <c r="D796">
        <v>4.2434000000000003</v>
      </c>
      <c r="E796">
        <f>Table110458[[#This Row],[CFNM]]/Table110458[[#This Row],[CAREA]]</f>
        <v>7.5937995483162074E-2</v>
      </c>
      <c r="F796">
        <v>3</v>
      </c>
      <c r="G796">
        <f>(Table211459[[#This Row],[time]]-2)*2</f>
        <v>2</v>
      </c>
      <c r="H796">
        <v>92.608800000000002</v>
      </c>
      <c r="I796">
        <v>56.634700000000002</v>
      </c>
      <c r="J796">
        <f>Table211459[[#This Row],[CFNM]]/Table211459[[#This Row],[CAREA]]</f>
        <v>0.61154771468802105</v>
      </c>
      <c r="K796">
        <v>3</v>
      </c>
      <c r="L796">
        <f>(Table312460[[#This Row],[time]]-2)*2</f>
        <v>2</v>
      </c>
      <c r="M796">
        <v>51.997999999999998</v>
      </c>
      <c r="N796">
        <v>3.6255099999999998E-2</v>
      </c>
      <c r="O796">
        <f>Table312460[[#This Row],[CFNM]]/Table312460[[#This Row],[CAREA]]</f>
        <v>6.9724027847224896E-4</v>
      </c>
      <c r="P796">
        <v>3</v>
      </c>
      <c r="Q796">
        <f>(Table413461[[#This Row],[time]]-2)*2</f>
        <v>2</v>
      </c>
      <c r="R796">
        <v>82.463899999999995</v>
      </c>
      <c r="S796">
        <v>63.7712</v>
      </c>
      <c r="T796">
        <f>Table413461[[#This Row],[CFNM]]/Table413461[[#This Row],[CAREA]]</f>
        <v>0.77332262965976628</v>
      </c>
      <c r="U796">
        <v>3</v>
      </c>
      <c r="V796">
        <f>(Table514462[[#This Row],[time]]-2)*2</f>
        <v>2</v>
      </c>
      <c r="W796">
        <v>60.070300000000003</v>
      </c>
      <c r="X796">
        <v>0.294985</v>
      </c>
      <c r="Y796">
        <f>Table514462[[#This Row],[CFNM]]/Table514462[[#This Row],[CAREA]]</f>
        <v>4.9106630065107043E-3</v>
      </c>
      <c r="Z796">
        <v>3</v>
      </c>
      <c r="AA796">
        <f>(Table615463[[#This Row],[time]]-2)*2</f>
        <v>2</v>
      </c>
      <c r="AB796">
        <v>89.143900000000002</v>
      </c>
      <c r="AC796">
        <v>87.361099999999993</v>
      </c>
      <c r="AD796">
        <f>Table615463[[#This Row],[CFNM]]/Table615463[[#This Row],[CAREA]]</f>
        <v>0.98000087498976363</v>
      </c>
      <c r="AE796">
        <v>3</v>
      </c>
      <c r="AF796">
        <f>(Table716464[[#This Row],[time]]-2)*2</f>
        <v>2</v>
      </c>
      <c r="AG796">
        <v>68.738900000000001</v>
      </c>
      <c r="AH796">
        <v>11.3796</v>
      </c>
      <c r="AI796">
        <f>Table716464[[#This Row],[CFNM]]/Table716464[[#This Row],[CAREA]]</f>
        <v>0.16554818305210003</v>
      </c>
      <c r="AJ796">
        <v>3</v>
      </c>
      <c r="AK796">
        <f>(Table817465[[#This Row],[time]]-2)*2</f>
        <v>2</v>
      </c>
      <c r="AL796">
        <v>74.191999999999993</v>
      </c>
      <c r="AM796">
        <v>78.005799999999994</v>
      </c>
      <c r="AN796">
        <f>Table817465[[#This Row],[CFNM]]/Table817465[[#This Row],[CAREA]]</f>
        <v>1.0514044640931637</v>
      </c>
    </row>
    <row r="799" spans="1:40" x14ac:dyDescent="0.25">
      <c r="A799" s="1" t="s">
        <v>32</v>
      </c>
    </row>
    <row r="800" spans="1:40" x14ac:dyDescent="0.25">
      <c r="A800" t="s">
        <v>76</v>
      </c>
      <c r="D800" t="s">
        <v>1</v>
      </c>
    </row>
    <row r="801" spans="1:40" x14ac:dyDescent="0.25">
      <c r="A801" t="s">
        <v>77</v>
      </c>
      <c r="D801" t="s">
        <v>2</v>
      </c>
      <c r="E801" t="s">
        <v>3</v>
      </c>
    </row>
    <row r="803" spans="1:40" x14ac:dyDescent="0.25">
      <c r="A803" t="s">
        <v>5</v>
      </c>
      <c r="F803" t="s">
        <v>6</v>
      </c>
      <c r="K803" t="s">
        <v>7</v>
      </c>
      <c r="P803" t="s">
        <v>19</v>
      </c>
      <c r="U803" t="s">
        <v>8</v>
      </c>
      <c r="Z803" t="s">
        <v>9</v>
      </c>
      <c r="AE803" t="s">
        <v>10</v>
      </c>
      <c r="AJ803" t="s">
        <v>11</v>
      </c>
    </row>
    <row r="804" spans="1:40" x14ac:dyDescent="0.25">
      <c r="A804" t="s">
        <v>12</v>
      </c>
      <c r="B804" t="s">
        <v>13</v>
      </c>
      <c r="C804" t="s">
        <v>17</v>
      </c>
      <c r="D804" t="s">
        <v>15</v>
      </c>
      <c r="E804" t="s">
        <v>16</v>
      </c>
      <c r="F804" t="s">
        <v>12</v>
      </c>
      <c r="G804" t="s">
        <v>13</v>
      </c>
      <c r="H804" t="s">
        <v>17</v>
      </c>
      <c r="I804" t="s">
        <v>15</v>
      </c>
      <c r="J804" t="s">
        <v>16</v>
      </c>
      <c r="K804" t="s">
        <v>12</v>
      </c>
      <c r="L804" t="s">
        <v>13</v>
      </c>
      <c r="M804" t="s">
        <v>17</v>
      </c>
      <c r="N804" t="s">
        <v>15</v>
      </c>
      <c r="O804" t="s">
        <v>16</v>
      </c>
      <c r="P804" t="s">
        <v>12</v>
      </c>
      <c r="Q804" t="s">
        <v>13</v>
      </c>
      <c r="R804" t="s">
        <v>17</v>
      </c>
      <c r="S804" t="s">
        <v>15</v>
      </c>
      <c r="T804" t="s">
        <v>16</v>
      </c>
      <c r="U804" t="s">
        <v>12</v>
      </c>
      <c r="V804" t="s">
        <v>13</v>
      </c>
      <c r="W804" t="s">
        <v>17</v>
      </c>
      <c r="X804" t="s">
        <v>15</v>
      </c>
      <c r="Y804" t="s">
        <v>16</v>
      </c>
      <c r="Z804" t="s">
        <v>12</v>
      </c>
      <c r="AA804" t="s">
        <v>13</v>
      </c>
      <c r="AB804" t="s">
        <v>17</v>
      </c>
      <c r="AC804" t="s">
        <v>15</v>
      </c>
      <c r="AD804" t="s">
        <v>16</v>
      </c>
      <c r="AE804" t="s">
        <v>12</v>
      </c>
      <c r="AF804" t="s">
        <v>13</v>
      </c>
      <c r="AG804" t="s">
        <v>17</v>
      </c>
      <c r="AH804" t="s">
        <v>15</v>
      </c>
      <c r="AI804" t="s">
        <v>16</v>
      </c>
      <c r="AJ804" t="s">
        <v>12</v>
      </c>
      <c r="AK804" t="s">
        <v>13</v>
      </c>
      <c r="AL804" t="s">
        <v>17</v>
      </c>
      <c r="AM804" t="s">
        <v>15</v>
      </c>
      <c r="AN804" t="s">
        <v>16</v>
      </c>
    </row>
    <row r="805" spans="1:40" x14ac:dyDescent="0.25">
      <c r="A805">
        <v>2</v>
      </c>
      <c r="B805">
        <f>-(Table1466[[#This Row],[time]]-2)*2</f>
        <v>0</v>
      </c>
      <c r="C805">
        <v>88.6922</v>
      </c>
      <c r="D805">
        <v>9.7512600000000003</v>
      </c>
      <c r="E805" s="2">
        <f>Table1466[[#This Row],[CFNM]]/Table1466[[#This Row],[CAREA]]</f>
        <v>0.10994495570072679</v>
      </c>
      <c r="F805">
        <v>2</v>
      </c>
      <c r="G805">
        <f>-(Table2467[[#This Row],[time]]-2)*2</f>
        <v>0</v>
      </c>
      <c r="H805">
        <v>94.576599999999999</v>
      </c>
      <c r="I805">
        <v>2.6341000000000001</v>
      </c>
      <c r="J805" s="2">
        <f>Table2467[[#This Row],[CFNM]]/Table2467[[#This Row],[CAREA]]</f>
        <v>2.7851498150705357E-2</v>
      </c>
      <c r="K805">
        <v>2</v>
      </c>
      <c r="L805">
        <f>-(Table3468[[#This Row],[time]]-2)*2</f>
        <v>0</v>
      </c>
      <c r="M805">
        <v>87.261099999999999</v>
      </c>
      <c r="N805">
        <v>2.43161</v>
      </c>
      <c r="O805">
        <f>Table3468[[#This Row],[CFNM]]/Table3468[[#This Row],[CAREA]]</f>
        <v>2.7865910468696822E-2</v>
      </c>
      <c r="P805">
        <v>2</v>
      </c>
      <c r="Q805">
        <f>-(Table4469[[#This Row],[time]]-2)*2</f>
        <v>0</v>
      </c>
      <c r="R805">
        <v>85.187899999999999</v>
      </c>
      <c r="S805">
        <v>5.1691200000000004</v>
      </c>
      <c r="T805">
        <f>Table4469[[#This Row],[CFNM]]/Table4469[[#This Row],[CAREA]]</f>
        <v>6.0679040098417736E-2</v>
      </c>
      <c r="U805">
        <v>2</v>
      </c>
      <c r="V805">
        <f>-(Table5470[[#This Row],[time]]-2)*2</f>
        <v>0</v>
      </c>
      <c r="W805">
        <v>83.090100000000007</v>
      </c>
      <c r="X805">
        <v>4.71889</v>
      </c>
      <c r="Y805">
        <f>Table5470[[#This Row],[CFNM]]/Table5470[[#This Row],[CAREA]]</f>
        <v>5.679244579077411E-2</v>
      </c>
      <c r="Z805">
        <v>2</v>
      </c>
      <c r="AA805">
        <f>-(Table6471[[#This Row],[time]]-2)*2</f>
        <v>0</v>
      </c>
      <c r="AB805">
        <v>85.801400000000001</v>
      </c>
      <c r="AC805">
        <v>12.0952</v>
      </c>
      <c r="AD805">
        <f>Table6471[[#This Row],[CFNM]]/Table6471[[#This Row],[CAREA]]</f>
        <v>0.14096739680238318</v>
      </c>
      <c r="AE805">
        <v>2</v>
      </c>
      <c r="AF805">
        <f>-(Table7472[[#This Row],[time]]-2)*2</f>
        <v>0</v>
      </c>
      <c r="AG805">
        <v>77.901899999999998</v>
      </c>
      <c r="AH805">
        <v>21.17</v>
      </c>
      <c r="AI805">
        <f>Table7472[[#This Row],[CFNM]]/Table7472[[#This Row],[CAREA]]</f>
        <v>0.2717520368566107</v>
      </c>
      <c r="AJ805">
        <v>2</v>
      </c>
      <c r="AK805">
        <f>-(Table8473[[#This Row],[time]]-2)*2</f>
        <v>0</v>
      </c>
      <c r="AL805">
        <v>83.325999999999993</v>
      </c>
      <c r="AM805">
        <v>21.1831</v>
      </c>
      <c r="AN805">
        <f>Table8473[[#This Row],[CFNM]]/Table8473[[#This Row],[CAREA]]</f>
        <v>0.25421957132227635</v>
      </c>
    </row>
    <row r="806" spans="1:40" x14ac:dyDescent="0.25">
      <c r="A806">
        <v>2.0674999999999999</v>
      </c>
      <c r="B806">
        <f>-(Table1466[[#This Row],[time]]-2)*2</f>
        <v>-0.13499999999999979</v>
      </c>
      <c r="C806">
        <v>88.808000000000007</v>
      </c>
      <c r="D806">
        <v>10.3399</v>
      </c>
      <c r="E806">
        <f>Table1466[[#This Row],[CFNM]]/Table1466[[#This Row],[CAREA]]</f>
        <v>0.11642982614178903</v>
      </c>
      <c r="F806">
        <v>2.0674999999999999</v>
      </c>
      <c r="G806">
        <f>-(Table2467[[#This Row],[time]]-2)*2</f>
        <v>-0.13499999999999979</v>
      </c>
      <c r="H806">
        <v>93.471699999999998</v>
      </c>
      <c r="I806">
        <v>1.55976</v>
      </c>
      <c r="J806">
        <f>Table2467[[#This Row],[CFNM]]/Table2467[[#This Row],[CAREA]]</f>
        <v>1.6686975844025519E-2</v>
      </c>
      <c r="K806">
        <v>2.0674999999999999</v>
      </c>
      <c r="L806">
        <f>-(Table3468[[#This Row],[time]]-2)*2</f>
        <v>-0.13499999999999979</v>
      </c>
      <c r="M806">
        <v>88.7714</v>
      </c>
      <c r="N806">
        <v>2.8451300000000002</v>
      </c>
      <c r="O806">
        <f>Table3468[[#This Row],[CFNM]]/Table3468[[#This Row],[CAREA]]</f>
        <v>3.2050074686216505E-2</v>
      </c>
      <c r="P806">
        <v>2.0674999999999999</v>
      </c>
      <c r="Q806">
        <f>-(Table4469[[#This Row],[time]]-2)*2</f>
        <v>-0.13499999999999979</v>
      </c>
      <c r="R806">
        <v>83.333399999999997</v>
      </c>
      <c r="S806">
        <v>4.0019600000000004</v>
      </c>
      <c r="T806">
        <f>Table4469[[#This Row],[CFNM]]/Table4469[[#This Row],[CAREA]]</f>
        <v>4.8023481581214743E-2</v>
      </c>
      <c r="U806">
        <v>2.0674999999999999</v>
      </c>
      <c r="V806">
        <f>-(Table5470[[#This Row],[time]]-2)*2</f>
        <v>-0.13499999999999979</v>
      </c>
      <c r="W806">
        <v>83.033100000000005</v>
      </c>
      <c r="X806">
        <v>6.7820299999999998</v>
      </c>
      <c r="Y806">
        <f>Table5470[[#This Row],[CFNM]]/Table5470[[#This Row],[CAREA]]</f>
        <v>8.1678631774557364E-2</v>
      </c>
      <c r="Z806">
        <v>2.0674999999999999</v>
      </c>
      <c r="AA806">
        <f>-(Table6471[[#This Row],[time]]-2)*2</f>
        <v>-0.13499999999999979</v>
      </c>
      <c r="AB806">
        <v>84.700199999999995</v>
      </c>
      <c r="AC806">
        <v>10.1402</v>
      </c>
      <c r="AD806">
        <f>Table6471[[#This Row],[CFNM]]/Table6471[[#This Row],[CAREA]]</f>
        <v>0.11971872557561848</v>
      </c>
      <c r="AE806">
        <v>2.0674999999999999</v>
      </c>
      <c r="AF806">
        <f>-(Table7472[[#This Row],[time]]-2)*2</f>
        <v>-0.13499999999999979</v>
      </c>
      <c r="AG806">
        <v>78.802899999999994</v>
      </c>
      <c r="AH806">
        <v>22.1173</v>
      </c>
      <c r="AI806">
        <f>Table7472[[#This Row],[CFNM]]/Table7472[[#This Row],[CAREA]]</f>
        <v>0.2806660668579456</v>
      </c>
      <c r="AJ806">
        <v>2.0674999999999999</v>
      </c>
      <c r="AK806">
        <f>-(Table8473[[#This Row],[time]]-2)*2</f>
        <v>-0.13499999999999979</v>
      </c>
      <c r="AL806">
        <v>82.906999999999996</v>
      </c>
      <c r="AM806">
        <v>19.8992</v>
      </c>
      <c r="AN806">
        <f>Table8473[[#This Row],[CFNM]]/Table8473[[#This Row],[CAREA]]</f>
        <v>0.24001833379569881</v>
      </c>
    </row>
    <row r="807" spans="1:40" x14ac:dyDescent="0.25">
      <c r="A807">
        <v>2.1012499999999998</v>
      </c>
      <c r="B807">
        <f>-(Table1466[[#This Row],[time]]-2)*2</f>
        <v>-0.20249999999999968</v>
      </c>
      <c r="C807">
        <v>89.890299999999996</v>
      </c>
      <c r="D807">
        <v>10.598800000000001</v>
      </c>
      <c r="E807">
        <f>Table1466[[#This Row],[CFNM]]/Table1466[[#This Row],[CAREA]]</f>
        <v>0.11790816139227482</v>
      </c>
      <c r="F807">
        <v>2.1012499999999998</v>
      </c>
      <c r="G807">
        <f>-(Table2467[[#This Row],[time]]-2)*2</f>
        <v>-0.20249999999999968</v>
      </c>
      <c r="H807">
        <v>92.514799999999994</v>
      </c>
      <c r="I807">
        <v>1.2297100000000001</v>
      </c>
      <c r="J807">
        <f>Table2467[[#This Row],[CFNM]]/Table2467[[#This Row],[CAREA]]</f>
        <v>1.3292035436492326E-2</v>
      </c>
      <c r="K807">
        <v>2.1012499999999998</v>
      </c>
      <c r="L807">
        <f>-(Table3468[[#This Row],[time]]-2)*2</f>
        <v>-0.20249999999999968</v>
      </c>
      <c r="M807">
        <v>89.444800000000001</v>
      </c>
      <c r="N807">
        <v>3.4905400000000002</v>
      </c>
      <c r="O807">
        <f>Table3468[[#This Row],[CFNM]]/Table3468[[#This Row],[CAREA]]</f>
        <v>3.902451567894389E-2</v>
      </c>
      <c r="P807">
        <v>2.1012499999999998</v>
      </c>
      <c r="Q807">
        <f>-(Table4469[[#This Row],[time]]-2)*2</f>
        <v>-0.20249999999999968</v>
      </c>
      <c r="R807">
        <v>81.843299999999999</v>
      </c>
      <c r="S807">
        <v>3.5148600000000001</v>
      </c>
      <c r="T807">
        <f>Table4469[[#This Row],[CFNM]]/Table4469[[#This Row],[CAREA]]</f>
        <v>4.2946215511837867E-2</v>
      </c>
      <c r="U807">
        <v>2.1012499999999998</v>
      </c>
      <c r="V807">
        <f>-(Table5470[[#This Row],[time]]-2)*2</f>
        <v>-0.20249999999999968</v>
      </c>
      <c r="W807">
        <v>83.8887</v>
      </c>
      <c r="X807">
        <v>8.22987</v>
      </c>
      <c r="Y807">
        <f>Table5470[[#This Row],[CFNM]]/Table5470[[#This Row],[CAREA]]</f>
        <v>9.8104631493872232E-2</v>
      </c>
      <c r="Z807">
        <v>2.1012499999999998</v>
      </c>
      <c r="AA807">
        <f>-(Table6471[[#This Row],[time]]-2)*2</f>
        <v>-0.20249999999999968</v>
      </c>
      <c r="AB807">
        <v>83.571899999999999</v>
      </c>
      <c r="AC807">
        <v>9.2526799999999998</v>
      </c>
      <c r="AD807">
        <f>Table6471[[#This Row],[CFNM]]/Table6471[[#This Row],[CAREA]]</f>
        <v>0.11071520451252155</v>
      </c>
      <c r="AE807">
        <v>2.1012499999999998</v>
      </c>
      <c r="AF807">
        <f>-(Table7472[[#This Row],[time]]-2)*2</f>
        <v>-0.20249999999999968</v>
      </c>
      <c r="AG807">
        <v>79.255600000000001</v>
      </c>
      <c r="AH807">
        <v>22.7028</v>
      </c>
      <c r="AI807">
        <f>Table7472[[#This Row],[CFNM]]/Table7472[[#This Row],[CAREA]]</f>
        <v>0.28645042116897734</v>
      </c>
      <c r="AJ807">
        <v>2.1012499999999998</v>
      </c>
      <c r="AK807">
        <f>-(Table8473[[#This Row],[time]]-2)*2</f>
        <v>-0.20249999999999968</v>
      </c>
      <c r="AL807">
        <v>82.835400000000007</v>
      </c>
      <c r="AM807">
        <v>19.197700000000001</v>
      </c>
      <c r="AN807">
        <f>Table8473[[#This Row],[CFNM]]/Table8473[[#This Row],[CAREA]]</f>
        <v>0.23175719559511995</v>
      </c>
    </row>
    <row r="808" spans="1:40" x14ac:dyDescent="0.25">
      <c r="A808">
        <v>2.1606200000000002</v>
      </c>
      <c r="B808">
        <f>-(Table1466[[#This Row],[time]]-2)*2</f>
        <v>-0.32124000000000041</v>
      </c>
      <c r="C808">
        <v>90.8446</v>
      </c>
      <c r="D808">
        <v>11.591200000000001</v>
      </c>
      <c r="E808">
        <f>Table1466[[#This Row],[CFNM]]/Table1466[[#This Row],[CAREA]]</f>
        <v>0.12759371498140781</v>
      </c>
      <c r="F808">
        <v>2.1606200000000002</v>
      </c>
      <c r="G808">
        <f>-(Table2467[[#This Row],[time]]-2)*2</f>
        <v>-0.32124000000000041</v>
      </c>
      <c r="H808">
        <v>90.500900000000001</v>
      </c>
      <c r="I808">
        <v>1.0453699999999999</v>
      </c>
      <c r="J808">
        <f>Table2467[[#This Row],[CFNM]]/Table2467[[#This Row],[CAREA]]</f>
        <v>1.1550934852581575E-2</v>
      </c>
      <c r="K808">
        <v>2.1606200000000002</v>
      </c>
      <c r="L808">
        <f>-(Table3468[[#This Row],[time]]-2)*2</f>
        <v>-0.32124000000000041</v>
      </c>
      <c r="M808">
        <v>90.256699999999995</v>
      </c>
      <c r="N808">
        <v>5.80016</v>
      </c>
      <c r="O808">
        <f>Table3468[[#This Row],[CFNM]]/Table3468[[#This Row],[CAREA]]</f>
        <v>6.4262930065025647E-2</v>
      </c>
      <c r="P808">
        <v>2.1606200000000002</v>
      </c>
      <c r="Q808">
        <f>-(Table4469[[#This Row],[time]]-2)*2</f>
        <v>-0.32124000000000041</v>
      </c>
      <c r="R808">
        <v>80.586200000000005</v>
      </c>
      <c r="S808">
        <v>3.7720099999999999</v>
      </c>
      <c r="T808">
        <f>Table4469[[#This Row],[CFNM]]/Table4469[[#This Row],[CAREA]]</f>
        <v>4.6807145640320548E-2</v>
      </c>
      <c r="U808">
        <v>2.1606200000000002</v>
      </c>
      <c r="V808">
        <f>-(Table5470[[#This Row],[time]]-2)*2</f>
        <v>-0.32124000000000041</v>
      </c>
      <c r="W808">
        <v>83.655100000000004</v>
      </c>
      <c r="X808">
        <v>11.0968</v>
      </c>
      <c r="Y808">
        <f>Table5470[[#This Row],[CFNM]]/Table5470[[#This Row],[CAREA]]</f>
        <v>0.13264941408234524</v>
      </c>
      <c r="Z808">
        <v>2.1606200000000002</v>
      </c>
      <c r="AA808">
        <f>-(Table6471[[#This Row],[time]]-2)*2</f>
        <v>-0.32124000000000041</v>
      </c>
      <c r="AB808">
        <v>83.4375</v>
      </c>
      <c r="AC808">
        <v>7.8473199999999999</v>
      </c>
      <c r="AD808">
        <f>Table6471[[#This Row],[CFNM]]/Table6471[[#This Row],[CAREA]]</f>
        <v>9.4050277153558057E-2</v>
      </c>
      <c r="AE808">
        <v>2.1606200000000002</v>
      </c>
      <c r="AF808">
        <f>-(Table7472[[#This Row],[time]]-2)*2</f>
        <v>-0.32124000000000041</v>
      </c>
      <c r="AG808">
        <v>79.982699999999994</v>
      </c>
      <c r="AH808">
        <v>24.038399999999999</v>
      </c>
      <c r="AI808">
        <f>Table7472[[#This Row],[CFNM]]/Table7472[[#This Row],[CAREA]]</f>
        <v>0.30054499285470482</v>
      </c>
      <c r="AJ808">
        <v>2.1606200000000002</v>
      </c>
      <c r="AK808">
        <f>-(Table8473[[#This Row],[time]]-2)*2</f>
        <v>-0.32124000000000041</v>
      </c>
      <c r="AL808">
        <v>82.691199999999995</v>
      </c>
      <c r="AM808">
        <v>18.064</v>
      </c>
      <c r="AN808">
        <f>Table8473[[#This Row],[CFNM]]/Table8473[[#This Row],[CAREA]]</f>
        <v>0.21845129832436827</v>
      </c>
    </row>
    <row r="809" spans="1:40" x14ac:dyDescent="0.25">
      <c r="A809">
        <v>2.2168800000000002</v>
      </c>
      <c r="B809">
        <f>-(Table1466[[#This Row],[time]]-2)*2</f>
        <v>-0.43376000000000037</v>
      </c>
      <c r="C809">
        <v>92.442099999999996</v>
      </c>
      <c r="D809">
        <v>13.3035</v>
      </c>
      <c r="E809">
        <f>Table1466[[#This Row],[CFNM]]/Table1466[[#This Row],[CAREA]]</f>
        <v>0.14391170256841851</v>
      </c>
      <c r="F809">
        <v>2.2168800000000002</v>
      </c>
      <c r="G809">
        <f>-(Table2467[[#This Row],[time]]-2)*2</f>
        <v>-0.43376000000000037</v>
      </c>
      <c r="H809">
        <v>89.371600000000001</v>
      </c>
      <c r="I809">
        <v>0.76539699999999999</v>
      </c>
      <c r="J809">
        <f>Table2467[[#This Row],[CFNM]]/Table2467[[#This Row],[CAREA]]</f>
        <v>8.5642083167359658E-3</v>
      </c>
      <c r="K809">
        <v>2.2168800000000002</v>
      </c>
      <c r="L809">
        <f>-(Table3468[[#This Row],[time]]-2)*2</f>
        <v>-0.43376000000000037</v>
      </c>
      <c r="M809">
        <v>90.686800000000005</v>
      </c>
      <c r="N809">
        <v>8.3138400000000008</v>
      </c>
      <c r="O809">
        <f>Table3468[[#This Row],[CFNM]]/Table3468[[#This Row],[CAREA]]</f>
        <v>9.1676407150765055E-2</v>
      </c>
      <c r="P809">
        <v>2.2168800000000002</v>
      </c>
      <c r="Q809">
        <f>-(Table4469[[#This Row],[time]]-2)*2</f>
        <v>-0.43376000000000037</v>
      </c>
      <c r="R809">
        <v>79.413799999999995</v>
      </c>
      <c r="S809">
        <v>3.97512</v>
      </c>
      <c r="T809">
        <f>Table4469[[#This Row],[CFNM]]/Table4469[[#This Row],[CAREA]]</f>
        <v>5.0055783755468194E-2</v>
      </c>
      <c r="U809">
        <v>2.2168800000000002</v>
      </c>
      <c r="V809">
        <f>-(Table5470[[#This Row],[time]]-2)*2</f>
        <v>-0.43376000000000037</v>
      </c>
      <c r="W809">
        <v>84.278499999999994</v>
      </c>
      <c r="X809">
        <v>14.1684</v>
      </c>
      <c r="Y809">
        <f>Table5470[[#This Row],[CFNM]]/Table5470[[#This Row],[CAREA]]</f>
        <v>0.16811405043991054</v>
      </c>
      <c r="Z809">
        <v>2.2168800000000002</v>
      </c>
      <c r="AA809">
        <f>-(Table6471[[#This Row],[time]]-2)*2</f>
        <v>-0.43376000000000037</v>
      </c>
      <c r="AB809">
        <v>83.073400000000007</v>
      </c>
      <c r="AC809">
        <v>6.79305</v>
      </c>
      <c r="AD809">
        <f>Table6471[[#This Row],[CFNM]]/Table6471[[#This Row],[CAREA]]</f>
        <v>8.1771662168636405E-2</v>
      </c>
      <c r="AE809">
        <v>2.2168800000000002</v>
      </c>
      <c r="AF809">
        <f>-(Table7472[[#This Row],[time]]-2)*2</f>
        <v>-0.43376000000000037</v>
      </c>
      <c r="AG809">
        <v>80.503500000000003</v>
      </c>
      <c r="AH809">
        <v>25.747199999999999</v>
      </c>
      <c r="AI809">
        <f>Table7472[[#This Row],[CFNM]]/Table7472[[#This Row],[CAREA]]</f>
        <v>0.31982708826324319</v>
      </c>
      <c r="AJ809">
        <v>2.2168800000000002</v>
      </c>
      <c r="AK809">
        <f>-(Table8473[[#This Row],[time]]-2)*2</f>
        <v>-0.43376000000000037</v>
      </c>
      <c r="AL809">
        <v>82.372699999999995</v>
      </c>
      <c r="AM809">
        <v>16.9436</v>
      </c>
      <c r="AN809">
        <f>Table8473[[#This Row],[CFNM]]/Table8473[[#This Row],[CAREA]]</f>
        <v>0.20569436233120927</v>
      </c>
    </row>
    <row r="810" spans="1:40" x14ac:dyDescent="0.25">
      <c r="A810">
        <v>2.2669700000000002</v>
      </c>
      <c r="B810">
        <f>-(Table1466[[#This Row],[time]]-2)*2</f>
        <v>-0.5339400000000003</v>
      </c>
      <c r="C810">
        <v>95.223699999999994</v>
      </c>
      <c r="D810">
        <v>15.2743</v>
      </c>
      <c r="E810">
        <f>Table1466[[#This Row],[CFNM]]/Table1466[[#This Row],[CAREA]]</f>
        <v>0.16040439512432306</v>
      </c>
      <c r="F810">
        <v>2.2669700000000002</v>
      </c>
      <c r="G810">
        <f>-(Table2467[[#This Row],[time]]-2)*2</f>
        <v>-0.5339400000000003</v>
      </c>
      <c r="H810">
        <v>88.122799999999998</v>
      </c>
      <c r="I810">
        <v>0.501054</v>
      </c>
      <c r="J810">
        <f>Table2467[[#This Row],[CFNM]]/Table2467[[#This Row],[CAREA]]</f>
        <v>5.6858610938372361E-3</v>
      </c>
      <c r="K810">
        <v>2.2669700000000002</v>
      </c>
      <c r="L810">
        <f>-(Table3468[[#This Row],[time]]-2)*2</f>
        <v>-0.5339400000000003</v>
      </c>
      <c r="M810">
        <v>90.563999999999993</v>
      </c>
      <c r="N810">
        <v>10.6036</v>
      </c>
      <c r="O810">
        <f>Table3468[[#This Row],[CFNM]]/Table3468[[#This Row],[CAREA]]</f>
        <v>0.11708405105781548</v>
      </c>
      <c r="P810">
        <v>2.2669700000000002</v>
      </c>
      <c r="Q810">
        <f>-(Table4469[[#This Row],[time]]-2)*2</f>
        <v>-0.5339400000000003</v>
      </c>
      <c r="R810">
        <v>78.330299999999994</v>
      </c>
      <c r="S810">
        <v>4.1359599999999999</v>
      </c>
      <c r="T810">
        <f>Table4469[[#This Row],[CFNM]]/Table4469[[#This Row],[CAREA]]</f>
        <v>5.2801534016849165E-2</v>
      </c>
      <c r="U810">
        <v>2.2669700000000002</v>
      </c>
      <c r="V810">
        <f>-(Table5470[[#This Row],[time]]-2)*2</f>
        <v>-0.5339400000000003</v>
      </c>
      <c r="W810">
        <v>84.576999999999998</v>
      </c>
      <c r="X810">
        <v>17.0627</v>
      </c>
      <c r="Y810">
        <f>Table5470[[#This Row],[CFNM]]/Table5470[[#This Row],[CAREA]]</f>
        <v>0.20174160823864645</v>
      </c>
      <c r="Z810">
        <v>2.2669700000000002</v>
      </c>
      <c r="AA810">
        <f>-(Table6471[[#This Row],[time]]-2)*2</f>
        <v>-0.5339400000000003</v>
      </c>
      <c r="AB810">
        <v>82.435500000000005</v>
      </c>
      <c r="AC810">
        <v>5.9482699999999999</v>
      </c>
      <c r="AD810">
        <f>Table6471[[#This Row],[CFNM]]/Table6471[[#This Row],[CAREA]]</f>
        <v>7.2156655809693632E-2</v>
      </c>
      <c r="AE810">
        <v>2.2669700000000002</v>
      </c>
      <c r="AF810">
        <f>-(Table7472[[#This Row],[time]]-2)*2</f>
        <v>-0.5339400000000003</v>
      </c>
      <c r="AG810">
        <v>80.392700000000005</v>
      </c>
      <c r="AH810">
        <v>27.658300000000001</v>
      </c>
      <c r="AI810">
        <f>Table7472[[#This Row],[CFNM]]/Table7472[[#This Row],[CAREA]]</f>
        <v>0.34403994392525689</v>
      </c>
      <c r="AJ810">
        <v>2.2669700000000002</v>
      </c>
      <c r="AK810">
        <f>-(Table8473[[#This Row],[time]]-2)*2</f>
        <v>-0.5339400000000003</v>
      </c>
      <c r="AL810">
        <v>82.541799999999995</v>
      </c>
      <c r="AM810">
        <v>16.099900000000002</v>
      </c>
      <c r="AN810">
        <f>Table8473[[#This Row],[CFNM]]/Table8473[[#This Row],[CAREA]]</f>
        <v>0.19505147694864908</v>
      </c>
    </row>
    <row r="811" spans="1:40" x14ac:dyDescent="0.25">
      <c r="A811">
        <v>2.30924</v>
      </c>
      <c r="B811">
        <f>-(Table1466[[#This Row],[time]]-2)*2</f>
        <v>-0.61847999999999992</v>
      </c>
      <c r="C811">
        <v>97.147199999999998</v>
      </c>
      <c r="D811">
        <v>17.258199999999999</v>
      </c>
      <c r="E811">
        <f>Table1466[[#This Row],[CFNM]]/Table1466[[#This Row],[CAREA]]</f>
        <v>0.17764999917650739</v>
      </c>
      <c r="F811">
        <v>2.30924</v>
      </c>
      <c r="G811">
        <f>-(Table2467[[#This Row],[time]]-2)*2</f>
        <v>-0.61847999999999992</v>
      </c>
      <c r="H811">
        <v>87.171999999999997</v>
      </c>
      <c r="I811">
        <v>0.35734199999999999</v>
      </c>
      <c r="J811">
        <f>Table2467[[#This Row],[CFNM]]/Table2467[[#This Row],[CAREA]]</f>
        <v>4.0992749965585284E-3</v>
      </c>
      <c r="K811">
        <v>2.30924</v>
      </c>
      <c r="L811">
        <f>-(Table3468[[#This Row],[time]]-2)*2</f>
        <v>-0.61847999999999992</v>
      </c>
      <c r="M811">
        <v>90.242900000000006</v>
      </c>
      <c r="N811">
        <v>12.565899999999999</v>
      </c>
      <c r="O811">
        <f>Table3468[[#This Row],[CFNM]]/Table3468[[#This Row],[CAREA]]</f>
        <v>0.13924530350864167</v>
      </c>
      <c r="P811">
        <v>2.30924</v>
      </c>
      <c r="Q811">
        <f>-(Table4469[[#This Row],[time]]-2)*2</f>
        <v>-0.61847999999999992</v>
      </c>
      <c r="R811">
        <v>77.400899999999993</v>
      </c>
      <c r="S811">
        <v>4.24742</v>
      </c>
      <c r="T811">
        <f>Table4469[[#This Row],[CFNM]]/Table4469[[#This Row],[CAREA]]</f>
        <v>5.4875589301933189E-2</v>
      </c>
      <c r="U811">
        <v>2.30924</v>
      </c>
      <c r="V811">
        <f>-(Table5470[[#This Row],[time]]-2)*2</f>
        <v>-0.61847999999999992</v>
      </c>
      <c r="W811">
        <v>84.568200000000004</v>
      </c>
      <c r="X811">
        <v>19.591799999999999</v>
      </c>
      <c r="Y811">
        <f>Table5470[[#This Row],[CFNM]]/Table5470[[#This Row],[CAREA]]</f>
        <v>0.23166864140421575</v>
      </c>
      <c r="Z811">
        <v>2.30924</v>
      </c>
      <c r="AA811">
        <f>-(Table6471[[#This Row],[time]]-2)*2</f>
        <v>-0.61847999999999992</v>
      </c>
      <c r="AB811">
        <v>82.208200000000005</v>
      </c>
      <c r="AC811">
        <v>5.2571399999999997</v>
      </c>
      <c r="AD811">
        <f>Table6471[[#This Row],[CFNM]]/Table6471[[#This Row],[CAREA]]</f>
        <v>6.394909510243503E-2</v>
      </c>
      <c r="AE811">
        <v>2.30924</v>
      </c>
      <c r="AF811">
        <f>-(Table7472[[#This Row],[time]]-2)*2</f>
        <v>-0.61847999999999992</v>
      </c>
      <c r="AG811">
        <v>79.939400000000006</v>
      </c>
      <c r="AH811">
        <v>29.6374</v>
      </c>
      <c r="AI811">
        <f>Table7472[[#This Row],[CFNM]]/Table7472[[#This Row],[CAREA]]</f>
        <v>0.37074834186896571</v>
      </c>
      <c r="AJ811">
        <v>2.30924</v>
      </c>
      <c r="AK811">
        <f>-(Table8473[[#This Row],[time]]-2)*2</f>
        <v>-0.61847999999999992</v>
      </c>
      <c r="AL811">
        <v>82.582599999999999</v>
      </c>
      <c r="AM811">
        <v>15.494400000000001</v>
      </c>
      <c r="AN811">
        <f>Table8473[[#This Row],[CFNM]]/Table8473[[#This Row],[CAREA]]</f>
        <v>0.18762305861040945</v>
      </c>
    </row>
    <row r="812" spans="1:40" x14ac:dyDescent="0.25">
      <c r="A812">
        <v>2.3542900000000002</v>
      </c>
      <c r="B812">
        <f>-(Table1466[[#This Row],[time]]-2)*2</f>
        <v>-0.70858000000000043</v>
      </c>
      <c r="C812">
        <v>98.463800000000006</v>
      </c>
      <c r="D812">
        <v>19.583200000000001</v>
      </c>
      <c r="E812">
        <f>Table1466[[#This Row],[CFNM]]/Table1466[[#This Row],[CAREA]]</f>
        <v>0.19888730680717179</v>
      </c>
      <c r="F812">
        <v>2.3542900000000002</v>
      </c>
      <c r="G812">
        <f>-(Table2467[[#This Row],[time]]-2)*2</f>
        <v>-0.70858000000000043</v>
      </c>
      <c r="H812">
        <v>85.430099999999996</v>
      </c>
      <c r="I812">
        <v>0.334951</v>
      </c>
      <c r="J812">
        <f>Table2467[[#This Row],[CFNM]]/Table2467[[#This Row],[CAREA]]</f>
        <v>3.920760949595049E-3</v>
      </c>
      <c r="K812">
        <v>2.3542900000000002</v>
      </c>
      <c r="L812">
        <f>-(Table3468[[#This Row],[time]]-2)*2</f>
        <v>-0.70858000000000043</v>
      </c>
      <c r="M812">
        <v>89.615099999999998</v>
      </c>
      <c r="N812">
        <v>14.8133</v>
      </c>
      <c r="O812">
        <f>Table3468[[#This Row],[CFNM]]/Table3468[[#This Row],[CAREA]]</f>
        <v>0.16529915159387201</v>
      </c>
      <c r="P812">
        <v>2.3542900000000002</v>
      </c>
      <c r="Q812">
        <f>-(Table4469[[#This Row],[time]]-2)*2</f>
        <v>-0.70858000000000043</v>
      </c>
      <c r="R812">
        <v>76.545100000000005</v>
      </c>
      <c r="S812">
        <v>4.3242000000000003</v>
      </c>
      <c r="T812">
        <f>Table4469[[#This Row],[CFNM]]/Table4469[[#This Row],[CAREA]]</f>
        <v>5.6492185652641386E-2</v>
      </c>
      <c r="U812">
        <v>2.3542900000000002</v>
      </c>
      <c r="V812">
        <f>-(Table5470[[#This Row],[time]]-2)*2</f>
        <v>-0.70858000000000043</v>
      </c>
      <c r="W812">
        <v>85.067099999999996</v>
      </c>
      <c r="X812">
        <v>22.3537</v>
      </c>
      <c r="Y812">
        <f>Table5470[[#This Row],[CFNM]]/Table5470[[#This Row],[CAREA]]</f>
        <v>0.26277726641674631</v>
      </c>
      <c r="Z812">
        <v>2.3542900000000002</v>
      </c>
      <c r="AA812">
        <f>-(Table6471[[#This Row],[time]]-2)*2</f>
        <v>-0.70858000000000043</v>
      </c>
      <c r="AB812">
        <v>81.226600000000005</v>
      </c>
      <c r="AC812">
        <v>4.53993</v>
      </c>
      <c r="AD812">
        <f>Table6471[[#This Row],[CFNM]]/Table6471[[#This Row],[CAREA]]</f>
        <v>5.5892158480103808E-2</v>
      </c>
      <c r="AE812">
        <v>2.3542900000000002</v>
      </c>
      <c r="AF812">
        <f>-(Table7472[[#This Row],[time]]-2)*2</f>
        <v>-0.70858000000000043</v>
      </c>
      <c r="AG812">
        <v>78.897099999999995</v>
      </c>
      <c r="AH812">
        <v>31.975899999999999</v>
      </c>
      <c r="AI812">
        <f>Table7472[[#This Row],[CFNM]]/Table7472[[#This Row],[CAREA]]</f>
        <v>0.40528612585253454</v>
      </c>
      <c r="AJ812">
        <v>2.3542900000000002</v>
      </c>
      <c r="AK812">
        <f>-(Table8473[[#This Row],[time]]-2)*2</f>
        <v>-0.70858000000000043</v>
      </c>
      <c r="AL812">
        <v>82.034700000000001</v>
      </c>
      <c r="AM812">
        <v>14.909599999999999</v>
      </c>
      <c r="AN812">
        <f>Table8473[[#This Row],[CFNM]]/Table8473[[#This Row],[CAREA]]</f>
        <v>0.18174748002979227</v>
      </c>
    </row>
    <row r="813" spans="1:40" x14ac:dyDescent="0.25">
      <c r="A813">
        <v>2.4077899999999999</v>
      </c>
      <c r="B813">
        <f>-(Table1466[[#This Row],[time]]-2)*2</f>
        <v>-0.81557999999999975</v>
      </c>
      <c r="C813">
        <v>99.4191</v>
      </c>
      <c r="D813">
        <v>22.5627</v>
      </c>
      <c r="E813">
        <f>Table1466[[#This Row],[CFNM]]/Table1466[[#This Row],[CAREA]]</f>
        <v>0.22694532539522083</v>
      </c>
      <c r="F813">
        <v>2.4077899999999999</v>
      </c>
      <c r="G813">
        <f>-(Table2467[[#This Row],[time]]-2)*2</f>
        <v>-0.81557999999999975</v>
      </c>
      <c r="H813">
        <v>84.968800000000002</v>
      </c>
      <c r="I813">
        <v>0.35269200000000001</v>
      </c>
      <c r="J813">
        <f>Table2467[[#This Row],[CFNM]]/Table2467[[#This Row],[CAREA]]</f>
        <v>4.1508412499646928E-3</v>
      </c>
      <c r="K813">
        <v>2.4077899999999999</v>
      </c>
      <c r="L813">
        <f>-(Table3468[[#This Row],[time]]-2)*2</f>
        <v>-0.81557999999999975</v>
      </c>
      <c r="M813">
        <v>88.819199999999995</v>
      </c>
      <c r="N813">
        <v>17.617000000000001</v>
      </c>
      <c r="O813">
        <f>Table3468[[#This Row],[CFNM]]/Table3468[[#This Row],[CAREA]]</f>
        <v>0.19834675385502235</v>
      </c>
      <c r="P813">
        <v>2.4077899999999999</v>
      </c>
      <c r="Q813">
        <f>-(Table4469[[#This Row],[time]]-2)*2</f>
        <v>-0.81557999999999975</v>
      </c>
      <c r="R813">
        <v>75.073899999999995</v>
      </c>
      <c r="S813">
        <v>4.4791999999999996</v>
      </c>
      <c r="T813">
        <f>Table4469[[#This Row],[CFNM]]/Table4469[[#This Row],[CAREA]]</f>
        <v>5.9663877859016251E-2</v>
      </c>
      <c r="U813">
        <v>2.4077899999999999</v>
      </c>
      <c r="V813">
        <f>-(Table5470[[#This Row],[time]]-2)*2</f>
        <v>-0.81557999999999975</v>
      </c>
      <c r="W813">
        <v>85.049099999999996</v>
      </c>
      <c r="X813">
        <v>25.664899999999999</v>
      </c>
      <c r="Y813">
        <f>Table5470[[#This Row],[CFNM]]/Table5470[[#This Row],[CAREA]]</f>
        <v>0.30176568593906344</v>
      </c>
      <c r="Z813">
        <v>2.4077899999999999</v>
      </c>
      <c r="AA813">
        <f>-(Table6471[[#This Row],[time]]-2)*2</f>
        <v>-0.81557999999999975</v>
      </c>
      <c r="AB813">
        <v>80.542599999999993</v>
      </c>
      <c r="AC813">
        <v>3.7298399999999998</v>
      </c>
      <c r="AD813">
        <f>Table6471[[#This Row],[CFNM]]/Table6471[[#This Row],[CAREA]]</f>
        <v>4.6308909819151603E-2</v>
      </c>
      <c r="AE813">
        <v>2.4077899999999999</v>
      </c>
      <c r="AF813">
        <f>-(Table7472[[#This Row],[time]]-2)*2</f>
        <v>-0.81557999999999975</v>
      </c>
      <c r="AG813">
        <v>77.500699999999995</v>
      </c>
      <c r="AH813">
        <v>34.975499999999997</v>
      </c>
      <c r="AI813">
        <f>Table7472[[#This Row],[CFNM]]/Table7472[[#This Row],[CAREA]]</f>
        <v>0.4512926980014374</v>
      </c>
      <c r="AJ813">
        <v>2.4077899999999999</v>
      </c>
      <c r="AK813">
        <f>-(Table8473[[#This Row],[time]]-2)*2</f>
        <v>-0.81557999999999975</v>
      </c>
      <c r="AL813">
        <v>82.141099999999994</v>
      </c>
      <c r="AM813">
        <v>14.202299999999999</v>
      </c>
      <c r="AN813">
        <f>Table8473[[#This Row],[CFNM]]/Table8473[[#This Row],[CAREA]]</f>
        <v>0.17290126380094739</v>
      </c>
    </row>
    <row r="814" spans="1:40" x14ac:dyDescent="0.25">
      <c r="A814">
        <v>2.4529299999999998</v>
      </c>
      <c r="B814">
        <f>-(Table1466[[#This Row],[time]]-2)*2</f>
        <v>-0.90585999999999967</v>
      </c>
      <c r="C814">
        <v>100.241</v>
      </c>
      <c r="D814">
        <v>25.191500000000001</v>
      </c>
      <c r="E814">
        <f>Table1466[[#This Row],[CFNM]]/Table1466[[#This Row],[CAREA]]</f>
        <v>0.25130934447980369</v>
      </c>
      <c r="F814">
        <v>2.4529299999999998</v>
      </c>
      <c r="G814">
        <f>-(Table2467[[#This Row],[time]]-2)*2</f>
        <v>-0.90585999999999967</v>
      </c>
      <c r="H814">
        <v>83.393000000000001</v>
      </c>
      <c r="I814">
        <v>0.354576</v>
      </c>
      <c r="J814">
        <f>Table2467[[#This Row],[CFNM]]/Table2467[[#This Row],[CAREA]]</f>
        <v>4.2518676627534687E-3</v>
      </c>
      <c r="K814">
        <v>2.4529299999999998</v>
      </c>
      <c r="L814">
        <f>-(Table3468[[#This Row],[time]]-2)*2</f>
        <v>-0.90585999999999967</v>
      </c>
      <c r="M814">
        <v>87.845100000000002</v>
      </c>
      <c r="N814">
        <v>20.105399999999999</v>
      </c>
      <c r="O814">
        <f>Table3468[[#This Row],[CFNM]]/Table3468[[#This Row],[CAREA]]</f>
        <v>0.22887332361167553</v>
      </c>
      <c r="P814">
        <v>2.4529299999999998</v>
      </c>
      <c r="Q814">
        <f>-(Table4469[[#This Row],[time]]-2)*2</f>
        <v>-0.90585999999999967</v>
      </c>
      <c r="R814">
        <v>74.002899999999997</v>
      </c>
      <c r="S814">
        <v>4.69536</v>
      </c>
      <c r="T814">
        <f>Table4469[[#This Row],[CFNM]]/Table4469[[#This Row],[CAREA]]</f>
        <v>6.3448324322425198E-2</v>
      </c>
      <c r="U814">
        <v>2.4529299999999998</v>
      </c>
      <c r="V814">
        <f>-(Table5470[[#This Row],[time]]-2)*2</f>
        <v>-0.90585999999999967</v>
      </c>
      <c r="W814">
        <v>85.004599999999996</v>
      </c>
      <c r="X814">
        <v>28.462399999999999</v>
      </c>
      <c r="Y814">
        <f>Table5470[[#This Row],[CFNM]]/Table5470[[#This Row],[CAREA]]</f>
        <v>0.33483364429689688</v>
      </c>
      <c r="Z814">
        <v>2.4529299999999998</v>
      </c>
      <c r="AA814">
        <f>-(Table6471[[#This Row],[time]]-2)*2</f>
        <v>-0.90585999999999967</v>
      </c>
      <c r="AB814">
        <v>80.343599999999995</v>
      </c>
      <c r="AC814">
        <v>3.1149300000000002</v>
      </c>
      <c r="AD814">
        <f>Table6471[[#This Row],[CFNM]]/Table6471[[#This Row],[CAREA]]</f>
        <v>3.8770107388765261E-2</v>
      </c>
      <c r="AE814">
        <v>2.4529299999999998</v>
      </c>
      <c r="AF814">
        <f>-(Table7472[[#This Row],[time]]-2)*2</f>
        <v>-0.90585999999999967</v>
      </c>
      <c r="AG814">
        <v>76.463399999999993</v>
      </c>
      <c r="AH814">
        <v>37.565600000000003</v>
      </c>
      <c r="AI814">
        <f>Table7472[[#This Row],[CFNM]]/Table7472[[#This Row],[CAREA]]</f>
        <v>0.49128864267087269</v>
      </c>
      <c r="AJ814">
        <v>2.4529299999999998</v>
      </c>
      <c r="AK814">
        <f>-(Table8473[[#This Row],[time]]-2)*2</f>
        <v>-0.90585999999999967</v>
      </c>
      <c r="AL814">
        <v>81.436599999999999</v>
      </c>
      <c r="AM814">
        <v>13.5161</v>
      </c>
      <c r="AN814">
        <f>Table8473[[#This Row],[CFNM]]/Table8473[[#This Row],[CAREA]]</f>
        <v>0.16597082884108619</v>
      </c>
    </row>
    <row r="815" spans="1:40" x14ac:dyDescent="0.25">
      <c r="A815">
        <v>2.5180799999999999</v>
      </c>
      <c r="B815">
        <f>-(Table1466[[#This Row],[time]]-2)*2</f>
        <v>-1.0361599999999997</v>
      </c>
      <c r="C815">
        <v>100.82599999999999</v>
      </c>
      <c r="D815">
        <v>29.770700000000001</v>
      </c>
      <c r="E815">
        <f>Table1466[[#This Row],[CFNM]]/Table1466[[#This Row],[CAREA]]</f>
        <v>0.29526808561283802</v>
      </c>
      <c r="F815">
        <v>2.5180799999999999</v>
      </c>
      <c r="G815">
        <f>-(Table2467[[#This Row],[time]]-2)*2</f>
        <v>-1.0361599999999997</v>
      </c>
      <c r="H815">
        <v>82.139399999999995</v>
      </c>
      <c r="I815">
        <v>0.27350799999999997</v>
      </c>
      <c r="J815">
        <f>Table2467[[#This Row],[CFNM]]/Table2467[[#This Row],[CAREA]]</f>
        <v>3.3298027499592156E-3</v>
      </c>
      <c r="K815">
        <v>2.5180799999999999</v>
      </c>
      <c r="L815">
        <f>-(Table3468[[#This Row],[time]]-2)*2</f>
        <v>-1.0361599999999997</v>
      </c>
      <c r="M815">
        <v>86.349100000000007</v>
      </c>
      <c r="N815">
        <v>24.4969</v>
      </c>
      <c r="O815">
        <f>Table3468[[#This Row],[CFNM]]/Table3468[[#This Row],[CAREA]]</f>
        <v>0.28369606631684635</v>
      </c>
      <c r="P815">
        <v>2.5180799999999999</v>
      </c>
      <c r="Q815">
        <f>-(Table4469[[#This Row],[time]]-2)*2</f>
        <v>-1.0361599999999997</v>
      </c>
      <c r="R815">
        <v>72.174700000000001</v>
      </c>
      <c r="S815">
        <v>4.8642000000000003</v>
      </c>
      <c r="T815">
        <f>Table4469[[#This Row],[CFNM]]/Table4469[[#This Row],[CAREA]]</f>
        <v>6.7394807321679212E-2</v>
      </c>
      <c r="U815">
        <v>2.5180799999999999</v>
      </c>
      <c r="V815">
        <f>-(Table5470[[#This Row],[time]]-2)*2</f>
        <v>-1.0361599999999997</v>
      </c>
      <c r="W815">
        <v>85.516900000000007</v>
      </c>
      <c r="X815">
        <v>32.565100000000001</v>
      </c>
      <c r="Y815">
        <f>Table5470[[#This Row],[CFNM]]/Table5470[[#This Row],[CAREA]]</f>
        <v>0.38080309272202334</v>
      </c>
      <c r="Z815">
        <v>2.5180799999999999</v>
      </c>
      <c r="AA815">
        <f>-(Table6471[[#This Row],[time]]-2)*2</f>
        <v>-1.0361599999999997</v>
      </c>
      <c r="AB815">
        <v>79.6601</v>
      </c>
      <c r="AC815">
        <v>2.43607</v>
      </c>
      <c r="AD815">
        <f>Table6471[[#This Row],[CFNM]]/Table6471[[#This Row],[CAREA]]</f>
        <v>3.0580805196076831E-2</v>
      </c>
      <c r="AE815">
        <v>2.5180799999999999</v>
      </c>
      <c r="AF815">
        <f>-(Table7472[[#This Row],[time]]-2)*2</f>
        <v>-1.0361599999999997</v>
      </c>
      <c r="AG815">
        <v>74.736500000000007</v>
      </c>
      <c r="AH815">
        <v>41.428800000000003</v>
      </c>
      <c r="AI815">
        <f>Table7472[[#This Row],[CFNM]]/Table7472[[#This Row],[CAREA]]</f>
        <v>0.55433155151766533</v>
      </c>
      <c r="AJ815">
        <v>2.5180799999999999</v>
      </c>
      <c r="AK815">
        <f>-(Table8473[[#This Row],[time]]-2)*2</f>
        <v>-1.0361599999999997</v>
      </c>
      <c r="AL815">
        <v>80.890500000000003</v>
      </c>
      <c r="AM815">
        <v>12.4779</v>
      </c>
      <c r="AN815">
        <f>Table8473[[#This Row],[CFNM]]/Table8473[[#This Row],[CAREA]]</f>
        <v>0.15425668032710887</v>
      </c>
    </row>
    <row r="816" spans="1:40" x14ac:dyDescent="0.25">
      <c r="A816">
        <v>2.5569799999999998</v>
      </c>
      <c r="B816">
        <f>-(Table1466[[#This Row],[time]]-2)*2</f>
        <v>-1.1139599999999996</v>
      </c>
      <c r="C816">
        <v>100.88200000000001</v>
      </c>
      <c r="D816">
        <v>32.588099999999997</v>
      </c>
      <c r="E816">
        <f>Table1466[[#This Row],[CFNM]]/Table1466[[#This Row],[CAREA]]</f>
        <v>0.32303185900358833</v>
      </c>
      <c r="F816">
        <v>2.5569799999999998</v>
      </c>
      <c r="G816">
        <f>-(Table2467[[#This Row],[time]]-2)*2</f>
        <v>-1.1139599999999996</v>
      </c>
      <c r="H816">
        <v>81.520700000000005</v>
      </c>
      <c r="I816">
        <v>0.20407900000000001</v>
      </c>
      <c r="J816">
        <f>Table2467[[#This Row],[CFNM]]/Table2467[[#This Row],[CAREA]]</f>
        <v>2.5034009766844493E-3</v>
      </c>
      <c r="K816">
        <v>2.5569799999999998</v>
      </c>
      <c r="L816">
        <f>-(Table3468[[#This Row],[time]]-2)*2</f>
        <v>-1.1139599999999996</v>
      </c>
      <c r="M816">
        <v>85.547300000000007</v>
      </c>
      <c r="N816">
        <v>27.1524</v>
      </c>
      <c r="O816">
        <f>Table3468[[#This Row],[CFNM]]/Table3468[[#This Row],[CAREA]]</f>
        <v>0.3173963409716028</v>
      </c>
      <c r="P816">
        <v>2.5569799999999998</v>
      </c>
      <c r="Q816">
        <f>-(Table4469[[#This Row],[time]]-2)*2</f>
        <v>-1.1139599999999996</v>
      </c>
      <c r="R816">
        <v>71.475399999999993</v>
      </c>
      <c r="S816">
        <v>4.8923199999999998</v>
      </c>
      <c r="T816">
        <f>Table4469[[#This Row],[CFNM]]/Table4469[[#This Row],[CAREA]]</f>
        <v>6.8447605749670515E-2</v>
      </c>
      <c r="U816">
        <v>2.5569799999999998</v>
      </c>
      <c r="V816">
        <f>-(Table5470[[#This Row],[time]]-2)*2</f>
        <v>-1.1139599999999996</v>
      </c>
      <c r="W816">
        <v>85.404799999999994</v>
      </c>
      <c r="X816">
        <v>35.016199999999998</v>
      </c>
      <c r="Y816">
        <f>Table5470[[#This Row],[CFNM]]/Table5470[[#This Row],[CAREA]]</f>
        <v>0.41000271647495223</v>
      </c>
      <c r="Z816">
        <v>2.5569799999999998</v>
      </c>
      <c r="AA816">
        <f>-(Table6471[[#This Row],[time]]-2)*2</f>
        <v>-1.1139599999999996</v>
      </c>
      <c r="AB816">
        <v>78.207400000000007</v>
      </c>
      <c r="AC816">
        <v>2.1112799999999998</v>
      </c>
      <c r="AD816">
        <f>Table6471[[#This Row],[CFNM]]/Table6471[[#This Row],[CAREA]]</f>
        <v>2.6995910872884148E-2</v>
      </c>
      <c r="AE816">
        <v>2.5569799999999998</v>
      </c>
      <c r="AF816">
        <f>-(Table7472[[#This Row],[time]]-2)*2</f>
        <v>-1.1139599999999996</v>
      </c>
      <c r="AG816">
        <v>73.909099999999995</v>
      </c>
      <c r="AH816">
        <v>43.762500000000003</v>
      </c>
      <c r="AI816">
        <f>Table7472[[#This Row],[CFNM]]/Table7472[[#This Row],[CAREA]]</f>
        <v>0.5921124732948988</v>
      </c>
      <c r="AJ816">
        <v>2.5569799999999998</v>
      </c>
      <c r="AK816">
        <f>-(Table8473[[#This Row],[time]]-2)*2</f>
        <v>-1.1139599999999996</v>
      </c>
      <c r="AL816">
        <v>79.891000000000005</v>
      </c>
      <c r="AM816">
        <v>11.8086</v>
      </c>
      <c r="AN816">
        <f>Table8473[[#This Row],[CFNM]]/Table8473[[#This Row],[CAREA]]</f>
        <v>0.14780888961209648</v>
      </c>
    </row>
    <row r="817" spans="1:40" x14ac:dyDescent="0.25">
      <c r="A817">
        <v>2.6140599999999998</v>
      </c>
      <c r="B817">
        <f>-(Table1466[[#This Row],[time]]-2)*2</f>
        <v>-1.2281199999999997</v>
      </c>
      <c r="C817">
        <v>100.917</v>
      </c>
      <c r="D817">
        <v>36.433900000000001</v>
      </c>
      <c r="E817">
        <f>Table1466[[#This Row],[CFNM]]/Table1466[[#This Row],[CAREA]]</f>
        <v>0.36102836984848935</v>
      </c>
      <c r="F817">
        <v>2.6140599999999998</v>
      </c>
      <c r="G817">
        <f>-(Table2467[[#This Row],[time]]-2)*2</f>
        <v>-1.2281199999999997</v>
      </c>
      <c r="H817">
        <v>79.750399999999999</v>
      </c>
      <c r="I817">
        <v>9.9459099999999995E-2</v>
      </c>
      <c r="J817">
        <f>Table2467[[#This Row],[CFNM]]/Table2467[[#This Row],[CAREA]]</f>
        <v>1.247129794960276E-3</v>
      </c>
      <c r="K817">
        <v>2.6140599999999998</v>
      </c>
      <c r="L817">
        <f>-(Table3468[[#This Row],[time]]-2)*2</f>
        <v>-1.2281199999999997</v>
      </c>
      <c r="M817">
        <v>84.313800000000001</v>
      </c>
      <c r="N817">
        <v>30.964300000000001</v>
      </c>
      <c r="O817">
        <f>Table3468[[#This Row],[CFNM]]/Table3468[[#This Row],[CAREA]]</f>
        <v>0.36725067545289147</v>
      </c>
      <c r="P817">
        <v>2.6140599999999998</v>
      </c>
      <c r="Q817">
        <f>-(Table4469[[#This Row],[time]]-2)*2</f>
        <v>-1.2281199999999997</v>
      </c>
      <c r="R817">
        <v>68.292699999999996</v>
      </c>
      <c r="S817">
        <v>4.8964499999999997</v>
      </c>
      <c r="T817">
        <f>Table4469[[#This Row],[CFNM]]/Table4469[[#This Row],[CAREA]]</f>
        <v>7.1697999932642878E-2</v>
      </c>
      <c r="U817">
        <v>2.6140599999999998</v>
      </c>
      <c r="V817">
        <f>-(Table5470[[#This Row],[time]]-2)*2</f>
        <v>-1.2281199999999997</v>
      </c>
      <c r="W817">
        <v>85.307900000000004</v>
      </c>
      <c r="X817">
        <v>38.523000000000003</v>
      </c>
      <c r="Y817">
        <f>Table5470[[#This Row],[CFNM]]/Table5470[[#This Row],[CAREA]]</f>
        <v>0.45157599706475016</v>
      </c>
      <c r="Z817">
        <v>2.6140599999999998</v>
      </c>
      <c r="AA817">
        <f>-(Table6471[[#This Row],[time]]-2)*2</f>
        <v>-1.2281199999999997</v>
      </c>
      <c r="AB817">
        <v>76.515500000000003</v>
      </c>
      <c r="AC817">
        <v>1.6498200000000001</v>
      </c>
      <c r="AD817">
        <f>Table6471[[#This Row],[CFNM]]/Table6471[[#This Row],[CAREA]]</f>
        <v>2.1561905757656947E-2</v>
      </c>
      <c r="AE817">
        <v>2.6140599999999998</v>
      </c>
      <c r="AF817">
        <f>-(Table7472[[#This Row],[time]]-2)*2</f>
        <v>-1.2281199999999997</v>
      </c>
      <c r="AG817">
        <v>72.873699999999999</v>
      </c>
      <c r="AH817">
        <v>47.161799999999999</v>
      </c>
      <c r="AI817">
        <f>Table7472[[#This Row],[CFNM]]/Table7472[[#This Row],[CAREA]]</f>
        <v>0.64717175057668264</v>
      </c>
      <c r="AJ817">
        <v>2.6140599999999998</v>
      </c>
      <c r="AK817">
        <f>-(Table8473[[#This Row],[time]]-2)*2</f>
        <v>-1.2281199999999997</v>
      </c>
      <c r="AL817">
        <v>79.229100000000003</v>
      </c>
      <c r="AM817">
        <v>10.782299999999999</v>
      </c>
      <c r="AN817">
        <f>Table8473[[#This Row],[CFNM]]/Table8473[[#This Row],[CAREA]]</f>
        <v>0.1360901486953657</v>
      </c>
    </row>
    <row r="818" spans="1:40" x14ac:dyDescent="0.25">
      <c r="A818">
        <v>2.6552699999999998</v>
      </c>
      <c r="B818">
        <f>-(Table1466[[#This Row],[time]]-2)*2</f>
        <v>-1.3105399999999996</v>
      </c>
      <c r="C818">
        <v>100.837</v>
      </c>
      <c r="D818">
        <v>39.207099999999997</v>
      </c>
      <c r="E818">
        <f>Table1466[[#This Row],[CFNM]]/Table1466[[#This Row],[CAREA]]</f>
        <v>0.38881660501601589</v>
      </c>
      <c r="F818">
        <v>2.6552699999999998</v>
      </c>
      <c r="G818">
        <f>-(Table2467[[#This Row],[time]]-2)*2</f>
        <v>-1.3105399999999996</v>
      </c>
      <c r="H818">
        <v>78.129900000000006</v>
      </c>
      <c r="I818">
        <v>3.1762800000000001E-2</v>
      </c>
      <c r="J818">
        <f>Table2467[[#This Row],[CFNM]]/Table2467[[#This Row],[CAREA]]</f>
        <v>4.0653834191519507E-4</v>
      </c>
      <c r="K818">
        <v>2.6552699999999998</v>
      </c>
      <c r="L818">
        <f>-(Table3468[[#This Row],[time]]-2)*2</f>
        <v>-1.3105399999999996</v>
      </c>
      <c r="M818">
        <v>83.606200000000001</v>
      </c>
      <c r="N818">
        <v>34.049999999999997</v>
      </c>
      <c r="O818">
        <f>Table3468[[#This Row],[CFNM]]/Table3468[[#This Row],[CAREA]]</f>
        <v>0.40726644674677231</v>
      </c>
      <c r="P818">
        <v>2.6552699999999998</v>
      </c>
      <c r="Q818">
        <f>-(Table4469[[#This Row],[time]]-2)*2</f>
        <v>-1.3105399999999996</v>
      </c>
      <c r="R818">
        <v>68.114400000000003</v>
      </c>
      <c r="S818">
        <v>4.6845699999999999</v>
      </c>
      <c r="T818">
        <f>Table4469[[#This Row],[CFNM]]/Table4469[[#This Row],[CAREA]]</f>
        <v>6.8775031417732516E-2</v>
      </c>
      <c r="U818">
        <v>2.6552699999999998</v>
      </c>
      <c r="V818">
        <f>-(Table5470[[#This Row],[time]]-2)*2</f>
        <v>-1.3105399999999996</v>
      </c>
      <c r="W818">
        <v>85.024100000000004</v>
      </c>
      <c r="X818">
        <v>41.030500000000004</v>
      </c>
      <c r="Y818">
        <f>Table5470[[#This Row],[CFNM]]/Table5470[[#This Row],[CAREA]]</f>
        <v>0.48257494051686523</v>
      </c>
      <c r="Z818">
        <v>2.6552699999999998</v>
      </c>
      <c r="AA818">
        <f>-(Table6471[[#This Row],[time]]-2)*2</f>
        <v>-1.3105399999999996</v>
      </c>
      <c r="AB818">
        <v>75.190100000000001</v>
      </c>
      <c r="AC818">
        <v>1.3254600000000001</v>
      </c>
      <c r="AD818">
        <f>Table6471[[#This Row],[CFNM]]/Table6471[[#This Row],[CAREA]]</f>
        <v>1.7628118595400193E-2</v>
      </c>
      <c r="AE818">
        <v>2.6552699999999998</v>
      </c>
      <c r="AF818">
        <f>-(Table7472[[#This Row],[time]]-2)*2</f>
        <v>-1.3105399999999996</v>
      </c>
      <c r="AG818">
        <v>72.043099999999995</v>
      </c>
      <c r="AH818">
        <v>49.596800000000002</v>
      </c>
      <c r="AI818">
        <f>Table7472[[#This Row],[CFNM]]/Table7472[[#This Row],[CAREA]]</f>
        <v>0.68843234119575647</v>
      </c>
      <c r="AJ818">
        <v>2.6552699999999998</v>
      </c>
      <c r="AK818">
        <f>-(Table8473[[#This Row],[time]]-2)*2</f>
        <v>-1.3105399999999996</v>
      </c>
      <c r="AL818">
        <v>78.909099999999995</v>
      </c>
      <c r="AM818">
        <v>10.0626</v>
      </c>
      <c r="AN818">
        <f>Table8473[[#This Row],[CFNM]]/Table8473[[#This Row],[CAREA]]</f>
        <v>0.12752141388002144</v>
      </c>
    </row>
    <row r="819" spans="1:40" x14ac:dyDescent="0.25">
      <c r="A819">
        <v>2.7037499999999999</v>
      </c>
      <c r="B819">
        <f>-(Table1466[[#This Row],[time]]-2)*2</f>
        <v>-1.4074999999999998</v>
      </c>
      <c r="C819">
        <v>100.452</v>
      </c>
      <c r="D819">
        <v>42.332500000000003</v>
      </c>
      <c r="E819">
        <f>Table1466[[#This Row],[CFNM]]/Table1466[[#This Row],[CAREA]]</f>
        <v>0.42142018078286153</v>
      </c>
      <c r="F819">
        <v>2.7037499999999999</v>
      </c>
      <c r="G819">
        <f>-(Table2467[[#This Row],[time]]-2)*2</f>
        <v>-1.4074999999999998</v>
      </c>
      <c r="H819">
        <v>77.171499999999995</v>
      </c>
      <c r="I819">
        <v>3.7770199999999999E-3</v>
      </c>
      <c r="J819">
        <f>Table2467[[#This Row],[CFNM]]/Table2467[[#This Row],[CAREA]]</f>
        <v>4.8943197942245516E-5</v>
      </c>
      <c r="K819">
        <v>2.7037499999999999</v>
      </c>
      <c r="L819">
        <f>-(Table3468[[#This Row],[time]]-2)*2</f>
        <v>-1.4074999999999998</v>
      </c>
      <c r="M819">
        <v>82.824200000000005</v>
      </c>
      <c r="N819">
        <v>37.652799999999999</v>
      </c>
      <c r="O819">
        <f>Table3468[[#This Row],[CFNM]]/Table3468[[#This Row],[CAREA]]</f>
        <v>0.45461109192723864</v>
      </c>
      <c r="P819">
        <v>2.7037499999999999</v>
      </c>
      <c r="Q819">
        <f>-(Table4469[[#This Row],[time]]-2)*2</f>
        <v>-1.4074999999999998</v>
      </c>
      <c r="R819">
        <v>66.249899999999997</v>
      </c>
      <c r="S819">
        <v>4.35893</v>
      </c>
      <c r="T819">
        <f>Table4469[[#This Row],[CFNM]]/Table4469[[#This Row],[CAREA]]</f>
        <v>6.5795269124934525E-2</v>
      </c>
      <c r="U819">
        <v>2.7037499999999999</v>
      </c>
      <c r="V819">
        <f>-(Table5470[[#This Row],[time]]-2)*2</f>
        <v>-1.4074999999999998</v>
      </c>
      <c r="W819">
        <v>84.892099999999999</v>
      </c>
      <c r="X819">
        <v>43.899099999999997</v>
      </c>
      <c r="Y819">
        <f>Table5470[[#This Row],[CFNM]]/Table5470[[#This Row],[CAREA]]</f>
        <v>0.517116433684642</v>
      </c>
      <c r="Z819">
        <v>2.7037499999999999</v>
      </c>
      <c r="AA819">
        <f>-(Table6471[[#This Row],[time]]-2)*2</f>
        <v>-1.4074999999999998</v>
      </c>
      <c r="AB819">
        <v>73.797200000000004</v>
      </c>
      <c r="AC819">
        <v>0.96398399999999995</v>
      </c>
      <c r="AD819">
        <f>Table6471[[#This Row],[CFNM]]/Table6471[[#This Row],[CAREA]]</f>
        <v>1.3062609421495666E-2</v>
      </c>
      <c r="AE819">
        <v>2.7037499999999999</v>
      </c>
      <c r="AF819">
        <f>-(Table7472[[#This Row],[time]]-2)*2</f>
        <v>-1.4074999999999998</v>
      </c>
      <c r="AG819">
        <v>71.145300000000006</v>
      </c>
      <c r="AH819">
        <v>52.488300000000002</v>
      </c>
      <c r="AI819">
        <f>Table7472[[#This Row],[CFNM]]/Table7472[[#This Row],[CAREA]]</f>
        <v>0.73776201660545393</v>
      </c>
      <c r="AJ819">
        <v>2.7037499999999999</v>
      </c>
      <c r="AK819">
        <f>-(Table8473[[#This Row],[time]]-2)*2</f>
        <v>-1.4074999999999998</v>
      </c>
      <c r="AL819">
        <v>78.628</v>
      </c>
      <c r="AM819">
        <v>9.1797400000000007</v>
      </c>
      <c r="AN819">
        <f>Table8473[[#This Row],[CFNM]]/Table8473[[#This Row],[CAREA]]</f>
        <v>0.11674899526886097</v>
      </c>
    </row>
    <row r="820" spans="1:40" x14ac:dyDescent="0.25">
      <c r="A820">
        <v>2.75725</v>
      </c>
      <c r="B820">
        <f>-(Table1466[[#This Row],[time]]-2)*2</f>
        <v>-1.5145</v>
      </c>
      <c r="C820">
        <v>100.056</v>
      </c>
      <c r="D820">
        <v>45.706299999999999</v>
      </c>
      <c r="E820">
        <f>Table1466[[#This Row],[CFNM]]/Table1466[[#This Row],[CAREA]]</f>
        <v>0.45680718797473413</v>
      </c>
      <c r="F820">
        <v>2.75725</v>
      </c>
      <c r="G820">
        <f>-(Table2467[[#This Row],[time]]-2)*2</f>
        <v>-1.5145</v>
      </c>
      <c r="H820">
        <v>72.430899999999994</v>
      </c>
      <c r="I820">
        <v>3.38712E-3</v>
      </c>
      <c r="J820">
        <f>Table2467[[#This Row],[CFNM]]/Table2467[[#This Row],[CAREA]]</f>
        <v>4.6763466973349779E-5</v>
      </c>
      <c r="K820">
        <v>2.75725</v>
      </c>
      <c r="L820">
        <f>-(Table3468[[#This Row],[time]]-2)*2</f>
        <v>-1.5145</v>
      </c>
      <c r="M820">
        <v>82.02</v>
      </c>
      <c r="N820">
        <v>41.515799999999999</v>
      </c>
      <c r="O820">
        <f>Table3468[[#This Row],[CFNM]]/Table3468[[#This Row],[CAREA]]</f>
        <v>0.50616678858814923</v>
      </c>
      <c r="P820">
        <v>2.75725</v>
      </c>
      <c r="Q820">
        <f>-(Table4469[[#This Row],[time]]-2)*2</f>
        <v>-1.5145</v>
      </c>
      <c r="R820">
        <v>65.383300000000006</v>
      </c>
      <c r="S820">
        <v>4.0025500000000003</v>
      </c>
      <c r="T820">
        <f>Table4469[[#This Row],[CFNM]]/Table4469[[#This Row],[CAREA]]</f>
        <v>6.1216702124242732E-2</v>
      </c>
      <c r="U820">
        <v>2.75725</v>
      </c>
      <c r="V820">
        <f>-(Table5470[[#This Row],[time]]-2)*2</f>
        <v>-1.5145</v>
      </c>
      <c r="W820">
        <v>84.552700000000002</v>
      </c>
      <c r="X820">
        <v>46.999899999999997</v>
      </c>
      <c r="Y820">
        <f>Table5470[[#This Row],[CFNM]]/Table5470[[#This Row],[CAREA]]</f>
        <v>0.55586515865253261</v>
      </c>
      <c r="Z820">
        <v>2.75725</v>
      </c>
      <c r="AA820">
        <f>-(Table6471[[#This Row],[time]]-2)*2</f>
        <v>-1.5145</v>
      </c>
      <c r="AB820">
        <v>72.003699999999995</v>
      </c>
      <c r="AC820">
        <v>0.62713700000000006</v>
      </c>
      <c r="AD820">
        <f>Table6471[[#This Row],[CFNM]]/Table6471[[#This Row],[CAREA]]</f>
        <v>8.7097885247563681E-3</v>
      </c>
      <c r="AE820">
        <v>2.75725</v>
      </c>
      <c r="AF820">
        <f>-(Table7472[[#This Row],[time]]-2)*2</f>
        <v>-1.5145</v>
      </c>
      <c r="AG820">
        <v>70.246200000000002</v>
      </c>
      <c r="AH820">
        <v>55.588900000000002</v>
      </c>
      <c r="AI820">
        <f>Table7472[[#This Row],[CFNM]]/Table7472[[#This Row],[CAREA]]</f>
        <v>0.79134387340525181</v>
      </c>
      <c r="AJ820">
        <v>2.75725</v>
      </c>
      <c r="AK820">
        <f>-(Table8473[[#This Row],[time]]-2)*2</f>
        <v>-1.5145</v>
      </c>
      <c r="AL820">
        <v>77.680000000000007</v>
      </c>
      <c r="AM820">
        <v>8.2018299999999993</v>
      </c>
      <c r="AN820">
        <f>Table8473[[#This Row],[CFNM]]/Table8473[[#This Row],[CAREA]]</f>
        <v>0.1055848352214212</v>
      </c>
    </row>
    <row r="821" spans="1:40" x14ac:dyDescent="0.25">
      <c r="A821">
        <v>2.8064</v>
      </c>
      <c r="B821">
        <f>-(Table1466[[#This Row],[time]]-2)*2</f>
        <v>-1.6128</v>
      </c>
      <c r="C821">
        <v>99.578599999999994</v>
      </c>
      <c r="D821">
        <v>48.7592</v>
      </c>
      <c r="E821">
        <f>Table1466[[#This Row],[CFNM]]/Table1466[[#This Row],[CAREA]]</f>
        <v>0.4896554078888436</v>
      </c>
      <c r="F821">
        <v>2.8064</v>
      </c>
      <c r="G821">
        <f>-(Table2467[[#This Row],[time]]-2)*2</f>
        <v>-1.6128</v>
      </c>
      <c r="H821">
        <v>70.377899999999997</v>
      </c>
      <c r="I821">
        <v>3.2236700000000001E-3</v>
      </c>
      <c r="J821">
        <f>Table2467[[#This Row],[CFNM]]/Table2467[[#This Row],[CAREA]]</f>
        <v>4.5805146217775754E-5</v>
      </c>
      <c r="K821">
        <v>2.8064</v>
      </c>
      <c r="L821">
        <f>-(Table3468[[#This Row],[time]]-2)*2</f>
        <v>-1.6128</v>
      </c>
      <c r="M821">
        <v>81.295000000000002</v>
      </c>
      <c r="N821">
        <v>44.999499999999998</v>
      </c>
      <c r="O821">
        <f>Table3468[[#This Row],[CFNM]]/Table3468[[#This Row],[CAREA]]</f>
        <v>0.55353342764007618</v>
      </c>
      <c r="P821">
        <v>2.8064</v>
      </c>
      <c r="Q821">
        <f>-(Table4469[[#This Row],[time]]-2)*2</f>
        <v>-1.6128</v>
      </c>
      <c r="R821">
        <v>65.178399999999996</v>
      </c>
      <c r="S821">
        <v>3.6758199999999999</v>
      </c>
      <c r="T821">
        <f>Table4469[[#This Row],[CFNM]]/Table4469[[#This Row],[CAREA]]</f>
        <v>5.6396290795723739E-2</v>
      </c>
      <c r="U821">
        <v>2.8064</v>
      </c>
      <c r="V821">
        <f>-(Table5470[[#This Row],[time]]-2)*2</f>
        <v>-1.6128</v>
      </c>
      <c r="W821">
        <v>84.106200000000001</v>
      </c>
      <c r="X821">
        <v>49.814300000000003</v>
      </c>
      <c r="Y821">
        <f>Table5470[[#This Row],[CFNM]]/Table5470[[#This Row],[CAREA]]</f>
        <v>0.59227857161541009</v>
      </c>
      <c r="Z821">
        <v>2.8064</v>
      </c>
      <c r="AA821">
        <f>-(Table6471[[#This Row],[time]]-2)*2</f>
        <v>-1.6128</v>
      </c>
      <c r="AB821">
        <v>70.562399999999997</v>
      </c>
      <c r="AC821">
        <v>0.35926900000000001</v>
      </c>
      <c r="AD821">
        <f>Table6471[[#This Row],[CFNM]]/Table6471[[#This Row],[CAREA]]</f>
        <v>5.0915076584696671E-3</v>
      </c>
      <c r="AE821">
        <v>2.8064</v>
      </c>
      <c r="AF821">
        <f>-(Table7472[[#This Row],[time]]-2)*2</f>
        <v>-1.6128</v>
      </c>
      <c r="AG821">
        <v>69.387900000000002</v>
      </c>
      <c r="AH821">
        <v>58.402299999999997</v>
      </c>
      <c r="AI821">
        <f>Table7472[[#This Row],[CFNM]]/Table7472[[#This Row],[CAREA]]</f>
        <v>0.84167844825971094</v>
      </c>
      <c r="AJ821">
        <v>2.8064</v>
      </c>
      <c r="AK821">
        <f>-(Table8473[[#This Row],[time]]-2)*2</f>
        <v>-1.6128</v>
      </c>
      <c r="AL821">
        <v>75.431100000000001</v>
      </c>
      <c r="AM821">
        <v>7.3760899999999996</v>
      </c>
      <c r="AN821">
        <f>Table8473[[#This Row],[CFNM]]/Table8473[[#This Row],[CAREA]]</f>
        <v>9.7785793923196127E-2</v>
      </c>
    </row>
    <row r="822" spans="1:40" x14ac:dyDescent="0.25">
      <c r="A822">
        <v>2.8658700000000001</v>
      </c>
      <c r="B822">
        <f>-(Table1466[[#This Row],[time]]-2)*2</f>
        <v>-1.7317400000000003</v>
      </c>
      <c r="C822">
        <v>98.6922</v>
      </c>
      <c r="D822">
        <v>52.3889</v>
      </c>
      <c r="E822">
        <f>Table1466[[#This Row],[CFNM]]/Table1466[[#This Row],[CAREA]]</f>
        <v>0.53083121057185878</v>
      </c>
      <c r="F822">
        <v>2.8658700000000001</v>
      </c>
      <c r="G822">
        <f>-(Table2467[[#This Row],[time]]-2)*2</f>
        <v>-1.7317400000000003</v>
      </c>
      <c r="H822">
        <v>69.855199999999996</v>
      </c>
      <c r="I822">
        <v>3.0468299999999999E-3</v>
      </c>
      <c r="J822">
        <f>Table2467[[#This Row],[CFNM]]/Table2467[[#This Row],[CAREA]]</f>
        <v>4.3616366426550923E-5</v>
      </c>
      <c r="K822">
        <v>2.8658700000000001</v>
      </c>
      <c r="L822">
        <f>-(Table3468[[#This Row],[time]]-2)*2</f>
        <v>-1.7317400000000003</v>
      </c>
      <c r="M822">
        <v>80.490099999999998</v>
      </c>
      <c r="N822">
        <v>49.116100000000003</v>
      </c>
      <c r="O822">
        <f>Table3468[[#This Row],[CFNM]]/Table3468[[#This Row],[CAREA]]</f>
        <v>0.61021293301909185</v>
      </c>
      <c r="P822">
        <v>2.8658700000000001</v>
      </c>
      <c r="Q822">
        <f>-(Table4469[[#This Row],[time]]-2)*2</f>
        <v>-1.7317400000000003</v>
      </c>
      <c r="R822">
        <v>63.553899999999999</v>
      </c>
      <c r="S822">
        <v>3.31847</v>
      </c>
      <c r="T822">
        <f>Table4469[[#This Row],[CFNM]]/Table4469[[#This Row],[CAREA]]</f>
        <v>5.2215048958443151E-2</v>
      </c>
      <c r="U822">
        <v>2.8658700000000001</v>
      </c>
      <c r="V822">
        <f>-(Table5470[[#This Row],[time]]-2)*2</f>
        <v>-1.7317400000000003</v>
      </c>
      <c r="W822">
        <v>83.575800000000001</v>
      </c>
      <c r="X822">
        <v>53.2425</v>
      </c>
      <c r="Y822">
        <f>Table5470[[#This Row],[CFNM]]/Table5470[[#This Row],[CAREA]]</f>
        <v>0.6370564206385102</v>
      </c>
      <c r="Z822">
        <v>2.8658700000000001</v>
      </c>
      <c r="AA822">
        <f>-(Table6471[[#This Row],[time]]-2)*2</f>
        <v>-1.7317400000000003</v>
      </c>
      <c r="AB822">
        <v>68.240499999999997</v>
      </c>
      <c r="AC822">
        <v>6.7016000000000006E-2</v>
      </c>
      <c r="AD822">
        <f>Table6471[[#This Row],[CFNM]]/Table6471[[#This Row],[CAREA]]</f>
        <v>9.8205611037433796E-4</v>
      </c>
      <c r="AE822">
        <v>2.8658700000000001</v>
      </c>
      <c r="AF822">
        <f>-(Table7472[[#This Row],[time]]-2)*2</f>
        <v>-1.7317400000000003</v>
      </c>
      <c r="AG822">
        <v>68.480400000000003</v>
      </c>
      <c r="AH822">
        <v>61.776699999999998</v>
      </c>
      <c r="AI822">
        <f>Table7472[[#This Row],[CFNM]]/Table7472[[#This Row],[CAREA]]</f>
        <v>0.90210775637992757</v>
      </c>
      <c r="AJ822">
        <v>2.8658700000000001</v>
      </c>
      <c r="AK822">
        <f>-(Table8473[[#This Row],[time]]-2)*2</f>
        <v>-1.7317400000000003</v>
      </c>
      <c r="AL822">
        <v>74.027900000000002</v>
      </c>
      <c r="AM822">
        <v>6.4058200000000003</v>
      </c>
      <c r="AN822">
        <f>Table8473[[#This Row],[CFNM]]/Table8473[[#This Row],[CAREA]]</f>
        <v>8.6532510040133515E-2</v>
      </c>
    </row>
    <row r="823" spans="1:40" x14ac:dyDescent="0.25">
      <c r="A823">
        <v>2.9065400000000001</v>
      </c>
      <c r="B823">
        <f>-(Table1466[[#This Row],[time]]-2)*2</f>
        <v>-1.8130800000000002</v>
      </c>
      <c r="C823">
        <v>98.031800000000004</v>
      </c>
      <c r="D823">
        <v>54.850700000000003</v>
      </c>
      <c r="E823">
        <f>Table1466[[#This Row],[CFNM]]/Table1466[[#This Row],[CAREA]]</f>
        <v>0.55951946205210967</v>
      </c>
      <c r="F823">
        <v>2.9065400000000001</v>
      </c>
      <c r="G823">
        <f>-(Table2467[[#This Row],[time]]-2)*2</f>
        <v>-1.8130800000000002</v>
      </c>
      <c r="H823">
        <v>67.603399999999993</v>
      </c>
      <c r="I823">
        <v>2.93444E-3</v>
      </c>
      <c r="J823">
        <f>Table2467[[#This Row],[CFNM]]/Table2467[[#This Row],[CAREA]]</f>
        <v>4.3406692562800102E-5</v>
      </c>
      <c r="K823">
        <v>2.9065400000000001</v>
      </c>
      <c r="L823">
        <f>-(Table3468[[#This Row],[time]]-2)*2</f>
        <v>-1.8130800000000002</v>
      </c>
      <c r="M823">
        <v>79.922600000000003</v>
      </c>
      <c r="N823">
        <v>51.877499999999998</v>
      </c>
      <c r="O823">
        <f>Table3468[[#This Row],[CFNM]]/Table3468[[#This Row],[CAREA]]</f>
        <v>0.64909675110669562</v>
      </c>
      <c r="P823">
        <v>2.9065400000000001</v>
      </c>
      <c r="Q823">
        <f>-(Table4469[[#This Row],[time]]-2)*2</f>
        <v>-1.8130800000000002</v>
      </c>
      <c r="R823">
        <v>62.772599999999997</v>
      </c>
      <c r="S823">
        <v>3.0796999999999999</v>
      </c>
      <c r="T823">
        <f>Table4469[[#This Row],[CFNM]]/Table4469[[#This Row],[CAREA]]</f>
        <v>4.9061214606372847E-2</v>
      </c>
      <c r="U823">
        <v>2.9065400000000001</v>
      </c>
      <c r="V823">
        <f>-(Table5470[[#This Row],[time]]-2)*2</f>
        <v>-1.8130800000000002</v>
      </c>
      <c r="W823">
        <v>83.3232</v>
      </c>
      <c r="X823">
        <v>55.545999999999999</v>
      </c>
      <c r="Y823">
        <f>Table5470[[#This Row],[CFNM]]/Table5470[[#This Row],[CAREA]]</f>
        <v>0.66663306258040977</v>
      </c>
      <c r="Z823">
        <v>2.9065400000000001</v>
      </c>
      <c r="AA823">
        <f>-(Table6471[[#This Row],[time]]-2)*2</f>
        <v>-1.8130800000000002</v>
      </c>
      <c r="AB823">
        <v>66.523300000000006</v>
      </c>
      <c r="AC823">
        <v>2.8915999999999998E-3</v>
      </c>
      <c r="AD823">
        <f>Table6471[[#This Row],[CFNM]]/Table6471[[#This Row],[CAREA]]</f>
        <v>4.3467476808877485E-5</v>
      </c>
      <c r="AE823">
        <v>2.9065400000000001</v>
      </c>
      <c r="AF823">
        <f>-(Table7472[[#This Row],[time]]-2)*2</f>
        <v>-1.8130800000000002</v>
      </c>
      <c r="AG823">
        <v>67.818600000000004</v>
      </c>
      <c r="AH823">
        <v>64.0595</v>
      </c>
      <c r="AI823">
        <f>Table7472[[#This Row],[CFNM]]/Table7472[[#This Row],[CAREA]]</f>
        <v>0.9445712533139875</v>
      </c>
      <c r="AJ823">
        <v>2.9065400000000001</v>
      </c>
      <c r="AK823">
        <f>-(Table8473[[#This Row],[time]]-2)*2</f>
        <v>-1.8130800000000002</v>
      </c>
      <c r="AL823">
        <v>72.218400000000003</v>
      </c>
      <c r="AM823">
        <v>5.7574699999999996</v>
      </c>
      <c r="AN823">
        <f>Table8473[[#This Row],[CFNM]]/Table8473[[#This Row],[CAREA]]</f>
        <v>7.9723034572906623E-2</v>
      </c>
    </row>
    <row r="824" spans="1:40" x14ac:dyDescent="0.25">
      <c r="A824">
        <v>2.9652400000000001</v>
      </c>
      <c r="B824">
        <f>-(Table1466[[#This Row],[time]]-2)*2</f>
        <v>-1.9304800000000002</v>
      </c>
      <c r="C824">
        <v>97.004400000000004</v>
      </c>
      <c r="D824">
        <v>58.384399999999999</v>
      </c>
      <c r="E824">
        <f>Table1466[[#This Row],[CFNM]]/Table1466[[#This Row],[CAREA]]</f>
        <v>0.60187372943907691</v>
      </c>
      <c r="F824">
        <v>2.9652400000000001</v>
      </c>
      <c r="G824">
        <f>-(Table2467[[#This Row],[time]]-2)*2</f>
        <v>-1.9304800000000002</v>
      </c>
      <c r="H824">
        <v>65.402199999999993</v>
      </c>
      <c r="I824">
        <v>2.7947599999999999E-3</v>
      </c>
      <c r="J824">
        <f>Table2467[[#This Row],[CFNM]]/Table2467[[#This Row],[CAREA]]</f>
        <v>4.2731895868946309E-5</v>
      </c>
      <c r="K824">
        <v>2.9652400000000001</v>
      </c>
      <c r="L824">
        <f>-(Table3468[[#This Row],[time]]-2)*2</f>
        <v>-1.9304800000000002</v>
      </c>
      <c r="M824">
        <v>79.2376</v>
      </c>
      <c r="N824">
        <v>55.809899999999999</v>
      </c>
      <c r="O824">
        <f>Table3468[[#This Row],[CFNM]]/Table3468[[#This Row],[CAREA]]</f>
        <v>0.70433607277353172</v>
      </c>
      <c r="P824">
        <v>2.9652400000000001</v>
      </c>
      <c r="Q824">
        <f>-(Table4469[[#This Row],[time]]-2)*2</f>
        <v>-1.9304800000000002</v>
      </c>
      <c r="R824">
        <v>62.578299999999999</v>
      </c>
      <c r="S824">
        <v>2.7780100000000001</v>
      </c>
      <c r="T824">
        <f>Table4469[[#This Row],[CFNM]]/Table4469[[#This Row],[CAREA]]</f>
        <v>4.4392545019599446E-2</v>
      </c>
      <c r="U824">
        <v>2.9652400000000001</v>
      </c>
      <c r="V824">
        <f>-(Table5470[[#This Row],[time]]-2)*2</f>
        <v>-1.9304800000000002</v>
      </c>
      <c r="W824">
        <v>82.842600000000004</v>
      </c>
      <c r="X824">
        <v>58.852400000000003</v>
      </c>
      <c r="Y824">
        <f>Table5470[[#This Row],[CFNM]]/Table5470[[#This Row],[CAREA]]</f>
        <v>0.71041227580978872</v>
      </c>
      <c r="Z824">
        <v>2.9652400000000001</v>
      </c>
      <c r="AA824">
        <f>-(Table6471[[#This Row],[time]]-2)*2</f>
        <v>-1.9304800000000002</v>
      </c>
      <c r="AB824">
        <v>62.9816</v>
      </c>
      <c r="AC824">
        <v>2.6094400000000002E-3</v>
      </c>
      <c r="AD824">
        <f>Table6471[[#This Row],[CFNM]]/Table6471[[#This Row],[CAREA]]</f>
        <v>4.1431783250981241E-5</v>
      </c>
      <c r="AE824">
        <v>2.9652400000000001</v>
      </c>
      <c r="AF824">
        <f>-(Table7472[[#This Row],[time]]-2)*2</f>
        <v>-1.9304800000000002</v>
      </c>
      <c r="AG824">
        <v>66.905500000000004</v>
      </c>
      <c r="AH824">
        <v>67.371799999999993</v>
      </c>
      <c r="AI824">
        <f>Table7472[[#This Row],[CFNM]]/Table7472[[#This Row],[CAREA]]</f>
        <v>1.0069695316528535</v>
      </c>
      <c r="AJ824">
        <v>2.9652400000000001</v>
      </c>
      <c r="AK824">
        <f>-(Table8473[[#This Row],[time]]-2)*2</f>
        <v>-1.9304800000000002</v>
      </c>
      <c r="AL824">
        <v>71.196399999999997</v>
      </c>
      <c r="AM824">
        <v>4.78932</v>
      </c>
      <c r="AN824">
        <f>Table8473[[#This Row],[CFNM]]/Table8473[[#This Row],[CAREA]]</f>
        <v>6.7269131585304884E-2</v>
      </c>
    </row>
    <row r="825" spans="1:40" x14ac:dyDescent="0.25">
      <c r="A825">
        <v>3</v>
      </c>
      <c r="B825">
        <f>-(Table1466[[#This Row],[time]]-2)*2</f>
        <v>-2</v>
      </c>
      <c r="C825">
        <v>96.415300000000002</v>
      </c>
      <c r="D825">
        <v>60.457299999999996</v>
      </c>
      <c r="E825">
        <f>Table1466[[#This Row],[CFNM]]/Table1466[[#This Row],[CAREA]]</f>
        <v>0.62705089337480668</v>
      </c>
      <c r="F825">
        <v>3</v>
      </c>
      <c r="G825">
        <f>-(Table2467[[#This Row],[time]]-2)*2</f>
        <v>-2</v>
      </c>
      <c r="H825">
        <v>64.608000000000004</v>
      </c>
      <c r="I825">
        <v>2.7218899999999998E-3</v>
      </c>
      <c r="J825">
        <f>Table2467[[#This Row],[CFNM]]/Table2467[[#This Row],[CAREA]]</f>
        <v>4.2129302872709256E-5</v>
      </c>
      <c r="K825">
        <v>3</v>
      </c>
      <c r="L825">
        <f>-(Table3468[[#This Row],[time]]-2)*2</f>
        <v>-2</v>
      </c>
      <c r="M825">
        <v>78.857500000000002</v>
      </c>
      <c r="N825">
        <v>58.1205</v>
      </c>
      <c r="O825">
        <f>Table3468[[#This Row],[CFNM]]/Table3468[[#This Row],[CAREA]]</f>
        <v>0.73703198807976411</v>
      </c>
      <c r="P825">
        <v>3</v>
      </c>
      <c r="Q825">
        <f>-(Table4469[[#This Row],[time]]-2)*2</f>
        <v>-2</v>
      </c>
      <c r="R825">
        <v>62.472499999999997</v>
      </c>
      <c r="S825">
        <v>2.6085500000000001</v>
      </c>
      <c r="T825">
        <f>Table4469[[#This Row],[CFNM]]/Table4469[[#This Row],[CAREA]]</f>
        <v>4.1755172275801354E-2</v>
      </c>
      <c r="U825">
        <v>3</v>
      </c>
      <c r="V825">
        <f>-(Table5470[[#This Row],[time]]-2)*2</f>
        <v>-2</v>
      </c>
      <c r="W825">
        <v>82.623699999999999</v>
      </c>
      <c r="X825">
        <v>60.784700000000001</v>
      </c>
      <c r="Y825">
        <f>Table5470[[#This Row],[CFNM]]/Table5470[[#This Row],[CAREA]]</f>
        <v>0.73568116654180338</v>
      </c>
      <c r="Z825">
        <v>3</v>
      </c>
      <c r="AA825">
        <f>-(Table6471[[#This Row],[time]]-2)*2</f>
        <v>-2</v>
      </c>
      <c r="AB825">
        <v>62.0246</v>
      </c>
      <c r="AC825">
        <v>2.4979799999999999E-3</v>
      </c>
      <c r="AD825">
        <f>Table6471[[#This Row],[CFNM]]/Table6471[[#This Row],[CAREA]]</f>
        <v>4.0274020308071313E-5</v>
      </c>
      <c r="AE825">
        <v>3</v>
      </c>
      <c r="AF825">
        <f>-(Table7472[[#This Row],[time]]-2)*2</f>
        <v>-2</v>
      </c>
      <c r="AG825">
        <v>66.424700000000001</v>
      </c>
      <c r="AH825">
        <v>69.299700000000001</v>
      </c>
      <c r="AI825">
        <f>Table7472[[#This Row],[CFNM]]/Table7472[[#This Row],[CAREA]]</f>
        <v>1.0432820923541997</v>
      </c>
      <c r="AJ825">
        <v>3</v>
      </c>
      <c r="AK825">
        <f>-(Table8473[[#This Row],[time]]-2)*2</f>
        <v>-2</v>
      </c>
      <c r="AL825">
        <v>70.616500000000002</v>
      </c>
      <c r="AM825">
        <v>4.2649900000000001</v>
      </c>
      <c r="AN825">
        <f>Table8473[[#This Row],[CFNM]]/Table8473[[#This Row],[CAREA]]</f>
        <v>6.0396507898295725E-2</v>
      </c>
    </row>
    <row r="827" spans="1:40" x14ac:dyDescent="0.25">
      <c r="A827" t="s">
        <v>78</v>
      </c>
      <c r="D827" t="s">
        <v>1</v>
      </c>
    </row>
    <row r="828" spans="1:40" x14ac:dyDescent="0.25">
      <c r="A828" t="s">
        <v>79</v>
      </c>
      <c r="D828" t="s">
        <v>2</v>
      </c>
      <c r="E828" t="s">
        <v>3</v>
      </c>
    </row>
    <row r="830" spans="1:40" x14ac:dyDescent="0.25">
      <c r="A830" t="s">
        <v>5</v>
      </c>
      <c r="F830" t="s">
        <v>6</v>
      </c>
      <c r="K830" t="s">
        <v>7</v>
      </c>
      <c r="P830" t="s">
        <v>19</v>
      </c>
      <c r="U830" t="s">
        <v>8</v>
      </c>
      <c r="Z830" t="s">
        <v>9</v>
      </c>
      <c r="AE830" t="s">
        <v>10</v>
      </c>
      <c r="AJ830" t="s">
        <v>11</v>
      </c>
    </row>
    <row r="831" spans="1:40" x14ac:dyDescent="0.25">
      <c r="A831" t="s">
        <v>12</v>
      </c>
      <c r="B831" t="s">
        <v>13</v>
      </c>
      <c r="C831" t="s">
        <v>17</v>
      </c>
      <c r="D831" t="s">
        <v>15</v>
      </c>
      <c r="E831" t="s">
        <v>16</v>
      </c>
      <c r="F831" t="s">
        <v>12</v>
      </c>
      <c r="G831" t="s">
        <v>13</v>
      </c>
      <c r="H831" t="s">
        <v>17</v>
      </c>
      <c r="I831" t="s">
        <v>15</v>
      </c>
      <c r="J831" t="s">
        <v>16</v>
      </c>
      <c r="K831" t="s">
        <v>12</v>
      </c>
      <c r="L831" t="s">
        <v>13</v>
      </c>
      <c r="M831" t="s">
        <v>17</v>
      </c>
      <c r="N831" t="s">
        <v>15</v>
      </c>
      <c r="O831" t="s">
        <v>16</v>
      </c>
      <c r="P831" t="s">
        <v>12</v>
      </c>
      <c r="Q831" t="s">
        <v>13</v>
      </c>
      <c r="R831" t="s">
        <v>17</v>
      </c>
      <c r="S831" t="s">
        <v>15</v>
      </c>
      <c r="T831" t="s">
        <v>16</v>
      </c>
      <c r="U831" t="s">
        <v>12</v>
      </c>
      <c r="V831" t="s">
        <v>13</v>
      </c>
      <c r="W831" t="s">
        <v>17</v>
      </c>
      <c r="X831" t="s">
        <v>15</v>
      </c>
      <c r="Y831" t="s">
        <v>16</v>
      </c>
      <c r="Z831" t="s">
        <v>12</v>
      </c>
      <c r="AA831" t="s">
        <v>13</v>
      </c>
      <c r="AB831" t="s">
        <v>17</v>
      </c>
      <c r="AC831" t="s">
        <v>15</v>
      </c>
      <c r="AD831" t="s">
        <v>16</v>
      </c>
      <c r="AE831" t="s">
        <v>12</v>
      </c>
      <c r="AF831" t="s">
        <v>13</v>
      </c>
      <c r="AG831" t="s">
        <v>17</v>
      </c>
      <c r="AH831" t="s">
        <v>15</v>
      </c>
      <c r="AI831" t="s">
        <v>16</v>
      </c>
      <c r="AJ831" t="s">
        <v>12</v>
      </c>
      <c r="AK831" t="s">
        <v>13</v>
      </c>
      <c r="AL831" t="s">
        <v>17</v>
      </c>
      <c r="AM831" t="s">
        <v>15</v>
      </c>
      <c r="AN831" t="s">
        <v>16</v>
      </c>
    </row>
    <row r="832" spans="1:40" x14ac:dyDescent="0.25">
      <c r="A832">
        <v>2</v>
      </c>
      <c r="B832">
        <f>(Table110474[[#This Row],[time]]-2)*2</f>
        <v>0</v>
      </c>
      <c r="C832">
        <v>88.6922</v>
      </c>
      <c r="D832">
        <v>9.7512600000000003</v>
      </c>
      <c r="E832" s="2">
        <f>Table110474[[#This Row],[CFNM]]/Table110474[[#This Row],[CAREA]]</f>
        <v>0.10994495570072679</v>
      </c>
      <c r="F832">
        <v>2</v>
      </c>
      <c r="G832">
        <f>(Table211475[[#This Row],[time]]-2)*2</f>
        <v>0</v>
      </c>
      <c r="H832">
        <v>94.576599999999999</v>
      </c>
      <c r="I832">
        <v>2.6341000000000001</v>
      </c>
      <c r="J832" s="2">
        <f>Table211475[[#This Row],[CFNM]]/Table211475[[#This Row],[CAREA]]</f>
        <v>2.7851498150705357E-2</v>
      </c>
      <c r="K832">
        <v>2</v>
      </c>
      <c r="L832">
        <f>(Table312476[[#This Row],[time]]-2)*2</f>
        <v>0</v>
      </c>
      <c r="M832">
        <v>87.261099999999999</v>
      </c>
      <c r="N832">
        <v>2.43161</v>
      </c>
      <c r="O832">
        <f>Table312476[[#This Row],[CFNM]]/Table312476[[#This Row],[CAREA]]</f>
        <v>2.7865910468696822E-2</v>
      </c>
      <c r="P832">
        <v>2</v>
      </c>
      <c r="Q832">
        <f>(Table413477[[#This Row],[time]]-2)*2</f>
        <v>0</v>
      </c>
      <c r="R832">
        <v>85.187899999999999</v>
      </c>
      <c r="S832">
        <v>5.1691200000000004</v>
      </c>
      <c r="T832">
        <f>Table413477[[#This Row],[CFNM]]/Table413477[[#This Row],[CAREA]]</f>
        <v>6.0679040098417736E-2</v>
      </c>
      <c r="U832">
        <v>2</v>
      </c>
      <c r="V832">
        <f>(Table514478[[#This Row],[time]]-2)*2</f>
        <v>0</v>
      </c>
      <c r="W832">
        <v>83.090100000000007</v>
      </c>
      <c r="X832">
        <v>4.71889</v>
      </c>
      <c r="Y832">
        <f>Table514478[[#This Row],[CFNM]]/Table514478[[#This Row],[CAREA]]</f>
        <v>5.679244579077411E-2</v>
      </c>
      <c r="Z832">
        <v>2</v>
      </c>
      <c r="AA832">
        <f>(Table615479[[#This Row],[time]]-2)*2</f>
        <v>0</v>
      </c>
      <c r="AB832">
        <v>85.801400000000001</v>
      </c>
      <c r="AC832">
        <v>12.0952</v>
      </c>
      <c r="AD832">
        <f>Table615479[[#This Row],[CFNM]]/Table615479[[#This Row],[CAREA]]</f>
        <v>0.14096739680238318</v>
      </c>
      <c r="AE832">
        <v>2</v>
      </c>
      <c r="AF832">
        <f>(Table716480[[#This Row],[time]]-2)*2</f>
        <v>0</v>
      </c>
      <c r="AG832">
        <v>77.901899999999998</v>
      </c>
      <c r="AH832">
        <v>21.17</v>
      </c>
      <c r="AI832">
        <f>Table716480[[#This Row],[CFNM]]/Table716480[[#This Row],[CAREA]]</f>
        <v>0.2717520368566107</v>
      </c>
      <c r="AJ832">
        <v>2</v>
      </c>
      <c r="AK832">
        <f>(Table817481[[#This Row],[time]]-2)*2</f>
        <v>0</v>
      </c>
      <c r="AL832">
        <v>83.325999999999993</v>
      </c>
      <c r="AM832">
        <v>21.1831</v>
      </c>
      <c r="AN832">
        <f>Table817481[[#This Row],[CFNM]]/Table817481[[#This Row],[CAREA]]</f>
        <v>0.25421957132227635</v>
      </c>
    </row>
    <row r="833" spans="1:40" x14ac:dyDescent="0.25">
      <c r="A833">
        <v>2.0499999999999998</v>
      </c>
      <c r="B833">
        <f>(Table110474[[#This Row],[time]]-2)*2</f>
        <v>9.9999999999999645E-2</v>
      </c>
      <c r="C833">
        <v>86.7791</v>
      </c>
      <c r="D833">
        <v>9.7111900000000002</v>
      </c>
      <c r="E833">
        <f>Table110474[[#This Row],[CFNM]]/Table110474[[#This Row],[CAREA]]</f>
        <v>0.11190701447698813</v>
      </c>
      <c r="F833">
        <v>2.0499999999999998</v>
      </c>
      <c r="G833">
        <f>(Table211475[[#This Row],[time]]-2)*2</f>
        <v>9.9999999999999645E-2</v>
      </c>
      <c r="H833">
        <v>95.627399999999994</v>
      </c>
      <c r="I833">
        <v>2.8168199999999999</v>
      </c>
      <c r="J833">
        <f>Table211475[[#This Row],[CFNM]]/Table211475[[#This Row],[CAREA]]</f>
        <v>2.945620188356057E-2</v>
      </c>
      <c r="K833">
        <v>2.0499999999999998</v>
      </c>
      <c r="L833">
        <f>(Table312476[[#This Row],[time]]-2)*2</f>
        <v>9.9999999999999645E-2</v>
      </c>
      <c r="M833">
        <v>85.603899999999996</v>
      </c>
      <c r="N833">
        <v>1.5780000000000001</v>
      </c>
      <c r="O833">
        <f>Table312476[[#This Row],[CFNM]]/Table312476[[#This Row],[CAREA]]</f>
        <v>1.8433739584294642E-2</v>
      </c>
      <c r="P833">
        <v>2.0499999999999998</v>
      </c>
      <c r="Q833">
        <f>(Table413477[[#This Row],[time]]-2)*2</f>
        <v>9.9999999999999645E-2</v>
      </c>
      <c r="R833">
        <v>86.958799999999997</v>
      </c>
      <c r="S833">
        <v>6.5941299999999998</v>
      </c>
      <c r="T833">
        <f>Table413477[[#This Row],[CFNM]]/Table413477[[#This Row],[CAREA]]</f>
        <v>7.5830508240684089E-2</v>
      </c>
      <c r="U833">
        <v>2.0499999999999998</v>
      </c>
      <c r="V833">
        <f>(Table514478[[#This Row],[time]]-2)*2</f>
        <v>9.9999999999999645E-2</v>
      </c>
      <c r="W833">
        <v>83.256100000000004</v>
      </c>
      <c r="X833">
        <v>3.0869499999999999</v>
      </c>
      <c r="Y833">
        <f>Table514478[[#This Row],[CFNM]]/Table514478[[#This Row],[CAREA]]</f>
        <v>3.7077763671370625E-2</v>
      </c>
      <c r="Z833">
        <v>2.0499999999999998</v>
      </c>
      <c r="AA833">
        <f>(Table615479[[#This Row],[time]]-2)*2</f>
        <v>9.9999999999999645E-2</v>
      </c>
      <c r="AB833">
        <v>87.909300000000002</v>
      </c>
      <c r="AC833">
        <v>13.7575</v>
      </c>
      <c r="AD833">
        <f>Table615479[[#This Row],[CFNM]]/Table615479[[#This Row],[CAREA]]</f>
        <v>0.15649652539606163</v>
      </c>
      <c r="AE833">
        <v>2.0499999999999998</v>
      </c>
      <c r="AF833">
        <f>(Table716480[[#This Row],[time]]-2)*2</f>
        <v>9.9999999999999645E-2</v>
      </c>
      <c r="AG833">
        <v>77.633200000000002</v>
      </c>
      <c r="AH833">
        <v>20.9207</v>
      </c>
      <c r="AI833">
        <f>Table716480[[#This Row],[CFNM]]/Table716480[[#This Row],[CAREA]]</f>
        <v>0.26948135591473749</v>
      </c>
      <c r="AJ833">
        <v>2.0499999999999998</v>
      </c>
      <c r="AK833">
        <f>(Table817481[[#This Row],[time]]-2)*2</f>
        <v>9.9999999999999645E-2</v>
      </c>
      <c r="AL833">
        <v>83.441000000000003</v>
      </c>
      <c r="AM833">
        <v>22.5535</v>
      </c>
      <c r="AN833">
        <f>Table817481[[#This Row],[CFNM]]/Table817481[[#This Row],[CAREA]]</f>
        <v>0.27029278172600996</v>
      </c>
    </row>
    <row r="834" spans="1:40" x14ac:dyDescent="0.25">
      <c r="A834">
        <v>2.1071900000000001</v>
      </c>
      <c r="B834">
        <f>(Table110474[[#This Row],[time]]-2)*2</f>
        <v>0.21438000000000024</v>
      </c>
      <c r="C834">
        <v>83.619</v>
      </c>
      <c r="D834">
        <v>9.7040900000000008</v>
      </c>
      <c r="E834">
        <f>Table110474[[#This Row],[CFNM]]/Table110474[[#This Row],[CAREA]]</f>
        <v>0.11605125629342615</v>
      </c>
      <c r="F834">
        <v>2.1071900000000001</v>
      </c>
      <c r="G834">
        <f>(Table211475[[#This Row],[time]]-2)*2</f>
        <v>0.21438000000000024</v>
      </c>
      <c r="H834">
        <v>97.050799999999995</v>
      </c>
      <c r="I834">
        <v>4.0128700000000004</v>
      </c>
      <c r="J834">
        <f>Table211475[[#This Row],[CFNM]]/Table211475[[#This Row],[CAREA]]</f>
        <v>4.1348139324972083E-2</v>
      </c>
      <c r="K834">
        <v>2.1071900000000001</v>
      </c>
      <c r="L834">
        <f>(Table312476[[#This Row],[time]]-2)*2</f>
        <v>0.21438000000000024</v>
      </c>
      <c r="M834">
        <v>84.184600000000003</v>
      </c>
      <c r="N834">
        <v>1.5828199999999999</v>
      </c>
      <c r="O834">
        <f>Table312476[[#This Row],[CFNM]]/Table312476[[#This Row],[CAREA]]</f>
        <v>1.8801776096815805E-2</v>
      </c>
      <c r="P834">
        <v>2.1071900000000001</v>
      </c>
      <c r="Q834">
        <f>(Table413477[[#This Row],[time]]-2)*2</f>
        <v>0.21438000000000024</v>
      </c>
      <c r="R834">
        <v>88.233000000000004</v>
      </c>
      <c r="S834">
        <v>8.5431399999999993</v>
      </c>
      <c r="T834">
        <f>Table413477[[#This Row],[CFNM]]/Table413477[[#This Row],[CAREA]]</f>
        <v>9.6824770777373531E-2</v>
      </c>
      <c r="U834">
        <v>2.1071900000000001</v>
      </c>
      <c r="V834">
        <f>(Table514478[[#This Row],[time]]-2)*2</f>
        <v>0.21438000000000024</v>
      </c>
      <c r="W834">
        <v>82.705799999999996</v>
      </c>
      <c r="X834">
        <v>2.0352199999999998</v>
      </c>
      <c r="Y834">
        <f>Table514478[[#This Row],[CFNM]]/Table514478[[#This Row],[CAREA]]</f>
        <v>2.4607947689279347E-2</v>
      </c>
      <c r="Z834">
        <v>2.1071900000000001</v>
      </c>
      <c r="AA834">
        <f>(Table615479[[#This Row],[time]]-2)*2</f>
        <v>0.21438000000000024</v>
      </c>
      <c r="AB834">
        <v>89.642700000000005</v>
      </c>
      <c r="AC834">
        <v>16.608799999999999</v>
      </c>
      <c r="AD834">
        <f>Table615479[[#This Row],[CFNM]]/Table615479[[#This Row],[CAREA]]</f>
        <v>0.18527777498892825</v>
      </c>
      <c r="AE834">
        <v>2.1071900000000001</v>
      </c>
      <c r="AF834">
        <f>(Table716480[[#This Row],[time]]-2)*2</f>
        <v>0.21438000000000024</v>
      </c>
      <c r="AG834">
        <v>77.584999999999994</v>
      </c>
      <c r="AH834">
        <v>20.6615</v>
      </c>
      <c r="AI834">
        <f>Table716480[[#This Row],[CFNM]]/Table716480[[#This Row],[CAREA]]</f>
        <v>0.26630792034542761</v>
      </c>
      <c r="AJ834">
        <v>2.1071900000000001</v>
      </c>
      <c r="AK834">
        <f>(Table817481[[#This Row],[time]]-2)*2</f>
        <v>0.21438000000000024</v>
      </c>
      <c r="AL834">
        <v>83.7059</v>
      </c>
      <c r="AM834">
        <v>24.335999999999999</v>
      </c>
      <c r="AN834">
        <f>Table817481[[#This Row],[CFNM]]/Table817481[[#This Row],[CAREA]]</f>
        <v>0.29073219450480786</v>
      </c>
    </row>
    <row r="835" spans="1:40" x14ac:dyDescent="0.25">
      <c r="A835">
        <v>2.1584099999999999</v>
      </c>
      <c r="B835">
        <f>(Table110474[[#This Row],[time]]-2)*2</f>
        <v>0.31681999999999988</v>
      </c>
      <c r="C835">
        <v>81.574200000000005</v>
      </c>
      <c r="D835">
        <v>9.6988900000000005</v>
      </c>
      <c r="E835">
        <f>Table110474[[#This Row],[CFNM]]/Table110474[[#This Row],[CAREA]]</f>
        <v>0.11889653836629718</v>
      </c>
      <c r="F835">
        <v>2.1584099999999999</v>
      </c>
      <c r="G835">
        <f>(Table211475[[#This Row],[time]]-2)*2</f>
        <v>0.31681999999999988</v>
      </c>
      <c r="H835">
        <v>98.241100000000003</v>
      </c>
      <c r="I835">
        <v>6.1275000000000004</v>
      </c>
      <c r="J835">
        <f>Table211475[[#This Row],[CFNM]]/Table211475[[#This Row],[CAREA]]</f>
        <v>6.2372062202072254E-2</v>
      </c>
      <c r="K835">
        <v>2.1584099999999999</v>
      </c>
      <c r="L835">
        <f>(Table312476[[#This Row],[time]]-2)*2</f>
        <v>0.31681999999999988</v>
      </c>
      <c r="M835">
        <v>83.022099999999995</v>
      </c>
      <c r="N835">
        <v>1.57508</v>
      </c>
      <c r="O835">
        <f>Table312476[[#This Row],[CFNM]]/Table312476[[#This Row],[CAREA]]</f>
        <v>1.8971815938165864E-2</v>
      </c>
      <c r="P835">
        <v>2.1584099999999999</v>
      </c>
      <c r="Q835">
        <f>(Table413477[[#This Row],[time]]-2)*2</f>
        <v>0.31681999999999988</v>
      </c>
      <c r="R835">
        <v>89.139899999999997</v>
      </c>
      <c r="S835">
        <v>10.512</v>
      </c>
      <c r="T835">
        <f>Table413477[[#This Row],[CFNM]]/Table413477[[#This Row],[CAREA]]</f>
        <v>0.11792698892415182</v>
      </c>
      <c r="U835">
        <v>2.1584099999999999</v>
      </c>
      <c r="V835">
        <f>(Table514478[[#This Row],[time]]-2)*2</f>
        <v>0.31681999999999988</v>
      </c>
      <c r="W835">
        <v>81.081699999999998</v>
      </c>
      <c r="X835">
        <v>1.50522</v>
      </c>
      <c r="Y835">
        <f>Table514478[[#This Row],[CFNM]]/Table514478[[#This Row],[CAREA]]</f>
        <v>1.8564238292981032E-2</v>
      </c>
      <c r="Z835">
        <v>2.1584099999999999</v>
      </c>
      <c r="AA835">
        <f>(Table615479[[#This Row],[time]]-2)*2</f>
        <v>0.31681999999999988</v>
      </c>
      <c r="AB835">
        <v>89.944699999999997</v>
      </c>
      <c r="AC835">
        <v>19.901700000000002</v>
      </c>
      <c r="AD835">
        <f>Table615479[[#This Row],[CFNM]]/Table615479[[#This Row],[CAREA]]</f>
        <v>0.22126595563718598</v>
      </c>
      <c r="AE835">
        <v>2.1584099999999999</v>
      </c>
      <c r="AF835">
        <f>(Table716480[[#This Row],[time]]-2)*2</f>
        <v>0.31681999999999988</v>
      </c>
      <c r="AG835">
        <v>77.569900000000004</v>
      </c>
      <c r="AH835">
        <v>20.4238</v>
      </c>
      <c r="AI835">
        <f>Table716480[[#This Row],[CFNM]]/Table716480[[#This Row],[CAREA]]</f>
        <v>0.26329542773678966</v>
      </c>
      <c r="AJ835">
        <v>2.1584099999999999</v>
      </c>
      <c r="AK835">
        <f>(Table817481[[#This Row],[time]]-2)*2</f>
        <v>0.31681999999999988</v>
      </c>
      <c r="AL835">
        <v>83.791700000000006</v>
      </c>
      <c r="AM835">
        <v>26.2575</v>
      </c>
      <c r="AN835">
        <f>Table817481[[#This Row],[CFNM]]/Table817481[[#This Row],[CAREA]]</f>
        <v>0.31336635967524229</v>
      </c>
    </row>
    <row r="836" spans="1:40" x14ac:dyDescent="0.25">
      <c r="A836">
        <v>2.20749</v>
      </c>
      <c r="B836">
        <f>(Table110474[[#This Row],[time]]-2)*2</f>
        <v>0.4149799999999999</v>
      </c>
      <c r="C836">
        <v>79.322999999999993</v>
      </c>
      <c r="D836">
        <v>9.7223400000000009</v>
      </c>
      <c r="E836">
        <f>Table110474[[#This Row],[CFNM]]/Table110474[[#This Row],[CAREA]]</f>
        <v>0.12256646874172689</v>
      </c>
      <c r="F836">
        <v>2.20749</v>
      </c>
      <c r="G836">
        <f>(Table211475[[#This Row],[time]]-2)*2</f>
        <v>0.4149799999999999</v>
      </c>
      <c r="H836">
        <v>99.842100000000002</v>
      </c>
      <c r="I836">
        <v>8.4488099999999999</v>
      </c>
      <c r="J836">
        <f>Table211475[[#This Row],[CFNM]]/Table211475[[#This Row],[CAREA]]</f>
        <v>8.4621717692236031E-2</v>
      </c>
      <c r="K836">
        <v>2.20749</v>
      </c>
      <c r="L836">
        <f>(Table312476[[#This Row],[time]]-2)*2</f>
        <v>0.4149799999999999</v>
      </c>
      <c r="M836">
        <v>82.800899999999999</v>
      </c>
      <c r="N836">
        <v>1.5928800000000001</v>
      </c>
      <c r="O836">
        <f>Table312476[[#This Row],[CFNM]]/Table312476[[#This Row],[CAREA]]</f>
        <v>1.9237472056463156E-2</v>
      </c>
      <c r="P836">
        <v>2.20749</v>
      </c>
      <c r="Q836">
        <f>(Table413477[[#This Row],[time]]-2)*2</f>
        <v>0.4149799999999999</v>
      </c>
      <c r="R836">
        <v>89.492400000000004</v>
      </c>
      <c r="S836">
        <v>12.8104</v>
      </c>
      <c r="T836">
        <f>Table413477[[#This Row],[CFNM]]/Table413477[[#This Row],[CAREA]]</f>
        <v>0.14314511623333376</v>
      </c>
      <c r="U836">
        <v>2.20749</v>
      </c>
      <c r="V836">
        <f>(Table514478[[#This Row],[time]]-2)*2</f>
        <v>0.4149799999999999</v>
      </c>
      <c r="W836">
        <v>80.376300000000001</v>
      </c>
      <c r="X836">
        <v>1.07623</v>
      </c>
      <c r="Y836">
        <f>Table514478[[#This Row],[CFNM]]/Table514478[[#This Row],[CAREA]]</f>
        <v>1.3389892294121526E-2</v>
      </c>
      <c r="Z836">
        <v>2.20749</v>
      </c>
      <c r="AA836">
        <f>(Table615479[[#This Row],[time]]-2)*2</f>
        <v>0.4149799999999999</v>
      </c>
      <c r="AB836">
        <v>89.996099999999998</v>
      </c>
      <c r="AC836">
        <v>23.328399999999998</v>
      </c>
      <c r="AD836">
        <f>Table615479[[#This Row],[CFNM]]/Table615479[[#This Row],[CAREA]]</f>
        <v>0.25921567712378646</v>
      </c>
      <c r="AE836">
        <v>2.20749</v>
      </c>
      <c r="AF836">
        <f>(Table716480[[#This Row],[time]]-2)*2</f>
        <v>0.4149799999999999</v>
      </c>
      <c r="AG836">
        <v>77.209199999999996</v>
      </c>
      <c r="AH836">
        <v>20.158100000000001</v>
      </c>
      <c r="AI836">
        <f>Table716480[[#This Row],[CFNM]]/Table716480[[#This Row],[CAREA]]</f>
        <v>0.26108417131637163</v>
      </c>
      <c r="AJ836">
        <v>2.20749</v>
      </c>
      <c r="AK836">
        <f>(Table817481[[#This Row],[time]]-2)*2</f>
        <v>0.4149799999999999</v>
      </c>
      <c r="AL836">
        <v>83.5839</v>
      </c>
      <c r="AM836">
        <v>28.485099999999999</v>
      </c>
      <c r="AN836">
        <f>Table817481[[#This Row],[CFNM]]/Table817481[[#This Row],[CAREA]]</f>
        <v>0.3407964931045333</v>
      </c>
    </row>
    <row r="837" spans="1:40" x14ac:dyDescent="0.25">
      <c r="A837">
        <v>2.25204</v>
      </c>
      <c r="B837">
        <f>(Table110474[[#This Row],[time]]-2)*2</f>
        <v>0.50408000000000008</v>
      </c>
      <c r="C837">
        <v>76.531999999999996</v>
      </c>
      <c r="D837">
        <v>9.6895399999999992</v>
      </c>
      <c r="E837">
        <f>Table110474[[#This Row],[CFNM]]/Table110474[[#This Row],[CAREA]]</f>
        <v>0.12660769351382428</v>
      </c>
      <c r="F837">
        <v>2.25204</v>
      </c>
      <c r="G837">
        <f>(Table211475[[#This Row],[time]]-2)*2</f>
        <v>0.50408000000000008</v>
      </c>
      <c r="H837">
        <v>103.17400000000001</v>
      </c>
      <c r="I837">
        <v>10.7799</v>
      </c>
      <c r="J837">
        <f>Table211475[[#This Row],[CFNM]]/Table211475[[#This Row],[CAREA]]</f>
        <v>0.10448271851435438</v>
      </c>
      <c r="K837">
        <v>2.25204</v>
      </c>
      <c r="L837">
        <f>(Table312476[[#This Row],[time]]-2)*2</f>
        <v>0.50408000000000008</v>
      </c>
      <c r="M837">
        <v>81.278899999999993</v>
      </c>
      <c r="N837">
        <v>1.7103699999999999</v>
      </c>
      <c r="O837">
        <f>Table312476[[#This Row],[CFNM]]/Table312476[[#This Row],[CAREA]]</f>
        <v>2.1043222779835849E-2</v>
      </c>
      <c r="P837">
        <v>2.25204</v>
      </c>
      <c r="Q837">
        <f>(Table413477[[#This Row],[time]]-2)*2</f>
        <v>0.50408000000000008</v>
      </c>
      <c r="R837">
        <v>89.583699999999993</v>
      </c>
      <c r="S837">
        <v>14.978300000000001</v>
      </c>
      <c r="T837">
        <f>Table413477[[#This Row],[CFNM]]/Table413477[[#This Row],[CAREA]]</f>
        <v>0.16719894355781242</v>
      </c>
      <c r="U837">
        <v>2.25204</v>
      </c>
      <c r="V837">
        <f>(Table514478[[#This Row],[time]]-2)*2</f>
        <v>0.50408000000000008</v>
      </c>
      <c r="W837">
        <v>78.210599999999999</v>
      </c>
      <c r="X837">
        <v>0.76883400000000002</v>
      </c>
      <c r="Y837">
        <f>Table514478[[#This Row],[CFNM]]/Table514478[[#This Row],[CAREA]]</f>
        <v>9.8303043321493512E-3</v>
      </c>
      <c r="Z837">
        <v>2.25204</v>
      </c>
      <c r="AA837">
        <f>(Table615479[[#This Row],[time]]-2)*2</f>
        <v>0.50408000000000008</v>
      </c>
      <c r="AB837">
        <v>90.875</v>
      </c>
      <c r="AC837">
        <v>26.510200000000001</v>
      </c>
      <c r="AD837">
        <f>Table615479[[#This Row],[CFNM]]/Table615479[[#This Row],[CAREA]]</f>
        <v>0.29172159559834937</v>
      </c>
      <c r="AE837">
        <v>2.25204</v>
      </c>
      <c r="AF837">
        <f>(Table716480[[#This Row],[time]]-2)*2</f>
        <v>0.50408000000000008</v>
      </c>
      <c r="AG837">
        <v>76.772400000000005</v>
      </c>
      <c r="AH837">
        <v>19.8414</v>
      </c>
      <c r="AI837">
        <f>Table716480[[#This Row],[CFNM]]/Table716480[[#This Row],[CAREA]]</f>
        <v>0.25844444097097391</v>
      </c>
      <c r="AJ837">
        <v>2.25204</v>
      </c>
      <c r="AK837">
        <f>(Table817481[[#This Row],[time]]-2)*2</f>
        <v>0.50408000000000008</v>
      </c>
      <c r="AL837">
        <v>83.141400000000004</v>
      </c>
      <c r="AM837">
        <v>30.702200000000001</v>
      </c>
      <c r="AN837">
        <f>Table817481[[#This Row],[CFNM]]/Table817481[[#This Row],[CAREA]]</f>
        <v>0.36927691859891704</v>
      </c>
    </row>
    <row r="838" spans="1:40" x14ac:dyDescent="0.25">
      <c r="A838">
        <v>2.3035899999999998</v>
      </c>
      <c r="B838">
        <f>(Table110474[[#This Row],[time]]-2)*2</f>
        <v>0.60717999999999961</v>
      </c>
      <c r="C838">
        <v>74.505799999999994</v>
      </c>
      <c r="D838">
        <v>9.4547500000000007</v>
      </c>
      <c r="E838">
        <f>Table110474[[#This Row],[CFNM]]/Table110474[[#This Row],[CAREA]]</f>
        <v>0.12689951654770504</v>
      </c>
      <c r="F838">
        <v>2.3035899999999998</v>
      </c>
      <c r="G838">
        <f>(Table211475[[#This Row],[time]]-2)*2</f>
        <v>0.60717999999999961</v>
      </c>
      <c r="H838">
        <v>105.976</v>
      </c>
      <c r="I838">
        <v>13.731400000000001</v>
      </c>
      <c r="J838">
        <f>Table211475[[#This Row],[CFNM]]/Table211475[[#This Row],[CAREA]]</f>
        <v>0.12957084622933496</v>
      </c>
      <c r="K838">
        <v>2.3035899999999998</v>
      </c>
      <c r="L838">
        <f>(Table312476[[#This Row],[time]]-2)*2</f>
        <v>0.60717999999999961</v>
      </c>
      <c r="M838">
        <v>80.397199999999998</v>
      </c>
      <c r="N838">
        <v>1.82308</v>
      </c>
      <c r="O838">
        <f>Table312476[[#This Row],[CFNM]]/Table312476[[#This Row],[CAREA]]</f>
        <v>2.267591408656023E-2</v>
      </c>
      <c r="P838">
        <v>2.3035899999999998</v>
      </c>
      <c r="Q838">
        <f>(Table413477[[#This Row],[time]]-2)*2</f>
        <v>0.60717999999999961</v>
      </c>
      <c r="R838">
        <v>89.689599999999999</v>
      </c>
      <c r="S838">
        <v>17.714700000000001</v>
      </c>
      <c r="T838">
        <f>Table413477[[#This Row],[CFNM]]/Table413477[[#This Row],[CAREA]]</f>
        <v>0.19751119416297988</v>
      </c>
      <c r="U838">
        <v>2.3035899999999998</v>
      </c>
      <c r="V838">
        <f>(Table514478[[#This Row],[time]]-2)*2</f>
        <v>0.60717999999999961</v>
      </c>
      <c r="W838">
        <v>77.525599999999997</v>
      </c>
      <c r="X838">
        <v>0.42017700000000002</v>
      </c>
      <c r="Y838">
        <f>Table514478[[#This Row],[CFNM]]/Table514478[[#This Row],[CAREA]]</f>
        <v>5.4198484113634725E-3</v>
      </c>
      <c r="Z838">
        <v>2.3035899999999998</v>
      </c>
      <c r="AA838">
        <f>(Table615479[[#This Row],[time]]-2)*2</f>
        <v>0.60717999999999961</v>
      </c>
      <c r="AB838">
        <v>91.604600000000005</v>
      </c>
      <c r="AC838">
        <v>30.3293</v>
      </c>
      <c r="AD838">
        <f>Table615479[[#This Row],[CFNM]]/Table615479[[#This Row],[CAREA]]</f>
        <v>0.33108926844285108</v>
      </c>
      <c r="AE838">
        <v>2.3035899999999998</v>
      </c>
      <c r="AF838">
        <f>(Table716480[[#This Row],[time]]-2)*2</f>
        <v>0.60717999999999961</v>
      </c>
      <c r="AG838">
        <v>76.643199999999993</v>
      </c>
      <c r="AH838">
        <v>19.479700000000001</v>
      </c>
      <c r="AI838">
        <f>Table716480[[#This Row],[CFNM]]/Table716480[[#This Row],[CAREA]]</f>
        <v>0.25416083879587492</v>
      </c>
      <c r="AJ838">
        <v>2.3035899999999998</v>
      </c>
      <c r="AK838">
        <f>(Table817481[[#This Row],[time]]-2)*2</f>
        <v>0.60717999999999961</v>
      </c>
      <c r="AL838">
        <v>82.449100000000001</v>
      </c>
      <c r="AM838">
        <v>33.515799999999999</v>
      </c>
      <c r="AN838">
        <f>Table817481[[#This Row],[CFNM]]/Table817481[[#This Row],[CAREA]]</f>
        <v>0.40650292119622894</v>
      </c>
    </row>
    <row r="839" spans="1:40" x14ac:dyDescent="0.25">
      <c r="A839">
        <v>2.3646799999999999</v>
      </c>
      <c r="B839">
        <f>(Table110474[[#This Row],[time]]-2)*2</f>
        <v>0.72935999999999979</v>
      </c>
      <c r="C839">
        <v>70.102599999999995</v>
      </c>
      <c r="D839">
        <v>9.0278399999999994</v>
      </c>
      <c r="E839">
        <f>Table110474[[#This Row],[CFNM]]/Table110474[[#This Row],[CAREA]]</f>
        <v>0.12878038760331287</v>
      </c>
      <c r="F839">
        <v>2.3646799999999999</v>
      </c>
      <c r="G839">
        <f>(Table211475[[#This Row],[time]]-2)*2</f>
        <v>0.72935999999999979</v>
      </c>
      <c r="H839">
        <v>106.631</v>
      </c>
      <c r="I839">
        <v>17.071200000000001</v>
      </c>
      <c r="J839">
        <f>Table211475[[#This Row],[CFNM]]/Table211475[[#This Row],[CAREA]]</f>
        <v>0.16009603211073703</v>
      </c>
      <c r="K839">
        <v>2.3646799999999999</v>
      </c>
      <c r="L839">
        <f>(Table312476[[#This Row],[time]]-2)*2</f>
        <v>0.72935999999999979</v>
      </c>
      <c r="M839">
        <v>79.709400000000002</v>
      </c>
      <c r="N839">
        <v>1.9240200000000001</v>
      </c>
      <c r="O839">
        <f>Table312476[[#This Row],[CFNM]]/Table312476[[#This Row],[CAREA]]</f>
        <v>2.4137931034482758E-2</v>
      </c>
      <c r="P839">
        <v>2.3646799999999999</v>
      </c>
      <c r="Q839">
        <f>(Table413477[[#This Row],[time]]-2)*2</f>
        <v>0.72935999999999979</v>
      </c>
      <c r="R839">
        <v>89.556700000000006</v>
      </c>
      <c r="S839">
        <v>21.219000000000001</v>
      </c>
      <c r="T839">
        <f>Table413477[[#This Row],[CFNM]]/Table413477[[#This Row],[CAREA]]</f>
        <v>0.23693369675300674</v>
      </c>
      <c r="U839">
        <v>2.3646799999999999</v>
      </c>
      <c r="V839">
        <f>(Table514478[[#This Row],[time]]-2)*2</f>
        <v>0.72935999999999979</v>
      </c>
      <c r="W839">
        <v>76.272499999999994</v>
      </c>
      <c r="X839">
        <v>5.6463199999999998E-2</v>
      </c>
      <c r="Y839">
        <f>Table514478[[#This Row],[CFNM]]/Table514478[[#This Row],[CAREA]]</f>
        <v>7.4028253957848507E-4</v>
      </c>
      <c r="Z839">
        <v>2.3646799999999999</v>
      </c>
      <c r="AA839">
        <f>(Table615479[[#This Row],[time]]-2)*2</f>
        <v>0.72935999999999979</v>
      </c>
      <c r="AB839">
        <v>93.114500000000007</v>
      </c>
      <c r="AC839">
        <v>34.860700000000001</v>
      </c>
      <c r="AD839">
        <f>Table615479[[#This Row],[CFNM]]/Table615479[[#This Row],[CAREA]]</f>
        <v>0.37438529981904001</v>
      </c>
      <c r="AE839">
        <v>2.3646799999999999</v>
      </c>
      <c r="AF839">
        <f>(Table716480[[#This Row],[time]]-2)*2</f>
        <v>0.72935999999999979</v>
      </c>
      <c r="AG839">
        <v>76.538200000000003</v>
      </c>
      <c r="AH839">
        <v>19.080400000000001</v>
      </c>
      <c r="AI839">
        <f>Table716480[[#This Row],[CFNM]]/Table716480[[#This Row],[CAREA]]</f>
        <v>0.2492925101452608</v>
      </c>
      <c r="AJ839">
        <v>2.3646799999999999</v>
      </c>
      <c r="AK839">
        <f>(Table817481[[#This Row],[time]]-2)*2</f>
        <v>0.72935999999999979</v>
      </c>
      <c r="AL839">
        <v>81.826300000000003</v>
      </c>
      <c r="AM839">
        <v>37.206099999999999</v>
      </c>
      <c r="AN839">
        <f>Table817481[[#This Row],[CFNM]]/Table817481[[#This Row],[CAREA]]</f>
        <v>0.45469610626412288</v>
      </c>
    </row>
    <row r="840" spans="1:40" x14ac:dyDescent="0.25">
      <c r="A840">
        <v>2.4025099999999999</v>
      </c>
      <c r="B840">
        <f>(Table110474[[#This Row],[time]]-2)*2</f>
        <v>0.80501999999999985</v>
      </c>
      <c r="C840">
        <v>68.798199999999994</v>
      </c>
      <c r="D840">
        <v>8.7959599999999991</v>
      </c>
      <c r="E840">
        <f>Table110474[[#This Row],[CFNM]]/Table110474[[#This Row],[CAREA]]</f>
        <v>0.12785160076862476</v>
      </c>
      <c r="F840">
        <v>2.4025099999999999</v>
      </c>
      <c r="G840">
        <f>(Table211475[[#This Row],[time]]-2)*2</f>
        <v>0.80501999999999985</v>
      </c>
      <c r="H840">
        <v>105.03</v>
      </c>
      <c r="I840">
        <v>19.101299999999998</v>
      </c>
      <c r="J840">
        <f>Table211475[[#This Row],[CFNM]]/Table211475[[#This Row],[CAREA]]</f>
        <v>0.18186518137674948</v>
      </c>
      <c r="K840">
        <v>2.4025099999999999</v>
      </c>
      <c r="L840">
        <f>(Table312476[[#This Row],[time]]-2)*2</f>
        <v>0.80501999999999985</v>
      </c>
      <c r="M840">
        <v>78.980199999999996</v>
      </c>
      <c r="N840">
        <v>1.9379900000000001</v>
      </c>
      <c r="O840">
        <f>Table312476[[#This Row],[CFNM]]/Table312476[[#This Row],[CAREA]]</f>
        <v>2.4537668934745672E-2</v>
      </c>
      <c r="P840">
        <v>2.4025099999999999</v>
      </c>
      <c r="Q840">
        <f>(Table413477[[#This Row],[time]]-2)*2</f>
        <v>0.80501999999999985</v>
      </c>
      <c r="R840">
        <v>89.405699999999996</v>
      </c>
      <c r="S840">
        <v>23.419699999999999</v>
      </c>
      <c r="T840">
        <f>Table413477[[#This Row],[CFNM]]/Table413477[[#This Row],[CAREA]]</f>
        <v>0.26194862296251803</v>
      </c>
      <c r="U840">
        <v>2.4025099999999999</v>
      </c>
      <c r="V840">
        <f>(Table514478[[#This Row],[time]]-2)*2</f>
        <v>0.80501999999999985</v>
      </c>
      <c r="W840">
        <v>75.343400000000003</v>
      </c>
      <c r="X840">
        <v>4.5883800000000004E-3</v>
      </c>
      <c r="Y840">
        <f>Table514478[[#This Row],[CFNM]]/Table514478[[#This Row],[CAREA]]</f>
        <v>6.0899561209077373E-5</v>
      </c>
      <c r="Z840">
        <v>2.4025099999999999</v>
      </c>
      <c r="AA840">
        <f>(Table615479[[#This Row],[time]]-2)*2</f>
        <v>0.80501999999999985</v>
      </c>
      <c r="AB840">
        <v>93.162099999999995</v>
      </c>
      <c r="AC840">
        <v>37.612299999999998</v>
      </c>
      <c r="AD840">
        <f>Table615479[[#This Row],[CFNM]]/Table615479[[#This Row],[CAREA]]</f>
        <v>0.4037296282501146</v>
      </c>
      <c r="AE840">
        <v>2.4025099999999999</v>
      </c>
      <c r="AF840">
        <f>(Table716480[[#This Row],[time]]-2)*2</f>
        <v>0.80501999999999985</v>
      </c>
      <c r="AG840">
        <v>76.577500000000001</v>
      </c>
      <c r="AH840">
        <v>18.800799999999999</v>
      </c>
      <c r="AI840">
        <f>Table716480[[#This Row],[CFNM]]/Table716480[[#This Row],[CAREA]]</f>
        <v>0.2455133688093761</v>
      </c>
      <c r="AJ840">
        <v>2.4025099999999999</v>
      </c>
      <c r="AK840">
        <f>(Table817481[[#This Row],[time]]-2)*2</f>
        <v>0.80501999999999985</v>
      </c>
      <c r="AL840">
        <v>81.4696</v>
      </c>
      <c r="AM840">
        <v>39.611800000000002</v>
      </c>
      <c r="AN840">
        <f>Table817481[[#This Row],[CFNM]]/Table817481[[#This Row],[CAREA]]</f>
        <v>0.48621571727368246</v>
      </c>
    </row>
    <row r="841" spans="1:40" x14ac:dyDescent="0.25">
      <c r="A841">
        <v>2.45207</v>
      </c>
      <c r="B841">
        <f>(Table110474[[#This Row],[time]]-2)*2</f>
        <v>0.90413999999999994</v>
      </c>
      <c r="C841">
        <v>65.981999999999999</v>
      </c>
      <c r="D841">
        <v>8.3711699999999993</v>
      </c>
      <c r="E841">
        <f>Table110474[[#This Row],[CFNM]]/Table110474[[#This Row],[CAREA]]</f>
        <v>0.12687051013912884</v>
      </c>
      <c r="F841">
        <v>2.45207</v>
      </c>
      <c r="G841">
        <f>(Table211475[[#This Row],[time]]-2)*2</f>
        <v>0.90413999999999994</v>
      </c>
      <c r="H841">
        <v>102.96899999999999</v>
      </c>
      <c r="I841">
        <v>22.648199999999999</v>
      </c>
      <c r="J841">
        <f>Table211475[[#This Row],[CFNM]]/Table211475[[#This Row],[CAREA]]</f>
        <v>0.21995163592926026</v>
      </c>
      <c r="K841">
        <v>2.45207</v>
      </c>
      <c r="L841">
        <f>(Table312476[[#This Row],[time]]-2)*2</f>
        <v>0.90413999999999994</v>
      </c>
      <c r="M841">
        <v>77.748900000000006</v>
      </c>
      <c r="N841">
        <v>1.9226799999999999</v>
      </c>
      <c r="O841">
        <f>Table312476[[#This Row],[CFNM]]/Table312476[[#This Row],[CAREA]]</f>
        <v>2.4729353084095077E-2</v>
      </c>
      <c r="P841">
        <v>2.45207</v>
      </c>
      <c r="Q841">
        <f>(Table413477[[#This Row],[time]]-2)*2</f>
        <v>0.90413999999999994</v>
      </c>
      <c r="R841">
        <v>88.974999999999994</v>
      </c>
      <c r="S841">
        <v>26.541499999999999</v>
      </c>
      <c r="T841">
        <f>Table413477[[#This Row],[CFNM]]/Table413477[[#This Row],[CAREA]]</f>
        <v>0.2983028940713684</v>
      </c>
      <c r="U841">
        <v>2.45207</v>
      </c>
      <c r="V841">
        <f>(Table514478[[#This Row],[time]]-2)*2</f>
        <v>0.90413999999999994</v>
      </c>
      <c r="W841">
        <v>73.970500000000001</v>
      </c>
      <c r="X841">
        <v>4.1244999999999997E-3</v>
      </c>
      <c r="Y841">
        <f>Table514478[[#This Row],[CFNM]]/Table514478[[#This Row],[CAREA]]</f>
        <v>5.5758714622721218E-5</v>
      </c>
      <c r="Z841">
        <v>2.45207</v>
      </c>
      <c r="AA841">
        <f>(Table615479[[#This Row],[time]]-2)*2</f>
        <v>0.90413999999999994</v>
      </c>
      <c r="AB841">
        <v>93.240200000000002</v>
      </c>
      <c r="AC841">
        <v>41.420699999999997</v>
      </c>
      <c r="AD841">
        <f>Table615479[[#This Row],[CFNM]]/Table615479[[#This Row],[CAREA]]</f>
        <v>0.44423649884920879</v>
      </c>
      <c r="AE841">
        <v>2.45207</v>
      </c>
      <c r="AF841">
        <f>(Table716480[[#This Row],[time]]-2)*2</f>
        <v>0.90413999999999994</v>
      </c>
      <c r="AG841">
        <v>75.645300000000006</v>
      </c>
      <c r="AH841">
        <v>18.405100000000001</v>
      </c>
      <c r="AI841">
        <f>Table716480[[#This Row],[CFNM]]/Table716480[[#This Row],[CAREA]]</f>
        <v>0.24330791205798641</v>
      </c>
      <c r="AJ841">
        <v>2.45207</v>
      </c>
      <c r="AK841">
        <f>(Table817481[[#This Row],[time]]-2)*2</f>
        <v>0.90413999999999994</v>
      </c>
      <c r="AL841">
        <v>80.896600000000007</v>
      </c>
      <c r="AM841">
        <v>42.8123</v>
      </c>
      <c r="AN841">
        <f>Table817481[[#This Row],[CFNM]]/Table817481[[#This Row],[CAREA]]</f>
        <v>0.52922248895503643</v>
      </c>
    </row>
    <row r="842" spans="1:40" x14ac:dyDescent="0.25">
      <c r="A842">
        <v>2.5013700000000001</v>
      </c>
      <c r="B842">
        <f>(Table110474[[#This Row],[time]]-2)*2</f>
        <v>1.0027400000000002</v>
      </c>
      <c r="C842">
        <v>64.038600000000002</v>
      </c>
      <c r="D842">
        <v>7.9728399999999997</v>
      </c>
      <c r="E842">
        <f>Table110474[[#This Row],[CFNM]]/Table110474[[#This Row],[CAREA]]</f>
        <v>0.12450053561445752</v>
      </c>
      <c r="F842">
        <v>2.5013700000000001</v>
      </c>
      <c r="G842">
        <f>(Table211475[[#This Row],[time]]-2)*2</f>
        <v>1.0027400000000002</v>
      </c>
      <c r="H842">
        <v>100.801</v>
      </c>
      <c r="I842">
        <v>26.0486</v>
      </c>
      <c r="J842">
        <f>Table211475[[#This Row],[CFNM]]/Table211475[[#This Row],[CAREA]]</f>
        <v>0.25841608714199266</v>
      </c>
      <c r="K842">
        <v>2.5013700000000001</v>
      </c>
      <c r="L842">
        <f>(Table312476[[#This Row],[time]]-2)*2</f>
        <v>1.0027400000000002</v>
      </c>
      <c r="M842">
        <v>76.542599999999993</v>
      </c>
      <c r="N842">
        <v>1.79935</v>
      </c>
      <c r="O842">
        <f>Table312476[[#This Row],[CFNM]]/Table312476[[#This Row],[CAREA]]</f>
        <v>2.3507824401052486E-2</v>
      </c>
      <c r="P842">
        <v>2.5013700000000001</v>
      </c>
      <c r="Q842">
        <f>(Table413477[[#This Row],[time]]-2)*2</f>
        <v>1.0027400000000002</v>
      </c>
      <c r="R842">
        <v>88.501599999999996</v>
      </c>
      <c r="S842">
        <v>29.956199999999999</v>
      </c>
      <c r="T842">
        <f>Table413477[[#This Row],[CFNM]]/Table413477[[#This Row],[CAREA]]</f>
        <v>0.33848201614434087</v>
      </c>
      <c r="U842">
        <v>2.5013700000000001</v>
      </c>
      <c r="V842">
        <f>(Table514478[[#This Row],[time]]-2)*2</f>
        <v>1.0027400000000002</v>
      </c>
      <c r="W842">
        <v>72.849199999999996</v>
      </c>
      <c r="X842">
        <v>3.8990499999999998E-3</v>
      </c>
      <c r="Y842">
        <f>Table514478[[#This Row],[CFNM]]/Table514478[[#This Row],[CAREA]]</f>
        <v>5.3522207519094241E-5</v>
      </c>
      <c r="Z842">
        <v>2.5013700000000001</v>
      </c>
      <c r="AA842">
        <f>(Table615479[[#This Row],[time]]-2)*2</f>
        <v>1.0027400000000002</v>
      </c>
      <c r="AB842">
        <v>93.991699999999994</v>
      </c>
      <c r="AC842">
        <v>45.1633</v>
      </c>
      <c r="AD842">
        <f>Table615479[[#This Row],[CFNM]]/Table615479[[#This Row],[CAREA]]</f>
        <v>0.48050306569622642</v>
      </c>
      <c r="AE842">
        <v>2.5013700000000001</v>
      </c>
      <c r="AF842">
        <f>(Table716480[[#This Row],[time]]-2)*2</f>
        <v>1.0027400000000002</v>
      </c>
      <c r="AG842">
        <v>75.501099999999994</v>
      </c>
      <c r="AH842">
        <v>17.8812</v>
      </c>
      <c r="AI842">
        <f>Table716480[[#This Row],[CFNM]]/Table716480[[#This Row],[CAREA]]</f>
        <v>0.23683363553643591</v>
      </c>
      <c r="AJ842">
        <v>2.5013700000000001</v>
      </c>
      <c r="AK842">
        <f>(Table817481[[#This Row],[time]]-2)*2</f>
        <v>1.0027400000000002</v>
      </c>
      <c r="AL842">
        <v>80.334299999999999</v>
      </c>
      <c r="AM842">
        <v>46.041699999999999</v>
      </c>
      <c r="AN842">
        <f>Table817481[[#This Row],[CFNM]]/Table817481[[#This Row],[CAREA]]</f>
        <v>0.57312629848022578</v>
      </c>
    </row>
    <row r="843" spans="1:40" x14ac:dyDescent="0.25">
      <c r="A843">
        <v>2.5642200000000002</v>
      </c>
      <c r="B843">
        <f>(Table110474[[#This Row],[time]]-2)*2</f>
        <v>1.1284400000000003</v>
      </c>
      <c r="C843">
        <v>62.579700000000003</v>
      </c>
      <c r="D843">
        <v>7.3601099999999997</v>
      </c>
      <c r="E843">
        <f>Table110474[[#This Row],[CFNM]]/Table110474[[#This Row],[CAREA]]</f>
        <v>0.11761178145628694</v>
      </c>
      <c r="F843">
        <v>2.5642200000000002</v>
      </c>
      <c r="G843">
        <f>(Table211475[[#This Row],[time]]-2)*2</f>
        <v>1.1284400000000003</v>
      </c>
      <c r="H843">
        <v>99.148600000000002</v>
      </c>
      <c r="I843">
        <v>30.855499999999999</v>
      </c>
      <c r="J843">
        <f>Table211475[[#This Row],[CFNM]]/Table211475[[#This Row],[CAREA]]</f>
        <v>0.31120459592974586</v>
      </c>
      <c r="K843">
        <v>2.5642200000000002</v>
      </c>
      <c r="L843">
        <f>(Table312476[[#This Row],[time]]-2)*2</f>
        <v>1.1284400000000003</v>
      </c>
      <c r="M843">
        <v>75.044499999999999</v>
      </c>
      <c r="N843">
        <v>1.5905199999999999</v>
      </c>
      <c r="O843">
        <f>Table312476[[#This Row],[CFNM]]/Table312476[[#This Row],[CAREA]]</f>
        <v>2.119435801424488E-2</v>
      </c>
      <c r="P843">
        <v>2.5642200000000002</v>
      </c>
      <c r="Q843">
        <f>(Table413477[[#This Row],[time]]-2)*2</f>
        <v>1.1284400000000003</v>
      </c>
      <c r="R843">
        <v>87.766000000000005</v>
      </c>
      <c r="S843">
        <v>34.491500000000002</v>
      </c>
      <c r="T843">
        <f>Table413477[[#This Row],[CFNM]]/Table413477[[#This Row],[CAREA]]</f>
        <v>0.39299387006357817</v>
      </c>
      <c r="U843">
        <v>2.5642200000000002</v>
      </c>
      <c r="V843">
        <f>(Table514478[[#This Row],[time]]-2)*2</f>
        <v>1.1284400000000003</v>
      </c>
      <c r="W843">
        <v>70.985600000000005</v>
      </c>
      <c r="X843">
        <v>3.6296000000000002E-3</v>
      </c>
      <c r="Y843">
        <f>Table514478[[#This Row],[CFNM]]/Table514478[[#This Row],[CAREA]]</f>
        <v>5.113149709236803E-5</v>
      </c>
      <c r="Z843">
        <v>2.5642200000000002</v>
      </c>
      <c r="AA843">
        <f>(Table615479[[#This Row],[time]]-2)*2</f>
        <v>1.1284400000000003</v>
      </c>
      <c r="AB843">
        <v>94.844099999999997</v>
      </c>
      <c r="AC843">
        <v>49.9833</v>
      </c>
      <c r="AD843">
        <f>Table615479[[#This Row],[CFNM]]/Table615479[[#This Row],[CAREA]]</f>
        <v>0.52700484268394132</v>
      </c>
      <c r="AE843">
        <v>2.5642200000000002</v>
      </c>
      <c r="AF843">
        <f>(Table716480[[#This Row],[time]]-2)*2</f>
        <v>1.1284400000000003</v>
      </c>
      <c r="AG843">
        <v>74.6995</v>
      </c>
      <c r="AH843">
        <v>17.248100000000001</v>
      </c>
      <c r="AI843">
        <f>Table716480[[#This Row],[CFNM]]/Table716480[[#This Row],[CAREA]]</f>
        <v>0.23089980521957978</v>
      </c>
      <c r="AJ843">
        <v>2.5642200000000002</v>
      </c>
      <c r="AK843">
        <f>(Table817481[[#This Row],[time]]-2)*2</f>
        <v>1.1284400000000003</v>
      </c>
      <c r="AL843">
        <v>79.600399999999993</v>
      </c>
      <c r="AM843">
        <v>50.329700000000003</v>
      </c>
      <c r="AN843">
        <f>Table817481[[#This Row],[CFNM]]/Table817481[[#This Row],[CAREA]]</f>
        <v>0.63227948603273354</v>
      </c>
    </row>
    <row r="844" spans="1:40" x14ac:dyDescent="0.25">
      <c r="A844">
        <v>2.60772</v>
      </c>
      <c r="B844">
        <f>(Table110474[[#This Row],[time]]-2)*2</f>
        <v>1.2154400000000001</v>
      </c>
      <c r="C844">
        <v>61.724800000000002</v>
      </c>
      <c r="D844">
        <v>6.9733200000000002</v>
      </c>
      <c r="E844">
        <f>Table110474[[#This Row],[CFNM]]/Table110474[[#This Row],[CAREA]]</f>
        <v>0.11297436362693764</v>
      </c>
      <c r="F844">
        <v>2.60772</v>
      </c>
      <c r="G844">
        <f>(Table211475[[#This Row],[time]]-2)*2</f>
        <v>1.2154400000000001</v>
      </c>
      <c r="H844">
        <v>98.340699999999998</v>
      </c>
      <c r="I844">
        <v>33.837299999999999</v>
      </c>
      <c r="J844">
        <f>Table211475[[#This Row],[CFNM]]/Table211475[[#This Row],[CAREA]]</f>
        <v>0.34408235857584907</v>
      </c>
      <c r="K844">
        <v>2.60772</v>
      </c>
      <c r="L844">
        <f>(Table312476[[#This Row],[time]]-2)*2</f>
        <v>1.2154400000000001</v>
      </c>
      <c r="M844">
        <v>73.588899999999995</v>
      </c>
      <c r="N844">
        <v>1.5008900000000001</v>
      </c>
      <c r="O844">
        <f>Table312476[[#This Row],[CFNM]]/Table312476[[#This Row],[CAREA]]</f>
        <v>2.0395603141234616E-2</v>
      </c>
      <c r="P844">
        <v>2.60772</v>
      </c>
      <c r="Q844">
        <f>(Table413477[[#This Row],[time]]-2)*2</f>
        <v>1.2154400000000001</v>
      </c>
      <c r="R844">
        <v>86.943200000000004</v>
      </c>
      <c r="S844">
        <v>37.400199999999998</v>
      </c>
      <c r="T844">
        <f>Table413477[[#This Row],[CFNM]]/Table413477[[#This Row],[CAREA]]</f>
        <v>0.43016820176851089</v>
      </c>
      <c r="U844">
        <v>2.60772</v>
      </c>
      <c r="V844">
        <f>(Table514478[[#This Row],[time]]-2)*2</f>
        <v>1.2154400000000001</v>
      </c>
      <c r="W844">
        <v>70.242500000000007</v>
      </c>
      <c r="X844">
        <v>3.4585800000000002E-3</v>
      </c>
      <c r="Y844">
        <f>Table514478[[#This Row],[CFNM]]/Table514478[[#This Row],[CAREA]]</f>
        <v>4.9237712211268107E-5</v>
      </c>
      <c r="Z844">
        <v>2.60772</v>
      </c>
      <c r="AA844">
        <f>(Table615479[[#This Row],[time]]-2)*2</f>
        <v>1.2154400000000001</v>
      </c>
      <c r="AB844">
        <v>95.967299999999994</v>
      </c>
      <c r="AC844">
        <v>53.207000000000001</v>
      </c>
      <c r="AD844">
        <f>Table615479[[#This Row],[CFNM]]/Table615479[[#This Row],[CAREA]]</f>
        <v>0.55442843551918208</v>
      </c>
      <c r="AE844">
        <v>2.60772</v>
      </c>
      <c r="AF844">
        <f>(Table716480[[#This Row],[time]]-2)*2</f>
        <v>1.2154400000000001</v>
      </c>
      <c r="AG844">
        <v>73.9953</v>
      </c>
      <c r="AH844">
        <v>16.793199999999999</v>
      </c>
      <c r="AI844">
        <f>Table716480[[#This Row],[CFNM]]/Table716480[[#This Row],[CAREA]]</f>
        <v>0.22694954949841406</v>
      </c>
      <c r="AJ844">
        <v>2.60772</v>
      </c>
      <c r="AK844">
        <f>(Table817481[[#This Row],[time]]-2)*2</f>
        <v>1.2154400000000001</v>
      </c>
      <c r="AL844">
        <v>79.339399999999998</v>
      </c>
      <c r="AM844">
        <v>53.164700000000003</v>
      </c>
      <c r="AN844">
        <f>Table817481[[#This Row],[CFNM]]/Table817481[[#This Row],[CAREA]]</f>
        <v>0.67009203497883785</v>
      </c>
    </row>
    <row r="845" spans="1:40" x14ac:dyDescent="0.25">
      <c r="A845">
        <v>2.6547499999999999</v>
      </c>
      <c r="B845">
        <f>(Table110474[[#This Row],[time]]-2)*2</f>
        <v>1.3094999999999999</v>
      </c>
      <c r="C845">
        <v>61.238599999999998</v>
      </c>
      <c r="D845">
        <v>6.5610900000000001</v>
      </c>
      <c r="E845">
        <f>Table110474[[#This Row],[CFNM]]/Table110474[[#This Row],[CAREA]]</f>
        <v>0.10713977785253093</v>
      </c>
      <c r="F845">
        <v>2.6547499999999999</v>
      </c>
      <c r="G845">
        <f>(Table211475[[#This Row],[time]]-2)*2</f>
        <v>1.3094999999999999</v>
      </c>
      <c r="H845">
        <v>97.567999999999998</v>
      </c>
      <c r="I845">
        <v>36.968600000000002</v>
      </c>
      <c r="J845">
        <f>Table211475[[#This Row],[CFNM]]/Table211475[[#This Row],[CAREA]]</f>
        <v>0.37890086913742216</v>
      </c>
      <c r="K845">
        <v>2.6547499999999999</v>
      </c>
      <c r="L845">
        <f>(Table312476[[#This Row],[time]]-2)*2</f>
        <v>1.3094999999999999</v>
      </c>
      <c r="M845">
        <v>70.971199999999996</v>
      </c>
      <c r="N845">
        <v>1.2055800000000001</v>
      </c>
      <c r="O845">
        <f>Table312476[[#This Row],[CFNM]]/Table312476[[#This Row],[CAREA]]</f>
        <v>1.6986890456974098E-2</v>
      </c>
      <c r="P845">
        <v>2.6547499999999999</v>
      </c>
      <c r="Q845">
        <f>(Table413477[[#This Row],[time]]-2)*2</f>
        <v>1.3094999999999999</v>
      </c>
      <c r="R845">
        <v>86.367400000000004</v>
      </c>
      <c r="S845">
        <v>40.766300000000001</v>
      </c>
      <c r="T845">
        <f>Table413477[[#This Row],[CFNM]]/Table413477[[#This Row],[CAREA]]</f>
        <v>0.4720102723944451</v>
      </c>
      <c r="U845">
        <v>2.6547499999999999</v>
      </c>
      <c r="V845">
        <f>(Table514478[[#This Row],[time]]-2)*2</f>
        <v>1.3094999999999999</v>
      </c>
      <c r="W845">
        <v>68.997200000000007</v>
      </c>
      <c r="X845">
        <v>3.2857699999999999E-3</v>
      </c>
      <c r="Y845">
        <f>Table514478[[#This Row],[CFNM]]/Table514478[[#This Row],[CAREA]]</f>
        <v>4.7621787550799156E-5</v>
      </c>
      <c r="Z845">
        <v>2.6547499999999999</v>
      </c>
      <c r="AA845">
        <f>(Table615479[[#This Row],[time]]-2)*2</f>
        <v>1.3094999999999999</v>
      </c>
      <c r="AB845">
        <v>95.909700000000001</v>
      </c>
      <c r="AC845">
        <v>56.704099999999997</v>
      </c>
      <c r="AD845">
        <f>Table615479[[#This Row],[CFNM]]/Table615479[[#This Row],[CAREA]]</f>
        <v>0.59122382824677788</v>
      </c>
      <c r="AE845">
        <v>2.6547499999999999</v>
      </c>
      <c r="AF845">
        <f>(Table716480[[#This Row],[time]]-2)*2</f>
        <v>1.3094999999999999</v>
      </c>
      <c r="AG845">
        <v>73.652900000000002</v>
      </c>
      <c r="AH845">
        <v>16.2117</v>
      </c>
      <c r="AI845">
        <f>Table716480[[#This Row],[CFNM]]/Table716480[[#This Row],[CAREA]]</f>
        <v>0.22010945936955639</v>
      </c>
      <c r="AJ845">
        <v>2.6547499999999999</v>
      </c>
      <c r="AK845">
        <f>(Table817481[[#This Row],[time]]-2)*2</f>
        <v>1.3094999999999999</v>
      </c>
      <c r="AL845">
        <v>78.762600000000006</v>
      </c>
      <c r="AM845">
        <v>56.273299999999999</v>
      </c>
      <c r="AN845">
        <f>Table817481[[#This Row],[CFNM]]/Table817481[[#This Row],[CAREA]]</f>
        <v>0.71446727253798115</v>
      </c>
    </row>
    <row r="846" spans="1:40" x14ac:dyDescent="0.25">
      <c r="A846">
        <v>2.7014100000000001</v>
      </c>
      <c r="B846">
        <f>(Table110474[[#This Row],[time]]-2)*2</f>
        <v>1.4028200000000002</v>
      </c>
      <c r="C846">
        <v>59.430199999999999</v>
      </c>
      <c r="D846">
        <v>6.1574</v>
      </c>
      <c r="E846">
        <f>Table110474[[#This Row],[CFNM]]/Table110474[[#This Row],[CAREA]]</f>
        <v>0.10360725691651719</v>
      </c>
      <c r="F846">
        <v>2.7014100000000001</v>
      </c>
      <c r="G846">
        <f>(Table211475[[#This Row],[time]]-2)*2</f>
        <v>1.4028200000000002</v>
      </c>
      <c r="H846">
        <v>96.693600000000004</v>
      </c>
      <c r="I846">
        <v>39.931399999999996</v>
      </c>
      <c r="J846">
        <f>Table211475[[#This Row],[CFNM]]/Table211475[[#This Row],[CAREA]]</f>
        <v>0.41296838673914299</v>
      </c>
      <c r="K846">
        <v>2.7014100000000001</v>
      </c>
      <c r="L846">
        <f>(Table312476[[#This Row],[time]]-2)*2</f>
        <v>1.4028200000000002</v>
      </c>
      <c r="M846">
        <v>67.115499999999997</v>
      </c>
      <c r="N846">
        <v>0.96800799999999998</v>
      </c>
      <c r="O846">
        <f>Table312476[[#This Row],[CFNM]]/Table312476[[#This Row],[CAREA]]</f>
        <v>1.4423017037793058E-2</v>
      </c>
      <c r="P846">
        <v>2.7014100000000001</v>
      </c>
      <c r="Q846">
        <f>(Table413477[[#This Row],[time]]-2)*2</f>
        <v>1.4028200000000002</v>
      </c>
      <c r="R846">
        <v>85.812299999999993</v>
      </c>
      <c r="S846">
        <v>43.963500000000003</v>
      </c>
      <c r="T846">
        <f>Table413477[[#This Row],[CFNM]]/Table413477[[#This Row],[CAREA]]</f>
        <v>0.51232166018158243</v>
      </c>
      <c r="U846">
        <v>2.7014100000000001</v>
      </c>
      <c r="V846">
        <f>(Table514478[[#This Row],[time]]-2)*2</f>
        <v>1.4028200000000002</v>
      </c>
      <c r="W846">
        <v>66.594300000000004</v>
      </c>
      <c r="X846">
        <v>3.1282699999999998E-3</v>
      </c>
      <c r="Y846">
        <f>Table514478[[#This Row],[CFNM]]/Table514478[[#This Row],[CAREA]]</f>
        <v>4.697504140744778E-5</v>
      </c>
      <c r="Z846">
        <v>2.7014100000000001</v>
      </c>
      <c r="AA846">
        <f>(Table615479[[#This Row],[time]]-2)*2</f>
        <v>1.4028200000000002</v>
      </c>
      <c r="AB846">
        <v>95.824600000000004</v>
      </c>
      <c r="AC846">
        <v>59.993499999999997</v>
      </c>
      <c r="AD846">
        <f>Table615479[[#This Row],[CFNM]]/Table615479[[#This Row],[CAREA]]</f>
        <v>0.62607618502973139</v>
      </c>
      <c r="AE846">
        <v>2.7014100000000001</v>
      </c>
      <c r="AF846">
        <f>(Table716480[[#This Row],[time]]-2)*2</f>
        <v>1.4028200000000002</v>
      </c>
      <c r="AG846">
        <v>73.255799999999994</v>
      </c>
      <c r="AH846">
        <v>15.5794</v>
      </c>
      <c r="AI846">
        <f>Table716480[[#This Row],[CFNM]]/Table716480[[#This Row],[CAREA]]</f>
        <v>0.21267121511197751</v>
      </c>
      <c r="AJ846">
        <v>2.7014100000000001</v>
      </c>
      <c r="AK846">
        <f>(Table817481[[#This Row],[time]]-2)*2</f>
        <v>1.4028200000000002</v>
      </c>
      <c r="AL846">
        <v>78.370900000000006</v>
      </c>
      <c r="AM846">
        <v>59.332700000000003</v>
      </c>
      <c r="AN846">
        <f>Table817481[[#This Row],[CFNM]]/Table817481[[#This Row],[CAREA]]</f>
        <v>0.75707564925246484</v>
      </c>
    </row>
    <row r="847" spans="1:40" x14ac:dyDescent="0.25">
      <c r="A847">
        <v>2.75163</v>
      </c>
      <c r="B847">
        <f>(Table110474[[#This Row],[time]]-2)*2</f>
        <v>1.50326</v>
      </c>
      <c r="C847">
        <v>59.031399999999998</v>
      </c>
      <c r="D847">
        <v>5.7469200000000003</v>
      </c>
      <c r="E847">
        <f>Table110474[[#This Row],[CFNM]]/Table110474[[#This Row],[CAREA]]</f>
        <v>9.7353611806597851E-2</v>
      </c>
      <c r="F847">
        <v>2.75163</v>
      </c>
      <c r="G847">
        <f>(Table211475[[#This Row],[time]]-2)*2</f>
        <v>1.50326</v>
      </c>
      <c r="H847">
        <v>95.942599999999999</v>
      </c>
      <c r="I847">
        <v>43.094700000000003</v>
      </c>
      <c r="J847">
        <f>Table211475[[#This Row],[CFNM]]/Table211475[[#This Row],[CAREA]]</f>
        <v>0.4491716922409858</v>
      </c>
      <c r="K847">
        <v>2.75163</v>
      </c>
      <c r="L847">
        <f>(Table312476[[#This Row],[time]]-2)*2</f>
        <v>1.50326</v>
      </c>
      <c r="M847">
        <v>64.302000000000007</v>
      </c>
      <c r="N847">
        <v>0.71612500000000001</v>
      </c>
      <c r="O847">
        <f>Table312476[[#This Row],[CFNM]]/Table312476[[#This Row],[CAREA]]</f>
        <v>1.1136900874000807E-2</v>
      </c>
      <c r="P847">
        <v>2.75163</v>
      </c>
      <c r="Q847">
        <f>(Table413477[[#This Row],[time]]-2)*2</f>
        <v>1.50326</v>
      </c>
      <c r="R847">
        <v>85.285200000000003</v>
      </c>
      <c r="S847">
        <v>47.3598</v>
      </c>
      <c r="T847">
        <f>Table413477[[#This Row],[CFNM]]/Table413477[[#This Row],[CAREA]]</f>
        <v>0.55531088629680181</v>
      </c>
      <c r="U847">
        <v>2.75163</v>
      </c>
      <c r="V847">
        <f>(Table514478[[#This Row],[time]]-2)*2</f>
        <v>1.50326</v>
      </c>
      <c r="W847">
        <v>66.049599999999998</v>
      </c>
      <c r="X847">
        <v>2.9721000000000001E-3</v>
      </c>
      <c r="Y847">
        <f>Table514478[[#This Row],[CFNM]]/Table514478[[#This Row],[CAREA]]</f>
        <v>4.4998001501901602E-5</v>
      </c>
      <c r="Z847">
        <v>2.75163</v>
      </c>
      <c r="AA847">
        <f>(Table615479[[#This Row],[time]]-2)*2</f>
        <v>1.50326</v>
      </c>
      <c r="AB847">
        <v>95.858400000000003</v>
      </c>
      <c r="AC847">
        <v>63.444000000000003</v>
      </c>
      <c r="AD847">
        <f>Table615479[[#This Row],[CFNM]]/Table615479[[#This Row],[CAREA]]</f>
        <v>0.66185123056508355</v>
      </c>
      <c r="AE847">
        <v>2.75163</v>
      </c>
      <c r="AF847">
        <f>(Table716480[[#This Row],[time]]-2)*2</f>
        <v>1.50326</v>
      </c>
      <c r="AG847">
        <v>72.194199999999995</v>
      </c>
      <c r="AH847">
        <v>14.892200000000001</v>
      </c>
      <c r="AI847">
        <f>Table716480[[#This Row],[CFNM]]/Table716480[[#This Row],[CAREA]]</f>
        <v>0.20627972884248322</v>
      </c>
      <c r="AJ847">
        <v>2.75163</v>
      </c>
      <c r="AK847">
        <f>(Table817481[[#This Row],[time]]-2)*2</f>
        <v>1.50326</v>
      </c>
      <c r="AL847">
        <v>77.570599999999999</v>
      </c>
      <c r="AM847">
        <v>62.595399999999998</v>
      </c>
      <c r="AN847">
        <f>Table817481[[#This Row],[CFNM]]/Table817481[[#This Row],[CAREA]]</f>
        <v>0.806947477523701</v>
      </c>
    </row>
    <row r="848" spans="1:40" x14ac:dyDescent="0.25">
      <c r="A848">
        <v>2.8174700000000001</v>
      </c>
      <c r="B848">
        <f>(Table110474[[#This Row],[time]]-2)*2</f>
        <v>1.6349400000000003</v>
      </c>
      <c r="C848">
        <v>57.857700000000001</v>
      </c>
      <c r="D848">
        <v>5.2344099999999996</v>
      </c>
      <c r="E848">
        <f>Table110474[[#This Row],[CFNM]]/Table110474[[#This Row],[CAREA]]</f>
        <v>9.0470412754050017E-2</v>
      </c>
      <c r="F848">
        <v>2.8174700000000001</v>
      </c>
      <c r="G848">
        <f>(Table211475[[#This Row],[time]]-2)*2</f>
        <v>1.6349400000000003</v>
      </c>
      <c r="H848">
        <v>94.707999999999998</v>
      </c>
      <c r="I848">
        <v>47.169499999999999</v>
      </c>
      <c r="J848">
        <f>Table211475[[#This Row],[CFNM]]/Table211475[[#This Row],[CAREA]]</f>
        <v>0.49805190691388268</v>
      </c>
      <c r="K848">
        <v>2.8174700000000001</v>
      </c>
      <c r="L848">
        <f>(Table312476[[#This Row],[time]]-2)*2</f>
        <v>1.6349400000000003</v>
      </c>
      <c r="M848">
        <v>59.176699999999997</v>
      </c>
      <c r="N848">
        <v>0.41191899999999998</v>
      </c>
      <c r="O848">
        <f>Table312476[[#This Row],[CFNM]]/Table312476[[#This Row],[CAREA]]</f>
        <v>6.9608308675542909E-3</v>
      </c>
      <c r="P848">
        <v>2.8174700000000001</v>
      </c>
      <c r="Q848">
        <f>(Table413477[[#This Row],[time]]-2)*2</f>
        <v>1.6349400000000003</v>
      </c>
      <c r="R848">
        <v>84.415099999999995</v>
      </c>
      <c r="S848">
        <v>51.654200000000003</v>
      </c>
      <c r="T848">
        <f>Table413477[[#This Row],[CFNM]]/Table413477[[#This Row],[CAREA]]</f>
        <v>0.61190711140542398</v>
      </c>
      <c r="U848">
        <v>2.8174700000000001</v>
      </c>
      <c r="V848">
        <f>(Table514478[[#This Row],[time]]-2)*2</f>
        <v>1.6349400000000003</v>
      </c>
      <c r="W848">
        <v>64.564899999999994</v>
      </c>
      <c r="X848">
        <v>2.7837999999999999E-3</v>
      </c>
      <c r="Y848">
        <f>Table514478[[#This Row],[CFNM]]/Table514478[[#This Row],[CAREA]]</f>
        <v>4.3116306228306715E-5</v>
      </c>
      <c r="Z848">
        <v>2.8174700000000001</v>
      </c>
      <c r="AA848">
        <f>(Table615479[[#This Row],[time]]-2)*2</f>
        <v>1.6349400000000003</v>
      </c>
      <c r="AB848">
        <v>95.676400000000001</v>
      </c>
      <c r="AC848">
        <v>67.881200000000007</v>
      </c>
      <c r="AD848">
        <f>Table615479[[#This Row],[CFNM]]/Table615479[[#This Row],[CAREA]]</f>
        <v>0.70948739710106157</v>
      </c>
      <c r="AE848">
        <v>2.8174700000000001</v>
      </c>
      <c r="AF848">
        <f>(Table716480[[#This Row],[time]]-2)*2</f>
        <v>1.6349400000000003</v>
      </c>
      <c r="AG848">
        <v>70.944199999999995</v>
      </c>
      <c r="AH848">
        <v>13.9476</v>
      </c>
      <c r="AI848">
        <f>Table716480[[#This Row],[CFNM]]/Table716480[[#This Row],[CAREA]]</f>
        <v>0.19659958107921438</v>
      </c>
      <c r="AJ848">
        <v>2.8174700000000001</v>
      </c>
      <c r="AK848">
        <f>(Table817481[[#This Row],[time]]-2)*2</f>
        <v>1.6349400000000003</v>
      </c>
      <c r="AL848">
        <v>76.613900000000001</v>
      </c>
      <c r="AM848">
        <v>66.791600000000003</v>
      </c>
      <c r="AN848">
        <f>Table817481[[#This Row],[CFNM]]/Table817481[[#This Row],[CAREA]]</f>
        <v>0.87179480485917049</v>
      </c>
    </row>
    <row r="849" spans="1:40" x14ac:dyDescent="0.25">
      <c r="A849">
        <v>2.8541500000000002</v>
      </c>
      <c r="B849">
        <f>(Table110474[[#This Row],[time]]-2)*2</f>
        <v>1.7083000000000004</v>
      </c>
      <c r="C849">
        <v>56.9895</v>
      </c>
      <c r="D849">
        <v>4.9611299999999998</v>
      </c>
      <c r="E849">
        <f>Table110474[[#This Row],[CFNM]]/Table110474[[#This Row],[CAREA]]</f>
        <v>8.7053404574526885E-2</v>
      </c>
      <c r="F849">
        <v>2.8541500000000002</v>
      </c>
      <c r="G849">
        <f>(Table211475[[#This Row],[time]]-2)*2</f>
        <v>1.7083000000000004</v>
      </c>
      <c r="H849">
        <v>94.071100000000001</v>
      </c>
      <c r="I849">
        <v>49.4191</v>
      </c>
      <c r="J849">
        <f>Table211475[[#This Row],[CFNM]]/Table211475[[#This Row],[CAREA]]</f>
        <v>0.52533774985091064</v>
      </c>
      <c r="K849">
        <v>2.8541500000000002</v>
      </c>
      <c r="L849">
        <f>(Table312476[[#This Row],[time]]-2)*2</f>
        <v>1.7083000000000004</v>
      </c>
      <c r="M849">
        <v>57.216299999999997</v>
      </c>
      <c r="N849">
        <v>0.30427100000000001</v>
      </c>
      <c r="O849">
        <f>Table312476[[#This Row],[CFNM]]/Table312476[[#This Row],[CAREA]]</f>
        <v>5.3179076591810381E-3</v>
      </c>
      <c r="P849">
        <v>2.8541500000000002</v>
      </c>
      <c r="Q849">
        <f>(Table413477[[#This Row],[time]]-2)*2</f>
        <v>1.7083000000000004</v>
      </c>
      <c r="R849">
        <v>83.881399999999999</v>
      </c>
      <c r="S849">
        <v>54.035699999999999</v>
      </c>
      <c r="T849">
        <f>Table413477[[#This Row],[CFNM]]/Table413477[[#This Row],[CAREA]]</f>
        <v>0.64419168015793726</v>
      </c>
      <c r="U849">
        <v>2.8541500000000002</v>
      </c>
      <c r="V849">
        <f>(Table514478[[#This Row],[time]]-2)*2</f>
        <v>1.7083000000000004</v>
      </c>
      <c r="W849">
        <v>64.090400000000002</v>
      </c>
      <c r="X849">
        <v>2.68717E-3</v>
      </c>
      <c r="Y849">
        <f>Table514478[[#This Row],[CFNM]]/Table514478[[#This Row],[CAREA]]</f>
        <v>4.1927808220887996E-5</v>
      </c>
      <c r="Z849">
        <v>2.8541500000000002</v>
      </c>
      <c r="AA849">
        <f>(Table615479[[#This Row],[time]]-2)*2</f>
        <v>1.7083000000000004</v>
      </c>
      <c r="AB849">
        <v>96.081900000000005</v>
      </c>
      <c r="AC849">
        <v>70.307900000000004</v>
      </c>
      <c r="AD849">
        <f>Table615479[[#This Row],[CFNM]]/Table615479[[#This Row],[CAREA]]</f>
        <v>0.73174968438384336</v>
      </c>
      <c r="AE849">
        <v>2.8541500000000002</v>
      </c>
      <c r="AF849">
        <f>(Table716480[[#This Row],[time]]-2)*2</f>
        <v>1.7083000000000004</v>
      </c>
      <c r="AG849">
        <v>70.753799999999998</v>
      </c>
      <c r="AH849">
        <v>13.426399999999999</v>
      </c>
      <c r="AI849">
        <f>Table716480[[#This Row],[CFNM]]/Table716480[[#This Row],[CAREA]]</f>
        <v>0.18976224598537464</v>
      </c>
      <c r="AJ849">
        <v>2.8541500000000002</v>
      </c>
      <c r="AK849">
        <f>(Table817481[[#This Row],[time]]-2)*2</f>
        <v>1.7083000000000004</v>
      </c>
      <c r="AL849">
        <v>76.086500000000001</v>
      </c>
      <c r="AM849">
        <v>69.112300000000005</v>
      </c>
      <c r="AN849">
        <f>Table817481[[#This Row],[CFNM]]/Table817481[[#This Row],[CAREA]]</f>
        <v>0.90833853574550028</v>
      </c>
    </row>
    <row r="850" spans="1:40" x14ac:dyDescent="0.25">
      <c r="A850">
        <v>2.9046500000000002</v>
      </c>
      <c r="B850">
        <f>(Table110474[[#This Row],[time]]-2)*2</f>
        <v>1.8093000000000004</v>
      </c>
      <c r="C850">
        <v>56.4709</v>
      </c>
      <c r="D850">
        <v>4.6107399999999998</v>
      </c>
      <c r="E850">
        <f>Table110474[[#This Row],[CFNM]]/Table110474[[#This Row],[CAREA]]</f>
        <v>8.1648070067946499E-2</v>
      </c>
      <c r="F850">
        <v>2.9046500000000002</v>
      </c>
      <c r="G850">
        <f>(Table211475[[#This Row],[time]]-2)*2</f>
        <v>1.8093000000000004</v>
      </c>
      <c r="H850">
        <v>93.050200000000004</v>
      </c>
      <c r="I850">
        <v>52.495800000000003</v>
      </c>
      <c r="J850">
        <f>Table211475[[#This Row],[CFNM]]/Table211475[[#This Row],[CAREA]]</f>
        <v>0.56416643919088838</v>
      </c>
      <c r="K850">
        <v>2.9046500000000002</v>
      </c>
      <c r="L850">
        <f>(Table312476[[#This Row],[time]]-2)*2</f>
        <v>1.8093000000000004</v>
      </c>
      <c r="M850">
        <v>54.433199999999999</v>
      </c>
      <c r="N850">
        <v>0.16062000000000001</v>
      </c>
      <c r="O850">
        <f>Table312476[[#This Row],[CFNM]]/Table312476[[#This Row],[CAREA]]</f>
        <v>2.9507726901964247E-3</v>
      </c>
      <c r="P850">
        <v>2.9046500000000002</v>
      </c>
      <c r="Q850">
        <f>(Table413477[[#This Row],[time]]-2)*2</f>
        <v>1.8093000000000004</v>
      </c>
      <c r="R850">
        <v>83.198899999999995</v>
      </c>
      <c r="S850">
        <v>57.3352</v>
      </c>
      <c r="T850">
        <f>Table413477[[#This Row],[CFNM]]/Table413477[[#This Row],[CAREA]]</f>
        <v>0.68913411114810419</v>
      </c>
      <c r="U850">
        <v>2.9046500000000002</v>
      </c>
      <c r="V850">
        <f>(Table514478[[#This Row],[time]]-2)*2</f>
        <v>1.8093000000000004</v>
      </c>
      <c r="W850">
        <v>61.9236</v>
      </c>
      <c r="X850">
        <v>2.5548799999999998E-3</v>
      </c>
      <c r="Y850">
        <f>Table514478[[#This Row],[CFNM]]/Table514478[[#This Row],[CAREA]]</f>
        <v>4.1258583157309975E-5</v>
      </c>
      <c r="Z850">
        <v>2.9046500000000002</v>
      </c>
      <c r="AA850">
        <f>(Table615479[[#This Row],[time]]-2)*2</f>
        <v>1.8093000000000004</v>
      </c>
      <c r="AB850">
        <v>95.782399999999996</v>
      </c>
      <c r="AC850">
        <v>73.602099999999993</v>
      </c>
      <c r="AD850">
        <f>Table615479[[#This Row],[CFNM]]/Table615479[[#This Row],[CAREA]]</f>
        <v>0.7684303170519845</v>
      </c>
      <c r="AE850">
        <v>2.9046500000000002</v>
      </c>
      <c r="AF850">
        <f>(Table716480[[#This Row],[time]]-2)*2</f>
        <v>1.8093000000000004</v>
      </c>
      <c r="AG850">
        <v>70.496399999999994</v>
      </c>
      <c r="AH850">
        <v>12.746499999999999</v>
      </c>
      <c r="AI850">
        <f>Table716480[[#This Row],[CFNM]]/Table716480[[#This Row],[CAREA]]</f>
        <v>0.18081065132403926</v>
      </c>
      <c r="AJ850">
        <v>2.9046500000000002</v>
      </c>
      <c r="AK850">
        <f>(Table817481[[#This Row],[time]]-2)*2</f>
        <v>1.8093000000000004</v>
      </c>
      <c r="AL850">
        <v>75.341700000000003</v>
      </c>
      <c r="AM850">
        <v>72.307299999999998</v>
      </c>
      <c r="AN850">
        <f>Table817481[[#This Row],[CFNM]]/Table817481[[#This Row],[CAREA]]</f>
        <v>0.9597248270214237</v>
      </c>
    </row>
    <row r="851" spans="1:40" x14ac:dyDescent="0.25">
      <c r="A851">
        <v>2.9658099999999998</v>
      </c>
      <c r="B851">
        <f>(Table110474[[#This Row],[time]]-2)*2</f>
        <v>1.9316199999999997</v>
      </c>
      <c r="C851">
        <v>55.930900000000001</v>
      </c>
      <c r="D851">
        <v>4.3320699999999999</v>
      </c>
      <c r="E851">
        <f>Table110474[[#This Row],[CFNM]]/Table110474[[#This Row],[CAREA]]</f>
        <v>7.7453965518166162E-2</v>
      </c>
      <c r="F851">
        <v>2.9658099999999998</v>
      </c>
      <c r="G851">
        <f>(Table211475[[#This Row],[time]]-2)*2</f>
        <v>1.9316199999999997</v>
      </c>
      <c r="H851">
        <v>91.801900000000003</v>
      </c>
      <c r="I851">
        <v>56.127200000000002</v>
      </c>
      <c r="J851">
        <f>Table211475[[#This Row],[CFNM]]/Table211475[[#This Row],[CAREA]]</f>
        <v>0.61139475326763393</v>
      </c>
      <c r="K851">
        <v>2.9658099999999998</v>
      </c>
      <c r="L851">
        <f>(Table312476[[#This Row],[time]]-2)*2</f>
        <v>1.9316199999999997</v>
      </c>
      <c r="M851">
        <v>51.938600000000001</v>
      </c>
      <c r="N851">
        <v>3.0314199999999999E-3</v>
      </c>
      <c r="O851">
        <f>Table312476[[#This Row],[CFNM]]/Table312476[[#This Row],[CAREA]]</f>
        <v>5.836545459446346E-5</v>
      </c>
      <c r="P851">
        <v>2.9658099999999998</v>
      </c>
      <c r="Q851">
        <f>(Table413477[[#This Row],[time]]-2)*2</f>
        <v>1.9316199999999997</v>
      </c>
      <c r="R851">
        <v>82.353399999999993</v>
      </c>
      <c r="S851">
        <v>61.301400000000001</v>
      </c>
      <c r="T851">
        <f>Table413477[[#This Row],[CFNM]]/Table413477[[#This Row],[CAREA]]</f>
        <v>0.74436999565288142</v>
      </c>
      <c r="U851">
        <v>2.9658099999999998</v>
      </c>
      <c r="V851">
        <f>(Table514478[[#This Row],[time]]-2)*2</f>
        <v>1.9316199999999997</v>
      </c>
      <c r="W851">
        <v>59.9709</v>
      </c>
      <c r="X851">
        <v>2.4012299999999999E-3</v>
      </c>
      <c r="Y851">
        <f>Table514478[[#This Row],[CFNM]]/Table514478[[#This Row],[CAREA]]</f>
        <v>4.003991936089003E-5</v>
      </c>
      <c r="Z851">
        <v>2.9658099999999998</v>
      </c>
      <c r="AA851">
        <f>(Table615479[[#This Row],[time]]-2)*2</f>
        <v>1.9316199999999997</v>
      </c>
      <c r="AB851">
        <v>95.481499999999997</v>
      </c>
      <c r="AC851">
        <v>77.583699999999993</v>
      </c>
      <c r="AD851">
        <f>Table615479[[#This Row],[CFNM]]/Table615479[[#This Row],[CAREA]]</f>
        <v>0.81255216979205391</v>
      </c>
      <c r="AE851">
        <v>2.9658099999999998</v>
      </c>
      <c r="AF851">
        <f>(Table716480[[#This Row],[time]]-2)*2</f>
        <v>1.9316199999999997</v>
      </c>
      <c r="AG851">
        <v>69.238200000000006</v>
      </c>
      <c r="AH851">
        <v>11.939399999999999</v>
      </c>
      <c r="AI851">
        <f>Table716480[[#This Row],[CFNM]]/Table716480[[#This Row],[CAREA]]</f>
        <v>0.17243949149457954</v>
      </c>
      <c r="AJ851">
        <v>2.9658099999999998</v>
      </c>
      <c r="AK851">
        <f>(Table817481[[#This Row],[time]]-2)*2</f>
        <v>1.9316199999999997</v>
      </c>
      <c r="AL851">
        <v>74.489599999999996</v>
      </c>
      <c r="AM851">
        <v>76.152699999999996</v>
      </c>
      <c r="AN851">
        <f>Table817481[[#This Row],[CFNM]]/Table817481[[#This Row],[CAREA]]</f>
        <v>1.0223266066672394</v>
      </c>
    </row>
    <row r="852" spans="1:40" x14ac:dyDescent="0.25">
      <c r="A852">
        <v>3</v>
      </c>
      <c r="B852">
        <f>(Table110474[[#This Row],[time]]-2)*2</f>
        <v>2</v>
      </c>
      <c r="C852">
        <v>55.536200000000001</v>
      </c>
      <c r="D852">
        <v>4.1967499999999998</v>
      </c>
      <c r="E852">
        <f>Table110474[[#This Row],[CFNM]]/Table110474[[#This Row],[CAREA]]</f>
        <v>7.5567827831216391E-2</v>
      </c>
      <c r="F852">
        <v>3</v>
      </c>
      <c r="G852">
        <f>(Table211475[[#This Row],[time]]-2)*2</f>
        <v>2</v>
      </c>
      <c r="H852">
        <v>91.112300000000005</v>
      </c>
      <c r="I852">
        <v>58.128700000000002</v>
      </c>
      <c r="J852">
        <f>Table211475[[#This Row],[CFNM]]/Table211475[[#This Row],[CAREA]]</f>
        <v>0.63798960184300035</v>
      </c>
      <c r="K852">
        <v>3</v>
      </c>
      <c r="L852">
        <f>(Table312476[[#This Row],[time]]-2)*2</f>
        <v>2</v>
      </c>
      <c r="M852">
        <v>50.362400000000001</v>
      </c>
      <c r="N852">
        <v>2.6269900000000001E-3</v>
      </c>
      <c r="O852">
        <f>Table312476[[#This Row],[CFNM]]/Table312476[[#This Row],[CAREA]]</f>
        <v>5.216173176814449E-5</v>
      </c>
      <c r="P852">
        <v>3</v>
      </c>
      <c r="Q852">
        <f>(Table413477[[#This Row],[time]]-2)*2</f>
        <v>2</v>
      </c>
      <c r="R852">
        <v>81.875600000000006</v>
      </c>
      <c r="S852">
        <v>63.483499999999999</v>
      </c>
      <c r="T852">
        <f>Table413477[[#This Row],[CFNM]]/Table413477[[#This Row],[CAREA]]</f>
        <v>0.7753653103000161</v>
      </c>
      <c r="U852">
        <v>3</v>
      </c>
      <c r="V852">
        <f>(Table514478[[#This Row],[time]]-2)*2</f>
        <v>2</v>
      </c>
      <c r="W852">
        <v>59.917900000000003</v>
      </c>
      <c r="X852">
        <v>2.3206300000000002E-3</v>
      </c>
      <c r="Y852">
        <f>Table514478[[#This Row],[CFNM]]/Table514478[[#This Row],[CAREA]]</f>
        <v>3.8730162438937278E-5</v>
      </c>
      <c r="Z852">
        <v>3</v>
      </c>
      <c r="AA852">
        <f>(Table615479[[#This Row],[time]]-2)*2</f>
        <v>2</v>
      </c>
      <c r="AB852">
        <v>95.256900000000002</v>
      </c>
      <c r="AC852">
        <v>79.790199999999999</v>
      </c>
      <c r="AD852">
        <f>Table615479[[#This Row],[CFNM]]/Table615479[[#This Row],[CAREA]]</f>
        <v>0.83763170961893574</v>
      </c>
      <c r="AE852">
        <v>3</v>
      </c>
      <c r="AF852">
        <f>(Table716480[[#This Row],[time]]-2)*2</f>
        <v>2</v>
      </c>
      <c r="AG852">
        <v>68.750699999999995</v>
      </c>
      <c r="AH852">
        <v>11.469799999999999</v>
      </c>
      <c r="AI852">
        <f>Table716480[[#This Row],[CFNM]]/Table716480[[#This Row],[CAREA]]</f>
        <v>0.16683175589484908</v>
      </c>
      <c r="AJ852">
        <v>3</v>
      </c>
      <c r="AK852">
        <f>(Table817481[[#This Row],[time]]-2)*2</f>
        <v>2</v>
      </c>
      <c r="AL852">
        <v>74.0501</v>
      </c>
      <c r="AM852">
        <v>78.259299999999996</v>
      </c>
      <c r="AN852">
        <f>Table817481[[#This Row],[CFNM]]/Table817481[[#This Row],[CAREA]]</f>
        <v>1.0568425971065534</v>
      </c>
    </row>
  </sheetData>
  <pageMargins left="0.7" right="0.7" top="0.75" bottom="0.75" header="0.3" footer="0.3"/>
  <tableParts count="24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Turner</dc:creator>
  <cp:lastModifiedBy>Turner, Sophie</cp:lastModifiedBy>
  <dcterms:created xsi:type="dcterms:W3CDTF">2021-06-10T20:16:38Z</dcterms:created>
  <dcterms:modified xsi:type="dcterms:W3CDTF">2021-06-10T22:18:15Z</dcterms:modified>
</cp:coreProperties>
</file>