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tables/table83.xml" ContentType="application/vnd.openxmlformats-officedocument.spreadsheetml.table+xml"/>
  <Override PartName="/xl/tables/table84.xml" ContentType="application/vnd.openxmlformats-officedocument.spreadsheetml.table+xml"/>
  <Override PartName="/xl/tables/table85.xml" ContentType="application/vnd.openxmlformats-officedocument.spreadsheetml.table+xml"/>
  <Override PartName="/xl/tables/table86.xml" ContentType="application/vnd.openxmlformats-officedocument.spreadsheetml.table+xml"/>
  <Override PartName="/xl/tables/table87.xml" ContentType="application/vnd.openxmlformats-officedocument.spreadsheetml.table+xml"/>
  <Override PartName="/xl/tables/table88.xml" ContentType="application/vnd.openxmlformats-officedocument.spreadsheetml.table+xml"/>
  <Override PartName="/xl/tables/table89.xml" ContentType="application/vnd.openxmlformats-officedocument.spreadsheetml.table+xml"/>
  <Override PartName="/xl/tables/table90.xml" ContentType="application/vnd.openxmlformats-officedocument.spreadsheetml.table+xml"/>
  <Override PartName="/xl/tables/table91.xml" ContentType="application/vnd.openxmlformats-officedocument.spreadsheetml.table+xml"/>
  <Override PartName="/xl/tables/table92.xml" ContentType="application/vnd.openxmlformats-officedocument.spreadsheetml.table+xml"/>
  <Override PartName="/xl/tables/table93.xml" ContentType="application/vnd.openxmlformats-officedocument.spreadsheetml.table+xml"/>
  <Override PartName="/xl/tables/table94.xml" ContentType="application/vnd.openxmlformats-officedocument.spreadsheetml.table+xml"/>
  <Override PartName="/xl/tables/table95.xml" ContentType="application/vnd.openxmlformats-officedocument.spreadsheetml.table+xml"/>
  <Override PartName="/xl/tables/table96.xml" ContentType="application/vnd.openxmlformats-officedocument.spreadsheetml.table+xml"/>
  <Override PartName="/xl/tables/table97.xml" ContentType="application/vnd.openxmlformats-officedocument.spreadsheetml.table+xml"/>
  <Override PartName="/xl/tables/table98.xml" ContentType="application/vnd.openxmlformats-officedocument.spreadsheetml.table+xml"/>
  <Override PartName="/xl/tables/table99.xml" ContentType="application/vnd.openxmlformats-officedocument.spreadsheetml.table+xml"/>
  <Override PartName="/xl/tables/table100.xml" ContentType="application/vnd.openxmlformats-officedocument.spreadsheetml.table+xml"/>
  <Override PartName="/xl/tables/table101.xml" ContentType="application/vnd.openxmlformats-officedocument.spreadsheetml.table+xml"/>
  <Override PartName="/xl/tables/table102.xml" ContentType="application/vnd.openxmlformats-officedocument.spreadsheetml.table+xml"/>
  <Override PartName="/xl/tables/table103.xml" ContentType="application/vnd.openxmlformats-officedocument.spreadsheetml.table+xml"/>
  <Override PartName="/xl/tables/table104.xml" ContentType="application/vnd.openxmlformats-officedocument.spreadsheetml.table+xml"/>
  <Override PartName="/xl/tables/table105.xml" ContentType="application/vnd.openxmlformats-officedocument.spreadsheetml.table+xml"/>
  <Override PartName="/xl/tables/table106.xml" ContentType="application/vnd.openxmlformats-officedocument.spreadsheetml.table+xml"/>
  <Override PartName="/xl/tables/table107.xml" ContentType="application/vnd.openxmlformats-officedocument.spreadsheetml.table+xml"/>
  <Override PartName="/xl/tables/table108.xml" ContentType="application/vnd.openxmlformats-officedocument.spreadsheetml.table+xml"/>
  <Override PartName="/xl/tables/table109.xml" ContentType="application/vnd.openxmlformats-officedocument.spreadsheetml.table+xml"/>
  <Override PartName="/xl/tables/table110.xml" ContentType="application/vnd.openxmlformats-officedocument.spreadsheetml.table+xml"/>
  <Override PartName="/xl/tables/table111.xml" ContentType="application/vnd.openxmlformats-officedocument.spreadsheetml.table+xml"/>
  <Override PartName="/xl/tables/table112.xml" ContentType="application/vnd.openxmlformats-officedocument.spreadsheetml.table+xml"/>
  <Override PartName="/xl/tables/table113.xml" ContentType="application/vnd.openxmlformats-officedocument.spreadsheetml.table+xml"/>
  <Override PartName="/xl/tables/table114.xml" ContentType="application/vnd.openxmlformats-officedocument.spreadsheetml.table+xml"/>
  <Override PartName="/xl/tables/table115.xml" ContentType="application/vnd.openxmlformats-officedocument.spreadsheetml.table+xml"/>
  <Override PartName="/xl/tables/table116.xml" ContentType="application/vnd.openxmlformats-officedocument.spreadsheetml.table+xml"/>
  <Override PartName="/xl/tables/table117.xml" ContentType="application/vnd.openxmlformats-officedocument.spreadsheetml.table+xml"/>
  <Override PartName="/xl/tables/table118.xml" ContentType="application/vnd.openxmlformats-officedocument.spreadsheetml.table+xml"/>
  <Override PartName="/xl/tables/table119.xml" ContentType="application/vnd.openxmlformats-officedocument.spreadsheetml.table+xml"/>
  <Override PartName="/xl/tables/table120.xml" ContentType="application/vnd.openxmlformats-officedocument.spreadsheetml.table+xml"/>
  <Override PartName="/xl/tables/table121.xml" ContentType="application/vnd.openxmlformats-officedocument.spreadsheetml.table+xml"/>
  <Override PartName="/xl/tables/table122.xml" ContentType="application/vnd.openxmlformats-officedocument.spreadsheetml.table+xml"/>
  <Override PartName="/xl/tables/table123.xml" ContentType="application/vnd.openxmlformats-officedocument.spreadsheetml.table+xml"/>
  <Override PartName="/xl/tables/table124.xml" ContentType="application/vnd.openxmlformats-officedocument.spreadsheetml.table+xml"/>
  <Override PartName="/xl/tables/table125.xml" ContentType="application/vnd.openxmlformats-officedocument.spreadsheetml.table+xml"/>
  <Override PartName="/xl/tables/table126.xml" ContentType="application/vnd.openxmlformats-officedocument.spreadsheetml.table+xml"/>
  <Override PartName="/xl/tables/table127.xml" ContentType="application/vnd.openxmlformats-officedocument.spreadsheetml.table+xml"/>
  <Override PartName="/xl/tables/table128.xml" ContentType="application/vnd.openxmlformats-officedocument.spreadsheetml.table+xml"/>
  <Override PartName="/xl/tables/table129.xml" ContentType="application/vnd.openxmlformats-officedocument.spreadsheetml.table+xml"/>
  <Override PartName="/xl/tables/table130.xml" ContentType="application/vnd.openxmlformats-officedocument.spreadsheetml.table+xml"/>
  <Override PartName="/xl/tables/table131.xml" ContentType="application/vnd.openxmlformats-officedocument.spreadsheetml.table+xml"/>
  <Override PartName="/xl/tables/table132.xml" ContentType="application/vnd.openxmlformats-officedocument.spreadsheetml.table+xml"/>
  <Override PartName="/xl/tables/table133.xml" ContentType="application/vnd.openxmlformats-officedocument.spreadsheetml.table+xml"/>
  <Override PartName="/xl/tables/table134.xml" ContentType="application/vnd.openxmlformats-officedocument.spreadsheetml.table+xml"/>
  <Override PartName="/xl/tables/table135.xml" ContentType="application/vnd.openxmlformats-officedocument.spreadsheetml.table+xml"/>
  <Override PartName="/xl/tables/table136.xml" ContentType="application/vnd.openxmlformats-officedocument.spreadsheetml.table+xml"/>
  <Override PartName="/xl/tables/table137.xml" ContentType="application/vnd.openxmlformats-officedocument.spreadsheetml.table+xml"/>
  <Override PartName="/xl/tables/table138.xml" ContentType="application/vnd.openxmlformats-officedocument.spreadsheetml.table+xml"/>
  <Override PartName="/xl/tables/table139.xml" ContentType="application/vnd.openxmlformats-officedocument.spreadsheetml.table+xml"/>
  <Override PartName="/xl/tables/table140.xml" ContentType="application/vnd.openxmlformats-officedocument.spreadsheetml.table+xml"/>
  <Override PartName="/xl/tables/table141.xml" ContentType="application/vnd.openxmlformats-officedocument.spreadsheetml.table+xml"/>
  <Override PartName="/xl/tables/table142.xml" ContentType="application/vnd.openxmlformats-officedocument.spreadsheetml.table+xml"/>
  <Override PartName="/xl/tables/table143.xml" ContentType="application/vnd.openxmlformats-officedocument.spreadsheetml.table+xml"/>
  <Override PartName="/xl/tables/table144.xml" ContentType="application/vnd.openxmlformats-officedocument.spreadsheetml.table+xml"/>
  <Override PartName="/xl/tables/table145.xml" ContentType="application/vnd.openxmlformats-officedocument.spreadsheetml.table+xml"/>
  <Override PartName="/xl/tables/table146.xml" ContentType="application/vnd.openxmlformats-officedocument.spreadsheetml.table+xml"/>
  <Override PartName="/xl/tables/table147.xml" ContentType="application/vnd.openxmlformats-officedocument.spreadsheetml.table+xml"/>
  <Override PartName="/xl/tables/table148.xml" ContentType="application/vnd.openxmlformats-officedocument.spreadsheetml.table+xml"/>
  <Override PartName="/xl/tables/table149.xml" ContentType="application/vnd.openxmlformats-officedocument.spreadsheetml.table+xml"/>
  <Override PartName="/xl/tables/table150.xml" ContentType="application/vnd.openxmlformats-officedocument.spreadsheetml.table+xml"/>
  <Override PartName="/xl/tables/table151.xml" ContentType="application/vnd.openxmlformats-officedocument.spreadsheetml.table+xml"/>
  <Override PartName="/xl/tables/table152.xml" ContentType="application/vnd.openxmlformats-officedocument.spreadsheetml.table+xml"/>
  <Override PartName="/xl/tables/table153.xml" ContentType="application/vnd.openxmlformats-officedocument.spreadsheetml.table+xml"/>
  <Override PartName="/xl/tables/table154.xml" ContentType="application/vnd.openxmlformats-officedocument.spreadsheetml.table+xml"/>
  <Override PartName="/xl/tables/table155.xml" ContentType="application/vnd.openxmlformats-officedocument.spreadsheetml.table+xml"/>
  <Override PartName="/xl/tables/table156.xml" ContentType="application/vnd.openxmlformats-officedocument.spreadsheetml.table+xml"/>
  <Override PartName="/xl/tables/table157.xml" ContentType="application/vnd.openxmlformats-officedocument.spreadsheetml.table+xml"/>
  <Override PartName="/xl/tables/table158.xml" ContentType="application/vnd.openxmlformats-officedocument.spreadsheetml.table+xml"/>
  <Override PartName="/xl/tables/table159.xml" ContentType="application/vnd.openxmlformats-officedocument.spreadsheetml.table+xml"/>
  <Override PartName="/xl/tables/table160.xml" ContentType="application/vnd.openxmlformats-officedocument.spreadsheetml.table+xml"/>
  <Override PartName="/xl/tables/table161.xml" ContentType="application/vnd.openxmlformats-officedocument.spreadsheetml.table+xml"/>
  <Override PartName="/xl/tables/table162.xml" ContentType="application/vnd.openxmlformats-officedocument.spreadsheetml.table+xml"/>
  <Override PartName="/xl/tables/table163.xml" ContentType="application/vnd.openxmlformats-officedocument.spreadsheetml.table+xml"/>
  <Override PartName="/xl/tables/table164.xml" ContentType="application/vnd.openxmlformats-officedocument.spreadsheetml.table+xml"/>
  <Override PartName="/xl/tables/table165.xml" ContentType="application/vnd.openxmlformats-officedocument.spreadsheetml.table+xml"/>
  <Override PartName="/xl/tables/table166.xml" ContentType="application/vnd.openxmlformats-officedocument.spreadsheetml.table+xml"/>
  <Override PartName="/xl/tables/table167.xml" ContentType="application/vnd.openxmlformats-officedocument.spreadsheetml.table+xml"/>
  <Override PartName="/xl/tables/table168.xml" ContentType="application/vnd.openxmlformats-officedocument.spreadsheetml.table+xml"/>
  <Override PartName="/xl/tables/table169.xml" ContentType="application/vnd.openxmlformats-officedocument.spreadsheetml.table+xml"/>
  <Override PartName="/xl/tables/table170.xml" ContentType="application/vnd.openxmlformats-officedocument.spreadsheetml.table+xml"/>
  <Override PartName="/xl/tables/table171.xml" ContentType="application/vnd.openxmlformats-officedocument.spreadsheetml.table+xml"/>
  <Override PartName="/xl/tables/table172.xml" ContentType="application/vnd.openxmlformats-officedocument.spreadsheetml.table+xml"/>
  <Override PartName="/xl/tables/table173.xml" ContentType="application/vnd.openxmlformats-officedocument.spreadsheetml.table+xml"/>
  <Override PartName="/xl/tables/table174.xml" ContentType="application/vnd.openxmlformats-officedocument.spreadsheetml.table+xml"/>
  <Override PartName="/xl/tables/table175.xml" ContentType="application/vnd.openxmlformats-officedocument.spreadsheetml.table+xml"/>
  <Override PartName="/xl/tables/table176.xml" ContentType="application/vnd.openxmlformats-officedocument.spreadsheetml.table+xml"/>
  <Override PartName="/xl/tables/table177.xml" ContentType="application/vnd.openxmlformats-officedocument.spreadsheetml.table+xml"/>
  <Override PartName="/xl/tables/table178.xml" ContentType="application/vnd.openxmlformats-officedocument.spreadsheetml.table+xml"/>
  <Override PartName="/xl/tables/table179.xml" ContentType="application/vnd.openxmlformats-officedocument.spreadsheetml.table+xml"/>
  <Override PartName="/xl/tables/table180.xml" ContentType="application/vnd.openxmlformats-officedocument.spreadsheetml.table+xml"/>
  <Override PartName="/xl/tables/table181.xml" ContentType="application/vnd.openxmlformats-officedocument.spreadsheetml.table+xml"/>
  <Override PartName="/xl/tables/table182.xml" ContentType="application/vnd.openxmlformats-officedocument.spreadsheetml.table+xml"/>
  <Override PartName="/xl/tables/table183.xml" ContentType="application/vnd.openxmlformats-officedocument.spreadsheetml.table+xml"/>
  <Override PartName="/xl/tables/table184.xml" ContentType="application/vnd.openxmlformats-officedocument.spreadsheetml.table+xml"/>
  <Override PartName="/xl/tables/table185.xml" ContentType="application/vnd.openxmlformats-officedocument.spreadsheetml.table+xml"/>
  <Override PartName="/xl/tables/table186.xml" ContentType="application/vnd.openxmlformats-officedocument.spreadsheetml.table+xml"/>
  <Override PartName="/xl/tables/table187.xml" ContentType="application/vnd.openxmlformats-officedocument.spreadsheetml.table+xml"/>
  <Override PartName="/xl/tables/table188.xml" ContentType="application/vnd.openxmlformats-officedocument.spreadsheetml.table+xml"/>
  <Override PartName="/xl/tables/table189.xml" ContentType="application/vnd.openxmlformats-officedocument.spreadsheetml.table+xml"/>
  <Override PartName="/xl/tables/table190.xml" ContentType="application/vnd.openxmlformats-officedocument.spreadsheetml.table+xml"/>
  <Override PartName="/xl/tables/table191.xml" ContentType="application/vnd.openxmlformats-officedocument.spreadsheetml.table+xml"/>
  <Override PartName="/xl/tables/table192.xml" ContentType="application/vnd.openxmlformats-officedocument.spreadsheetml.table+xml"/>
  <Override PartName="/xl/tables/table193.xml" ContentType="application/vnd.openxmlformats-officedocument.spreadsheetml.table+xml"/>
  <Override PartName="/xl/tables/table194.xml" ContentType="application/vnd.openxmlformats-officedocument.spreadsheetml.table+xml"/>
  <Override PartName="/xl/tables/table195.xml" ContentType="application/vnd.openxmlformats-officedocument.spreadsheetml.table+xml"/>
  <Override PartName="/xl/tables/table196.xml" ContentType="application/vnd.openxmlformats-officedocument.spreadsheetml.table+xml"/>
  <Override PartName="/xl/tables/table197.xml" ContentType="application/vnd.openxmlformats-officedocument.spreadsheetml.table+xml"/>
  <Override PartName="/xl/tables/table198.xml" ContentType="application/vnd.openxmlformats-officedocument.spreadsheetml.table+xml"/>
  <Override PartName="/xl/tables/table199.xml" ContentType="application/vnd.openxmlformats-officedocument.spreadsheetml.table+xml"/>
  <Override PartName="/xl/tables/table200.xml" ContentType="application/vnd.openxmlformats-officedocument.spreadsheetml.table+xml"/>
  <Override PartName="/xl/tables/table201.xml" ContentType="application/vnd.openxmlformats-officedocument.spreadsheetml.table+xml"/>
  <Override PartName="/xl/tables/table202.xml" ContentType="application/vnd.openxmlformats-officedocument.spreadsheetml.table+xml"/>
  <Override PartName="/xl/tables/table203.xml" ContentType="application/vnd.openxmlformats-officedocument.spreadsheetml.table+xml"/>
  <Override PartName="/xl/tables/table204.xml" ContentType="application/vnd.openxmlformats-officedocument.spreadsheetml.table+xml"/>
  <Override PartName="/xl/tables/table205.xml" ContentType="application/vnd.openxmlformats-officedocument.spreadsheetml.table+xml"/>
  <Override PartName="/xl/tables/table206.xml" ContentType="application/vnd.openxmlformats-officedocument.spreadsheetml.table+xml"/>
  <Override PartName="/xl/tables/table207.xml" ContentType="application/vnd.openxmlformats-officedocument.spreadsheetml.table+xml"/>
  <Override PartName="/xl/tables/table208.xml" ContentType="application/vnd.openxmlformats-officedocument.spreadsheetml.table+xml"/>
  <Override PartName="/xl/tables/table209.xml" ContentType="application/vnd.openxmlformats-officedocument.spreadsheetml.table+xml"/>
  <Override PartName="/xl/tables/table210.xml" ContentType="application/vnd.openxmlformats-officedocument.spreadsheetml.table+xml"/>
  <Override PartName="/xl/tables/table211.xml" ContentType="application/vnd.openxmlformats-officedocument.spreadsheetml.table+xml"/>
  <Override PartName="/xl/tables/table212.xml" ContentType="application/vnd.openxmlformats-officedocument.spreadsheetml.table+xml"/>
  <Override PartName="/xl/tables/table213.xml" ContentType="application/vnd.openxmlformats-officedocument.spreadsheetml.table+xml"/>
  <Override PartName="/xl/tables/table214.xml" ContentType="application/vnd.openxmlformats-officedocument.spreadsheetml.table+xml"/>
  <Override PartName="/xl/tables/table215.xml" ContentType="application/vnd.openxmlformats-officedocument.spreadsheetml.table+xml"/>
  <Override PartName="/xl/tables/table216.xml" ContentType="application/vnd.openxmlformats-officedocument.spreadsheetml.table+xml"/>
  <Override PartName="/xl/tables/table217.xml" ContentType="application/vnd.openxmlformats-officedocument.spreadsheetml.table+xml"/>
  <Override PartName="/xl/tables/table218.xml" ContentType="application/vnd.openxmlformats-officedocument.spreadsheetml.table+xml"/>
  <Override PartName="/xl/tables/table219.xml" ContentType="application/vnd.openxmlformats-officedocument.spreadsheetml.table+xml"/>
  <Override PartName="/xl/tables/table220.xml" ContentType="application/vnd.openxmlformats-officedocument.spreadsheetml.table+xml"/>
  <Override PartName="/xl/tables/table221.xml" ContentType="application/vnd.openxmlformats-officedocument.spreadsheetml.table+xml"/>
  <Override PartName="/xl/tables/table222.xml" ContentType="application/vnd.openxmlformats-officedocument.spreadsheetml.table+xml"/>
  <Override PartName="/xl/tables/table223.xml" ContentType="application/vnd.openxmlformats-officedocument.spreadsheetml.table+xml"/>
  <Override PartName="/xl/tables/table224.xml" ContentType="application/vnd.openxmlformats-officedocument.spreadsheetml.table+xml"/>
  <Override PartName="/xl/tables/table225.xml" ContentType="application/vnd.openxmlformats-officedocument.spreadsheetml.table+xml"/>
  <Override PartName="/xl/tables/table226.xml" ContentType="application/vnd.openxmlformats-officedocument.spreadsheetml.table+xml"/>
  <Override PartName="/xl/tables/table227.xml" ContentType="application/vnd.openxmlformats-officedocument.spreadsheetml.table+xml"/>
  <Override PartName="/xl/tables/table228.xml" ContentType="application/vnd.openxmlformats-officedocument.spreadsheetml.table+xml"/>
  <Override PartName="/xl/tables/table229.xml" ContentType="application/vnd.openxmlformats-officedocument.spreadsheetml.table+xml"/>
  <Override PartName="/xl/tables/table230.xml" ContentType="application/vnd.openxmlformats-officedocument.spreadsheetml.table+xml"/>
  <Override PartName="/xl/tables/table231.xml" ContentType="application/vnd.openxmlformats-officedocument.spreadsheetml.table+xml"/>
  <Override PartName="/xl/tables/table232.xml" ContentType="application/vnd.openxmlformats-officedocument.spreadsheetml.table+xml"/>
  <Override PartName="/xl/tables/table233.xml" ContentType="application/vnd.openxmlformats-officedocument.spreadsheetml.table+xml"/>
  <Override PartName="/xl/tables/table234.xml" ContentType="application/vnd.openxmlformats-officedocument.spreadsheetml.table+xml"/>
  <Override PartName="/xl/tables/table235.xml" ContentType="application/vnd.openxmlformats-officedocument.spreadsheetml.table+xml"/>
  <Override PartName="/xl/tables/table236.xml" ContentType="application/vnd.openxmlformats-officedocument.spreadsheetml.table+xml"/>
  <Override PartName="/xl/tables/table237.xml" ContentType="application/vnd.openxmlformats-officedocument.spreadsheetml.table+xml"/>
  <Override PartName="/xl/tables/table238.xml" ContentType="application/vnd.openxmlformats-officedocument.spreadsheetml.table+xml"/>
  <Override PartName="/xl/tables/table239.xml" ContentType="application/vnd.openxmlformats-officedocument.spreadsheetml.table+xml"/>
  <Override PartName="/xl/tables/table24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jturner\OneDrive - Fort Lewis College\Disc\FCMS results\6NP_CMS\"/>
    </mc:Choice>
  </mc:AlternateContent>
  <xr:revisionPtr revIDLastSave="17" documentId="8_{53D4E084-6148-4700-860D-58180F2024F2}" xr6:coauthVersionLast="45" xr6:coauthVersionMax="47" xr10:uidLastSave="{5E8E46CB-533D-4590-AB2C-3B104110B0B3}"/>
  <bookViews>
    <workbookView xWindow="8535" yWindow="4635" windowWidth="21600" windowHeight="11385" xr2:uid="{42BB9406-D4F4-4AFD-8A31-9A6A195E7CB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N852" i="1" l="1"/>
  <c r="AK852" i="1"/>
  <c r="AI852" i="1"/>
  <c r="AF852" i="1"/>
  <c r="AD852" i="1"/>
  <c r="AA852" i="1"/>
  <c r="Y852" i="1"/>
  <c r="V852" i="1"/>
  <c r="T852" i="1"/>
  <c r="Q852" i="1"/>
  <c r="O852" i="1"/>
  <c r="L852" i="1"/>
  <c r="J852" i="1"/>
  <c r="G852" i="1"/>
  <c r="E852" i="1"/>
  <c r="B852" i="1"/>
  <c r="AN851" i="1"/>
  <c r="AK851" i="1"/>
  <c r="AI851" i="1"/>
  <c r="AF851" i="1"/>
  <c r="AD851" i="1"/>
  <c r="AA851" i="1"/>
  <c r="Y851" i="1"/>
  <c r="V851" i="1"/>
  <c r="T851" i="1"/>
  <c r="Q851" i="1"/>
  <c r="O851" i="1"/>
  <c r="L851" i="1"/>
  <c r="J851" i="1"/>
  <c r="G851" i="1"/>
  <c r="E851" i="1"/>
  <c r="B851" i="1"/>
  <c r="AN850" i="1"/>
  <c r="AK850" i="1"/>
  <c r="AI850" i="1"/>
  <c r="AF850" i="1"/>
  <c r="AD850" i="1"/>
  <c r="AA850" i="1"/>
  <c r="Y850" i="1"/>
  <c r="V850" i="1"/>
  <c r="T850" i="1"/>
  <c r="Q850" i="1"/>
  <c r="O850" i="1"/>
  <c r="L850" i="1"/>
  <c r="J850" i="1"/>
  <c r="G850" i="1"/>
  <c r="E850" i="1"/>
  <c r="B850" i="1"/>
  <c r="AN849" i="1"/>
  <c r="AK849" i="1"/>
  <c r="AI849" i="1"/>
  <c r="AF849" i="1"/>
  <c r="AD849" i="1"/>
  <c r="AA849" i="1"/>
  <c r="Y849" i="1"/>
  <c r="V849" i="1"/>
  <c r="T849" i="1"/>
  <c r="Q849" i="1"/>
  <c r="O849" i="1"/>
  <c r="L849" i="1"/>
  <c r="J849" i="1"/>
  <c r="G849" i="1"/>
  <c r="E849" i="1"/>
  <c r="B849" i="1"/>
  <c r="AN848" i="1"/>
  <c r="AK848" i="1"/>
  <c r="AI848" i="1"/>
  <c r="AF848" i="1"/>
  <c r="AD848" i="1"/>
  <c r="AA848" i="1"/>
  <c r="Y848" i="1"/>
  <c r="V848" i="1"/>
  <c r="T848" i="1"/>
  <c r="Q848" i="1"/>
  <c r="O848" i="1"/>
  <c r="L848" i="1"/>
  <c r="J848" i="1"/>
  <c r="G848" i="1"/>
  <c r="E848" i="1"/>
  <c r="B848" i="1"/>
  <c r="AN847" i="1"/>
  <c r="AK847" i="1"/>
  <c r="AI847" i="1"/>
  <c r="AF847" i="1"/>
  <c r="AD847" i="1"/>
  <c r="AA847" i="1"/>
  <c r="Y847" i="1"/>
  <c r="V847" i="1"/>
  <c r="T847" i="1"/>
  <c r="Q847" i="1"/>
  <c r="O847" i="1"/>
  <c r="L847" i="1"/>
  <c r="J847" i="1"/>
  <c r="G847" i="1"/>
  <c r="E847" i="1"/>
  <c r="B847" i="1"/>
  <c r="AN846" i="1"/>
  <c r="AK846" i="1"/>
  <c r="AI846" i="1"/>
  <c r="AF846" i="1"/>
  <c r="AD846" i="1"/>
  <c r="AA846" i="1"/>
  <c r="Y846" i="1"/>
  <c r="V846" i="1"/>
  <c r="T846" i="1"/>
  <c r="Q846" i="1"/>
  <c r="O846" i="1"/>
  <c r="L846" i="1"/>
  <c r="J846" i="1"/>
  <c r="G846" i="1"/>
  <c r="E846" i="1"/>
  <c r="B846" i="1"/>
  <c r="AN845" i="1"/>
  <c r="AK845" i="1"/>
  <c r="AI845" i="1"/>
  <c r="AF845" i="1"/>
  <c r="AD845" i="1"/>
  <c r="AA845" i="1"/>
  <c r="Y845" i="1"/>
  <c r="V845" i="1"/>
  <c r="T845" i="1"/>
  <c r="Q845" i="1"/>
  <c r="O845" i="1"/>
  <c r="L845" i="1"/>
  <c r="J845" i="1"/>
  <c r="G845" i="1"/>
  <c r="E845" i="1"/>
  <c r="B845" i="1"/>
  <c r="AN844" i="1"/>
  <c r="AK844" i="1"/>
  <c r="AI844" i="1"/>
  <c r="AF844" i="1"/>
  <c r="AD844" i="1"/>
  <c r="AA844" i="1"/>
  <c r="Y844" i="1"/>
  <c r="V844" i="1"/>
  <c r="T844" i="1"/>
  <c r="Q844" i="1"/>
  <c r="O844" i="1"/>
  <c r="L844" i="1"/>
  <c r="J844" i="1"/>
  <c r="G844" i="1"/>
  <c r="E844" i="1"/>
  <c r="B844" i="1"/>
  <c r="AN843" i="1"/>
  <c r="AK843" i="1"/>
  <c r="AI843" i="1"/>
  <c r="AF843" i="1"/>
  <c r="AD843" i="1"/>
  <c r="AA843" i="1"/>
  <c r="Y843" i="1"/>
  <c r="V843" i="1"/>
  <c r="T843" i="1"/>
  <c r="Q843" i="1"/>
  <c r="O843" i="1"/>
  <c r="L843" i="1"/>
  <c r="J843" i="1"/>
  <c r="G843" i="1"/>
  <c r="E843" i="1"/>
  <c r="B843" i="1"/>
  <c r="AN842" i="1"/>
  <c r="AK842" i="1"/>
  <c r="AI842" i="1"/>
  <c r="AF842" i="1"/>
  <c r="AD842" i="1"/>
  <c r="AA842" i="1"/>
  <c r="Y842" i="1"/>
  <c r="V842" i="1"/>
  <c r="T842" i="1"/>
  <c r="Q842" i="1"/>
  <c r="O842" i="1"/>
  <c r="L842" i="1"/>
  <c r="J842" i="1"/>
  <c r="G842" i="1"/>
  <c r="E842" i="1"/>
  <c r="B842" i="1"/>
  <c r="AN841" i="1"/>
  <c r="AK841" i="1"/>
  <c r="AI841" i="1"/>
  <c r="AF841" i="1"/>
  <c r="AD841" i="1"/>
  <c r="AA841" i="1"/>
  <c r="Y841" i="1"/>
  <c r="V841" i="1"/>
  <c r="T841" i="1"/>
  <c r="Q841" i="1"/>
  <c r="O841" i="1"/>
  <c r="L841" i="1"/>
  <c r="J841" i="1"/>
  <c r="G841" i="1"/>
  <c r="E841" i="1"/>
  <c r="B841" i="1"/>
  <c r="AN840" i="1"/>
  <c r="AK840" i="1"/>
  <c r="AI840" i="1"/>
  <c r="AF840" i="1"/>
  <c r="AD840" i="1"/>
  <c r="AA840" i="1"/>
  <c r="Y840" i="1"/>
  <c r="V840" i="1"/>
  <c r="T840" i="1"/>
  <c r="Q840" i="1"/>
  <c r="O840" i="1"/>
  <c r="L840" i="1"/>
  <c r="J840" i="1"/>
  <c r="G840" i="1"/>
  <c r="E840" i="1"/>
  <c r="B840" i="1"/>
  <c r="AN839" i="1"/>
  <c r="AK839" i="1"/>
  <c r="AI839" i="1"/>
  <c r="AF839" i="1"/>
  <c r="AD839" i="1"/>
  <c r="AA839" i="1"/>
  <c r="Y839" i="1"/>
  <c r="V839" i="1"/>
  <c r="T839" i="1"/>
  <c r="Q839" i="1"/>
  <c r="O839" i="1"/>
  <c r="L839" i="1"/>
  <c r="J839" i="1"/>
  <c r="G839" i="1"/>
  <c r="E839" i="1"/>
  <c r="B839" i="1"/>
  <c r="AN838" i="1"/>
  <c r="AK838" i="1"/>
  <c r="AI838" i="1"/>
  <c r="AF838" i="1"/>
  <c r="AD838" i="1"/>
  <c r="AA838" i="1"/>
  <c r="Y838" i="1"/>
  <c r="V838" i="1"/>
  <c r="T838" i="1"/>
  <c r="Q838" i="1"/>
  <c r="O838" i="1"/>
  <c r="L838" i="1"/>
  <c r="J838" i="1"/>
  <c r="G838" i="1"/>
  <c r="E838" i="1"/>
  <c r="B838" i="1"/>
  <c r="AN837" i="1"/>
  <c r="AK837" i="1"/>
  <c r="AI837" i="1"/>
  <c r="AF837" i="1"/>
  <c r="AD837" i="1"/>
  <c r="AA837" i="1"/>
  <c r="Y837" i="1"/>
  <c r="V837" i="1"/>
  <c r="T837" i="1"/>
  <c r="Q837" i="1"/>
  <c r="O837" i="1"/>
  <c r="L837" i="1"/>
  <c r="J837" i="1"/>
  <c r="G837" i="1"/>
  <c r="E837" i="1"/>
  <c r="B837" i="1"/>
  <c r="AN836" i="1"/>
  <c r="AK836" i="1"/>
  <c r="AI836" i="1"/>
  <c r="AF836" i="1"/>
  <c r="AD836" i="1"/>
  <c r="AA836" i="1"/>
  <c r="Y836" i="1"/>
  <c r="V836" i="1"/>
  <c r="T836" i="1"/>
  <c r="Q836" i="1"/>
  <c r="O836" i="1"/>
  <c r="L836" i="1"/>
  <c r="J836" i="1"/>
  <c r="G836" i="1"/>
  <c r="E836" i="1"/>
  <c r="B836" i="1"/>
  <c r="AN835" i="1"/>
  <c r="AK835" i="1"/>
  <c r="AI835" i="1"/>
  <c r="AF835" i="1"/>
  <c r="AD835" i="1"/>
  <c r="AA835" i="1"/>
  <c r="Y835" i="1"/>
  <c r="V835" i="1"/>
  <c r="T835" i="1"/>
  <c r="Q835" i="1"/>
  <c r="O835" i="1"/>
  <c r="L835" i="1"/>
  <c r="J835" i="1"/>
  <c r="G835" i="1"/>
  <c r="E835" i="1"/>
  <c r="B835" i="1"/>
  <c r="AN834" i="1"/>
  <c r="AK834" i="1"/>
  <c r="AI834" i="1"/>
  <c r="AF834" i="1"/>
  <c r="AD834" i="1"/>
  <c r="AA834" i="1"/>
  <c r="Y834" i="1"/>
  <c r="V834" i="1"/>
  <c r="T834" i="1"/>
  <c r="Q834" i="1"/>
  <c r="O834" i="1"/>
  <c r="L834" i="1"/>
  <c r="J834" i="1"/>
  <c r="G834" i="1"/>
  <c r="E834" i="1"/>
  <c r="B834" i="1"/>
  <c r="AN833" i="1"/>
  <c r="AK833" i="1"/>
  <c r="AI833" i="1"/>
  <c r="AF833" i="1"/>
  <c r="AD833" i="1"/>
  <c r="AA833" i="1"/>
  <c r="Y833" i="1"/>
  <c r="V833" i="1"/>
  <c r="T833" i="1"/>
  <c r="Q833" i="1"/>
  <c r="O833" i="1"/>
  <c r="L833" i="1"/>
  <c r="J833" i="1"/>
  <c r="G833" i="1"/>
  <c r="E833" i="1"/>
  <c r="B833" i="1"/>
  <c r="AN832" i="1"/>
  <c r="AK832" i="1"/>
  <c r="AI832" i="1"/>
  <c r="AF832" i="1"/>
  <c r="AD832" i="1"/>
  <c r="AA832" i="1"/>
  <c r="Y832" i="1"/>
  <c r="V832" i="1"/>
  <c r="T832" i="1"/>
  <c r="Q832" i="1"/>
  <c r="O832" i="1"/>
  <c r="L832" i="1"/>
  <c r="J832" i="1"/>
  <c r="G832" i="1"/>
  <c r="E832" i="1"/>
  <c r="B832" i="1"/>
  <c r="AN825" i="1"/>
  <c r="AK825" i="1"/>
  <c r="AI825" i="1"/>
  <c r="AF825" i="1"/>
  <c r="AD825" i="1"/>
  <c r="AA825" i="1"/>
  <c r="Y825" i="1"/>
  <c r="V825" i="1"/>
  <c r="T825" i="1"/>
  <c r="Q825" i="1"/>
  <c r="O825" i="1"/>
  <c r="L825" i="1"/>
  <c r="J825" i="1"/>
  <c r="G825" i="1"/>
  <c r="E825" i="1"/>
  <c r="B825" i="1"/>
  <c r="AN824" i="1"/>
  <c r="AK824" i="1"/>
  <c r="AI824" i="1"/>
  <c r="AF824" i="1"/>
  <c r="AD824" i="1"/>
  <c r="AA824" i="1"/>
  <c r="Y824" i="1"/>
  <c r="V824" i="1"/>
  <c r="T824" i="1"/>
  <c r="Q824" i="1"/>
  <c r="O824" i="1"/>
  <c r="L824" i="1"/>
  <c r="J824" i="1"/>
  <c r="G824" i="1"/>
  <c r="E824" i="1"/>
  <c r="B824" i="1"/>
  <c r="AN823" i="1"/>
  <c r="AK823" i="1"/>
  <c r="AI823" i="1"/>
  <c r="AF823" i="1"/>
  <c r="AD823" i="1"/>
  <c r="AA823" i="1"/>
  <c r="Y823" i="1"/>
  <c r="V823" i="1"/>
  <c r="T823" i="1"/>
  <c r="Q823" i="1"/>
  <c r="O823" i="1"/>
  <c r="L823" i="1"/>
  <c r="J823" i="1"/>
  <c r="G823" i="1"/>
  <c r="E823" i="1"/>
  <c r="B823" i="1"/>
  <c r="AN822" i="1"/>
  <c r="AK822" i="1"/>
  <c r="AI822" i="1"/>
  <c r="AF822" i="1"/>
  <c r="AD822" i="1"/>
  <c r="AA822" i="1"/>
  <c r="Y822" i="1"/>
  <c r="V822" i="1"/>
  <c r="T822" i="1"/>
  <c r="Q822" i="1"/>
  <c r="O822" i="1"/>
  <c r="L822" i="1"/>
  <c r="J822" i="1"/>
  <c r="G822" i="1"/>
  <c r="E822" i="1"/>
  <c r="B822" i="1"/>
  <c r="AN821" i="1"/>
  <c r="AK821" i="1"/>
  <c r="AI821" i="1"/>
  <c r="AF821" i="1"/>
  <c r="AD821" i="1"/>
  <c r="AA821" i="1"/>
  <c r="Y821" i="1"/>
  <c r="V821" i="1"/>
  <c r="T821" i="1"/>
  <c r="Q821" i="1"/>
  <c r="O821" i="1"/>
  <c r="L821" i="1"/>
  <c r="J821" i="1"/>
  <c r="G821" i="1"/>
  <c r="E821" i="1"/>
  <c r="B821" i="1"/>
  <c r="AN820" i="1"/>
  <c r="AK820" i="1"/>
  <c r="AI820" i="1"/>
  <c r="AF820" i="1"/>
  <c r="AD820" i="1"/>
  <c r="AA820" i="1"/>
  <c r="Y820" i="1"/>
  <c r="V820" i="1"/>
  <c r="T820" i="1"/>
  <c r="Q820" i="1"/>
  <c r="O820" i="1"/>
  <c r="L820" i="1"/>
  <c r="J820" i="1"/>
  <c r="G820" i="1"/>
  <c r="E820" i="1"/>
  <c r="B820" i="1"/>
  <c r="AN819" i="1"/>
  <c r="AK819" i="1"/>
  <c r="AI819" i="1"/>
  <c r="AF819" i="1"/>
  <c r="AD819" i="1"/>
  <c r="AA819" i="1"/>
  <c r="Y819" i="1"/>
  <c r="V819" i="1"/>
  <c r="T819" i="1"/>
  <c r="Q819" i="1"/>
  <c r="O819" i="1"/>
  <c r="L819" i="1"/>
  <c r="J819" i="1"/>
  <c r="G819" i="1"/>
  <c r="E819" i="1"/>
  <c r="B819" i="1"/>
  <c r="AN818" i="1"/>
  <c r="AK818" i="1"/>
  <c r="AI818" i="1"/>
  <c r="AF818" i="1"/>
  <c r="AD818" i="1"/>
  <c r="AA818" i="1"/>
  <c r="Y818" i="1"/>
  <c r="V818" i="1"/>
  <c r="T818" i="1"/>
  <c r="Q818" i="1"/>
  <c r="O818" i="1"/>
  <c r="L818" i="1"/>
  <c r="J818" i="1"/>
  <c r="G818" i="1"/>
  <c r="E818" i="1"/>
  <c r="B818" i="1"/>
  <c r="AN817" i="1"/>
  <c r="AK817" i="1"/>
  <c r="AI817" i="1"/>
  <c r="AF817" i="1"/>
  <c r="AD817" i="1"/>
  <c r="AA817" i="1"/>
  <c r="Y817" i="1"/>
  <c r="V817" i="1"/>
  <c r="T817" i="1"/>
  <c r="Q817" i="1"/>
  <c r="O817" i="1"/>
  <c r="L817" i="1"/>
  <c r="J817" i="1"/>
  <c r="G817" i="1"/>
  <c r="E817" i="1"/>
  <c r="B817" i="1"/>
  <c r="AN816" i="1"/>
  <c r="AK816" i="1"/>
  <c r="AI816" i="1"/>
  <c r="AF816" i="1"/>
  <c r="AD816" i="1"/>
  <c r="AA816" i="1"/>
  <c r="Y816" i="1"/>
  <c r="V816" i="1"/>
  <c r="T816" i="1"/>
  <c r="Q816" i="1"/>
  <c r="O816" i="1"/>
  <c r="L816" i="1"/>
  <c r="J816" i="1"/>
  <c r="G816" i="1"/>
  <c r="E816" i="1"/>
  <c r="B816" i="1"/>
  <c r="AN815" i="1"/>
  <c r="AK815" i="1"/>
  <c r="AI815" i="1"/>
  <c r="AF815" i="1"/>
  <c r="AD815" i="1"/>
  <c r="AA815" i="1"/>
  <c r="Y815" i="1"/>
  <c r="V815" i="1"/>
  <c r="T815" i="1"/>
  <c r="Q815" i="1"/>
  <c r="O815" i="1"/>
  <c r="L815" i="1"/>
  <c r="J815" i="1"/>
  <c r="G815" i="1"/>
  <c r="E815" i="1"/>
  <c r="B815" i="1"/>
  <c r="AN814" i="1"/>
  <c r="AK814" i="1"/>
  <c r="AI814" i="1"/>
  <c r="AF814" i="1"/>
  <c r="AD814" i="1"/>
  <c r="AA814" i="1"/>
  <c r="Y814" i="1"/>
  <c r="V814" i="1"/>
  <c r="T814" i="1"/>
  <c r="Q814" i="1"/>
  <c r="O814" i="1"/>
  <c r="L814" i="1"/>
  <c r="J814" i="1"/>
  <c r="G814" i="1"/>
  <c r="E814" i="1"/>
  <c r="B814" i="1"/>
  <c r="AN813" i="1"/>
  <c r="AK813" i="1"/>
  <c r="AI813" i="1"/>
  <c r="AF813" i="1"/>
  <c r="AD813" i="1"/>
  <c r="AA813" i="1"/>
  <c r="Y813" i="1"/>
  <c r="V813" i="1"/>
  <c r="T813" i="1"/>
  <c r="Q813" i="1"/>
  <c r="O813" i="1"/>
  <c r="L813" i="1"/>
  <c r="J813" i="1"/>
  <c r="G813" i="1"/>
  <c r="E813" i="1"/>
  <c r="B813" i="1"/>
  <c r="AN812" i="1"/>
  <c r="AK812" i="1"/>
  <c r="AI812" i="1"/>
  <c r="AF812" i="1"/>
  <c r="AD812" i="1"/>
  <c r="AA812" i="1"/>
  <c r="Y812" i="1"/>
  <c r="V812" i="1"/>
  <c r="T812" i="1"/>
  <c r="Q812" i="1"/>
  <c r="O812" i="1"/>
  <c r="L812" i="1"/>
  <c r="J812" i="1"/>
  <c r="G812" i="1"/>
  <c r="E812" i="1"/>
  <c r="B812" i="1"/>
  <c r="AN811" i="1"/>
  <c r="AK811" i="1"/>
  <c r="AI811" i="1"/>
  <c r="AF811" i="1"/>
  <c r="AD811" i="1"/>
  <c r="AA811" i="1"/>
  <c r="Y811" i="1"/>
  <c r="V811" i="1"/>
  <c r="T811" i="1"/>
  <c r="Q811" i="1"/>
  <c r="O811" i="1"/>
  <c r="L811" i="1"/>
  <c r="J811" i="1"/>
  <c r="G811" i="1"/>
  <c r="E811" i="1"/>
  <c r="B811" i="1"/>
  <c r="AN810" i="1"/>
  <c r="AK810" i="1"/>
  <c r="AI810" i="1"/>
  <c r="AF810" i="1"/>
  <c r="AD810" i="1"/>
  <c r="AA810" i="1"/>
  <c r="Y810" i="1"/>
  <c r="V810" i="1"/>
  <c r="T810" i="1"/>
  <c r="Q810" i="1"/>
  <c r="O810" i="1"/>
  <c r="L810" i="1"/>
  <c r="J810" i="1"/>
  <c r="G810" i="1"/>
  <c r="E810" i="1"/>
  <c r="B810" i="1"/>
  <c r="AN809" i="1"/>
  <c r="AK809" i="1"/>
  <c r="AI809" i="1"/>
  <c r="AF809" i="1"/>
  <c r="AD809" i="1"/>
  <c r="AA809" i="1"/>
  <c r="Y809" i="1"/>
  <c r="V809" i="1"/>
  <c r="T809" i="1"/>
  <c r="Q809" i="1"/>
  <c r="O809" i="1"/>
  <c r="L809" i="1"/>
  <c r="J809" i="1"/>
  <c r="G809" i="1"/>
  <c r="E809" i="1"/>
  <c r="B809" i="1"/>
  <c r="AN808" i="1"/>
  <c r="AK808" i="1"/>
  <c r="AI808" i="1"/>
  <c r="AF808" i="1"/>
  <c r="AD808" i="1"/>
  <c r="AA808" i="1"/>
  <c r="Y808" i="1"/>
  <c r="V808" i="1"/>
  <c r="T808" i="1"/>
  <c r="Q808" i="1"/>
  <c r="O808" i="1"/>
  <c r="L808" i="1"/>
  <c r="J808" i="1"/>
  <c r="G808" i="1"/>
  <c r="E808" i="1"/>
  <c r="B808" i="1"/>
  <c r="AN807" i="1"/>
  <c r="AK807" i="1"/>
  <c r="AI807" i="1"/>
  <c r="AF807" i="1"/>
  <c r="AD807" i="1"/>
  <c r="AA807" i="1"/>
  <c r="Y807" i="1"/>
  <c r="V807" i="1"/>
  <c r="T807" i="1"/>
  <c r="Q807" i="1"/>
  <c r="O807" i="1"/>
  <c r="L807" i="1"/>
  <c r="J807" i="1"/>
  <c r="G807" i="1"/>
  <c r="E807" i="1"/>
  <c r="B807" i="1"/>
  <c r="AN806" i="1"/>
  <c r="AK806" i="1"/>
  <c r="AI806" i="1"/>
  <c r="AF806" i="1"/>
  <c r="AD806" i="1"/>
  <c r="AA806" i="1"/>
  <c r="Y806" i="1"/>
  <c r="V806" i="1"/>
  <c r="T806" i="1"/>
  <c r="Q806" i="1"/>
  <c r="O806" i="1"/>
  <c r="L806" i="1"/>
  <c r="J806" i="1"/>
  <c r="G806" i="1"/>
  <c r="E806" i="1"/>
  <c r="B806" i="1"/>
  <c r="AN805" i="1"/>
  <c r="AK805" i="1"/>
  <c r="AI805" i="1"/>
  <c r="AF805" i="1"/>
  <c r="AD805" i="1"/>
  <c r="AA805" i="1"/>
  <c r="Y805" i="1"/>
  <c r="V805" i="1"/>
  <c r="T805" i="1"/>
  <c r="Q805" i="1"/>
  <c r="O805" i="1"/>
  <c r="L805" i="1"/>
  <c r="J805" i="1"/>
  <c r="G805" i="1"/>
  <c r="E805" i="1"/>
  <c r="B805" i="1"/>
  <c r="AN796" i="1"/>
  <c r="AK796" i="1"/>
  <c r="AI796" i="1"/>
  <c r="AF796" i="1"/>
  <c r="AD796" i="1"/>
  <c r="AA796" i="1"/>
  <c r="Y796" i="1"/>
  <c r="V796" i="1"/>
  <c r="T796" i="1"/>
  <c r="Q796" i="1"/>
  <c r="O796" i="1"/>
  <c r="L796" i="1"/>
  <c r="J796" i="1"/>
  <c r="G796" i="1"/>
  <c r="E796" i="1"/>
  <c r="B796" i="1"/>
  <c r="AN795" i="1"/>
  <c r="AK795" i="1"/>
  <c r="AI795" i="1"/>
  <c r="AF795" i="1"/>
  <c r="AD795" i="1"/>
  <c r="AA795" i="1"/>
  <c r="Y795" i="1"/>
  <c r="V795" i="1"/>
  <c r="T795" i="1"/>
  <c r="Q795" i="1"/>
  <c r="O795" i="1"/>
  <c r="L795" i="1"/>
  <c r="J795" i="1"/>
  <c r="G795" i="1"/>
  <c r="E795" i="1"/>
  <c r="B795" i="1"/>
  <c r="AN794" i="1"/>
  <c r="AK794" i="1"/>
  <c r="AI794" i="1"/>
  <c r="AF794" i="1"/>
  <c r="AD794" i="1"/>
  <c r="AA794" i="1"/>
  <c r="Y794" i="1"/>
  <c r="V794" i="1"/>
  <c r="T794" i="1"/>
  <c r="Q794" i="1"/>
  <c r="O794" i="1"/>
  <c r="L794" i="1"/>
  <c r="J794" i="1"/>
  <c r="G794" i="1"/>
  <c r="E794" i="1"/>
  <c r="B794" i="1"/>
  <c r="AN793" i="1"/>
  <c r="AK793" i="1"/>
  <c r="AI793" i="1"/>
  <c r="AF793" i="1"/>
  <c r="AD793" i="1"/>
  <c r="AA793" i="1"/>
  <c r="Y793" i="1"/>
  <c r="V793" i="1"/>
  <c r="T793" i="1"/>
  <c r="Q793" i="1"/>
  <c r="O793" i="1"/>
  <c r="L793" i="1"/>
  <c r="J793" i="1"/>
  <c r="G793" i="1"/>
  <c r="E793" i="1"/>
  <c r="B793" i="1"/>
  <c r="AN792" i="1"/>
  <c r="AK792" i="1"/>
  <c r="AI792" i="1"/>
  <c r="AF792" i="1"/>
  <c r="AD792" i="1"/>
  <c r="AA792" i="1"/>
  <c r="Y792" i="1"/>
  <c r="V792" i="1"/>
  <c r="T792" i="1"/>
  <c r="Q792" i="1"/>
  <c r="O792" i="1"/>
  <c r="L792" i="1"/>
  <c r="J792" i="1"/>
  <c r="G792" i="1"/>
  <c r="E792" i="1"/>
  <c r="B792" i="1"/>
  <c r="AN791" i="1"/>
  <c r="AK791" i="1"/>
  <c r="AI791" i="1"/>
  <c r="AF791" i="1"/>
  <c r="AD791" i="1"/>
  <c r="AA791" i="1"/>
  <c r="Y791" i="1"/>
  <c r="V791" i="1"/>
  <c r="T791" i="1"/>
  <c r="Q791" i="1"/>
  <c r="O791" i="1"/>
  <c r="L791" i="1"/>
  <c r="J791" i="1"/>
  <c r="G791" i="1"/>
  <c r="E791" i="1"/>
  <c r="B791" i="1"/>
  <c r="AN790" i="1"/>
  <c r="AK790" i="1"/>
  <c r="AI790" i="1"/>
  <c r="AF790" i="1"/>
  <c r="AD790" i="1"/>
  <c r="AA790" i="1"/>
  <c r="Y790" i="1"/>
  <c r="V790" i="1"/>
  <c r="T790" i="1"/>
  <c r="Q790" i="1"/>
  <c r="O790" i="1"/>
  <c r="L790" i="1"/>
  <c r="J790" i="1"/>
  <c r="G790" i="1"/>
  <c r="E790" i="1"/>
  <c r="B790" i="1"/>
  <c r="AN789" i="1"/>
  <c r="AK789" i="1"/>
  <c r="AI789" i="1"/>
  <c r="AF789" i="1"/>
  <c r="AD789" i="1"/>
  <c r="AA789" i="1"/>
  <c r="Y789" i="1"/>
  <c r="V789" i="1"/>
  <c r="T789" i="1"/>
  <c r="Q789" i="1"/>
  <c r="O789" i="1"/>
  <c r="L789" i="1"/>
  <c r="J789" i="1"/>
  <c r="G789" i="1"/>
  <c r="E789" i="1"/>
  <c r="B789" i="1"/>
  <c r="AN788" i="1"/>
  <c r="AK788" i="1"/>
  <c r="AI788" i="1"/>
  <c r="AF788" i="1"/>
  <c r="AD788" i="1"/>
  <c r="AA788" i="1"/>
  <c r="Y788" i="1"/>
  <c r="V788" i="1"/>
  <c r="T788" i="1"/>
  <c r="Q788" i="1"/>
  <c r="O788" i="1"/>
  <c r="L788" i="1"/>
  <c r="J788" i="1"/>
  <c r="G788" i="1"/>
  <c r="E788" i="1"/>
  <c r="B788" i="1"/>
  <c r="AN787" i="1"/>
  <c r="AK787" i="1"/>
  <c r="AI787" i="1"/>
  <c r="AF787" i="1"/>
  <c r="AD787" i="1"/>
  <c r="AA787" i="1"/>
  <c r="Y787" i="1"/>
  <c r="V787" i="1"/>
  <c r="T787" i="1"/>
  <c r="Q787" i="1"/>
  <c r="O787" i="1"/>
  <c r="L787" i="1"/>
  <c r="J787" i="1"/>
  <c r="G787" i="1"/>
  <c r="E787" i="1"/>
  <c r="B787" i="1"/>
  <c r="AN786" i="1"/>
  <c r="AK786" i="1"/>
  <c r="AI786" i="1"/>
  <c r="AF786" i="1"/>
  <c r="AD786" i="1"/>
  <c r="AA786" i="1"/>
  <c r="Y786" i="1"/>
  <c r="V786" i="1"/>
  <c r="T786" i="1"/>
  <c r="Q786" i="1"/>
  <c r="O786" i="1"/>
  <c r="L786" i="1"/>
  <c r="J786" i="1"/>
  <c r="G786" i="1"/>
  <c r="E786" i="1"/>
  <c r="B786" i="1"/>
  <c r="AN785" i="1"/>
  <c r="AK785" i="1"/>
  <c r="AI785" i="1"/>
  <c r="AF785" i="1"/>
  <c r="AD785" i="1"/>
  <c r="AA785" i="1"/>
  <c r="Y785" i="1"/>
  <c r="V785" i="1"/>
  <c r="T785" i="1"/>
  <c r="Q785" i="1"/>
  <c r="O785" i="1"/>
  <c r="L785" i="1"/>
  <c r="J785" i="1"/>
  <c r="G785" i="1"/>
  <c r="E785" i="1"/>
  <c r="B785" i="1"/>
  <c r="AN784" i="1"/>
  <c r="AK784" i="1"/>
  <c r="AI784" i="1"/>
  <c r="AF784" i="1"/>
  <c r="AD784" i="1"/>
  <c r="AA784" i="1"/>
  <c r="Y784" i="1"/>
  <c r="V784" i="1"/>
  <c r="T784" i="1"/>
  <c r="Q784" i="1"/>
  <c r="O784" i="1"/>
  <c r="L784" i="1"/>
  <c r="J784" i="1"/>
  <c r="G784" i="1"/>
  <c r="E784" i="1"/>
  <c r="B784" i="1"/>
  <c r="AN783" i="1"/>
  <c r="AK783" i="1"/>
  <c r="AI783" i="1"/>
  <c r="AF783" i="1"/>
  <c r="AD783" i="1"/>
  <c r="AA783" i="1"/>
  <c r="Y783" i="1"/>
  <c r="V783" i="1"/>
  <c r="T783" i="1"/>
  <c r="Q783" i="1"/>
  <c r="O783" i="1"/>
  <c r="L783" i="1"/>
  <c r="J783" i="1"/>
  <c r="G783" i="1"/>
  <c r="E783" i="1"/>
  <c r="B783" i="1"/>
  <c r="AN782" i="1"/>
  <c r="AK782" i="1"/>
  <c r="AI782" i="1"/>
  <c r="AF782" i="1"/>
  <c r="AD782" i="1"/>
  <c r="AA782" i="1"/>
  <c r="Y782" i="1"/>
  <c r="V782" i="1"/>
  <c r="T782" i="1"/>
  <c r="Q782" i="1"/>
  <c r="O782" i="1"/>
  <c r="L782" i="1"/>
  <c r="J782" i="1"/>
  <c r="G782" i="1"/>
  <c r="E782" i="1"/>
  <c r="B782" i="1"/>
  <c r="AN781" i="1"/>
  <c r="AK781" i="1"/>
  <c r="AI781" i="1"/>
  <c r="AF781" i="1"/>
  <c r="AD781" i="1"/>
  <c r="AA781" i="1"/>
  <c r="Y781" i="1"/>
  <c r="V781" i="1"/>
  <c r="T781" i="1"/>
  <c r="Q781" i="1"/>
  <c r="O781" i="1"/>
  <c r="L781" i="1"/>
  <c r="J781" i="1"/>
  <c r="G781" i="1"/>
  <c r="E781" i="1"/>
  <c r="B781" i="1"/>
  <c r="AN780" i="1"/>
  <c r="AK780" i="1"/>
  <c r="AI780" i="1"/>
  <c r="AF780" i="1"/>
  <c r="AD780" i="1"/>
  <c r="AA780" i="1"/>
  <c r="Y780" i="1"/>
  <c r="V780" i="1"/>
  <c r="T780" i="1"/>
  <c r="Q780" i="1"/>
  <c r="O780" i="1"/>
  <c r="L780" i="1"/>
  <c r="J780" i="1"/>
  <c r="G780" i="1"/>
  <c r="E780" i="1"/>
  <c r="B780" i="1"/>
  <c r="AN779" i="1"/>
  <c r="AK779" i="1"/>
  <c r="AI779" i="1"/>
  <c r="AF779" i="1"/>
  <c r="AD779" i="1"/>
  <c r="AA779" i="1"/>
  <c r="Y779" i="1"/>
  <c r="V779" i="1"/>
  <c r="T779" i="1"/>
  <c r="Q779" i="1"/>
  <c r="O779" i="1"/>
  <c r="L779" i="1"/>
  <c r="J779" i="1"/>
  <c r="G779" i="1"/>
  <c r="E779" i="1"/>
  <c r="B779" i="1"/>
  <c r="AN778" i="1"/>
  <c r="AK778" i="1"/>
  <c r="AI778" i="1"/>
  <c r="AF778" i="1"/>
  <c r="AD778" i="1"/>
  <c r="AA778" i="1"/>
  <c r="Y778" i="1"/>
  <c r="V778" i="1"/>
  <c r="T778" i="1"/>
  <c r="Q778" i="1"/>
  <c r="O778" i="1"/>
  <c r="L778" i="1"/>
  <c r="J778" i="1"/>
  <c r="G778" i="1"/>
  <c r="E778" i="1"/>
  <c r="B778" i="1"/>
  <c r="AN777" i="1"/>
  <c r="AK777" i="1"/>
  <c r="AI777" i="1"/>
  <c r="AF777" i="1"/>
  <c r="AD777" i="1"/>
  <c r="AA777" i="1"/>
  <c r="Y777" i="1"/>
  <c r="V777" i="1"/>
  <c r="T777" i="1"/>
  <c r="Q777" i="1"/>
  <c r="O777" i="1"/>
  <c r="L777" i="1"/>
  <c r="J777" i="1"/>
  <c r="G777" i="1"/>
  <c r="E777" i="1"/>
  <c r="B777" i="1"/>
  <c r="AN776" i="1"/>
  <c r="AK776" i="1"/>
  <c r="AI776" i="1"/>
  <c r="AF776" i="1"/>
  <c r="AD776" i="1"/>
  <c r="AA776" i="1"/>
  <c r="Y776" i="1"/>
  <c r="V776" i="1"/>
  <c r="T776" i="1"/>
  <c r="Q776" i="1"/>
  <c r="O776" i="1"/>
  <c r="L776" i="1"/>
  <c r="J776" i="1"/>
  <c r="G776" i="1"/>
  <c r="E776" i="1"/>
  <c r="B776" i="1"/>
  <c r="AN769" i="1"/>
  <c r="AK769" i="1"/>
  <c r="AI769" i="1"/>
  <c r="AF769" i="1"/>
  <c r="AD769" i="1"/>
  <c r="AA769" i="1"/>
  <c r="Y769" i="1"/>
  <c r="V769" i="1"/>
  <c r="T769" i="1"/>
  <c r="Q769" i="1"/>
  <c r="O769" i="1"/>
  <c r="L769" i="1"/>
  <c r="J769" i="1"/>
  <c r="G769" i="1"/>
  <c r="E769" i="1"/>
  <c r="B769" i="1"/>
  <c r="AN768" i="1"/>
  <c r="AK768" i="1"/>
  <c r="AI768" i="1"/>
  <c r="AF768" i="1"/>
  <c r="AD768" i="1"/>
  <c r="AA768" i="1"/>
  <c r="Y768" i="1"/>
  <c r="V768" i="1"/>
  <c r="T768" i="1"/>
  <c r="Q768" i="1"/>
  <c r="O768" i="1"/>
  <c r="L768" i="1"/>
  <c r="J768" i="1"/>
  <c r="G768" i="1"/>
  <c r="E768" i="1"/>
  <c r="B768" i="1"/>
  <c r="AN767" i="1"/>
  <c r="AK767" i="1"/>
  <c r="AI767" i="1"/>
  <c r="AF767" i="1"/>
  <c r="AD767" i="1"/>
  <c r="AA767" i="1"/>
  <c r="Y767" i="1"/>
  <c r="V767" i="1"/>
  <c r="T767" i="1"/>
  <c r="Q767" i="1"/>
  <c r="O767" i="1"/>
  <c r="L767" i="1"/>
  <c r="J767" i="1"/>
  <c r="G767" i="1"/>
  <c r="E767" i="1"/>
  <c r="B767" i="1"/>
  <c r="AN766" i="1"/>
  <c r="AK766" i="1"/>
  <c r="AI766" i="1"/>
  <c r="AF766" i="1"/>
  <c r="AD766" i="1"/>
  <c r="AA766" i="1"/>
  <c r="Y766" i="1"/>
  <c r="V766" i="1"/>
  <c r="T766" i="1"/>
  <c r="Q766" i="1"/>
  <c r="O766" i="1"/>
  <c r="L766" i="1"/>
  <c r="J766" i="1"/>
  <c r="G766" i="1"/>
  <c r="E766" i="1"/>
  <c r="B766" i="1"/>
  <c r="AN765" i="1"/>
  <c r="AK765" i="1"/>
  <c r="AI765" i="1"/>
  <c r="AF765" i="1"/>
  <c r="AD765" i="1"/>
  <c r="AA765" i="1"/>
  <c r="Y765" i="1"/>
  <c r="V765" i="1"/>
  <c r="T765" i="1"/>
  <c r="Q765" i="1"/>
  <c r="O765" i="1"/>
  <c r="L765" i="1"/>
  <c r="J765" i="1"/>
  <c r="G765" i="1"/>
  <c r="E765" i="1"/>
  <c r="B765" i="1"/>
  <c r="AN764" i="1"/>
  <c r="AK764" i="1"/>
  <c r="AI764" i="1"/>
  <c r="AF764" i="1"/>
  <c r="AD764" i="1"/>
  <c r="AA764" i="1"/>
  <c r="Y764" i="1"/>
  <c r="V764" i="1"/>
  <c r="T764" i="1"/>
  <c r="Q764" i="1"/>
  <c r="O764" i="1"/>
  <c r="L764" i="1"/>
  <c r="J764" i="1"/>
  <c r="G764" i="1"/>
  <c r="E764" i="1"/>
  <c r="B764" i="1"/>
  <c r="AN763" i="1"/>
  <c r="AK763" i="1"/>
  <c r="AI763" i="1"/>
  <c r="AF763" i="1"/>
  <c r="AD763" i="1"/>
  <c r="AA763" i="1"/>
  <c r="Y763" i="1"/>
  <c r="V763" i="1"/>
  <c r="T763" i="1"/>
  <c r="Q763" i="1"/>
  <c r="O763" i="1"/>
  <c r="L763" i="1"/>
  <c r="J763" i="1"/>
  <c r="G763" i="1"/>
  <c r="E763" i="1"/>
  <c r="B763" i="1"/>
  <c r="AN762" i="1"/>
  <c r="AK762" i="1"/>
  <c r="AI762" i="1"/>
  <c r="AF762" i="1"/>
  <c r="AD762" i="1"/>
  <c r="AA762" i="1"/>
  <c r="Y762" i="1"/>
  <c r="V762" i="1"/>
  <c r="T762" i="1"/>
  <c r="Q762" i="1"/>
  <c r="O762" i="1"/>
  <c r="L762" i="1"/>
  <c r="J762" i="1"/>
  <c r="G762" i="1"/>
  <c r="E762" i="1"/>
  <c r="B762" i="1"/>
  <c r="AN761" i="1"/>
  <c r="AK761" i="1"/>
  <c r="AI761" i="1"/>
  <c r="AF761" i="1"/>
  <c r="AD761" i="1"/>
  <c r="AA761" i="1"/>
  <c r="Y761" i="1"/>
  <c r="V761" i="1"/>
  <c r="T761" i="1"/>
  <c r="Q761" i="1"/>
  <c r="O761" i="1"/>
  <c r="L761" i="1"/>
  <c r="J761" i="1"/>
  <c r="G761" i="1"/>
  <c r="E761" i="1"/>
  <c r="B761" i="1"/>
  <c r="AN760" i="1"/>
  <c r="AK760" i="1"/>
  <c r="AI760" i="1"/>
  <c r="AF760" i="1"/>
  <c r="AD760" i="1"/>
  <c r="AA760" i="1"/>
  <c r="Y760" i="1"/>
  <c r="V760" i="1"/>
  <c r="T760" i="1"/>
  <c r="Q760" i="1"/>
  <c r="O760" i="1"/>
  <c r="L760" i="1"/>
  <c r="J760" i="1"/>
  <c r="G760" i="1"/>
  <c r="E760" i="1"/>
  <c r="B760" i="1"/>
  <c r="AN759" i="1"/>
  <c r="AK759" i="1"/>
  <c r="AI759" i="1"/>
  <c r="AF759" i="1"/>
  <c r="AD759" i="1"/>
  <c r="AA759" i="1"/>
  <c r="Y759" i="1"/>
  <c r="V759" i="1"/>
  <c r="T759" i="1"/>
  <c r="Q759" i="1"/>
  <c r="O759" i="1"/>
  <c r="L759" i="1"/>
  <c r="J759" i="1"/>
  <c r="G759" i="1"/>
  <c r="E759" i="1"/>
  <c r="B759" i="1"/>
  <c r="AN758" i="1"/>
  <c r="AK758" i="1"/>
  <c r="AI758" i="1"/>
  <c r="AF758" i="1"/>
  <c r="AD758" i="1"/>
  <c r="AA758" i="1"/>
  <c r="Y758" i="1"/>
  <c r="V758" i="1"/>
  <c r="T758" i="1"/>
  <c r="Q758" i="1"/>
  <c r="O758" i="1"/>
  <c r="L758" i="1"/>
  <c r="J758" i="1"/>
  <c r="G758" i="1"/>
  <c r="E758" i="1"/>
  <c r="B758" i="1"/>
  <c r="AN757" i="1"/>
  <c r="AK757" i="1"/>
  <c r="AI757" i="1"/>
  <c r="AF757" i="1"/>
  <c r="AD757" i="1"/>
  <c r="AA757" i="1"/>
  <c r="Y757" i="1"/>
  <c r="V757" i="1"/>
  <c r="T757" i="1"/>
  <c r="Q757" i="1"/>
  <c r="O757" i="1"/>
  <c r="L757" i="1"/>
  <c r="J757" i="1"/>
  <c r="G757" i="1"/>
  <c r="E757" i="1"/>
  <c r="B757" i="1"/>
  <c r="AN756" i="1"/>
  <c r="AK756" i="1"/>
  <c r="AI756" i="1"/>
  <c r="AF756" i="1"/>
  <c r="AD756" i="1"/>
  <c r="AA756" i="1"/>
  <c r="Y756" i="1"/>
  <c r="V756" i="1"/>
  <c r="T756" i="1"/>
  <c r="Q756" i="1"/>
  <c r="O756" i="1"/>
  <c r="L756" i="1"/>
  <c r="J756" i="1"/>
  <c r="G756" i="1"/>
  <c r="E756" i="1"/>
  <c r="B756" i="1"/>
  <c r="AN755" i="1"/>
  <c r="AK755" i="1"/>
  <c r="AI755" i="1"/>
  <c r="AF755" i="1"/>
  <c r="AD755" i="1"/>
  <c r="AA755" i="1"/>
  <c r="Y755" i="1"/>
  <c r="V755" i="1"/>
  <c r="T755" i="1"/>
  <c r="Q755" i="1"/>
  <c r="O755" i="1"/>
  <c r="L755" i="1"/>
  <c r="J755" i="1"/>
  <c r="G755" i="1"/>
  <c r="E755" i="1"/>
  <c r="B755" i="1"/>
  <c r="AN754" i="1"/>
  <c r="AK754" i="1"/>
  <c r="AI754" i="1"/>
  <c r="AF754" i="1"/>
  <c r="AD754" i="1"/>
  <c r="AA754" i="1"/>
  <c r="Y754" i="1"/>
  <c r="V754" i="1"/>
  <c r="T754" i="1"/>
  <c r="Q754" i="1"/>
  <c r="O754" i="1"/>
  <c r="L754" i="1"/>
  <c r="J754" i="1"/>
  <c r="G754" i="1"/>
  <c r="E754" i="1"/>
  <c r="B754" i="1"/>
  <c r="AN753" i="1"/>
  <c r="AK753" i="1"/>
  <c r="AI753" i="1"/>
  <c r="AF753" i="1"/>
  <c r="AD753" i="1"/>
  <c r="AA753" i="1"/>
  <c r="Y753" i="1"/>
  <c r="V753" i="1"/>
  <c r="T753" i="1"/>
  <c r="Q753" i="1"/>
  <c r="O753" i="1"/>
  <c r="L753" i="1"/>
  <c r="J753" i="1"/>
  <c r="G753" i="1"/>
  <c r="E753" i="1"/>
  <c r="B753" i="1"/>
  <c r="AN752" i="1"/>
  <c r="AK752" i="1"/>
  <c r="AI752" i="1"/>
  <c r="AF752" i="1"/>
  <c r="AD752" i="1"/>
  <c r="AA752" i="1"/>
  <c r="Y752" i="1"/>
  <c r="V752" i="1"/>
  <c r="T752" i="1"/>
  <c r="Q752" i="1"/>
  <c r="O752" i="1"/>
  <c r="L752" i="1"/>
  <c r="J752" i="1"/>
  <c r="G752" i="1"/>
  <c r="E752" i="1"/>
  <c r="B752" i="1"/>
  <c r="AN751" i="1"/>
  <c r="AK751" i="1"/>
  <c r="AI751" i="1"/>
  <c r="AF751" i="1"/>
  <c r="AD751" i="1"/>
  <c r="AA751" i="1"/>
  <c r="Y751" i="1"/>
  <c r="V751" i="1"/>
  <c r="T751" i="1"/>
  <c r="Q751" i="1"/>
  <c r="O751" i="1"/>
  <c r="L751" i="1"/>
  <c r="J751" i="1"/>
  <c r="G751" i="1"/>
  <c r="E751" i="1"/>
  <c r="B751" i="1"/>
  <c r="AN750" i="1"/>
  <c r="AK750" i="1"/>
  <c r="AI750" i="1"/>
  <c r="AF750" i="1"/>
  <c r="AD750" i="1"/>
  <c r="AA750" i="1"/>
  <c r="Y750" i="1"/>
  <c r="V750" i="1"/>
  <c r="T750" i="1"/>
  <c r="Q750" i="1"/>
  <c r="O750" i="1"/>
  <c r="L750" i="1"/>
  <c r="J750" i="1"/>
  <c r="G750" i="1"/>
  <c r="E750" i="1"/>
  <c r="B750" i="1"/>
  <c r="AN749" i="1"/>
  <c r="AK749" i="1"/>
  <c r="AI749" i="1"/>
  <c r="AF749" i="1"/>
  <c r="AD749" i="1"/>
  <c r="AA749" i="1"/>
  <c r="Y749" i="1"/>
  <c r="V749" i="1"/>
  <c r="T749" i="1"/>
  <c r="Q749" i="1"/>
  <c r="O749" i="1"/>
  <c r="L749" i="1"/>
  <c r="J749" i="1"/>
  <c r="G749" i="1"/>
  <c r="E749" i="1"/>
  <c r="B749" i="1"/>
  <c r="AN739" i="1"/>
  <c r="AK739" i="1"/>
  <c r="AI739" i="1"/>
  <c r="AF739" i="1"/>
  <c r="AD739" i="1"/>
  <c r="AA739" i="1"/>
  <c r="Y739" i="1"/>
  <c r="V739" i="1"/>
  <c r="T739" i="1"/>
  <c r="Q739" i="1"/>
  <c r="O739" i="1"/>
  <c r="L739" i="1"/>
  <c r="J739" i="1"/>
  <c r="G739" i="1"/>
  <c r="E739" i="1"/>
  <c r="B739" i="1"/>
  <c r="AN738" i="1"/>
  <c r="AK738" i="1"/>
  <c r="AI738" i="1"/>
  <c r="AF738" i="1"/>
  <c r="AD738" i="1"/>
  <c r="AA738" i="1"/>
  <c r="Y738" i="1"/>
  <c r="V738" i="1"/>
  <c r="T738" i="1"/>
  <c r="Q738" i="1"/>
  <c r="O738" i="1"/>
  <c r="L738" i="1"/>
  <c r="J738" i="1"/>
  <c r="G738" i="1"/>
  <c r="E738" i="1"/>
  <c r="B738" i="1"/>
  <c r="AN737" i="1"/>
  <c r="AK737" i="1"/>
  <c r="AI737" i="1"/>
  <c r="AF737" i="1"/>
  <c r="AD737" i="1"/>
  <c r="AA737" i="1"/>
  <c r="Y737" i="1"/>
  <c r="V737" i="1"/>
  <c r="T737" i="1"/>
  <c r="Q737" i="1"/>
  <c r="O737" i="1"/>
  <c r="L737" i="1"/>
  <c r="J737" i="1"/>
  <c r="G737" i="1"/>
  <c r="E737" i="1"/>
  <c r="B737" i="1"/>
  <c r="AN736" i="1"/>
  <c r="AK736" i="1"/>
  <c r="AI736" i="1"/>
  <c r="AF736" i="1"/>
  <c r="AD736" i="1"/>
  <c r="AA736" i="1"/>
  <c r="Y736" i="1"/>
  <c r="V736" i="1"/>
  <c r="T736" i="1"/>
  <c r="Q736" i="1"/>
  <c r="O736" i="1"/>
  <c r="L736" i="1"/>
  <c r="J736" i="1"/>
  <c r="G736" i="1"/>
  <c r="E736" i="1"/>
  <c r="B736" i="1"/>
  <c r="AN735" i="1"/>
  <c r="AK735" i="1"/>
  <c r="AI735" i="1"/>
  <c r="AF735" i="1"/>
  <c r="AD735" i="1"/>
  <c r="AA735" i="1"/>
  <c r="Y735" i="1"/>
  <c r="V735" i="1"/>
  <c r="T735" i="1"/>
  <c r="Q735" i="1"/>
  <c r="O735" i="1"/>
  <c r="L735" i="1"/>
  <c r="J735" i="1"/>
  <c r="G735" i="1"/>
  <c r="E735" i="1"/>
  <c r="B735" i="1"/>
  <c r="AN734" i="1"/>
  <c r="AK734" i="1"/>
  <c r="AI734" i="1"/>
  <c r="AF734" i="1"/>
  <c r="AD734" i="1"/>
  <c r="AA734" i="1"/>
  <c r="Y734" i="1"/>
  <c r="V734" i="1"/>
  <c r="T734" i="1"/>
  <c r="Q734" i="1"/>
  <c r="O734" i="1"/>
  <c r="L734" i="1"/>
  <c r="J734" i="1"/>
  <c r="G734" i="1"/>
  <c r="E734" i="1"/>
  <c r="B734" i="1"/>
  <c r="AN733" i="1"/>
  <c r="AK733" i="1"/>
  <c r="AI733" i="1"/>
  <c r="AF733" i="1"/>
  <c r="AD733" i="1"/>
  <c r="AA733" i="1"/>
  <c r="Y733" i="1"/>
  <c r="V733" i="1"/>
  <c r="T733" i="1"/>
  <c r="Q733" i="1"/>
  <c r="O733" i="1"/>
  <c r="L733" i="1"/>
  <c r="J733" i="1"/>
  <c r="G733" i="1"/>
  <c r="E733" i="1"/>
  <c r="B733" i="1"/>
  <c r="AN732" i="1"/>
  <c r="AK732" i="1"/>
  <c r="AI732" i="1"/>
  <c r="AF732" i="1"/>
  <c r="AD732" i="1"/>
  <c r="AA732" i="1"/>
  <c r="Y732" i="1"/>
  <c r="V732" i="1"/>
  <c r="T732" i="1"/>
  <c r="Q732" i="1"/>
  <c r="O732" i="1"/>
  <c r="L732" i="1"/>
  <c r="J732" i="1"/>
  <c r="G732" i="1"/>
  <c r="E732" i="1"/>
  <c r="B732" i="1"/>
  <c r="AN731" i="1"/>
  <c r="AK731" i="1"/>
  <c r="AI731" i="1"/>
  <c r="AF731" i="1"/>
  <c r="AD731" i="1"/>
  <c r="AA731" i="1"/>
  <c r="Y731" i="1"/>
  <c r="V731" i="1"/>
  <c r="T731" i="1"/>
  <c r="Q731" i="1"/>
  <c r="O731" i="1"/>
  <c r="L731" i="1"/>
  <c r="J731" i="1"/>
  <c r="G731" i="1"/>
  <c r="E731" i="1"/>
  <c r="B731" i="1"/>
  <c r="AN730" i="1"/>
  <c r="AK730" i="1"/>
  <c r="AI730" i="1"/>
  <c r="AF730" i="1"/>
  <c r="AD730" i="1"/>
  <c r="AA730" i="1"/>
  <c r="Y730" i="1"/>
  <c r="V730" i="1"/>
  <c r="T730" i="1"/>
  <c r="Q730" i="1"/>
  <c r="O730" i="1"/>
  <c r="L730" i="1"/>
  <c r="J730" i="1"/>
  <c r="G730" i="1"/>
  <c r="E730" i="1"/>
  <c r="B730" i="1"/>
  <c r="AN729" i="1"/>
  <c r="AK729" i="1"/>
  <c r="AI729" i="1"/>
  <c r="AF729" i="1"/>
  <c r="AD729" i="1"/>
  <c r="AA729" i="1"/>
  <c r="Y729" i="1"/>
  <c r="V729" i="1"/>
  <c r="T729" i="1"/>
  <c r="Q729" i="1"/>
  <c r="O729" i="1"/>
  <c r="L729" i="1"/>
  <c r="J729" i="1"/>
  <c r="G729" i="1"/>
  <c r="E729" i="1"/>
  <c r="B729" i="1"/>
  <c r="AN728" i="1"/>
  <c r="AK728" i="1"/>
  <c r="AI728" i="1"/>
  <c r="AF728" i="1"/>
  <c r="AD728" i="1"/>
  <c r="AA728" i="1"/>
  <c r="Y728" i="1"/>
  <c r="V728" i="1"/>
  <c r="T728" i="1"/>
  <c r="Q728" i="1"/>
  <c r="O728" i="1"/>
  <c r="L728" i="1"/>
  <c r="J728" i="1"/>
  <c r="G728" i="1"/>
  <c r="E728" i="1"/>
  <c r="B728" i="1"/>
  <c r="AN727" i="1"/>
  <c r="AK727" i="1"/>
  <c r="AI727" i="1"/>
  <c r="AF727" i="1"/>
  <c r="AD727" i="1"/>
  <c r="AA727" i="1"/>
  <c r="Y727" i="1"/>
  <c r="V727" i="1"/>
  <c r="T727" i="1"/>
  <c r="Q727" i="1"/>
  <c r="O727" i="1"/>
  <c r="L727" i="1"/>
  <c r="J727" i="1"/>
  <c r="G727" i="1"/>
  <c r="E727" i="1"/>
  <c r="B727" i="1"/>
  <c r="AN726" i="1"/>
  <c r="AK726" i="1"/>
  <c r="AI726" i="1"/>
  <c r="AF726" i="1"/>
  <c r="AD726" i="1"/>
  <c r="AA726" i="1"/>
  <c r="Y726" i="1"/>
  <c r="V726" i="1"/>
  <c r="T726" i="1"/>
  <c r="Q726" i="1"/>
  <c r="O726" i="1"/>
  <c r="L726" i="1"/>
  <c r="J726" i="1"/>
  <c r="G726" i="1"/>
  <c r="E726" i="1"/>
  <c r="B726" i="1"/>
  <c r="AN725" i="1"/>
  <c r="AK725" i="1"/>
  <c r="AI725" i="1"/>
  <c r="AF725" i="1"/>
  <c r="AD725" i="1"/>
  <c r="AA725" i="1"/>
  <c r="Y725" i="1"/>
  <c r="V725" i="1"/>
  <c r="T725" i="1"/>
  <c r="Q725" i="1"/>
  <c r="O725" i="1"/>
  <c r="L725" i="1"/>
  <c r="J725" i="1"/>
  <c r="G725" i="1"/>
  <c r="E725" i="1"/>
  <c r="B725" i="1"/>
  <c r="AN724" i="1"/>
  <c r="AK724" i="1"/>
  <c r="AI724" i="1"/>
  <c r="AF724" i="1"/>
  <c r="AD724" i="1"/>
  <c r="AA724" i="1"/>
  <c r="Y724" i="1"/>
  <c r="V724" i="1"/>
  <c r="T724" i="1"/>
  <c r="Q724" i="1"/>
  <c r="O724" i="1"/>
  <c r="L724" i="1"/>
  <c r="J724" i="1"/>
  <c r="G724" i="1"/>
  <c r="E724" i="1"/>
  <c r="B724" i="1"/>
  <c r="AN723" i="1"/>
  <c r="AK723" i="1"/>
  <c r="AI723" i="1"/>
  <c r="AF723" i="1"/>
  <c r="AD723" i="1"/>
  <c r="AA723" i="1"/>
  <c r="Y723" i="1"/>
  <c r="V723" i="1"/>
  <c r="T723" i="1"/>
  <c r="Q723" i="1"/>
  <c r="O723" i="1"/>
  <c r="L723" i="1"/>
  <c r="J723" i="1"/>
  <c r="G723" i="1"/>
  <c r="E723" i="1"/>
  <c r="B723" i="1"/>
  <c r="AN722" i="1"/>
  <c r="AK722" i="1"/>
  <c r="AI722" i="1"/>
  <c r="AF722" i="1"/>
  <c r="AD722" i="1"/>
  <c r="AA722" i="1"/>
  <c r="Y722" i="1"/>
  <c r="V722" i="1"/>
  <c r="T722" i="1"/>
  <c r="Q722" i="1"/>
  <c r="O722" i="1"/>
  <c r="L722" i="1"/>
  <c r="J722" i="1"/>
  <c r="G722" i="1"/>
  <c r="E722" i="1"/>
  <c r="B722" i="1"/>
  <c r="AN721" i="1"/>
  <c r="AK721" i="1"/>
  <c r="AI721" i="1"/>
  <c r="AF721" i="1"/>
  <c r="AD721" i="1"/>
  <c r="AA721" i="1"/>
  <c r="Y721" i="1"/>
  <c r="V721" i="1"/>
  <c r="T721" i="1"/>
  <c r="Q721" i="1"/>
  <c r="O721" i="1"/>
  <c r="L721" i="1"/>
  <c r="J721" i="1"/>
  <c r="G721" i="1"/>
  <c r="E721" i="1"/>
  <c r="B721" i="1"/>
  <c r="AN720" i="1"/>
  <c r="AK720" i="1"/>
  <c r="AI720" i="1"/>
  <c r="AF720" i="1"/>
  <c r="AD720" i="1"/>
  <c r="AA720" i="1"/>
  <c r="Y720" i="1"/>
  <c r="V720" i="1"/>
  <c r="T720" i="1"/>
  <c r="Q720" i="1"/>
  <c r="O720" i="1"/>
  <c r="L720" i="1"/>
  <c r="J720" i="1"/>
  <c r="G720" i="1"/>
  <c r="E720" i="1"/>
  <c r="B720" i="1"/>
  <c r="AN719" i="1"/>
  <c r="AK719" i="1"/>
  <c r="AI719" i="1"/>
  <c r="AF719" i="1"/>
  <c r="AD719" i="1"/>
  <c r="AA719" i="1"/>
  <c r="Y719" i="1"/>
  <c r="V719" i="1"/>
  <c r="T719" i="1"/>
  <c r="Q719" i="1"/>
  <c r="O719" i="1"/>
  <c r="L719" i="1"/>
  <c r="J719" i="1"/>
  <c r="G719" i="1"/>
  <c r="E719" i="1"/>
  <c r="B719" i="1"/>
  <c r="AN712" i="1"/>
  <c r="AK712" i="1"/>
  <c r="AI712" i="1"/>
  <c r="AF712" i="1"/>
  <c r="AD712" i="1"/>
  <c r="AA712" i="1"/>
  <c r="Y712" i="1"/>
  <c r="V712" i="1"/>
  <c r="T712" i="1"/>
  <c r="Q712" i="1"/>
  <c r="O712" i="1"/>
  <c r="L712" i="1"/>
  <c r="J712" i="1"/>
  <c r="G712" i="1"/>
  <c r="E712" i="1"/>
  <c r="B712" i="1"/>
  <c r="AN711" i="1"/>
  <c r="AK711" i="1"/>
  <c r="AI711" i="1"/>
  <c r="AF711" i="1"/>
  <c r="AD711" i="1"/>
  <c r="AA711" i="1"/>
  <c r="Y711" i="1"/>
  <c r="V711" i="1"/>
  <c r="T711" i="1"/>
  <c r="Q711" i="1"/>
  <c r="O711" i="1"/>
  <c r="L711" i="1"/>
  <c r="J711" i="1"/>
  <c r="G711" i="1"/>
  <c r="E711" i="1"/>
  <c r="B711" i="1"/>
  <c r="AN710" i="1"/>
  <c r="AK710" i="1"/>
  <c r="AI710" i="1"/>
  <c r="AF710" i="1"/>
  <c r="AD710" i="1"/>
  <c r="AA710" i="1"/>
  <c r="Y710" i="1"/>
  <c r="V710" i="1"/>
  <c r="T710" i="1"/>
  <c r="Q710" i="1"/>
  <c r="O710" i="1"/>
  <c r="L710" i="1"/>
  <c r="J710" i="1"/>
  <c r="G710" i="1"/>
  <c r="E710" i="1"/>
  <c r="B710" i="1"/>
  <c r="AN709" i="1"/>
  <c r="AK709" i="1"/>
  <c r="AI709" i="1"/>
  <c r="AF709" i="1"/>
  <c r="AD709" i="1"/>
  <c r="AA709" i="1"/>
  <c r="Y709" i="1"/>
  <c r="V709" i="1"/>
  <c r="T709" i="1"/>
  <c r="Q709" i="1"/>
  <c r="O709" i="1"/>
  <c r="L709" i="1"/>
  <c r="J709" i="1"/>
  <c r="G709" i="1"/>
  <c r="E709" i="1"/>
  <c r="B709" i="1"/>
  <c r="AN708" i="1"/>
  <c r="AK708" i="1"/>
  <c r="AI708" i="1"/>
  <c r="AF708" i="1"/>
  <c r="AD708" i="1"/>
  <c r="AA708" i="1"/>
  <c r="Y708" i="1"/>
  <c r="V708" i="1"/>
  <c r="T708" i="1"/>
  <c r="Q708" i="1"/>
  <c r="O708" i="1"/>
  <c r="L708" i="1"/>
  <c r="J708" i="1"/>
  <c r="G708" i="1"/>
  <c r="E708" i="1"/>
  <c r="B708" i="1"/>
  <c r="AN707" i="1"/>
  <c r="AK707" i="1"/>
  <c r="AI707" i="1"/>
  <c r="AF707" i="1"/>
  <c r="AD707" i="1"/>
  <c r="AA707" i="1"/>
  <c r="Y707" i="1"/>
  <c r="V707" i="1"/>
  <c r="T707" i="1"/>
  <c r="Q707" i="1"/>
  <c r="O707" i="1"/>
  <c r="L707" i="1"/>
  <c r="J707" i="1"/>
  <c r="G707" i="1"/>
  <c r="E707" i="1"/>
  <c r="B707" i="1"/>
  <c r="AN706" i="1"/>
  <c r="AK706" i="1"/>
  <c r="AI706" i="1"/>
  <c r="AF706" i="1"/>
  <c r="AD706" i="1"/>
  <c r="AA706" i="1"/>
  <c r="Y706" i="1"/>
  <c r="V706" i="1"/>
  <c r="T706" i="1"/>
  <c r="Q706" i="1"/>
  <c r="O706" i="1"/>
  <c r="L706" i="1"/>
  <c r="J706" i="1"/>
  <c r="G706" i="1"/>
  <c r="E706" i="1"/>
  <c r="B706" i="1"/>
  <c r="AN705" i="1"/>
  <c r="AK705" i="1"/>
  <c r="AI705" i="1"/>
  <c r="AF705" i="1"/>
  <c r="AD705" i="1"/>
  <c r="AA705" i="1"/>
  <c r="Y705" i="1"/>
  <c r="V705" i="1"/>
  <c r="T705" i="1"/>
  <c r="Q705" i="1"/>
  <c r="O705" i="1"/>
  <c r="L705" i="1"/>
  <c r="J705" i="1"/>
  <c r="G705" i="1"/>
  <c r="E705" i="1"/>
  <c r="B705" i="1"/>
  <c r="AN704" i="1"/>
  <c r="AK704" i="1"/>
  <c r="AI704" i="1"/>
  <c r="AF704" i="1"/>
  <c r="AD704" i="1"/>
  <c r="AA704" i="1"/>
  <c r="Y704" i="1"/>
  <c r="V704" i="1"/>
  <c r="T704" i="1"/>
  <c r="Q704" i="1"/>
  <c r="O704" i="1"/>
  <c r="L704" i="1"/>
  <c r="J704" i="1"/>
  <c r="G704" i="1"/>
  <c r="E704" i="1"/>
  <c r="B704" i="1"/>
  <c r="AN703" i="1"/>
  <c r="AK703" i="1"/>
  <c r="AI703" i="1"/>
  <c r="AF703" i="1"/>
  <c r="AD703" i="1"/>
  <c r="AA703" i="1"/>
  <c r="Y703" i="1"/>
  <c r="V703" i="1"/>
  <c r="T703" i="1"/>
  <c r="Q703" i="1"/>
  <c r="O703" i="1"/>
  <c r="L703" i="1"/>
  <c r="J703" i="1"/>
  <c r="G703" i="1"/>
  <c r="E703" i="1"/>
  <c r="B703" i="1"/>
  <c r="AN702" i="1"/>
  <c r="AK702" i="1"/>
  <c r="AI702" i="1"/>
  <c r="AF702" i="1"/>
  <c r="AD702" i="1"/>
  <c r="AA702" i="1"/>
  <c r="Y702" i="1"/>
  <c r="V702" i="1"/>
  <c r="T702" i="1"/>
  <c r="Q702" i="1"/>
  <c r="O702" i="1"/>
  <c r="L702" i="1"/>
  <c r="J702" i="1"/>
  <c r="G702" i="1"/>
  <c r="E702" i="1"/>
  <c r="B702" i="1"/>
  <c r="AN701" i="1"/>
  <c r="AK701" i="1"/>
  <c r="AI701" i="1"/>
  <c r="AF701" i="1"/>
  <c r="AD701" i="1"/>
  <c r="AA701" i="1"/>
  <c r="Y701" i="1"/>
  <c r="V701" i="1"/>
  <c r="T701" i="1"/>
  <c r="Q701" i="1"/>
  <c r="O701" i="1"/>
  <c r="L701" i="1"/>
  <c r="J701" i="1"/>
  <c r="G701" i="1"/>
  <c r="E701" i="1"/>
  <c r="B701" i="1"/>
  <c r="AN700" i="1"/>
  <c r="AK700" i="1"/>
  <c r="AI700" i="1"/>
  <c r="AF700" i="1"/>
  <c r="AD700" i="1"/>
  <c r="AA700" i="1"/>
  <c r="Y700" i="1"/>
  <c r="V700" i="1"/>
  <c r="T700" i="1"/>
  <c r="Q700" i="1"/>
  <c r="O700" i="1"/>
  <c r="L700" i="1"/>
  <c r="J700" i="1"/>
  <c r="G700" i="1"/>
  <c r="E700" i="1"/>
  <c r="B700" i="1"/>
  <c r="AN699" i="1"/>
  <c r="AK699" i="1"/>
  <c r="AI699" i="1"/>
  <c r="AF699" i="1"/>
  <c r="AD699" i="1"/>
  <c r="AA699" i="1"/>
  <c r="Y699" i="1"/>
  <c r="V699" i="1"/>
  <c r="T699" i="1"/>
  <c r="Q699" i="1"/>
  <c r="O699" i="1"/>
  <c r="L699" i="1"/>
  <c r="J699" i="1"/>
  <c r="G699" i="1"/>
  <c r="E699" i="1"/>
  <c r="B699" i="1"/>
  <c r="AN698" i="1"/>
  <c r="AK698" i="1"/>
  <c r="AI698" i="1"/>
  <c r="AF698" i="1"/>
  <c r="AD698" i="1"/>
  <c r="AA698" i="1"/>
  <c r="Y698" i="1"/>
  <c r="V698" i="1"/>
  <c r="T698" i="1"/>
  <c r="Q698" i="1"/>
  <c r="O698" i="1"/>
  <c r="L698" i="1"/>
  <c r="J698" i="1"/>
  <c r="G698" i="1"/>
  <c r="E698" i="1"/>
  <c r="B698" i="1"/>
  <c r="AN697" i="1"/>
  <c r="AK697" i="1"/>
  <c r="AI697" i="1"/>
  <c r="AF697" i="1"/>
  <c r="AD697" i="1"/>
  <c r="AA697" i="1"/>
  <c r="Y697" i="1"/>
  <c r="V697" i="1"/>
  <c r="T697" i="1"/>
  <c r="Q697" i="1"/>
  <c r="O697" i="1"/>
  <c r="L697" i="1"/>
  <c r="J697" i="1"/>
  <c r="G697" i="1"/>
  <c r="E697" i="1"/>
  <c r="B697" i="1"/>
  <c r="AN696" i="1"/>
  <c r="AK696" i="1"/>
  <c r="AI696" i="1"/>
  <c r="AF696" i="1"/>
  <c r="AD696" i="1"/>
  <c r="AA696" i="1"/>
  <c r="Y696" i="1"/>
  <c r="V696" i="1"/>
  <c r="T696" i="1"/>
  <c r="Q696" i="1"/>
  <c r="O696" i="1"/>
  <c r="L696" i="1"/>
  <c r="J696" i="1"/>
  <c r="G696" i="1"/>
  <c r="E696" i="1"/>
  <c r="B696" i="1"/>
  <c r="AN695" i="1"/>
  <c r="AK695" i="1"/>
  <c r="AI695" i="1"/>
  <c r="AF695" i="1"/>
  <c r="AD695" i="1"/>
  <c r="AA695" i="1"/>
  <c r="Y695" i="1"/>
  <c r="V695" i="1"/>
  <c r="T695" i="1"/>
  <c r="Q695" i="1"/>
  <c r="O695" i="1"/>
  <c r="L695" i="1"/>
  <c r="J695" i="1"/>
  <c r="G695" i="1"/>
  <c r="E695" i="1"/>
  <c r="B695" i="1"/>
  <c r="AN694" i="1"/>
  <c r="AK694" i="1"/>
  <c r="AI694" i="1"/>
  <c r="AF694" i="1"/>
  <c r="AD694" i="1"/>
  <c r="AA694" i="1"/>
  <c r="Y694" i="1"/>
  <c r="V694" i="1"/>
  <c r="T694" i="1"/>
  <c r="Q694" i="1"/>
  <c r="O694" i="1"/>
  <c r="L694" i="1"/>
  <c r="J694" i="1"/>
  <c r="G694" i="1"/>
  <c r="E694" i="1"/>
  <c r="B694" i="1"/>
  <c r="AN693" i="1"/>
  <c r="AK693" i="1"/>
  <c r="AI693" i="1"/>
  <c r="AF693" i="1"/>
  <c r="AD693" i="1"/>
  <c r="AA693" i="1"/>
  <c r="Y693" i="1"/>
  <c r="V693" i="1"/>
  <c r="T693" i="1"/>
  <c r="Q693" i="1"/>
  <c r="O693" i="1"/>
  <c r="L693" i="1"/>
  <c r="J693" i="1"/>
  <c r="G693" i="1"/>
  <c r="E693" i="1"/>
  <c r="B693" i="1"/>
  <c r="AN692" i="1"/>
  <c r="AK692" i="1"/>
  <c r="AI692" i="1"/>
  <c r="AF692" i="1"/>
  <c r="AD692" i="1"/>
  <c r="AA692" i="1"/>
  <c r="Y692" i="1"/>
  <c r="V692" i="1"/>
  <c r="T692" i="1"/>
  <c r="Q692" i="1"/>
  <c r="O692" i="1"/>
  <c r="L692" i="1"/>
  <c r="J692" i="1"/>
  <c r="G692" i="1"/>
  <c r="E692" i="1"/>
  <c r="B692" i="1"/>
  <c r="AN682" i="1"/>
  <c r="AK682" i="1"/>
  <c r="AI682" i="1"/>
  <c r="AF682" i="1"/>
  <c r="AD682" i="1"/>
  <c r="AA682" i="1"/>
  <c r="Y682" i="1"/>
  <c r="V682" i="1"/>
  <c r="T682" i="1"/>
  <c r="Q682" i="1"/>
  <c r="O682" i="1"/>
  <c r="L682" i="1"/>
  <c r="J682" i="1"/>
  <c r="G682" i="1"/>
  <c r="E682" i="1"/>
  <c r="B682" i="1"/>
  <c r="AN681" i="1"/>
  <c r="AK681" i="1"/>
  <c r="AI681" i="1"/>
  <c r="AF681" i="1"/>
  <c r="AD681" i="1"/>
  <c r="AA681" i="1"/>
  <c r="Y681" i="1"/>
  <c r="V681" i="1"/>
  <c r="T681" i="1"/>
  <c r="Q681" i="1"/>
  <c r="O681" i="1"/>
  <c r="L681" i="1"/>
  <c r="J681" i="1"/>
  <c r="G681" i="1"/>
  <c r="E681" i="1"/>
  <c r="B681" i="1"/>
  <c r="AN680" i="1"/>
  <c r="AK680" i="1"/>
  <c r="AI680" i="1"/>
  <c r="AF680" i="1"/>
  <c r="AD680" i="1"/>
  <c r="AA680" i="1"/>
  <c r="Y680" i="1"/>
  <c r="V680" i="1"/>
  <c r="T680" i="1"/>
  <c r="Q680" i="1"/>
  <c r="O680" i="1"/>
  <c r="L680" i="1"/>
  <c r="J680" i="1"/>
  <c r="G680" i="1"/>
  <c r="E680" i="1"/>
  <c r="B680" i="1"/>
  <c r="AN679" i="1"/>
  <c r="AK679" i="1"/>
  <c r="AI679" i="1"/>
  <c r="AF679" i="1"/>
  <c r="AD679" i="1"/>
  <c r="AA679" i="1"/>
  <c r="Y679" i="1"/>
  <c r="V679" i="1"/>
  <c r="T679" i="1"/>
  <c r="Q679" i="1"/>
  <c r="O679" i="1"/>
  <c r="L679" i="1"/>
  <c r="J679" i="1"/>
  <c r="G679" i="1"/>
  <c r="E679" i="1"/>
  <c r="B679" i="1"/>
  <c r="AN678" i="1"/>
  <c r="AK678" i="1"/>
  <c r="AI678" i="1"/>
  <c r="AF678" i="1"/>
  <c r="AD678" i="1"/>
  <c r="AA678" i="1"/>
  <c r="Y678" i="1"/>
  <c r="V678" i="1"/>
  <c r="T678" i="1"/>
  <c r="Q678" i="1"/>
  <c r="O678" i="1"/>
  <c r="L678" i="1"/>
  <c r="J678" i="1"/>
  <c r="G678" i="1"/>
  <c r="E678" i="1"/>
  <c r="B678" i="1"/>
  <c r="AN677" i="1"/>
  <c r="AK677" i="1"/>
  <c r="AI677" i="1"/>
  <c r="AF677" i="1"/>
  <c r="AD677" i="1"/>
  <c r="AA677" i="1"/>
  <c r="Y677" i="1"/>
  <c r="V677" i="1"/>
  <c r="T677" i="1"/>
  <c r="Q677" i="1"/>
  <c r="O677" i="1"/>
  <c r="L677" i="1"/>
  <c r="J677" i="1"/>
  <c r="G677" i="1"/>
  <c r="E677" i="1"/>
  <c r="B677" i="1"/>
  <c r="AN676" i="1"/>
  <c r="AK676" i="1"/>
  <c r="AI676" i="1"/>
  <c r="AF676" i="1"/>
  <c r="AD676" i="1"/>
  <c r="AA676" i="1"/>
  <c r="Y676" i="1"/>
  <c r="V676" i="1"/>
  <c r="T676" i="1"/>
  <c r="Q676" i="1"/>
  <c r="O676" i="1"/>
  <c r="L676" i="1"/>
  <c r="J676" i="1"/>
  <c r="G676" i="1"/>
  <c r="E676" i="1"/>
  <c r="B676" i="1"/>
  <c r="AN675" i="1"/>
  <c r="AK675" i="1"/>
  <c r="AI675" i="1"/>
  <c r="AF675" i="1"/>
  <c r="AD675" i="1"/>
  <c r="AA675" i="1"/>
  <c r="Y675" i="1"/>
  <c r="V675" i="1"/>
  <c r="T675" i="1"/>
  <c r="Q675" i="1"/>
  <c r="O675" i="1"/>
  <c r="L675" i="1"/>
  <c r="J675" i="1"/>
  <c r="G675" i="1"/>
  <c r="E675" i="1"/>
  <c r="B675" i="1"/>
  <c r="AN674" i="1"/>
  <c r="AK674" i="1"/>
  <c r="AI674" i="1"/>
  <c r="AF674" i="1"/>
  <c r="AD674" i="1"/>
  <c r="AA674" i="1"/>
  <c r="Y674" i="1"/>
  <c r="V674" i="1"/>
  <c r="T674" i="1"/>
  <c r="Q674" i="1"/>
  <c r="O674" i="1"/>
  <c r="L674" i="1"/>
  <c r="J674" i="1"/>
  <c r="G674" i="1"/>
  <c r="E674" i="1"/>
  <c r="B674" i="1"/>
  <c r="AN673" i="1"/>
  <c r="AK673" i="1"/>
  <c r="AI673" i="1"/>
  <c r="AF673" i="1"/>
  <c r="AD673" i="1"/>
  <c r="AA673" i="1"/>
  <c r="Y673" i="1"/>
  <c r="V673" i="1"/>
  <c r="T673" i="1"/>
  <c r="Q673" i="1"/>
  <c r="O673" i="1"/>
  <c r="L673" i="1"/>
  <c r="J673" i="1"/>
  <c r="G673" i="1"/>
  <c r="E673" i="1"/>
  <c r="B673" i="1"/>
  <c r="AN672" i="1"/>
  <c r="AK672" i="1"/>
  <c r="AI672" i="1"/>
  <c r="AF672" i="1"/>
  <c r="AD672" i="1"/>
  <c r="AA672" i="1"/>
  <c r="Y672" i="1"/>
  <c r="V672" i="1"/>
  <c r="T672" i="1"/>
  <c r="Q672" i="1"/>
  <c r="O672" i="1"/>
  <c r="L672" i="1"/>
  <c r="J672" i="1"/>
  <c r="G672" i="1"/>
  <c r="E672" i="1"/>
  <c r="B672" i="1"/>
  <c r="AN671" i="1"/>
  <c r="AK671" i="1"/>
  <c r="AI671" i="1"/>
  <c r="AF671" i="1"/>
  <c r="AD671" i="1"/>
  <c r="AA671" i="1"/>
  <c r="Y671" i="1"/>
  <c r="V671" i="1"/>
  <c r="T671" i="1"/>
  <c r="Q671" i="1"/>
  <c r="O671" i="1"/>
  <c r="L671" i="1"/>
  <c r="J671" i="1"/>
  <c r="G671" i="1"/>
  <c r="E671" i="1"/>
  <c r="B671" i="1"/>
  <c r="AN670" i="1"/>
  <c r="AK670" i="1"/>
  <c r="AI670" i="1"/>
  <c r="AF670" i="1"/>
  <c r="AD670" i="1"/>
  <c r="AA670" i="1"/>
  <c r="Y670" i="1"/>
  <c r="V670" i="1"/>
  <c r="T670" i="1"/>
  <c r="Q670" i="1"/>
  <c r="O670" i="1"/>
  <c r="L670" i="1"/>
  <c r="J670" i="1"/>
  <c r="G670" i="1"/>
  <c r="E670" i="1"/>
  <c r="B670" i="1"/>
  <c r="AN669" i="1"/>
  <c r="AK669" i="1"/>
  <c r="AI669" i="1"/>
  <c r="AF669" i="1"/>
  <c r="AD669" i="1"/>
  <c r="AA669" i="1"/>
  <c r="Y669" i="1"/>
  <c r="V669" i="1"/>
  <c r="T669" i="1"/>
  <c r="Q669" i="1"/>
  <c r="O669" i="1"/>
  <c r="L669" i="1"/>
  <c r="J669" i="1"/>
  <c r="G669" i="1"/>
  <c r="E669" i="1"/>
  <c r="B669" i="1"/>
  <c r="AN668" i="1"/>
  <c r="AK668" i="1"/>
  <c r="AI668" i="1"/>
  <c r="AF668" i="1"/>
  <c r="AD668" i="1"/>
  <c r="AA668" i="1"/>
  <c r="Y668" i="1"/>
  <c r="V668" i="1"/>
  <c r="T668" i="1"/>
  <c r="Q668" i="1"/>
  <c r="O668" i="1"/>
  <c r="L668" i="1"/>
  <c r="J668" i="1"/>
  <c r="G668" i="1"/>
  <c r="E668" i="1"/>
  <c r="B668" i="1"/>
  <c r="AN667" i="1"/>
  <c r="AK667" i="1"/>
  <c r="AI667" i="1"/>
  <c r="AF667" i="1"/>
  <c r="AD667" i="1"/>
  <c r="AA667" i="1"/>
  <c r="Y667" i="1"/>
  <c r="V667" i="1"/>
  <c r="T667" i="1"/>
  <c r="Q667" i="1"/>
  <c r="O667" i="1"/>
  <c r="L667" i="1"/>
  <c r="J667" i="1"/>
  <c r="G667" i="1"/>
  <c r="E667" i="1"/>
  <c r="B667" i="1"/>
  <c r="AN666" i="1"/>
  <c r="AK666" i="1"/>
  <c r="AI666" i="1"/>
  <c r="AF666" i="1"/>
  <c r="AD666" i="1"/>
  <c r="AA666" i="1"/>
  <c r="Y666" i="1"/>
  <c r="V666" i="1"/>
  <c r="T666" i="1"/>
  <c r="Q666" i="1"/>
  <c r="O666" i="1"/>
  <c r="L666" i="1"/>
  <c r="J666" i="1"/>
  <c r="G666" i="1"/>
  <c r="E666" i="1"/>
  <c r="B666" i="1"/>
  <c r="AN665" i="1"/>
  <c r="AK665" i="1"/>
  <c r="AI665" i="1"/>
  <c r="AF665" i="1"/>
  <c r="AD665" i="1"/>
  <c r="AA665" i="1"/>
  <c r="Y665" i="1"/>
  <c r="V665" i="1"/>
  <c r="T665" i="1"/>
  <c r="Q665" i="1"/>
  <c r="O665" i="1"/>
  <c r="L665" i="1"/>
  <c r="J665" i="1"/>
  <c r="G665" i="1"/>
  <c r="E665" i="1"/>
  <c r="B665" i="1"/>
  <c r="AN664" i="1"/>
  <c r="AK664" i="1"/>
  <c r="AI664" i="1"/>
  <c r="AF664" i="1"/>
  <c r="AD664" i="1"/>
  <c r="AA664" i="1"/>
  <c r="Y664" i="1"/>
  <c r="V664" i="1"/>
  <c r="T664" i="1"/>
  <c r="Q664" i="1"/>
  <c r="O664" i="1"/>
  <c r="L664" i="1"/>
  <c r="J664" i="1"/>
  <c r="G664" i="1"/>
  <c r="E664" i="1"/>
  <c r="B664" i="1"/>
  <c r="AN663" i="1"/>
  <c r="AK663" i="1"/>
  <c r="AI663" i="1"/>
  <c r="AF663" i="1"/>
  <c r="AD663" i="1"/>
  <c r="AA663" i="1"/>
  <c r="Y663" i="1"/>
  <c r="V663" i="1"/>
  <c r="T663" i="1"/>
  <c r="Q663" i="1"/>
  <c r="O663" i="1"/>
  <c r="L663" i="1"/>
  <c r="J663" i="1"/>
  <c r="G663" i="1"/>
  <c r="E663" i="1"/>
  <c r="B663" i="1"/>
  <c r="AN662" i="1"/>
  <c r="AK662" i="1"/>
  <c r="AI662" i="1"/>
  <c r="AF662" i="1"/>
  <c r="AD662" i="1"/>
  <c r="AA662" i="1"/>
  <c r="Y662" i="1"/>
  <c r="V662" i="1"/>
  <c r="T662" i="1"/>
  <c r="Q662" i="1"/>
  <c r="O662" i="1"/>
  <c r="L662" i="1"/>
  <c r="J662" i="1"/>
  <c r="G662" i="1"/>
  <c r="E662" i="1"/>
  <c r="B662" i="1"/>
  <c r="AN655" i="1"/>
  <c r="AK655" i="1"/>
  <c r="AI655" i="1"/>
  <c r="AF655" i="1"/>
  <c r="AD655" i="1"/>
  <c r="AA655" i="1"/>
  <c r="Y655" i="1"/>
  <c r="V655" i="1"/>
  <c r="T655" i="1"/>
  <c r="Q655" i="1"/>
  <c r="O655" i="1"/>
  <c r="L655" i="1"/>
  <c r="J655" i="1"/>
  <c r="G655" i="1"/>
  <c r="E655" i="1"/>
  <c r="B655" i="1"/>
  <c r="AN654" i="1"/>
  <c r="AK654" i="1"/>
  <c r="AI654" i="1"/>
  <c r="AF654" i="1"/>
  <c r="AD654" i="1"/>
  <c r="AA654" i="1"/>
  <c r="Y654" i="1"/>
  <c r="V654" i="1"/>
  <c r="T654" i="1"/>
  <c r="Q654" i="1"/>
  <c r="O654" i="1"/>
  <c r="L654" i="1"/>
  <c r="J654" i="1"/>
  <c r="G654" i="1"/>
  <c r="E654" i="1"/>
  <c r="B654" i="1"/>
  <c r="AN653" i="1"/>
  <c r="AK653" i="1"/>
  <c r="AI653" i="1"/>
  <c r="AF653" i="1"/>
  <c r="AD653" i="1"/>
  <c r="AA653" i="1"/>
  <c r="Y653" i="1"/>
  <c r="V653" i="1"/>
  <c r="T653" i="1"/>
  <c r="Q653" i="1"/>
  <c r="O653" i="1"/>
  <c r="L653" i="1"/>
  <c r="J653" i="1"/>
  <c r="G653" i="1"/>
  <c r="E653" i="1"/>
  <c r="B653" i="1"/>
  <c r="AN652" i="1"/>
  <c r="AK652" i="1"/>
  <c r="AI652" i="1"/>
  <c r="AF652" i="1"/>
  <c r="AD652" i="1"/>
  <c r="AA652" i="1"/>
  <c r="Y652" i="1"/>
  <c r="V652" i="1"/>
  <c r="T652" i="1"/>
  <c r="Q652" i="1"/>
  <c r="O652" i="1"/>
  <c r="L652" i="1"/>
  <c r="J652" i="1"/>
  <c r="G652" i="1"/>
  <c r="E652" i="1"/>
  <c r="B652" i="1"/>
  <c r="AN651" i="1"/>
  <c r="AK651" i="1"/>
  <c r="AI651" i="1"/>
  <c r="AF651" i="1"/>
  <c r="AD651" i="1"/>
  <c r="AA651" i="1"/>
  <c r="Y651" i="1"/>
  <c r="V651" i="1"/>
  <c r="T651" i="1"/>
  <c r="Q651" i="1"/>
  <c r="O651" i="1"/>
  <c r="L651" i="1"/>
  <c r="J651" i="1"/>
  <c r="G651" i="1"/>
  <c r="E651" i="1"/>
  <c r="B651" i="1"/>
  <c r="AN650" i="1"/>
  <c r="AK650" i="1"/>
  <c r="AI650" i="1"/>
  <c r="AF650" i="1"/>
  <c r="AD650" i="1"/>
  <c r="AA650" i="1"/>
  <c r="Y650" i="1"/>
  <c r="V650" i="1"/>
  <c r="T650" i="1"/>
  <c r="Q650" i="1"/>
  <c r="O650" i="1"/>
  <c r="L650" i="1"/>
  <c r="J650" i="1"/>
  <c r="G650" i="1"/>
  <c r="E650" i="1"/>
  <c r="B650" i="1"/>
  <c r="AN649" i="1"/>
  <c r="AK649" i="1"/>
  <c r="AI649" i="1"/>
  <c r="AF649" i="1"/>
  <c r="AD649" i="1"/>
  <c r="AA649" i="1"/>
  <c r="Y649" i="1"/>
  <c r="V649" i="1"/>
  <c r="T649" i="1"/>
  <c r="Q649" i="1"/>
  <c r="O649" i="1"/>
  <c r="L649" i="1"/>
  <c r="J649" i="1"/>
  <c r="G649" i="1"/>
  <c r="E649" i="1"/>
  <c r="B649" i="1"/>
  <c r="AN648" i="1"/>
  <c r="AK648" i="1"/>
  <c r="AI648" i="1"/>
  <c r="AF648" i="1"/>
  <c r="AD648" i="1"/>
  <c r="AA648" i="1"/>
  <c r="Y648" i="1"/>
  <c r="V648" i="1"/>
  <c r="T648" i="1"/>
  <c r="Q648" i="1"/>
  <c r="O648" i="1"/>
  <c r="L648" i="1"/>
  <c r="J648" i="1"/>
  <c r="G648" i="1"/>
  <c r="E648" i="1"/>
  <c r="B648" i="1"/>
  <c r="AN647" i="1"/>
  <c r="AK647" i="1"/>
  <c r="AI647" i="1"/>
  <c r="AF647" i="1"/>
  <c r="AD647" i="1"/>
  <c r="AA647" i="1"/>
  <c r="Y647" i="1"/>
  <c r="V647" i="1"/>
  <c r="T647" i="1"/>
  <c r="Q647" i="1"/>
  <c r="O647" i="1"/>
  <c r="L647" i="1"/>
  <c r="J647" i="1"/>
  <c r="G647" i="1"/>
  <c r="E647" i="1"/>
  <c r="B647" i="1"/>
  <c r="AN646" i="1"/>
  <c r="AK646" i="1"/>
  <c r="AI646" i="1"/>
  <c r="AF646" i="1"/>
  <c r="AD646" i="1"/>
  <c r="AA646" i="1"/>
  <c r="Y646" i="1"/>
  <c r="V646" i="1"/>
  <c r="T646" i="1"/>
  <c r="Q646" i="1"/>
  <c r="O646" i="1"/>
  <c r="L646" i="1"/>
  <c r="J646" i="1"/>
  <c r="G646" i="1"/>
  <c r="E646" i="1"/>
  <c r="B646" i="1"/>
  <c r="AN645" i="1"/>
  <c r="AK645" i="1"/>
  <c r="AI645" i="1"/>
  <c r="AF645" i="1"/>
  <c r="AD645" i="1"/>
  <c r="AA645" i="1"/>
  <c r="Y645" i="1"/>
  <c r="V645" i="1"/>
  <c r="T645" i="1"/>
  <c r="Q645" i="1"/>
  <c r="O645" i="1"/>
  <c r="L645" i="1"/>
  <c r="J645" i="1"/>
  <c r="G645" i="1"/>
  <c r="E645" i="1"/>
  <c r="B645" i="1"/>
  <c r="AN644" i="1"/>
  <c r="AK644" i="1"/>
  <c r="AI644" i="1"/>
  <c r="AF644" i="1"/>
  <c r="AD644" i="1"/>
  <c r="AA644" i="1"/>
  <c r="Y644" i="1"/>
  <c r="V644" i="1"/>
  <c r="T644" i="1"/>
  <c r="Q644" i="1"/>
  <c r="O644" i="1"/>
  <c r="L644" i="1"/>
  <c r="J644" i="1"/>
  <c r="G644" i="1"/>
  <c r="E644" i="1"/>
  <c r="B644" i="1"/>
  <c r="AN643" i="1"/>
  <c r="AK643" i="1"/>
  <c r="AI643" i="1"/>
  <c r="AF643" i="1"/>
  <c r="AD643" i="1"/>
  <c r="AA643" i="1"/>
  <c r="Y643" i="1"/>
  <c r="V643" i="1"/>
  <c r="T643" i="1"/>
  <c r="Q643" i="1"/>
  <c r="O643" i="1"/>
  <c r="L643" i="1"/>
  <c r="J643" i="1"/>
  <c r="G643" i="1"/>
  <c r="E643" i="1"/>
  <c r="B643" i="1"/>
  <c r="AN642" i="1"/>
  <c r="AK642" i="1"/>
  <c r="AI642" i="1"/>
  <c r="AF642" i="1"/>
  <c r="AD642" i="1"/>
  <c r="AA642" i="1"/>
  <c r="Y642" i="1"/>
  <c r="V642" i="1"/>
  <c r="T642" i="1"/>
  <c r="Q642" i="1"/>
  <c r="O642" i="1"/>
  <c r="L642" i="1"/>
  <c r="J642" i="1"/>
  <c r="G642" i="1"/>
  <c r="E642" i="1"/>
  <c r="B642" i="1"/>
  <c r="AN641" i="1"/>
  <c r="AK641" i="1"/>
  <c r="AI641" i="1"/>
  <c r="AF641" i="1"/>
  <c r="AD641" i="1"/>
  <c r="AA641" i="1"/>
  <c r="Y641" i="1"/>
  <c r="V641" i="1"/>
  <c r="T641" i="1"/>
  <c r="Q641" i="1"/>
  <c r="O641" i="1"/>
  <c r="L641" i="1"/>
  <c r="J641" i="1"/>
  <c r="G641" i="1"/>
  <c r="E641" i="1"/>
  <c r="B641" i="1"/>
  <c r="AN640" i="1"/>
  <c r="AK640" i="1"/>
  <c r="AI640" i="1"/>
  <c r="AF640" i="1"/>
  <c r="AD640" i="1"/>
  <c r="AA640" i="1"/>
  <c r="Y640" i="1"/>
  <c r="V640" i="1"/>
  <c r="T640" i="1"/>
  <c r="Q640" i="1"/>
  <c r="O640" i="1"/>
  <c r="L640" i="1"/>
  <c r="J640" i="1"/>
  <c r="G640" i="1"/>
  <c r="E640" i="1"/>
  <c r="B640" i="1"/>
  <c r="AN639" i="1"/>
  <c r="AK639" i="1"/>
  <c r="AI639" i="1"/>
  <c r="AF639" i="1"/>
  <c r="AD639" i="1"/>
  <c r="AA639" i="1"/>
  <c r="Y639" i="1"/>
  <c r="V639" i="1"/>
  <c r="T639" i="1"/>
  <c r="Q639" i="1"/>
  <c r="O639" i="1"/>
  <c r="L639" i="1"/>
  <c r="J639" i="1"/>
  <c r="G639" i="1"/>
  <c r="E639" i="1"/>
  <c r="B639" i="1"/>
  <c r="AN638" i="1"/>
  <c r="AK638" i="1"/>
  <c r="AI638" i="1"/>
  <c r="AF638" i="1"/>
  <c r="AD638" i="1"/>
  <c r="AA638" i="1"/>
  <c r="Y638" i="1"/>
  <c r="V638" i="1"/>
  <c r="T638" i="1"/>
  <c r="Q638" i="1"/>
  <c r="O638" i="1"/>
  <c r="L638" i="1"/>
  <c r="J638" i="1"/>
  <c r="G638" i="1"/>
  <c r="E638" i="1"/>
  <c r="B638" i="1"/>
  <c r="AN637" i="1"/>
  <c r="AK637" i="1"/>
  <c r="AI637" i="1"/>
  <c r="AF637" i="1"/>
  <c r="AD637" i="1"/>
  <c r="AA637" i="1"/>
  <c r="Y637" i="1"/>
  <c r="V637" i="1"/>
  <c r="T637" i="1"/>
  <c r="Q637" i="1"/>
  <c r="O637" i="1"/>
  <c r="L637" i="1"/>
  <c r="J637" i="1"/>
  <c r="G637" i="1"/>
  <c r="E637" i="1"/>
  <c r="B637" i="1"/>
  <c r="AN636" i="1"/>
  <c r="AK636" i="1"/>
  <c r="AI636" i="1"/>
  <c r="AF636" i="1"/>
  <c r="AD636" i="1"/>
  <c r="AA636" i="1"/>
  <c r="Y636" i="1"/>
  <c r="V636" i="1"/>
  <c r="T636" i="1"/>
  <c r="Q636" i="1"/>
  <c r="O636" i="1"/>
  <c r="L636" i="1"/>
  <c r="J636" i="1"/>
  <c r="G636" i="1"/>
  <c r="E636" i="1"/>
  <c r="B636" i="1"/>
  <c r="AN635" i="1"/>
  <c r="AK635" i="1"/>
  <c r="AI635" i="1"/>
  <c r="AF635" i="1"/>
  <c r="AD635" i="1"/>
  <c r="AA635" i="1"/>
  <c r="Y635" i="1"/>
  <c r="V635" i="1"/>
  <c r="T635" i="1"/>
  <c r="Q635" i="1"/>
  <c r="O635" i="1"/>
  <c r="L635" i="1"/>
  <c r="J635" i="1"/>
  <c r="G635" i="1"/>
  <c r="E635" i="1"/>
  <c r="B635" i="1"/>
  <c r="AN625" i="1"/>
  <c r="AK625" i="1"/>
  <c r="AI625" i="1"/>
  <c r="AF625" i="1"/>
  <c r="AD625" i="1"/>
  <c r="AA625" i="1"/>
  <c r="Y625" i="1"/>
  <c r="V625" i="1"/>
  <c r="T625" i="1"/>
  <c r="Q625" i="1"/>
  <c r="O625" i="1"/>
  <c r="L625" i="1"/>
  <c r="J625" i="1"/>
  <c r="G625" i="1"/>
  <c r="E625" i="1"/>
  <c r="B625" i="1"/>
  <c r="AN624" i="1"/>
  <c r="AK624" i="1"/>
  <c r="AI624" i="1"/>
  <c r="AF624" i="1"/>
  <c r="AD624" i="1"/>
  <c r="AA624" i="1"/>
  <c r="Y624" i="1"/>
  <c r="V624" i="1"/>
  <c r="T624" i="1"/>
  <c r="Q624" i="1"/>
  <c r="O624" i="1"/>
  <c r="L624" i="1"/>
  <c r="J624" i="1"/>
  <c r="G624" i="1"/>
  <c r="E624" i="1"/>
  <c r="B624" i="1"/>
  <c r="AN623" i="1"/>
  <c r="AK623" i="1"/>
  <c r="AI623" i="1"/>
  <c r="AF623" i="1"/>
  <c r="AD623" i="1"/>
  <c r="AA623" i="1"/>
  <c r="Y623" i="1"/>
  <c r="V623" i="1"/>
  <c r="T623" i="1"/>
  <c r="Q623" i="1"/>
  <c r="O623" i="1"/>
  <c r="L623" i="1"/>
  <c r="J623" i="1"/>
  <c r="G623" i="1"/>
  <c r="E623" i="1"/>
  <c r="B623" i="1"/>
  <c r="AN622" i="1"/>
  <c r="AK622" i="1"/>
  <c r="AI622" i="1"/>
  <c r="AF622" i="1"/>
  <c r="AD622" i="1"/>
  <c r="AA622" i="1"/>
  <c r="Y622" i="1"/>
  <c r="V622" i="1"/>
  <c r="T622" i="1"/>
  <c r="Q622" i="1"/>
  <c r="O622" i="1"/>
  <c r="L622" i="1"/>
  <c r="J622" i="1"/>
  <c r="G622" i="1"/>
  <c r="E622" i="1"/>
  <c r="B622" i="1"/>
  <c r="AN621" i="1"/>
  <c r="AK621" i="1"/>
  <c r="AI621" i="1"/>
  <c r="AF621" i="1"/>
  <c r="AD621" i="1"/>
  <c r="AA621" i="1"/>
  <c r="Y621" i="1"/>
  <c r="V621" i="1"/>
  <c r="T621" i="1"/>
  <c r="Q621" i="1"/>
  <c r="O621" i="1"/>
  <c r="L621" i="1"/>
  <c r="J621" i="1"/>
  <c r="G621" i="1"/>
  <c r="E621" i="1"/>
  <c r="B621" i="1"/>
  <c r="AN620" i="1"/>
  <c r="AK620" i="1"/>
  <c r="AI620" i="1"/>
  <c r="AF620" i="1"/>
  <c r="AD620" i="1"/>
  <c r="AA620" i="1"/>
  <c r="Y620" i="1"/>
  <c r="V620" i="1"/>
  <c r="T620" i="1"/>
  <c r="Q620" i="1"/>
  <c r="O620" i="1"/>
  <c r="L620" i="1"/>
  <c r="J620" i="1"/>
  <c r="G620" i="1"/>
  <c r="E620" i="1"/>
  <c r="B620" i="1"/>
  <c r="AN619" i="1"/>
  <c r="AK619" i="1"/>
  <c r="AI619" i="1"/>
  <c r="AF619" i="1"/>
  <c r="AD619" i="1"/>
  <c r="AA619" i="1"/>
  <c r="Y619" i="1"/>
  <c r="V619" i="1"/>
  <c r="T619" i="1"/>
  <c r="Q619" i="1"/>
  <c r="O619" i="1"/>
  <c r="L619" i="1"/>
  <c r="J619" i="1"/>
  <c r="G619" i="1"/>
  <c r="E619" i="1"/>
  <c r="B619" i="1"/>
  <c r="AN618" i="1"/>
  <c r="AK618" i="1"/>
  <c r="AI618" i="1"/>
  <c r="AF618" i="1"/>
  <c r="AD618" i="1"/>
  <c r="AA618" i="1"/>
  <c r="Y618" i="1"/>
  <c r="V618" i="1"/>
  <c r="T618" i="1"/>
  <c r="Q618" i="1"/>
  <c r="O618" i="1"/>
  <c r="L618" i="1"/>
  <c r="J618" i="1"/>
  <c r="G618" i="1"/>
  <c r="E618" i="1"/>
  <c r="B618" i="1"/>
  <c r="AN617" i="1"/>
  <c r="AK617" i="1"/>
  <c r="AI617" i="1"/>
  <c r="AF617" i="1"/>
  <c r="AD617" i="1"/>
  <c r="AA617" i="1"/>
  <c r="Y617" i="1"/>
  <c r="V617" i="1"/>
  <c r="T617" i="1"/>
  <c r="Q617" i="1"/>
  <c r="O617" i="1"/>
  <c r="L617" i="1"/>
  <c r="J617" i="1"/>
  <c r="G617" i="1"/>
  <c r="E617" i="1"/>
  <c r="B617" i="1"/>
  <c r="AN616" i="1"/>
  <c r="AK616" i="1"/>
  <c r="AI616" i="1"/>
  <c r="AF616" i="1"/>
  <c r="AD616" i="1"/>
  <c r="AA616" i="1"/>
  <c r="Y616" i="1"/>
  <c r="V616" i="1"/>
  <c r="T616" i="1"/>
  <c r="Q616" i="1"/>
  <c r="O616" i="1"/>
  <c r="L616" i="1"/>
  <c r="J616" i="1"/>
  <c r="G616" i="1"/>
  <c r="E616" i="1"/>
  <c r="B616" i="1"/>
  <c r="AN615" i="1"/>
  <c r="AK615" i="1"/>
  <c r="AI615" i="1"/>
  <c r="AF615" i="1"/>
  <c r="AD615" i="1"/>
  <c r="AA615" i="1"/>
  <c r="Y615" i="1"/>
  <c r="V615" i="1"/>
  <c r="T615" i="1"/>
  <c r="Q615" i="1"/>
  <c r="O615" i="1"/>
  <c r="L615" i="1"/>
  <c r="J615" i="1"/>
  <c r="G615" i="1"/>
  <c r="E615" i="1"/>
  <c r="B615" i="1"/>
  <c r="AN614" i="1"/>
  <c r="AK614" i="1"/>
  <c r="AI614" i="1"/>
  <c r="AF614" i="1"/>
  <c r="AD614" i="1"/>
  <c r="AA614" i="1"/>
  <c r="Y614" i="1"/>
  <c r="V614" i="1"/>
  <c r="T614" i="1"/>
  <c r="Q614" i="1"/>
  <c r="O614" i="1"/>
  <c r="L614" i="1"/>
  <c r="J614" i="1"/>
  <c r="G614" i="1"/>
  <c r="E614" i="1"/>
  <c r="B614" i="1"/>
  <c r="AN613" i="1"/>
  <c r="AK613" i="1"/>
  <c r="AI613" i="1"/>
  <c r="AF613" i="1"/>
  <c r="AD613" i="1"/>
  <c r="AA613" i="1"/>
  <c r="Y613" i="1"/>
  <c r="V613" i="1"/>
  <c r="T613" i="1"/>
  <c r="Q613" i="1"/>
  <c r="O613" i="1"/>
  <c r="L613" i="1"/>
  <c r="J613" i="1"/>
  <c r="G613" i="1"/>
  <c r="E613" i="1"/>
  <c r="B613" i="1"/>
  <c r="AN612" i="1"/>
  <c r="AK612" i="1"/>
  <c r="AI612" i="1"/>
  <c r="AF612" i="1"/>
  <c r="AD612" i="1"/>
  <c r="AA612" i="1"/>
  <c r="Y612" i="1"/>
  <c r="V612" i="1"/>
  <c r="T612" i="1"/>
  <c r="Q612" i="1"/>
  <c r="O612" i="1"/>
  <c r="L612" i="1"/>
  <c r="J612" i="1"/>
  <c r="G612" i="1"/>
  <c r="E612" i="1"/>
  <c r="B612" i="1"/>
  <c r="AN611" i="1"/>
  <c r="AK611" i="1"/>
  <c r="AI611" i="1"/>
  <c r="AF611" i="1"/>
  <c r="AD611" i="1"/>
  <c r="AA611" i="1"/>
  <c r="Y611" i="1"/>
  <c r="V611" i="1"/>
  <c r="T611" i="1"/>
  <c r="Q611" i="1"/>
  <c r="O611" i="1"/>
  <c r="L611" i="1"/>
  <c r="J611" i="1"/>
  <c r="G611" i="1"/>
  <c r="E611" i="1"/>
  <c r="B611" i="1"/>
  <c r="AN610" i="1"/>
  <c r="AK610" i="1"/>
  <c r="AI610" i="1"/>
  <c r="AF610" i="1"/>
  <c r="AD610" i="1"/>
  <c r="AA610" i="1"/>
  <c r="Y610" i="1"/>
  <c r="V610" i="1"/>
  <c r="T610" i="1"/>
  <c r="Q610" i="1"/>
  <c r="O610" i="1"/>
  <c r="L610" i="1"/>
  <c r="J610" i="1"/>
  <c r="G610" i="1"/>
  <c r="E610" i="1"/>
  <c r="B610" i="1"/>
  <c r="AN609" i="1"/>
  <c r="AK609" i="1"/>
  <c r="AI609" i="1"/>
  <c r="AF609" i="1"/>
  <c r="AD609" i="1"/>
  <c r="AA609" i="1"/>
  <c r="Y609" i="1"/>
  <c r="V609" i="1"/>
  <c r="T609" i="1"/>
  <c r="Q609" i="1"/>
  <c r="O609" i="1"/>
  <c r="L609" i="1"/>
  <c r="J609" i="1"/>
  <c r="G609" i="1"/>
  <c r="E609" i="1"/>
  <c r="B609" i="1"/>
  <c r="AN608" i="1"/>
  <c r="AK608" i="1"/>
  <c r="AI608" i="1"/>
  <c r="AF608" i="1"/>
  <c r="AD608" i="1"/>
  <c r="AA608" i="1"/>
  <c r="Y608" i="1"/>
  <c r="V608" i="1"/>
  <c r="T608" i="1"/>
  <c r="Q608" i="1"/>
  <c r="O608" i="1"/>
  <c r="L608" i="1"/>
  <c r="J608" i="1"/>
  <c r="G608" i="1"/>
  <c r="E608" i="1"/>
  <c r="B608" i="1"/>
  <c r="AN607" i="1"/>
  <c r="AK607" i="1"/>
  <c r="AI607" i="1"/>
  <c r="AF607" i="1"/>
  <c r="AD607" i="1"/>
  <c r="AA607" i="1"/>
  <c r="Y607" i="1"/>
  <c r="V607" i="1"/>
  <c r="T607" i="1"/>
  <c r="Q607" i="1"/>
  <c r="O607" i="1"/>
  <c r="L607" i="1"/>
  <c r="J607" i="1"/>
  <c r="G607" i="1"/>
  <c r="E607" i="1"/>
  <c r="B607" i="1"/>
  <c r="AN606" i="1"/>
  <c r="AK606" i="1"/>
  <c r="AI606" i="1"/>
  <c r="AF606" i="1"/>
  <c r="AD606" i="1"/>
  <c r="AA606" i="1"/>
  <c r="Y606" i="1"/>
  <c r="V606" i="1"/>
  <c r="T606" i="1"/>
  <c r="Q606" i="1"/>
  <c r="O606" i="1"/>
  <c r="L606" i="1"/>
  <c r="J606" i="1"/>
  <c r="G606" i="1"/>
  <c r="E606" i="1"/>
  <c r="B606" i="1"/>
  <c r="AN605" i="1"/>
  <c r="AK605" i="1"/>
  <c r="AI605" i="1"/>
  <c r="AF605" i="1"/>
  <c r="AD605" i="1"/>
  <c r="AA605" i="1"/>
  <c r="Y605" i="1"/>
  <c r="V605" i="1"/>
  <c r="T605" i="1"/>
  <c r="Q605" i="1"/>
  <c r="O605" i="1"/>
  <c r="L605" i="1"/>
  <c r="J605" i="1"/>
  <c r="G605" i="1"/>
  <c r="E605" i="1"/>
  <c r="B605" i="1"/>
  <c r="AN598" i="1"/>
  <c r="AK598" i="1"/>
  <c r="AI598" i="1"/>
  <c r="AF598" i="1"/>
  <c r="AD598" i="1"/>
  <c r="AA598" i="1"/>
  <c r="Y598" i="1"/>
  <c r="V598" i="1"/>
  <c r="T598" i="1"/>
  <c r="Q598" i="1"/>
  <c r="O598" i="1"/>
  <c r="L598" i="1"/>
  <c r="J598" i="1"/>
  <c r="G598" i="1"/>
  <c r="E598" i="1"/>
  <c r="B598" i="1"/>
  <c r="AN597" i="1"/>
  <c r="AK597" i="1"/>
  <c r="AI597" i="1"/>
  <c r="AF597" i="1"/>
  <c r="AD597" i="1"/>
  <c r="AA597" i="1"/>
  <c r="Y597" i="1"/>
  <c r="V597" i="1"/>
  <c r="T597" i="1"/>
  <c r="Q597" i="1"/>
  <c r="O597" i="1"/>
  <c r="L597" i="1"/>
  <c r="J597" i="1"/>
  <c r="G597" i="1"/>
  <c r="E597" i="1"/>
  <c r="B597" i="1"/>
  <c r="AN596" i="1"/>
  <c r="AK596" i="1"/>
  <c r="AI596" i="1"/>
  <c r="AF596" i="1"/>
  <c r="AD596" i="1"/>
  <c r="AA596" i="1"/>
  <c r="Y596" i="1"/>
  <c r="V596" i="1"/>
  <c r="T596" i="1"/>
  <c r="Q596" i="1"/>
  <c r="O596" i="1"/>
  <c r="L596" i="1"/>
  <c r="J596" i="1"/>
  <c r="G596" i="1"/>
  <c r="E596" i="1"/>
  <c r="B596" i="1"/>
  <c r="AN595" i="1"/>
  <c r="AK595" i="1"/>
  <c r="AI595" i="1"/>
  <c r="AF595" i="1"/>
  <c r="AD595" i="1"/>
  <c r="AA595" i="1"/>
  <c r="Y595" i="1"/>
  <c r="V595" i="1"/>
  <c r="T595" i="1"/>
  <c r="Q595" i="1"/>
  <c r="O595" i="1"/>
  <c r="L595" i="1"/>
  <c r="J595" i="1"/>
  <c r="G595" i="1"/>
  <c r="E595" i="1"/>
  <c r="B595" i="1"/>
  <c r="AN594" i="1"/>
  <c r="AK594" i="1"/>
  <c r="AI594" i="1"/>
  <c r="AF594" i="1"/>
  <c r="AD594" i="1"/>
  <c r="AA594" i="1"/>
  <c r="Y594" i="1"/>
  <c r="V594" i="1"/>
  <c r="T594" i="1"/>
  <c r="Q594" i="1"/>
  <c r="O594" i="1"/>
  <c r="L594" i="1"/>
  <c r="J594" i="1"/>
  <c r="G594" i="1"/>
  <c r="E594" i="1"/>
  <c r="B594" i="1"/>
  <c r="AN593" i="1"/>
  <c r="AK593" i="1"/>
  <c r="AI593" i="1"/>
  <c r="AF593" i="1"/>
  <c r="AD593" i="1"/>
  <c r="AA593" i="1"/>
  <c r="Y593" i="1"/>
  <c r="V593" i="1"/>
  <c r="T593" i="1"/>
  <c r="Q593" i="1"/>
  <c r="O593" i="1"/>
  <c r="L593" i="1"/>
  <c r="J593" i="1"/>
  <c r="G593" i="1"/>
  <c r="E593" i="1"/>
  <c r="B593" i="1"/>
  <c r="AN592" i="1"/>
  <c r="AK592" i="1"/>
  <c r="AI592" i="1"/>
  <c r="AF592" i="1"/>
  <c r="AD592" i="1"/>
  <c r="AA592" i="1"/>
  <c r="Y592" i="1"/>
  <c r="V592" i="1"/>
  <c r="T592" i="1"/>
  <c r="Q592" i="1"/>
  <c r="O592" i="1"/>
  <c r="L592" i="1"/>
  <c r="J592" i="1"/>
  <c r="G592" i="1"/>
  <c r="E592" i="1"/>
  <c r="B592" i="1"/>
  <c r="AN591" i="1"/>
  <c r="AK591" i="1"/>
  <c r="AI591" i="1"/>
  <c r="AF591" i="1"/>
  <c r="AD591" i="1"/>
  <c r="AA591" i="1"/>
  <c r="Y591" i="1"/>
  <c r="V591" i="1"/>
  <c r="T591" i="1"/>
  <c r="Q591" i="1"/>
  <c r="O591" i="1"/>
  <c r="L591" i="1"/>
  <c r="J591" i="1"/>
  <c r="G591" i="1"/>
  <c r="E591" i="1"/>
  <c r="B591" i="1"/>
  <c r="AN590" i="1"/>
  <c r="AK590" i="1"/>
  <c r="AI590" i="1"/>
  <c r="AF590" i="1"/>
  <c r="AD590" i="1"/>
  <c r="AA590" i="1"/>
  <c r="Y590" i="1"/>
  <c r="V590" i="1"/>
  <c r="T590" i="1"/>
  <c r="Q590" i="1"/>
  <c r="O590" i="1"/>
  <c r="L590" i="1"/>
  <c r="J590" i="1"/>
  <c r="G590" i="1"/>
  <c r="E590" i="1"/>
  <c r="B590" i="1"/>
  <c r="AN589" i="1"/>
  <c r="AK589" i="1"/>
  <c r="AI589" i="1"/>
  <c r="AF589" i="1"/>
  <c r="AD589" i="1"/>
  <c r="AA589" i="1"/>
  <c r="Y589" i="1"/>
  <c r="V589" i="1"/>
  <c r="T589" i="1"/>
  <c r="Q589" i="1"/>
  <c r="O589" i="1"/>
  <c r="L589" i="1"/>
  <c r="J589" i="1"/>
  <c r="G589" i="1"/>
  <c r="E589" i="1"/>
  <c r="B589" i="1"/>
  <c r="AN588" i="1"/>
  <c r="AK588" i="1"/>
  <c r="AI588" i="1"/>
  <c r="AF588" i="1"/>
  <c r="AD588" i="1"/>
  <c r="AA588" i="1"/>
  <c r="Y588" i="1"/>
  <c r="V588" i="1"/>
  <c r="T588" i="1"/>
  <c r="Q588" i="1"/>
  <c r="O588" i="1"/>
  <c r="L588" i="1"/>
  <c r="J588" i="1"/>
  <c r="G588" i="1"/>
  <c r="E588" i="1"/>
  <c r="B588" i="1"/>
  <c r="AN587" i="1"/>
  <c r="AK587" i="1"/>
  <c r="AI587" i="1"/>
  <c r="AF587" i="1"/>
  <c r="AD587" i="1"/>
  <c r="AA587" i="1"/>
  <c r="Y587" i="1"/>
  <c r="V587" i="1"/>
  <c r="T587" i="1"/>
  <c r="Q587" i="1"/>
  <c r="O587" i="1"/>
  <c r="L587" i="1"/>
  <c r="J587" i="1"/>
  <c r="G587" i="1"/>
  <c r="E587" i="1"/>
  <c r="B587" i="1"/>
  <c r="AN586" i="1"/>
  <c r="AK586" i="1"/>
  <c r="AI586" i="1"/>
  <c r="AF586" i="1"/>
  <c r="AD586" i="1"/>
  <c r="AA586" i="1"/>
  <c r="Y586" i="1"/>
  <c r="V586" i="1"/>
  <c r="T586" i="1"/>
  <c r="Q586" i="1"/>
  <c r="O586" i="1"/>
  <c r="L586" i="1"/>
  <c r="J586" i="1"/>
  <c r="G586" i="1"/>
  <c r="E586" i="1"/>
  <c r="B586" i="1"/>
  <c r="AN585" i="1"/>
  <c r="AK585" i="1"/>
  <c r="AI585" i="1"/>
  <c r="AF585" i="1"/>
  <c r="AD585" i="1"/>
  <c r="AA585" i="1"/>
  <c r="Y585" i="1"/>
  <c r="V585" i="1"/>
  <c r="T585" i="1"/>
  <c r="Q585" i="1"/>
  <c r="O585" i="1"/>
  <c r="L585" i="1"/>
  <c r="J585" i="1"/>
  <c r="G585" i="1"/>
  <c r="E585" i="1"/>
  <c r="B585" i="1"/>
  <c r="AN584" i="1"/>
  <c r="AK584" i="1"/>
  <c r="AI584" i="1"/>
  <c r="AF584" i="1"/>
  <c r="AD584" i="1"/>
  <c r="AA584" i="1"/>
  <c r="Y584" i="1"/>
  <c r="V584" i="1"/>
  <c r="T584" i="1"/>
  <c r="Q584" i="1"/>
  <c r="O584" i="1"/>
  <c r="L584" i="1"/>
  <c r="J584" i="1"/>
  <c r="G584" i="1"/>
  <c r="E584" i="1"/>
  <c r="B584" i="1"/>
  <c r="AN583" i="1"/>
  <c r="AK583" i="1"/>
  <c r="AI583" i="1"/>
  <c r="AF583" i="1"/>
  <c r="AD583" i="1"/>
  <c r="AA583" i="1"/>
  <c r="Y583" i="1"/>
  <c r="V583" i="1"/>
  <c r="T583" i="1"/>
  <c r="Q583" i="1"/>
  <c r="O583" i="1"/>
  <c r="L583" i="1"/>
  <c r="J583" i="1"/>
  <c r="G583" i="1"/>
  <c r="E583" i="1"/>
  <c r="B583" i="1"/>
  <c r="AN582" i="1"/>
  <c r="AK582" i="1"/>
  <c r="AI582" i="1"/>
  <c r="AF582" i="1"/>
  <c r="AD582" i="1"/>
  <c r="AA582" i="1"/>
  <c r="Y582" i="1"/>
  <c r="V582" i="1"/>
  <c r="T582" i="1"/>
  <c r="Q582" i="1"/>
  <c r="O582" i="1"/>
  <c r="L582" i="1"/>
  <c r="J582" i="1"/>
  <c r="G582" i="1"/>
  <c r="E582" i="1"/>
  <c r="B582" i="1"/>
  <c r="AN581" i="1"/>
  <c r="AK581" i="1"/>
  <c r="AI581" i="1"/>
  <c r="AF581" i="1"/>
  <c r="AD581" i="1"/>
  <c r="AA581" i="1"/>
  <c r="Y581" i="1"/>
  <c r="V581" i="1"/>
  <c r="T581" i="1"/>
  <c r="Q581" i="1"/>
  <c r="O581" i="1"/>
  <c r="L581" i="1"/>
  <c r="J581" i="1"/>
  <c r="G581" i="1"/>
  <c r="E581" i="1"/>
  <c r="B581" i="1"/>
  <c r="AN580" i="1"/>
  <c r="AK580" i="1"/>
  <c r="AI580" i="1"/>
  <c r="AF580" i="1"/>
  <c r="AD580" i="1"/>
  <c r="AA580" i="1"/>
  <c r="Y580" i="1"/>
  <c r="V580" i="1"/>
  <c r="T580" i="1"/>
  <c r="Q580" i="1"/>
  <c r="O580" i="1"/>
  <c r="L580" i="1"/>
  <c r="J580" i="1"/>
  <c r="G580" i="1"/>
  <c r="E580" i="1"/>
  <c r="B580" i="1"/>
  <c r="AN579" i="1"/>
  <c r="AK579" i="1"/>
  <c r="AI579" i="1"/>
  <c r="AF579" i="1"/>
  <c r="AD579" i="1"/>
  <c r="AA579" i="1"/>
  <c r="Y579" i="1"/>
  <c r="V579" i="1"/>
  <c r="T579" i="1"/>
  <c r="Q579" i="1"/>
  <c r="O579" i="1"/>
  <c r="L579" i="1"/>
  <c r="J579" i="1"/>
  <c r="G579" i="1"/>
  <c r="E579" i="1"/>
  <c r="B579" i="1"/>
  <c r="AN578" i="1"/>
  <c r="AK578" i="1"/>
  <c r="AI578" i="1"/>
  <c r="AF578" i="1"/>
  <c r="AD578" i="1"/>
  <c r="AA578" i="1"/>
  <c r="Y578" i="1"/>
  <c r="V578" i="1"/>
  <c r="T578" i="1"/>
  <c r="Q578" i="1"/>
  <c r="O578" i="1"/>
  <c r="L578" i="1"/>
  <c r="J578" i="1"/>
  <c r="G578" i="1"/>
  <c r="E578" i="1"/>
  <c r="B578" i="1"/>
  <c r="AN568" i="1"/>
  <c r="AK568" i="1"/>
  <c r="AI568" i="1"/>
  <c r="AF568" i="1"/>
  <c r="AD568" i="1"/>
  <c r="AA568" i="1"/>
  <c r="Y568" i="1"/>
  <c r="V568" i="1"/>
  <c r="T568" i="1"/>
  <c r="Q568" i="1"/>
  <c r="O568" i="1"/>
  <c r="L568" i="1"/>
  <c r="J568" i="1"/>
  <c r="G568" i="1"/>
  <c r="E568" i="1"/>
  <c r="B568" i="1"/>
  <c r="AN567" i="1"/>
  <c r="AK567" i="1"/>
  <c r="AI567" i="1"/>
  <c r="AF567" i="1"/>
  <c r="AD567" i="1"/>
  <c r="AA567" i="1"/>
  <c r="Y567" i="1"/>
  <c r="V567" i="1"/>
  <c r="T567" i="1"/>
  <c r="Q567" i="1"/>
  <c r="O567" i="1"/>
  <c r="L567" i="1"/>
  <c r="J567" i="1"/>
  <c r="G567" i="1"/>
  <c r="E567" i="1"/>
  <c r="B567" i="1"/>
  <c r="AN566" i="1"/>
  <c r="AK566" i="1"/>
  <c r="AI566" i="1"/>
  <c r="AF566" i="1"/>
  <c r="AD566" i="1"/>
  <c r="AA566" i="1"/>
  <c r="Y566" i="1"/>
  <c r="V566" i="1"/>
  <c r="T566" i="1"/>
  <c r="Q566" i="1"/>
  <c r="O566" i="1"/>
  <c r="L566" i="1"/>
  <c r="J566" i="1"/>
  <c r="G566" i="1"/>
  <c r="E566" i="1"/>
  <c r="B566" i="1"/>
  <c r="AN565" i="1"/>
  <c r="AK565" i="1"/>
  <c r="AI565" i="1"/>
  <c r="AF565" i="1"/>
  <c r="AD565" i="1"/>
  <c r="AA565" i="1"/>
  <c r="Y565" i="1"/>
  <c r="V565" i="1"/>
  <c r="T565" i="1"/>
  <c r="Q565" i="1"/>
  <c r="O565" i="1"/>
  <c r="L565" i="1"/>
  <c r="J565" i="1"/>
  <c r="G565" i="1"/>
  <c r="E565" i="1"/>
  <c r="B565" i="1"/>
  <c r="AN564" i="1"/>
  <c r="AK564" i="1"/>
  <c r="AI564" i="1"/>
  <c r="AF564" i="1"/>
  <c r="AD564" i="1"/>
  <c r="AA564" i="1"/>
  <c r="Y564" i="1"/>
  <c r="V564" i="1"/>
  <c r="T564" i="1"/>
  <c r="Q564" i="1"/>
  <c r="O564" i="1"/>
  <c r="L564" i="1"/>
  <c r="J564" i="1"/>
  <c r="G564" i="1"/>
  <c r="E564" i="1"/>
  <c r="B564" i="1"/>
  <c r="AN563" i="1"/>
  <c r="AK563" i="1"/>
  <c r="AI563" i="1"/>
  <c r="AF563" i="1"/>
  <c r="AD563" i="1"/>
  <c r="AA563" i="1"/>
  <c r="Y563" i="1"/>
  <c r="V563" i="1"/>
  <c r="T563" i="1"/>
  <c r="Q563" i="1"/>
  <c r="O563" i="1"/>
  <c r="L563" i="1"/>
  <c r="J563" i="1"/>
  <c r="G563" i="1"/>
  <c r="E563" i="1"/>
  <c r="B563" i="1"/>
  <c r="AN562" i="1"/>
  <c r="AK562" i="1"/>
  <c r="AI562" i="1"/>
  <c r="AF562" i="1"/>
  <c r="AD562" i="1"/>
  <c r="AA562" i="1"/>
  <c r="Y562" i="1"/>
  <c r="V562" i="1"/>
  <c r="T562" i="1"/>
  <c r="Q562" i="1"/>
  <c r="O562" i="1"/>
  <c r="L562" i="1"/>
  <c r="J562" i="1"/>
  <c r="G562" i="1"/>
  <c r="E562" i="1"/>
  <c r="B562" i="1"/>
  <c r="AN561" i="1"/>
  <c r="AK561" i="1"/>
  <c r="AI561" i="1"/>
  <c r="AF561" i="1"/>
  <c r="AD561" i="1"/>
  <c r="AA561" i="1"/>
  <c r="Y561" i="1"/>
  <c r="V561" i="1"/>
  <c r="T561" i="1"/>
  <c r="Q561" i="1"/>
  <c r="O561" i="1"/>
  <c r="L561" i="1"/>
  <c r="J561" i="1"/>
  <c r="G561" i="1"/>
  <c r="E561" i="1"/>
  <c r="B561" i="1"/>
  <c r="AN560" i="1"/>
  <c r="AK560" i="1"/>
  <c r="AI560" i="1"/>
  <c r="AF560" i="1"/>
  <c r="AD560" i="1"/>
  <c r="AA560" i="1"/>
  <c r="Y560" i="1"/>
  <c r="V560" i="1"/>
  <c r="T560" i="1"/>
  <c r="Q560" i="1"/>
  <c r="O560" i="1"/>
  <c r="L560" i="1"/>
  <c r="J560" i="1"/>
  <c r="G560" i="1"/>
  <c r="E560" i="1"/>
  <c r="B560" i="1"/>
  <c r="AN559" i="1"/>
  <c r="AK559" i="1"/>
  <c r="AI559" i="1"/>
  <c r="AF559" i="1"/>
  <c r="AD559" i="1"/>
  <c r="AA559" i="1"/>
  <c r="Y559" i="1"/>
  <c r="V559" i="1"/>
  <c r="T559" i="1"/>
  <c r="Q559" i="1"/>
  <c r="O559" i="1"/>
  <c r="L559" i="1"/>
  <c r="J559" i="1"/>
  <c r="G559" i="1"/>
  <c r="E559" i="1"/>
  <c r="B559" i="1"/>
  <c r="AN558" i="1"/>
  <c r="AK558" i="1"/>
  <c r="AI558" i="1"/>
  <c r="AF558" i="1"/>
  <c r="AD558" i="1"/>
  <c r="AA558" i="1"/>
  <c r="Y558" i="1"/>
  <c r="V558" i="1"/>
  <c r="T558" i="1"/>
  <c r="Q558" i="1"/>
  <c r="O558" i="1"/>
  <c r="L558" i="1"/>
  <c r="J558" i="1"/>
  <c r="G558" i="1"/>
  <c r="E558" i="1"/>
  <c r="B558" i="1"/>
  <c r="AN557" i="1"/>
  <c r="AK557" i="1"/>
  <c r="AI557" i="1"/>
  <c r="AF557" i="1"/>
  <c r="AD557" i="1"/>
  <c r="AA557" i="1"/>
  <c r="Y557" i="1"/>
  <c r="V557" i="1"/>
  <c r="T557" i="1"/>
  <c r="Q557" i="1"/>
  <c r="O557" i="1"/>
  <c r="L557" i="1"/>
  <c r="J557" i="1"/>
  <c r="G557" i="1"/>
  <c r="E557" i="1"/>
  <c r="B557" i="1"/>
  <c r="AN556" i="1"/>
  <c r="AK556" i="1"/>
  <c r="AI556" i="1"/>
  <c r="AF556" i="1"/>
  <c r="AD556" i="1"/>
  <c r="AA556" i="1"/>
  <c r="Y556" i="1"/>
  <c r="V556" i="1"/>
  <c r="T556" i="1"/>
  <c r="Q556" i="1"/>
  <c r="O556" i="1"/>
  <c r="L556" i="1"/>
  <c r="J556" i="1"/>
  <c r="G556" i="1"/>
  <c r="E556" i="1"/>
  <c r="B556" i="1"/>
  <c r="AN555" i="1"/>
  <c r="AK555" i="1"/>
  <c r="AI555" i="1"/>
  <c r="AF555" i="1"/>
  <c r="AD555" i="1"/>
  <c r="AA555" i="1"/>
  <c r="Y555" i="1"/>
  <c r="V555" i="1"/>
  <c r="T555" i="1"/>
  <c r="Q555" i="1"/>
  <c r="O555" i="1"/>
  <c r="L555" i="1"/>
  <c r="J555" i="1"/>
  <c r="G555" i="1"/>
  <c r="E555" i="1"/>
  <c r="B555" i="1"/>
  <c r="AN554" i="1"/>
  <c r="AK554" i="1"/>
  <c r="AI554" i="1"/>
  <c r="AF554" i="1"/>
  <c r="AD554" i="1"/>
  <c r="AA554" i="1"/>
  <c r="Y554" i="1"/>
  <c r="V554" i="1"/>
  <c r="T554" i="1"/>
  <c r="Q554" i="1"/>
  <c r="O554" i="1"/>
  <c r="L554" i="1"/>
  <c r="J554" i="1"/>
  <c r="G554" i="1"/>
  <c r="E554" i="1"/>
  <c r="B554" i="1"/>
  <c r="AN553" i="1"/>
  <c r="AK553" i="1"/>
  <c r="AI553" i="1"/>
  <c r="AF553" i="1"/>
  <c r="AD553" i="1"/>
  <c r="AA553" i="1"/>
  <c r="Y553" i="1"/>
  <c r="V553" i="1"/>
  <c r="T553" i="1"/>
  <c r="Q553" i="1"/>
  <c r="O553" i="1"/>
  <c r="L553" i="1"/>
  <c r="J553" i="1"/>
  <c r="G553" i="1"/>
  <c r="E553" i="1"/>
  <c r="B553" i="1"/>
  <c r="AN552" i="1"/>
  <c r="AK552" i="1"/>
  <c r="AI552" i="1"/>
  <c r="AF552" i="1"/>
  <c r="AD552" i="1"/>
  <c r="AA552" i="1"/>
  <c r="Y552" i="1"/>
  <c r="V552" i="1"/>
  <c r="T552" i="1"/>
  <c r="Q552" i="1"/>
  <c r="O552" i="1"/>
  <c r="L552" i="1"/>
  <c r="J552" i="1"/>
  <c r="G552" i="1"/>
  <c r="E552" i="1"/>
  <c r="B552" i="1"/>
  <c r="AN551" i="1"/>
  <c r="AK551" i="1"/>
  <c r="AI551" i="1"/>
  <c r="AF551" i="1"/>
  <c r="AD551" i="1"/>
  <c r="AA551" i="1"/>
  <c r="Y551" i="1"/>
  <c r="V551" i="1"/>
  <c r="T551" i="1"/>
  <c r="Q551" i="1"/>
  <c r="O551" i="1"/>
  <c r="L551" i="1"/>
  <c r="J551" i="1"/>
  <c r="G551" i="1"/>
  <c r="E551" i="1"/>
  <c r="B551" i="1"/>
  <c r="AN550" i="1"/>
  <c r="AK550" i="1"/>
  <c r="AI550" i="1"/>
  <c r="AF550" i="1"/>
  <c r="AD550" i="1"/>
  <c r="AA550" i="1"/>
  <c r="Y550" i="1"/>
  <c r="V550" i="1"/>
  <c r="T550" i="1"/>
  <c r="Q550" i="1"/>
  <c r="O550" i="1"/>
  <c r="L550" i="1"/>
  <c r="J550" i="1"/>
  <c r="G550" i="1"/>
  <c r="E550" i="1"/>
  <c r="B550" i="1"/>
  <c r="AN549" i="1"/>
  <c r="AK549" i="1"/>
  <c r="AI549" i="1"/>
  <c r="AF549" i="1"/>
  <c r="AD549" i="1"/>
  <c r="AA549" i="1"/>
  <c r="Y549" i="1"/>
  <c r="V549" i="1"/>
  <c r="T549" i="1"/>
  <c r="Q549" i="1"/>
  <c r="O549" i="1"/>
  <c r="L549" i="1"/>
  <c r="J549" i="1"/>
  <c r="G549" i="1"/>
  <c r="E549" i="1"/>
  <c r="B549" i="1"/>
  <c r="AN548" i="1"/>
  <c r="AK548" i="1"/>
  <c r="AI548" i="1"/>
  <c r="AF548" i="1"/>
  <c r="AD548" i="1"/>
  <c r="AA548" i="1"/>
  <c r="Y548" i="1"/>
  <c r="V548" i="1"/>
  <c r="T548" i="1"/>
  <c r="Q548" i="1"/>
  <c r="O548" i="1"/>
  <c r="L548" i="1"/>
  <c r="J548" i="1"/>
  <c r="G548" i="1"/>
  <c r="E548" i="1"/>
  <c r="B548" i="1"/>
  <c r="AN541" i="1"/>
  <c r="AK541" i="1"/>
  <c r="AI541" i="1"/>
  <c r="AF541" i="1"/>
  <c r="AD541" i="1"/>
  <c r="AA541" i="1"/>
  <c r="Y541" i="1"/>
  <c r="V541" i="1"/>
  <c r="T541" i="1"/>
  <c r="Q541" i="1"/>
  <c r="O541" i="1"/>
  <c r="L541" i="1"/>
  <c r="J541" i="1"/>
  <c r="G541" i="1"/>
  <c r="E541" i="1"/>
  <c r="B541" i="1"/>
  <c r="AN540" i="1"/>
  <c r="AK540" i="1"/>
  <c r="AI540" i="1"/>
  <c r="AF540" i="1"/>
  <c r="AD540" i="1"/>
  <c r="AA540" i="1"/>
  <c r="Y540" i="1"/>
  <c r="V540" i="1"/>
  <c r="T540" i="1"/>
  <c r="Q540" i="1"/>
  <c r="O540" i="1"/>
  <c r="L540" i="1"/>
  <c r="J540" i="1"/>
  <c r="G540" i="1"/>
  <c r="E540" i="1"/>
  <c r="B540" i="1"/>
  <c r="AN539" i="1"/>
  <c r="AK539" i="1"/>
  <c r="AI539" i="1"/>
  <c r="AF539" i="1"/>
  <c r="AD539" i="1"/>
  <c r="AA539" i="1"/>
  <c r="Y539" i="1"/>
  <c r="V539" i="1"/>
  <c r="T539" i="1"/>
  <c r="Q539" i="1"/>
  <c r="O539" i="1"/>
  <c r="L539" i="1"/>
  <c r="J539" i="1"/>
  <c r="G539" i="1"/>
  <c r="E539" i="1"/>
  <c r="B539" i="1"/>
  <c r="AN538" i="1"/>
  <c r="AK538" i="1"/>
  <c r="AI538" i="1"/>
  <c r="AF538" i="1"/>
  <c r="AD538" i="1"/>
  <c r="AA538" i="1"/>
  <c r="Y538" i="1"/>
  <c r="V538" i="1"/>
  <c r="T538" i="1"/>
  <c r="Q538" i="1"/>
  <c r="O538" i="1"/>
  <c r="L538" i="1"/>
  <c r="J538" i="1"/>
  <c r="G538" i="1"/>
  <c r="E538" i="1"/>
  <c r="B538" i="1"/>
  <c r="AN537" i="1"/>
  <c r="AK537" i="1"/>
  <c r="AI537" i="1"/>
  <c r="AF537" i="1"/>
  <c r="AD537" i="1"/>
  <c r="AA537" i="1"/>
  <c r="Y537" i="1"/>
  <c r="V537" i="1"/>
  <c r="T537" i="1"/>
  <c r="Q537" i="1"/>
  <c r="O537" i="1"/>
  <c r="L537" i="1"/>
  <c r="J537" i="1"/>
  <c r="G537" i="1"/>
  <c r="E537" i="1"/>
  <c r="B537" i="1"/>
  <c r="AN536" i="1"/>
  <c r="AK536" i="1"/>
  <c r="AI536" i="1"/>
  <c r="AF536" i="1"/>
  <c r="AD536" i="1"/>
  <c r="AA536" i="1"/>
  <c r="Y536" i="1"/>
  <c r="V536" i="1"/>
  <c r="T536" i="1"/>
  <c r="Q536" i="1"/>
  <c r="O536" i="1"/>
  <c r="L536" i="1"/>
  <c r="J536" i="1"/>
  <c r="G536" i="1"/>
  <c r="E536" i="1"/>
  <c r="B536" i="1"/>
  <c r="AN535" i="1"/>
  <c r="AK535" i="1"/>
  <c r="AI535" i="1"/>
  <c r="AF535" i="1"/>
  <c r="AD535" i="1"/>
  <c r="AA535" i="1"/>
  <c r="Y535" i="1"/>
  <c r="V535" i="1"/>
  <c r="T535" i="1"/>
  <c r="Q535" i="1"/>
  <c r="O535" i="1"/>
  <c r="L535" i="1"/>
  <c r="J535" i="1"/>
  <c r="G535" i="1"/>
  <c r="E535" i="1"/>
  <c r="B535" i="1"/>
  <c r="AN534" i="1"/>
  <c r="AK534" i="1"/>
  <c r="AI534" i="1"/>
  <c r="AF534" i="1"/>
  <c r="AD534" i="1"/>
  <c r="AA534" i="1"/>
  <c r="Y534" i="1"/>
  <c r="V534" i="1"/>
  <c r="T534" i="1"/>
  <c r="Q534" i="1"/>
  <c r="O534" i="1"/>
  <c r="L534" i="1"/>
  <c r="J534" i="1"/>
  <c r="G534" i="1"/>
  <c r="E534" i="1"/>
  <c r="B534" i="1"/>
  <c r="AN533" i="1"/>
  <c r="AK533" i="1"/>
  <c r="AI533" i="1"/>
  <c r="AF533" i="1"/>
  <c r="AD533" i="1"/>
  <c r="AA533" i="1"/>
  <c r="Y533" i="1"/>
  <c r="V533" i="1"/>
  <c r="T533" i="1"/>
  <c r="Q533" i="1"/>
  <c r="O533" i="1"/>
  <c r="L533" i="1"/>
  <c r="J533" i="1"/>
  <c r="G533" i="1"/>
  <c r="E533" i="1"/>
  <c r="B533" i="1"/>
  <c r="AN532" i="1"/>
  <c r="AK532" i="1"/>
  <c r="AI532" i="1"/>
  <c r="AF532" i="1"/>
  <c r="AD532" i="1"/>
  <c r="AA532" i="1"/>
  <c r="Y532" i="1"/>
  <c r="V532" i="1"/>
  <c r="T532" i="1"/>
  <c r="Q532" i="1"/>
  <c r="O532" i="1"/>
  <c r="L532" i="1"/>
  <c r="J532" i="1"/>
  <c r="G532" i="1"/>
  <c r="E532" i="1"/>
  <c r="B532" i="1"/>
  <c r="AN531" i="1"/>
  <c r="AK531" i="1"/>
  <c r="AI531" i="1"/>
  <c r="AF531" i="1"/>
  <c r="AD531" i="1"/>
  <c r="AA531" i="1"/>
  <c r="Y531" i="1"/>
  <c r="V531" i="1"/>
  <c r="T531" i="1"/>
  <c r="Q531" i="1"/>
  <c r="O531" i="1"/>
  <c r="L531" i="1"/>
  <c r="J531" i="1"/>
  <c r="G531" i="1"/>
  <c r="E531" i="1"/>
  <c r="B531" i="1"/>
  <c r="AN530" i="1"/>
  <c r="AK530" i="1"/>
  <c r="AI530" i="1"/>
  <c r="AF530" i="1"/>
  <c r="AD530" i="1"/>
  <c r="AA530" i="1"/>
  <c r="Y530" i="1"/>
  <c r="V530" i="1"/>
  <c r="T530" i="1"/>
  <c r="Q530" i="1"/>
  <c r="O530" i="1"/>
  <c r="L530" i="1"/>
  <c r="J530" i="1"/>
  <c r="G530" i="1"/>
  <c r="E530" i="1"/>
  <c r="B530" i="1"/>
  <c r="AN529" i="1"/>
  <c r="AK529" i="1"/>
  <c r="AI529" i="1"/>
  <c r="AF529" i="1"/>
  <c r="AD529" i="1"/>
  <c r="AA529" i="1"/>
  <c r="Y529" i="1"/>
  <c r="V529" i="1"/>
  <c r="T529" i="1"/>
  <c r="Q529" i="1"/>
  <c r="O529" i="1"/>
  <c r="L529" i="1"/>
  <c r="J529" i="1"/>
  <c r="G529" i="1"/>
  <c r="E529" i="1"/>
  <c r="B529" i="1"/>
  <c r="AN528" i="1"/>
  <c r="AK528" i="1"/>
  <c r="AI528" i="1"/>
  <c r="AF528" i="1"/>
  <c r="AD528" i="1"/>
  <c r="AA528" i="1"/>
  <c r="Y528" i="1"/>
  <c r="V528" i="1"/>
  <c r="T528" i="1"/>
  <c r="Q528" i="1"/>
  <c r="O528" i="1"/>
  <c r="L528" i="1"/>
  <c r="J528" i="1"/>
  <c r="G528" i="1"/>
  <c r="E528" i="1"/>
  <c r="B528" i="1"/>
  <c r="AN527" i="1"/>
  <c r="AK527" i="1"/>
  <c r="AI527" i="1"/>
  <c r="AF527" i="1"/>
  <c r="AD527" i="1"/>
  <c r="AA527" i="1"/>
  <c r="Y527" i="1"/>
  <c r="V527" i="1"/>
  <c r="T527" i="1"/>
  <c r="Q527" i="1"/>
  <c r="O527" i="1"/>
  <c r="L527" i="1"/>
  <c r="J527" i="1"/>
  <c r="G527" i="1"/>
  <c r="E527" i="1"/>
  <c r="B527" i="1"/>
  <c r="AN526" i="1"/>
  <c r="AK526" i="1"/>
  <c r="AI526" i="1"/>
  <c r="AF526" i="1"/>
  <c r="AD526" i="1"/>
  <c r="AA526" i="1"/>
  <c r="Y526" i="1"/>
  <c r="V526" i="1"/>
  <c r="T526" i="1"/>
  <c r="Q526" i="1"/>
  <c r="O526" i="1"/>
  <c r="L526" i="1"/>
  <c r="J526" i="1"/>
  <c r="G526" i="1"/>
  <c r="E526" i="1"/>
  <c r="B526" i="1"/>
  <c r="AN525" i="1"/>
  <c r="AK525" i="1"/>
  <c r="AI525" i="1"/>
  <c r="AF525" i="1"/>
  <c r="AD525" i="1"/>
  <c r="AA525" i="1"/>
  <c r="Y525" i="1"/>
  <c r="V525" i="1"/>
  <c r="T525" i="1"/>
  <c r="Q525" i="1"/>
  <c r="O525" i="1"/>
  <c r="L525" i="1"/>
  <c r="J525" i="1"/>
  <c r="G525" i="1"/>
  <c r="E525" i="1"/>
  <c r="B525" i="1"/>
  <c r="AN524" i="1"/>
  <c r="AK524" i="1"/>
  <c r="AI524" i="1"/>
  <c r="AF524" i="1"/>
  <c r="AD524" i="1"/>
  <c r="AA524" i="1"/>
  <c r="Y524" i="1"/>
  <c r="V524" i="1"/>
  <c r="T524" i="1"/>
  <c r="Q524" i="1"/>
  <c r="O524" i="1"/>
  <c r="L524" i="1"/>
  <c r="J524" i="1"/>
  <c r="G524" i="1"/>
  <c r="E524" i="1"/>
  <c r="B524" i="1"/>
  <c r="AN523" i="1"/>
  <c r="AK523" i="1"/>
  <c r="AI523" i="1"/>
  <c r="AF523" i="1"/>
  <c r="AD523" i="1"/>
  <c r="AA523" i="1"/>
  <c r="Y523" i="1"/>
  <c r="V523" i="1"/>
  <c r="T523" i="1"/>
  <c r="Q523" i="1"/>
  <c r="O523" i="1"/>
  <c r="L523" i="1"/>
  <c r="J523" i="1"/>
  <c r="G523" i="1"/>
  <c r="E523" i="1"/>
  <c r="B523" i="1"/>
  <c r="AN522" i="1"/>
  <c r="AK522" i="1"/>
  <c r="AI522" i="1"/>
  <c r="AF522" i="1"/>
  <c r="AD522" i="1"/>
  <c r="AA522" i="1"/>
  <c r="Y522" i="1"/>
  <c r="V522" i="1"/>
  <c r="T522" i="1"/>
  <c r="Q522" i="1"/>
  <c r="O522" i="1"/>
  <c r="L522" i="1"/>
  <c r="J522" i="1"/>
  <c r="G522" i="1"/>
  <c r="E522" i="1"/>
  <c r="B522" i="1"/>
  <c r="AN521" i="1"/>
  <c r="AK521" i="1"/>
  <c r="AI521" i="1"/>
  <c r="AF521" i="1"/>
  <c r="AD521" i="1"/>
  <c r="AA521" i="1"/>
  <c r="Y521" i="1"/>
  <c r="V521" i="1"/>
  <c r="T521" i="1"/>
  <c r="Q521" i="1"/>
  <c r="O521" i="1"/>
  <c r="L521" i="1"/>
  <c r="J521" i="1"/>
  <c r="G521" i="1"/>
  <c r="E521" i="1"/>
  <c r="B521" i="1"/>
  <c r="AN511" i="1"/>
  <c r="AK511" i="1"/>
  <c r="AI511" i="1"/>
  <c r="AF511" i="1"/>
  <c r="AD511" i="1"/>
  <c r="AA511" i="1"/>
  <c r="Y511" i="1"/>
  <c r="V511" i="1"/>
  <c r="T511" i="1"/>
  <c r="Q511" i="1"/>
  <c r="O511" i="1"/>
  <c r="L511" i="1"/>
  <c r="J511" i="1"/>
  <c r="G511" i="1"/>
  <c r="E511" i="1"/>
  <c r="B511" i="1"/>
  <c r="AN510" i="1"/>
  <c r="AK510" i="1"/>
  <c r="AI510" i="1"/>
  <c r="AF510" i="1"/>
  <c r="AD510" i="1"/>
  <c r="AA510" i="1"/>
  <c r="Y510" i="1"/>
  <c r="V510" i="1"/>
  <c r="T510" i="1"/>
  <c r="Q510" i="1"/>
  <c r="O510" i="1"/>
  <c r="L510" i="1"/>
  <c r="J510" i="1"/>
  <c r="G510" i="1"/>
  <c r="E510" i="1"/>
  <c r="B510" i="1"/>
  <c r="AN509" i="1"/>
  <c r="AK509" i="1"/>
  <c r="AI509" i="1"/>
  <c r="AF509" i="1"/>
  <c r="AD509" i="1"/>
  <c r="AA509" i="1"/>
  <c r="Y509" i="1"/>
  <c r="V509" i="1"/>
  <c r="T509" i="1"/>
  <c r="Q509" i="1"/>
  <c r="O509" i="1"/>
  <c r="L509" i="1"/>
  <c r="J509" i="1"/>
  <c r="G509" i="1"/>
  <c r="E509" i="1"/>
  <c r="B509" i="1"/>
  <c r="AN508" i="1"/>
  <c r="AK508" i="1"/>
  <c r="AI508" i="1"/>
  <c r="AF508" i="1"/>
  <c r="AD508" i="1"/>
  <c r="AA508" i="1"/>
  <c r="Y508" i="1"/>
  <c r="V508" i="1"/>
  <c r="T508" i="1"/>
  <c r="Q508" i="1"/>
  <c r="O508" i="1"/>
  <c r="L508" i="1"/>
  <c r="J508" i="1"/>
  <c r="G508" i="1"/>
  <c r="E508" i="1"/>
  <c r="B508" i="1"/>
  <c r="AN507" i="1"/>
  <c r="AK507" i="1"/>
  <c r="AI507" i="1"/>
  <c r="AF507" i="1"/>
  <c r="AD507" i="1"/>
  <c r="AA507" i="1"/>
  <c r="Y507" i="1"/>
  <c r="V507" i="1"/>
  <c r="T507" i="1"/>
  <c r="Q507" i="1"/>
  <c r="O507" i="1"/>
  <c r="L507" i="1"/>
  <c r="J507" i="1"/>
  <c r="G507" i="1"/>
  <c r="E507" i="1"/>
  <c r="B507" i="1"/>
  <c r="AN506" i="1"/>
  <c r="AK506" i="1"/>
  <c r="AI506" i="1"/>
  <c r="AF506" i="1"/>
  <c r="AD506" i="1"/>
  <c r="AA506" i="1"/>
  <c r="Y506" i="1"/>
  <c r="V506" i="1"/>
  <c r="T506" i="1"/>
  <c r="Q506" i="1"/>
  <c r="O506" i="1"/>
  <c r="L506" i="1"/>
  <c r="J506" i="1"/>
  <c r="G506" i="1"/>
  <c r="E506" i="1"/>
  <c r="B506" i="1"/>
  <c r="AN505" i="1"/>
  <c r="AK505" i="1"/>
  <c r="AI505" i="1"/>
  <c r="AF505" i="1"/>
  <c r="AD505" i="1"/>
  <c r="AA505" i="1"/>
  <c r="Y505" i="1"/>
  <c r="V505" i="1"/>
  <c r="T505" i="1"/>
  <c r="Q505" i="1"/>
  <c r="O505" i="1"/>
  <c r="L505" i="1"/>
  <c r="J505" i="1"/>
  <c r="G505" i="1"/>
  <c r="E505" i="1"/>
  <c r="B505" i="1"/>
  <c r="AN504" i="1"/>
  <c r="AK504" i="1"/>
  <c r="AI504" i="1"/>
  <c r="AF504" i="1"/>
  <c r="AD504" i="1"/>
  <c r="AA504" i="1"/>
  <c r="Y504" i="1"/>
  <c r="V504" i="1"/>
  <c r="T504" i="1"/>
  <c r="Q504" i="1"/>
  <c r="O504" i="1"/>
  <c r="L504" i="1"/>
  <c r="J504" i="1"/>
  <c r="G504" i="1"/>
  <c r="E504" i="1"/>
  <c r="B504" i="1"/>
  <c r="AN503" i="1"/>
  <c r="AK503" i="1"/>
  <c r="AI503" i="1"/>
  <c r="AF503" i="1"/>
  <c r="AD503" i="1"/>
  <c r="AA503" i="1"/>
  <c r="Y503" i="1"/>
  <c r="V503" i="1"/>
  <c r="T503" i="1"/>
  <c r="Q503" i="1"/>
  <c r="O503" i="1"/>
  <c r="L503" i="1"/>
  <c r="J503" i="1"/>
  <c r="G503" i="1"/>
  <c r="E503" i="1"/>
  <c r="B503" i="1"/>
  <c r="AN502" i="1"/>
  <c r="AK502" i="1"/>
  <c r="AI502" i="1"/>
  <c r="AF502" i="1"/>
  <c r="AD502" i="1"/>
  <c r="AA502" i="1"/>
  <c r="Y502" i="1"/>
  <c r="V502" i="1"/>
  <c r="T502" i="1"/>
  <c r="Q502" i="1"/>
  <c r="O502" i="1"/>
  <c r="L502" i="1"/>
  <c r="J502" i="1"/>
  <c r="G502" i="1"/>
  <c r="E502" i="1"/>
  <c r="B502" i="1"/>
  <c r="AN501" i="1"/>
  <c r="AK501" i="1"/>
  <c r="AI501" i="1"/>
  <c r="AF501" i="1"/>
  <c r="AD501" i="1"/>
  <c r="AA501" i="1"/>
  <c r="Y501" i="1"/>
  <c r="V501" i="1"/>
  <c r="T501" i="1"/>
  <c r="Q501" i="1"/>
  <c r="O501" i="1"/>
  <c r="L501" i="1"/>
  <c r="J501" i="1"/>
  <c r="G501" i="1"/>
  <c r="E501" i="1"/>
  <c r="B501" i="1"/>
  <c r="AN500" i="1"/>
  <c r="AK500" i="1"/>
  <c r="AI500" i="1"/>
  <c r="AF500" i="1"/>
  <c r="AD500" i="1"/>
  <c r="AA500" i="1"/>
  <c r="Y500" i="1"/>
  <c r="V500" i="1"/>
  <c r="T500" i="1"/>
  <c r="Q500" i="1"/>
  <c r="O500" i="1"/>
  <c r="L500" i="1"/>
  <c r="J500" i="1"/>
  <c r="G500" i="1"/>
  <c r="E500" i="1"/>
  <c r="B500" i="1"/>
  <c r="AN499" i="1"/>
  <c r="AK499" i="1"/>
  <c r="AI499" i="1"/>
  <c r="AF499" i="1"/>
  <c r="AD499" i="1"/>
  <c r="AA499" i="1"/>
  <c r="Y499" i="1"/>
  <c r="V499" i="1"/>
  <c r="T499" i="1"/>
  <c r="Q499" i="1"/>
  <c r="O499" i="1"/>
  <c r="L499" i="1"/>
  <c r="J499" i="1"/>
  <c r="G499" i="1"/>
  <c r="E499" i="1"/>
  <c r="B499" i="1"/>
  <c r="AN498" i="1"/>
  <c r="AK498" i="1"/>
  <c r="AI498" i="1"/>
  <c r="AF498" i="1"/>
  <c r="AD498" i="1"/>
  <c r="AA498" i="1"/>
  <c r="Y498" i="1"/>
  <c r="V498" i="1"/>
  <c r="T498" i="1"/>
  <c r="Q498" i="1"/>
  <c r="O498" i="1"/>
  <c r="L498" i="1"/>
  <c r="J498" i="1"/>
  <c r="G498" i="1"/>
  <c r="E498" i="1"/>
  <c r="B498" i="1"/>
  <c r="AN497" i="1"/>
  <c r="AK497" i="1"/>
  <c r="AI497" i="1"/>
  <c r="AF497" i="1"/>
  <c r="AD497" i="1"/>
  <c r="AA497" i="1"/>
  <c r="Y497" i="1"/>
  <c r="V497" i="1"/>
  <c r="T497" i="1"/>
  <c r="Q497" i="1"/>
  <c r="O497" i="1"/>
  <c r="L497" i="1"/>
  <c r="J497" i="1"/>
  <c r="G497" i="1"/>
  <c r="E497" i="1"/>
  <c r="B497" i="1"/>
  <c r="AN496" i="1"/>
  <c r="AK496" i="1"/>
  <c r="AI496" i="1"/>
  <c r="AF496" i="1"/>
  <c r="AD496" i="1"/>
  <c r="AA496" i="1"/>
  <c r="Y496" i="1"/>
  <c r="V496" i="1"/>
  <c r="T496" i="1"/>
  <c r="Q496" i="1"/>
  <c r="O496" i="1"/>
  <c r="L496" i="1"/>
  <c r="J496" i="1"/>
  <c r="G496" i="1"/>
  <c r="E496" i="1"/>
  <c r="B496" i="1"/>
  <c r="AN495" i="1"/>
  <c r="AK495" i="1"/>
  <c r="AI495" i="1"/>
  <c r="AF495" i="1"/>
  <c r="AD495" i="1"/>
  <c r="AA495" i="1"/>
  <c r="Y495" i="1"/>
  <c r="V495" i="1"/>
  <c r="T495" i="1"/>
  <c r="Q495" i="1"/>
  <c r="O495" i="1"/>
  <c r="L495" i="1"/>
  <c r="J495" i="1"/>
  <c r="G495" i="1"/>
  <c r="E495" i="1"/>
  <c r="B495" i="1"/>
  <c r="AN494" i="1"/>
  <c r="AK494" i="1"/>
  <c r="AI494" i="1"/>
  <c r="AF494" i="1"/>
  <c r="AD494" i="1"/>
  <c r="AA494" i="1"/>
  <c r="Y494" i="1"/>
  <c r="V494" i="1"/>
  <c r="T494" i="1"/>
  <c r="Q494" i="1"/>
  <c r="O494" i="1"/>
  <c r="L494" i="1"/>
  <c r="J494" i="1"/>
  <c r="G494" i="1"/>
  <c r="E494" i="1"/>
  <c r="B494" i="1"/>
  <c r="AN493" i="1"/>
  <c r="AK493" i="1"/>
  <c r="AI493" i="1"/>
  <c r="AF493" i="1"/>
  <c r="AD493" i="1"/>
  <c r="AA493" i="1"/>
  <c r="Y493" i="1"/>
  <c r="V493" i="1"/>
  <c r="T493" i="1"/>
  <c r="Q493" i="1"/>
  <c r="O493" i="1"/>
  <c r="L493" i="1"/>
  <c r="J493" i="1"/>
  <c r="G493" i="1"/>
  <c r="E493" i="1"/>
  <c r="B493" i="1"/>
  <c r="AN492" i="1"/>
  <c r="AK492" i="1"/>
  <c r="AI492" i="1"/>
  <c r="AF492" i="1"/>
  <c r="AD492" i="1"/>
  <c r="AA492" i="1"/>
  <c r="Y492" i="1"/>
  <c r="V492" i="1"/>
  <c r="T492" i="1"/>
  <c r="Q492" i="1"/>
  <c r="O492" i="1"/>
  <c r="L492" i="1"/>
  <c r="J492" i="1"/>
  <c r="G492" i="1"/>
  <c r="E492" i="1"/>
  <c r="B492" i="1"/>
  <c r="AN491" i="1"/>
  <c r="AK491" i="1"/>
  <c r="AI491" i="1"/>
  <c r="AF491" i="1"/>
  <c r="AD491" i="1"/>
  <c r="AA491" i="1"/>
  <c r="Y491" i="1"/>
  <c r="V491" i="1"/>
  <c r="T491" i="1"/>
  <c r="Q491" i="1"/>
  <c r="O491" i="1"/>
  <c r="L491" i="1"/>
  <c r="J491" i="1"/>
  <c r="G491" i="1"/>
  <c r="E491" i="1"/>
  <c r="B491" i="1"/>
  <c r="AN484" i="1"/>
  <c r="AK484" i="1"/>
  <c r="AI484" i="1"/>
  <c r="AF484" i="1"/>
  <c r="AD484" i="1"/>
  <c r="AA484" i="1"/>
  <c r="Y484" i="1"/>
  <c r="V484" i="1"/>
  <c r="T484" i="1"/>
  <c r="Q484" i="1"/>
  <c r="O484" i="1"/>
  <c r="L484" i="1"/>
  <c r="J484" i="1"/>
  <c r="G484" i="1"/>
  <c r="E484" i="1"/>
  <c r="B484" i="1"/>
  <c r="AN483" i="1"/>
  <c r="AK483" i="1"/>
  <c r="AI483" i="1"/>
  <c r="AF483" i="1"/>
  <c r="AD483" i="1"/>
  <c r="AA483" i="1"/>
  <c r="Y483" i="1"/>
  <c r="V483" i="1"/>
  <c r="T483" i="1"/>
  <c r="Q483" i="1"/>
  <c r="O483" i="1"/>
  <c r="L483" i="1"/>
  <c r="J483" i="1"/>
  <c r="G483" i="1"/>
  <c r="E483" i="1"/>
  <c r="B483" i="1"/>
  <c r="AN482" i="1"/>
  <c r="AK482" i="1"/>
  <c r="AI482" i="1"/>
  <c r="AF482" i="1"/>
  <c r="AD482" i="1"/>
  <c r="AA482" i="1"/>
  <c r="Y482" i="1"/>
  <c r="V482" i="1"/>
  <c r="T482" i="1"/>
  <c r="Q482" i="1"/>
  <c r="O482" i="1"/>
  <c r="L482" i="1"/>
  <c r="J482" i="1"/>
  <c r="G482" i="1"/>
  <c r="E482" i="1"/>
  <c r="B482" i="1"/>
  <c r="AN481" i="1"/>
  <c r="AK481" i="1"/>
  <c r="AI481" i="1"/>
  <c r="AF481" i="1"/>
  <c r="AD481" i="1"/>
  <c r="AA481" i="1"/>
  <c r="Y481" i="1"/>
  <c r="V481" i="1"/>
  <c r="T481" i="1"/>
  <c r="Q481" i="1"/>
  <c r="O481" i="1"/>
  <c r="L481" i="1"/>
  <c r="J481" i="1"/>
  <c r="G481" i="1"/>
  <c r="E481" i="1"/>
  <c r="B481" i="1"/>
  <c r="AN480" i="1"/>
  <c r="AK480" i="1"/>
  <c r="AI480" i="1"/>
  <c r="AF480" i="1"/>
  <c r="AD480" i="1"/>
  <c r="AA480" i="1"/>
  <c r="Y480" i="1"/>
  <c r="V480" i="1"/>
  <c r="T480" i="1"/>
  <c r="Q480" i="1"/>
  <c r="O480" i="1"/>
  <c r="L480" i="1"/>
  <c r="J480" i="1"/>
  <c r="G480" i="1"/>
  <c r="E480" i="1"/>
  <c r="B480" i="1"/>
  <c r="AN479" i="1"/>
  <c r="AK479" i="1"/>
  <c r="AI479" i="1"/>
  <c r="AF479" i="1"/>
  <c r="AD479" i="1"/>
  <c r="AA479" i="1"/>
  <c r="Y479" i="1"/>
  <c r="V479" i="1"/>
  <c r="T479" i="1"/>
  <c r="Q479" i="1"/>
  <c r="O479" i="1"/>
  <c r="L479" i="1"/>
  <c r="J479" i="1"/>
  <c r="G479" i="1"/>
  <c r="E479" i="1"/>
  <c r="B479" i="1"/>
  <c r="AN478" i="1"/>
  <c r="AK478" i="1"/>
  <c r="AI478" i="1"/>
  <c r="AF478" i="1"/>
  <c r="AD478" i="1"/>
  <c r="AA478" i="1"/>
  <c r="Y478" i="1"/>
  <c r="V478" i="1"/>
  <c r="T478" i="1"/>
  <c r="Q478" i="1"/>
  <c r="O478" i="1"/>
  <c r="L478" i="1"/>
  <c r="J478" i="1"/>
  <c r="G478" i="1"/>
  <c r="E478" i="1"/>
  <c r="B478" i="1"/>
  <c r="AN477" i="1"/>
  <c r="AK477" i="1"/>
  <c r="AI477" i="1"/>
  <c r="AF477" i="1"/>
  <c r="AD477" i="1"/>
  <c r="AA477" i="1"/>
  <c r="Y477" i="1"/>
  <c r="V477" i="1"/>
  <c r="T477" i="1"/>
  <c r="Q477" i="1"/>
  <c r="O477" i="1"/>
  <c r="L477" i="1"/>
  <c r="J477" i="1"/>
  <c r="G477" i="1"/>
  <c r="E477" i="1"/>
  <c r="B477" i="1"/>
  <c r="AN476" i="1"/>
  <c r="AK476" i="1"/>
  <c r="AI476" i="1"/>
  <c r="AF476" i="1"/>
  <c r="AD476" i="1"/>
  <c r="AA476" i="1"/>
  <c r="Y476" i="1"/>
  <c r="V476" i="1"/>
  <c r="T476" i="1"/>
  <c r="Q476" i="1"/>
  <c r="O476" i="1"/>
  <c r="L476" i="1"/>
  <c r="J476" i="1"/>
  <c r="G476" i="1"/>
  <c r="E476" i="1"/>
  <c r="B476" i="1"/>
  <c r="AN475" i="1"/>
  <c r="AK475" i="1"/>
  <c r="AI475" i="1"/>
  <c r="AF475" i="1"/>
  <c r="AD475" i="1"/>
  <c r="AA475" i="1"/>
  <c r="Y475" i="1"/>
  <c r="V475" i="1"/>
  <c r="T475" i="1"/>
  <c r="Q475" i="1"/>
  <c r="O475" i="1"/>
  <c r="L475" i="1"/>
  <c r="J475" i="1"/>
  <c r="G475" i="1"/>
  <c r="E475" i="1"/>
  <c r="B475" i="1"/>
  <c r="AN474" i="1"/>
  <c r="AK474" i="1"/>
  <c r="AI474" i="1"/>
  <c r="AF474" i="1"/>
  <c r="AD474" i="1"/>
  <c r="AA474" i="1"/>
  <c r="Y474" i="1"/>
  <c r="V474" i="1"/>
  <c r="T474" i="1"/>
  <c r="Q474" i="1"/>
  <c r="O474" i="1"/>
  <c r="L474" i="1"/>
  <c r="J474" i="1"/>
  <c r="G474" i="1"/>
  <c r="E474" i="1"/>
  <c r="B474" i="1"/>
  <c r="AN473" i="1"/>
  <c r="AK473" i="1"/>
  <c r="AI473" i="1"/>
  <c r="AF473" i="1"/>
  <c r="AD473" i="1"/>
  <c r="AA473" i="1"/>
  <c r="Y473" i="1"/>
  <c r="V473" i="1"/>
  <c r="T473" i="1"/>
  <c r="Q473" i="1"/>
  <c r="O473" i="1"/>
  <c r="L473" i="1"/>
  <c r="J473" i="1"/>
  <c r="G473" i="1"/>
  <c r="E473" i="1"/>
  <c r="B473" i="1"/>
  <c r="AN472" i="1"/>
  <c r="AK472" i="1"/>
  <c r="AI472" i="1"/>
  <c r="AF472" i="1"/>
  <c r="AD472" i="1"/>
  <c r="AA472" i="1"/>
  <c r="Y472" i="1"/>
  <c r="V472" i="1"/>
  <c r="T472" i="1"/>
  <c r="Q472" i="1"/>
  <c r="O472" i="1"/>
  <c r="L472" i="1"/>
  <c r="J472" i="1"/>
  <c r="G472" i="1"/>
  <c r="E472" i="1"/>
  <c r="B472" i="1"/>
  <c r="AN471" i="1"/>
  <c r="AK471" i="1"/>
  <c r="AI471" i="1"/>
  <c r="AF471" i="1"/>
  <c r="AD471" i="1"/>
  <c r="AA471" i="1"/>
  <c r="Y471" i="1"/>
  <c r="V471" i="1"/>
  <c r="T471" i="1"/>
  <c r="Q471" i="1"/>
  <c r="O471" i="1"/>
  <c r="L471" i="1"/>
  <c r="J471" i="1"/>
  <c r="G471" i="1"/>
  <c r="E471" i="1"/>
  <c r="B471" i="1"/>
  <c r="AN470" i="1"/>
  <c r="AK470" i="1"/>
  <c r="AI470" i="1"/>
  <c r="AF470" i="1"/>
  <c r="AD470" i="1"/>
  <c r="AA470" i="1"/>
  <c r="Y470" i="1"/>
  <c r="V470" i="1"/>
  <c r="T470" i="1"/>
  <c r="Q470" i="1"/>
  <c r="O470" i="1"/>
  <c r="L470" i="1"/>
  <c r="J470" i="1"/>
  <c r="G470" i="1"/>
  <c r="E470" i="1"/>
  <c r="B470" i="1"/>
  <c r="AN469" i="1"/>
  <c r="AK469" i="1"/>
  <c r="AI469" i="1"/>
  <c r="AF469" i="1"/>
  <c r="AD469" i="1"/>
  <c r="AA469" i="1"/>
  <c r="Y469" i="1"/>
  <c r="V469" i="1"/>
  <c r="T469" i="1"/>
  <c r="Q469" i="1"/>
  <c r="O469" i="1"/>
  <c r="L469" i="1"/>
  <c r="J469" i="1"/>
  <c r="G469" i="1"/>
  <c r="E469" i="1"/>
  <c r="B469" i="1"/>
  <c r="AN468" i="1"/>
  <c r="AK468" i="1"/>
  <c r="AI468" i="1"/>
  <c r="AF468" i="1"/>
  <c r="AD468" i="1"/>
  <c r="AA468" i="1"/>
  <c r="Y468" i="1"/>
  <c r="V468" i="1"/>
  <c r="T468" i="1"/>
  <c r="Q468" i="1"/>
  <c r="O468" i="1"/>
  <c r="L468" i="1"/>
  <c r="J468" i="1"/>
  <c r="G468" i="1"/>
  <c r="E468" i="1"/>
  <c r="B468" i="1"/>
  <c r="AN467" i="1"/>
  <c r="AK467" i="1"/>
  <c r="AI467" i="1"/>
  <c r="AF467" i="1"/>
  <c r="AD467" i="1"/>
  <c r="AA467" i="1"/>
  <c r="Y467" i="1"/>
  <c r="V467" i="1"/>
  <c r="T467" i="1"/>
  <c r="Q467" i="1"/>
  <c r="O467" i="1"/>
  <c r="L467" i="1"/>
  <c r="J467" i="1"/>
  <c r="G467" i="1"/>
  <c r="E467" i="1"/>
  <c r="B467" i="1"/>
  <c r="AN466" i="1"/>
  <c r="AK466" i="1"/>
  <c r="AI466" i="1"/>
  <c r="AF466" i="1"/>
  <c r="AD466" i="1"/>
  <c r="AA466" i="1"/>
  <c r="Y466" i="1"/>
  <c r="V466" i="1"/>
  <c r="T466" i="1"/>
  <c r="Q466" i="1"/>
  <c r="O466" i="1"/>
  <c r="L466" i="1"/>
  <c r="J466" i="1"/>
  <c r="G466" i="1"/>
  <c r="E466" i="1"/>
  <c r="B466" i="1"/>
  <c r="AN465" i="1"/>
  <c r="AK465" i="1"/>
  <c r="AI465" i="1"/>
  <c r="AF465" i="1"/>
  <c r="AD465" i="1"/>
  <c r="AA465" i="1"/>
  <c r="Y465" i="1"/>
  <c r="V465" i="1"/>
  <c r="T465" i="1"/>
  <c r="Q465" i="1"/>
  <c r="O465" i="1"/>
  <c r="L465" i="1"/>
  <c r="J465" i="1"/>
  <c r="G465" i="1"/>
  <c r="E465" i="1"/>
  <c r="B465" i="1"/>
  <c r="AN464" i="1"/>
  <c r="AK464" i="1"/>
  <c r="AI464" i="1"/>
  <c r="AF464" i="1"/>
  <c r="AD464" i="1"/>
  <c r="AA464" i="1"/>
  <c r="Y464" i="1"/>
  <c r="V464" i="1"/>
  <c r="T464" i="1"/>
  <c r="Q464" i="1"/>
  <c r="O464" i="1"/>
  <c r="L464" i="1"/>
  <c r="J464" i="1"/>
  <c r="G464" i="1"/>
  <c r="E464" i="1"/>
  <c r="B464" i="1"/>
  <c r="AN454" i="1"/>
  <c r="AK454" i="1"/>
  <c r="AI454" i="1"/>
  <c r="AF454" i="1"/>
  <c r="AD454" i="1"/>
  <c r="AA454" i="1"/>
  <c r="Y454" i="1"/>
  <c r="V454" i="1"/>
  <c r="T454" i="1"/>
  <c r="Q454" i="1"/>
  <c r="O454" i="1"/>
  <c r="L454" i="1"/>
  <c r="J454" i="1"/>
  <c r="G454" i="1"/>
  <c r="E454" i="1"/>
  <c r="B454" i="1"/>
  <c r="AN453" i="1"/>
  <c r="AK453" i="1"/>
  <c r="AI453" i="1"/>
  <c r="AF453" i="1"/>
  <c r="AD453" i="1"/>
  <c r="AA453" i="1"/>
  <c r="Y453" i="1"/>
  <c r="V453" i="1"/>
  <c r="T453" i="1"/>
  <c r="Q453" i="1"/>
  <c r="O453" i="1"/>
  <c r="L453" i="1"/>
  <c r="J453" i="1"/>
  <c r="G453" i="1"/>
  <c r="E453" i="1"/>
  <c r="B453" i="1"/>
  <c r="AN452" i="1"/>
  <c r="AK452" i="1"/>
  <c r="AI452" i="1"/>
  <c r="AF452" i="1"/>
  <c r="AD452" i="1"/>
  <c r="AA452" i="1"/>
  <c r="Y452" i="1"/>
  <c r="V452" i="1"/>
  <c r="T452" i="1"/>
  <c r="Q452" i="1"/>
  <c r="O452" i="1"/>
  <c r="L452" i="1"/>
  <c r="J452" i="1"/>
  <c r="G452" i="1"/>
  <c r="E452" i="1"/>
  <c r="B452" i="1"/>
  <c r="AN451" i="1"/>
  <c r="AK451" i="1"/>
  <c r="AI451" i="1"/>
  <c r="AF451" i="1"/>
  <c r="AD451" i="1"/>
  <c r="AA451" i="1"/>
  <c r="Y451" i="1"/>
  <c r="V451" i="1"/>
  <c r="T451" i="1"/>
  <c r="Q451" i="1"/>
  <c r="O451" i="1"/>
  <c r="L451" i="1"/>
  <c r="J451" i="1"/>
  <c r="G451" i="1"/>
  <c r="E451" i="1"/>
  <c r="B451" i="1"/>
  <c r="AN450" i="1"/>
  <c r="AK450" i="1"/>
  <c r="AI450" i="1"/>
  <c r="AF450" i="1"/>
  <c r="AD450" i="1"/>
  <c r="AA450" i="1"/>
  <c r="Y450" i="1"/>
  <c r="V450" i="1"/>
  <c r="T450" i="1"/>
  <c r="Q450" i="1"/>
  <c r="O450" i="1"/>
  <c r="L450" i="1"/>
  <c r="J450" i="1"/>
  <c r="G450" i="1"/>
  <c r="E450" i="1"/>
  <c r="B450" i="1"/>
  <c r="AN449" i="1"/>
  <c r="AK449" i="1"/>
  <c r="AI449" i="1"/>
  <c r="AF449" i="1"/>
  <c r="AD449" i="1"/>
  <c r="AA449" i="1"/>
  <c r="Y449" i="1"/>
  <c r="V449" i="1"/>
  <c r="T449" i="1"/>
  <c r="Q449" i="1"/>
  <c r="O449" i="1"/>
  <c r="L449" i="1"/>
  <c r="J449" i="1"/>
  <c r="G449" i="1"/>
  <c r="E449" i="1"/>
  <c r="B449" i="1"/>
  <c r="AN448" i="1"/>
  <c r="AK448" i="1"/>
  <c r="AI448" i="1"/>
  <c r="AF448" i="1"/>
  <c r="AD448" i="1"/>
  <c r="AA448" i="1"/>
  <c r="Y448" i="1"/>
  <c r="V448" i="1"/>
  <c r="T448" i="1"/>
  <c r="Q448" i="1"/>
  <c r="O448" i="1"/>
  <c r="L448" i="1"/>
  <c r="J448" i="1"/>
  <c r="G448" i="1"/>
  <c r="E448" i="1"/>
  <c r="B448" i="1"/>
  <c r="AN447" i="1"/>
  <c r="AK447" i="1"/>
  <c r="AI447" i="1"/>
  <c r="AF447" i="1"/>
  <c r="AD447" i="1"/>
  <c r="AA447" i="1"/>
  <c r="Y447" i="1"/>
  <c r="V447" i="1"/>
  <c r="T447" i="1"/>
  <c r="Q447" i="1"/>
  <c r="O447" i="1"/>
  <c r="L447" i="1"/>
  <c r="J447" i="1"/>
  <c r="G447" i="1"/>
  <c r="E447" i="1"/>
  <c r="B447" i="1"/>
  <c r="AN446" i="1"/>
  <c r="AK446" i="1"/>
  <c r="AI446" i="1"/>
  <c r="AF446" i="1"/>
  <c r="AD446" i="1"/>
  <c r="AA446" i="1"/>
  <c r="Y446" i="1"/>
  <c r="V446" i="1"/>
  <c r="T446" i="1"/>
  <c r="Q446" i="1"/>
  <c r="O446" i="1"/>
  <c r="L446" i="1"/>
  <c r="J446" i="1"/>
  <c r="G446" i="1"/>
  <c r="E446" i="1"/>
  <c r="B446" i="1"/>
  <c r="AN445" i="1"/>
  <c r="AK445" i="1"/>
  <c r="AI445" i="1"/>
  <c r="AF445" i="1"/>
  <c r="AD445" i="1"/>
  <c r="AA445" i="1"/>
  <c r="Y445" i="1"/>
  <c r="V445" i="1"/>
  <c r="T445" i="1"/>
  <c r="Q445" i="1"/>
  <c r="O445" i="1"/>
  <c r="L445" i="1"/>
  <c r="J445" i="1"/>
  <c r="G445" i="1"/>
  <c r="E445" i="1"/>
  <c r="B445" i="1"/>
  <c r="AN444" i="1"/>
  <c r="AK444" i="1"/>
  <c r="AI444" i="1"/>
  <c r="AF444" i="1"/>
  <c r="AD444" i="1"/>
  <c r="AA444" i="1"/>
  <c r="Y444" i="1"/>
  <c r="V444" i="1"/>
  <c r="T444" i="1"/>
  <c r="Q444" i="1"/>
  <c r="O444" i="1"/>
  <c r="L444" i="1"/>
  <c r="J444" i="1"/>
  <c r="G444" i="1"/>
  <c r="E444" i="1"/>
  <c r="B444" i="1"/>
  <c r="AN443" i="1"/>
  <c r="AK443" i="1"/>
  <c r="AI443" i="1"/>
  <c r="AF443" i="1"/>
  <c r="AD443" i="1"/>
  <c r="AA443" i="1"/>
  <c r="Y443" i="1"/>
  <c r="V443" i="1"/>
  <c r="T443" i="1"/>
  <c r="Q443" i="1"/>
  <c r="O443" i="1"/>
  <c r="L443" i="1"/>
  <c r="J443" i="1"/>
  <c r="G443" i="1"/>
  <c r="E443" i="1"/>
  <c r="B443" i="1"/>
  <c r="AN442" i="1"/>
  <c r="AK442" i="1"/>
  <c r="AI442" i="1"/>
  <c r="AF442" i="1"/>
  <c r="AD442" i="1"/>
  <c r="AA442" i="1"/>
  <c r="Y442" i="1"/>
  <c r="V442" i="1"/>
  <c r="T442" i="1"/>
  <c r="Q442" i="1"/>
  <c r="O442" i="1"/>
  <c r="L442" i="1"/>
  <c r="J442" i="1"/>
  <c r="G442" i="1"/>
  <c r="E442" i="1"/>
  <c r="B442" i="1"/>
  <c r="AN441" i="1"/>
  <c r="AK441" i="1"/>
  <c r="AI441" i="1"/>
  <c r="AF441" i="1"/>
  <c r="AD441" i="1"/>
  <c r="AA441" i="1"/>
  <c r="Y441" i="1"/>
  <c r="V441" i="1"/>
  <c r="T441" i="1"/>
  <c r="Q441" i="1"/>
  <c r="O441" i="1"/>
  <c r="L441" i="1"/>
  <c r="J441" i="1"/>
  <c r="G441" i="1"/>
  <c r="E441" i="1"/>
  <c r="B441" i="1"/>
  <c r="AN440" i="1"/>
  <c r="AK440" i="1"/>
  <c r="AI440" i="1"/>
  <c r="AF440" i="1"/>
  <c r="AD440" i="1"/>
  <c r="AA440" i="1"/>
  <c r="Y440" i="1"/>
  <c r="V440" i="1"/>
  <c r="T440" i="1"/>
  <c r="Q440" i="1"/>
  <c r="O440" i="1"/>
  <c r="L440" i="1"/>
  <c r="J440" i="1"/>
  <c r="G440" i="1"/>
  <c r="E440" i="1"/>
  <c r="B440" i="1"/>
  <c r="AN439" i="1"/>
  <c r="AK439" i="1"/>
  <c r="AI439" i="1"/>
  <c r="AF439" i="1"/>
  <c r="AD439" i="1"/>
  <c r="AA439" i="1"/>
  <c r="Y439" i="1"/>
  <c r="V439" i="1"/>
  <c r="T439" i="1"/>
  <c r="Q439" i="1"/>
  <c r="O439" i="1"/>
  <c r="L439" i="1"/>
  <c r="J439" i="1"/>
  <c r="G439" i="1"/>
  <c r="E439" i="1"/>
  <c r="B439" i="1"/>
  <c r="AN438" i="1"/>
  <c r="AK438" i="1"/>
  <c r="AI438" i="1"/>
  <c r="AF438" i="1"/>
  <c r="AD438" i="1"/>
  <c r="AA438" i="1"/>
  <c r="Y438" i="1"/>
  <c r="V438" i="1"/>
  <c r="T438" i="1"/>
  <c r="Q438" i="1"/>
  <c r="O438" i="1"/>
  <c r="L438" i="1"/>
  <c r="J438" i="1"/>
  <c r="G438" i="1"/>
  <c r="E438" i="1"/>
  <c r="B438" i="1"/>
  <c r="AN437" i="1"/>
  <c r="AK437" i="1"/>
  <c r="AI437" i="1"/>
  <c r="AF437" i="1"/>
  <c r="AD437" i="1"/>
  <c r="AA437" i="1"/>
  <c r="Y437" i="1"/>
  <c r="V437" i="1"/>
  <c r="T437" i="1"/>
  <c r="Q437" i="1"/>
  <c r="O437" i="1"/>
  <c r="L437" i="1"/>
  <c r="J437" i="1"/>
  <c r="G437" i="1"/>
  <c r="E437" i="1"/>
  <c r="B437" i="1"/>
  <c r="AN436" i="1"/>
  <c r="AK436" i="1"/>
  <c r="AI436" i="1"/>
  <c r="AF436" i="1"/>
  <c r="AD436" i="1"/>
  <c r="AA436" i="1"/>
  <c r="Y436" i="1"/>
  <c r="V436" i="1"/>
  <c r="T436" i="1"/>
  <c r="Q436" i="1"/>
  <c r="O436" i="1"/>
  <c r="L436" i="1"/>
  <c r="J436" i="1"/>
  <c r="G436" i="1"/>
  <c r="E436" i="1"/>
  <c r="B436" i="1"/>
  <c r="AN435" i="1"/>
  <c r="AK435" i="1"/>
  <c r="AI435" i="1"/>
  <c r="AF435" i="1"/>
  <c r="AD435" i="1"/>
  <c r="AA435" i="1"/>
  <c r="Y435" i="1"/>
  <c r="V435" i="1"/>
  <c r="T435" i="1"/>
  <c r="Q435" i="1"/>
  <c r="O435" i="1"/>
  <c r="L435" i="1"/>
  <c r="J435" i="1"/>
  <c r="G435" i="1"/>
  <c r="E435" i="1"/>
  <c r="B435" i="1"/>
  <c r="AN434" i="1"/>
  <c r="AK434" i="1"/>
  <c r="AI434" i="1"/>
  <c r="AF434" i="1"/>
  <c r="AD434" i="1"/>
  <c r="AA434" i="1"/>
  <c r="Y434" i="1"/>
  <c r="V434" i="1"/>
  <c r="T434" i="1"/>
  <c r="Q434" i="1"/>
  <c r="O434" i="1"/>
  <c r="L434" i="1"/>
  <c r="J434" i="1"/>
  <c r="G434" i="1"/>
  <c r="E434" i="1"/>
  <c r="B434" i="1"/>
  <c r="AN427" i="1"/>
  <c r="AK427" i="1"/>
  <c r="AI427" i="1"/>
  <c r="AF427" i="1"/>
  <c r="AD427" i="1"/>
  <c r="AA427" i="1"/>
  <c r="Y427" i="1"/>
  <c r="V427" i="1"/>
  <c r="T427" i="1"/>
  <c r="Q427" i="1"/>
  <c r="O427" i="1"/>
  <c r="L427" i="1"/>
  <c r="J427" i="1"/>
  <c r="G427" i="1"/>
  <c r="E427" i="1"/>
  <c r="B427" i="1"/>
  <c r="AN426" i="1"/>
  <c r="AK426" i="1"/>
  <c r="AI426" i="1"/>
  <c r="AF426" i="1"/>
  <c r="AD426" i="1"/>
  <c r="AA426" i="1"/>
  <c r="Y426" i="1"/>
  <c r="V426" i="1"/>
  <c r="T426" i="1"/>
  <c r="Q426" i="1"/>
  <c r="O426" i="1"/>
  <c r="L426" i="1"/>
  <c r="J426" i="1"/>
  <c r="G426" i="1"/>
  <c r="E426" i="1"/>
  <c r="B426" i="1"/>
  <c r="AN425" i="1"/>
  <c r="AK425" i="1"/>
  <c r="AI425" i="1"/>
  <c r="AF425" i="1"/>
  <c r="AD425" i="1"/>
  <c r="AA425" i="1"/>
  <c r="Y425" i="1"/>
  <c r="V425" i="1"/>
  <c r="T425" i="1"/>
  <c r="Q425" i="1"/>
  <c r="O425" i="1"/>
  <c r="L425" i="1"/>
  <c r="J425" i="1"/>
  <c r="G425" i="1"/>
  <c r="E425" i="1"/>
  <c r="B425" i="1"/>
  <c r="AN424" i="1"/>
  <c r="AK424" i="1"/>
  <c r="AI424" i="1"/>
  <c r="AF424" i="1"/>
  <c r="AD424" i="1"/>
  <c r="AA424" i="1"/>
  <c r="Y424" i="1"/>
  <c r="V424" i="1"/>
  <c r="T424" i="1"/>
  <c r="Q424" i="1"/>
  <c r="O424" i="1"/>
  <c r="L424" i="1"/>
  <c r="J424" i="1"/>
  <c r="G424" i="1"/>
  <c r="E424" i="1"/>
  <c r="B424" i="1"/>
  <c r="AN423" i="1"/>
  <c r="AK423" i="1"/>
  <c r="AI423" i="1"/>
  <c r="AF423" i="1"/>
  <c r="AD423" i="1"/>
  <c r="AA423" i="1"/>
  <c r="Y423" i="1"/>
  <c r="V423" i="1"/>
  <c r="T423" i="1"/>
  <c r="Q423" i="1"/>
  <c r="O423" i="1"/>
  <c r="L423" i="1"/>
  <c r="J423" i="1"/>
  <c r="G423" i="1"/>
  <c r="E423" i="1"/>
  <c r="B423" i="1"/>
  <c r="AN422" i="1"/>
  <c r="AK422" i="1"/>
  <c r="AI422" i="1"/>
  <c r="AF422" i="1"/>
  <c r="AD422" i="1"/>
  <c r="AA422" i="1"/>
  <c r="Y422" i="1"/>
  <c r="V422" i="1"/>
  <c r="T422" i="1"/>
  <c r="Q422" i="1"/>
  <c r="O422" i="1"/>
  <c r="L422" i="1"/>
  <c r="J422" i="1"/>
  <c r="G422" i="1"/>
  <c r="E422" i="1"/>
  <c r="B422" i="1"/>
  <c r="AN421" i="1"/>
  <c r="AK421" i="1"/>
  <c r="AI421" i="1"/>
  <c r="AF421" i="1"/>
  <c r="AD421" i="1"/>
  <c r="AA421" i="1"/>
  <c r="Y421" i="1"/>
  <c r="V421" i="1"/>
  <c r="T421" i="1"/>
  <c r="Q421" i="1"/>
  <c r="O421" i="1"/>
  <c r="L421" i="1"/>
  <c r="J421" i="1"/>
  <c r="G421" i="1"/>
  <c r="E421" i="1"/>
  <c r="B421" i="1"/>
  <c r="AN420" i="1"/>
  <c r="AK420" i="1"/>
  <c r="AI420" i="1"/>
  <c r="AF420" i="1"/>
  <c r="AD420" i="1"/>
  <c r="AA420" i="1"/>
  <c r="Y420" i="1"/>
  <c r="V420" i="1"/>
  <c r="T420" i="1"/>
  <c r="Q420" i="1"/>
  <c r="O420" i="1"/>
  <c r="L420" i="1"/>
  <c r="J420" i="1"/>
  <c r="G420" i="1"/>
  <c r="E420" i="1"/>
  <c r="B420" i="1"/>
  <c r="AN419" i="1"/>
  <c r="AK419" i="1"/>
  <c r="AI419" i="1"/>
  <c r="AF419" i="1"/>
  <c r="AD419" i="1"/>
  <c r="AA419" i="1"/>
  <c r="Y419" i="1"/>
  <c r="V419" i="1"/>
  <c r="T419" i="1"/>
  <c r="Q419" i="1"/>
  <c r="O419" i="1"/>
  <c r="L419" i="1"/>
  <c r="J419" i="1"/>
  <c r="G419" i="1"/>
  <c r="E419" i="1"/>
  <c r="B419" i="1"/>
  <c r="AN418" i="1"/>
  <c r="AK418" i="1"/>
  <c r="AI418" i="1"/>
  <c r="AF418" i="1"/>
  <c r="AD418" i="1"/>
  <c r="AA418" i="1"/>
  <c r="Y418" i="1"/>
  <c r="V418" i="1"/>
  <c r="T418" i="1"/>
  <c r="Q418" i="1"/>
  <c r="O418" i="1"/>
  <c r="L418" i="1"/>
  <c r="J418" i="1"/>
  <c r="G418" i="1"/>
  <c r="E418" i="1"/>
  <c r="B418" i="1"/>
  <c r="AN417" i="1"/>
  <c r="AK417" i="1"/>
  <c r="AI417" i="1"/>
  <c r="AF417" i="1"/>
  <c r="AD417" i="1"/>
  <c r="AA417" i="1"/>
  <c r="Y417" i="1"/>
  <c r="V417" i="1"/>
  <c r="T417" i="1"/>
  <c r="Q417" i="1"/>
  <c r="O417" i="1"/>
  <c r="L417" i="1"/>
  <c r="J417" i="1"/>
  <c r="G417" i="1"/>
  <c r="E417" i="1"/>
  <c r="B417" i="1"/>
  <c r="AN416" i="1"/>
  <c r="AK416" i="1"/>
  <c r="AI416" i="1"/>
  <c r="AF416" i="1"/>
  <c r="AD416" i="1"/>
  <c r="AA416" i="1"/>
  <c r="Y416" i="1"/>
  <c r="V416" i="1"/>
  <c r="T416" i="1"/>
  <c r="Q416" i="1"/>
  <c r="O416" i="1"/>
  <c r="L416" i="1"/>
  <c r="J416" i="1"/>
  <c r="G416" i="1"/>
  <c r="E416" i="1"/>
  <c r="B416" i="1"/>
  <c r="AN415" i="1"/>
  <c r="AK415" i="1"/>
  <c r="AI415" i="1"/>
  <c r="AF415" i="1"/>
  <c r="AD415" i="1"/>
  <c r="AA415" i="1"/>
  <c r="Y415" i="1"/>
  <c r="V415" i="1"/>
  <c r="T415" i="1"/>
  <c r="Q415" i="1"/>
  <c r="O415" i="1"/>
  <c r="L415" i="1"/>
  <c r="J415" i="1"/>
  <c r="G415" i="1"/>
  <c r="E415" i="1"/>
  <c r="B415" i="1"/>
  <c r="AN414" i="1"/>
  <c r="AK414" i="1"/>
  <c r="AI414" i="1"/>
  <c r="AF414" i="1"/>
  <c r="AD414" i="1"/>
  <c r="AA414" i="1"/>
  <c r="Y414" i="1"/>
  <c r="V414" i="1"/>
  <c r="T414" i="1"/>
  <c r="Q414" i="1"/>
  <c r="O414" i="1"/>
  <c r="L414" i="1"/>
  <c r="J414" i="1"/>
  <c r="G414" i="1"/>
  <c r="E414" i="1"/>
  <c r="B414" i="1"/>
  <c r="AN413" i="1"/>
  <c r="AK413" i="1"/>
  <c r="AI413" i="1"/>
  <c r="AF413" i="1"/>
  <c r="AD413" i="1"/>
  <c r="AA413" i="1"/>
  <c r="Y413" i="1"/>
  <c r="V413" i="1"/>
  <c r="T413" i="1"/>
  <c r="Q413" i="1"/>
  <c r="O413" i="1"/>
  <c r="L413" i="1"/>
  <c r="J413" i="1"/>
  <c r="G413" i="1"/>
  <c r="E413" i="1"/>
  <c r="B413" i="1"/>
  <c r="AN412" i="1"/>
  <c r="AK412" i="1"/>
  <c r="AI412" i="1"/>
  <c r="AF412" i="1"/>
  <c r="AD412" i="1"/>
  <c r="AA412" i="1"/>
  <c r="Y412" i="1"/>
  <c r="V412" i="1"/>
  <c r="T412" i="1"/>
  <c r="Q412" i="1"/>
  <c r="O412" i="1"/>
  <c r="L412" i="1"/>
  <c r="J412" i="1"/>
  <c r="G412" i="1"/>
  <c r="E412" i="1"/>
  <c r="B412" i="1"/>
  <c r="AN411" i="1"/>
  <c r="AK411" i="1"/>
  <c r="AI411" i="1"/>
  <c r="AF411" i="1"/>
  <c r="AD411" i="1"/>
  <c r="AA411" i="1"/>
  <c r="Y411" i="1"/>
  <c r="V411" i="1"/>
  <c r="T411" i="1"/>
  <c r="Q411" i="1"/>
  <c r="O411" i="1"/>
  <c r="L411" i="1"/>
  <c r="J411" i="1"/>
  <c r="G411" i="1"/>
  <c r="E411" i="1"/>
  <c r="B411" i="1"/>
  <c r="AN410" i="1"/>
  <c r="AK410" i="1"/>
  <c r="AI410" i="1"/>
  <c r="AF410" i="1"/>
  <c r="AD410" i="1"/>
  <c r="AA410" i="1"/>
  <c r="Y410" i="1"/>
  <c r="V410" i="1"/>
  <c r="T410" i="1"/>
  <c r="Q410" i="1"/>
  <c r="O410" i="1"/>
  <c r="L410" i="1"/>
  <c r="J410" i="1"/>
  <c r="G410" i="1"/>
  <c r="E410" i="1"/>
  <c r="B410" i="1"/>
  <c r="AN409" i="1"/>
  <c r="AK409" i="1"/>
  <c r="AI409" i="1"/>
  <c r="AF409" i="1"/>
  <c r="AD409" i="1"/>
  <c r="AA409" i="1"/>
  <c r="Y409" i="1"/>
  <c r="V409" i="1"/>
  <c r="T409" i="1"/>
  <c r="Q409" i="1"/>
  <c r="O409" i="1"/>
  <c r="L409" i="1"/>
  <c r="J409" i="1"/>
  <c r="G409" i="1"/>
  <c r="E409" i="1"/>
  <c r="B409" i="1"/>
  <c r="AN408" i="1"/>
  <c r="AK408" i="1"/>
  <c r="AI408" i="1"/>
  <c r="AF408" i="1"/>
  <c r="AD408" i="1"/>
  <c r="AA408" i="1"/>
  <c r="Y408" i="1"/>
  <c r="V408" i="1"/>
  <c r="T408" i="1"/>
  <c r="Q408" i="1"/>
  <c r="O408" i="1"/>
  <c r="L408" i="1"/>
  <c r="J408" i="1"/>
  <c r="G408" i="1"/>
  <c r="E408" i="1"/>
  <c r="B408" i="1"/>
  <c r="AN407" i="1"/>
  <c r="AK407" i="1"/>
  <c r="AI407" i="1"/>
  <c r="AF407" i="1"/>
  <c r="AD407" i="1"/>
  <c r="AA407" i="1"/>
  <c r="Y407" i="1"/>
  <c r="V407" i="1"/>
  <c r="T407" i="1"/>
  <c r="Q407" i="1"/>
  <c r="O407" i="1"/>
  <c r="L407" i="1"/>
  <c r="J407" i="1"/>
  <c r="G407" i="1"/>
  <c r="E407" i="1"/>
  <c r="B407" i="1"/>
  <c r="AN397" i="1"/>
  <c r="AK397" i="1"/>
  <c r="AI397" i="1"/>
  <c r="AF397" i="1"/>
  <c r="AD397" i="1"/>
  <c r="AA397" i="1"/>
  <c r="Y397" i="1"/>
  <c r="V397" i="1"/>
  <c r="T397" i="1"/>
  <c r="Q397" i="1"/>
  <c r="O397" i="1"/>
  <c r="L397" i="1"/>
  <c r="J397" i="1"/>
  <c r="G397" i="1"/>
  <c r="E397" i="1"/>
  <c r="B397" i="1"/>
  <c r="AN396" i="1"/>
  <c r="AK396" i="1"/>
  <c r="AI396" i="1"/>
  <c r="AF396" i="1"/>
  <c r="AD396" i="1"/>
  <c r="AA396" i="1"/>
  <c r="Y396" i="1"/>
  <c r="V396" i="1"/>
  <c r="T396" i="1"/>
  <c r="Q396" i="1"/>
  <c r="O396" i="1"/>
  <c r="L396" i="1"/>
  <c r="J396" i="1"/>
  <c r="G396" i="1"/>
  <c r="E396" i="1"/>
  <c r="B396" i="1"/>
  <c r="AN395" i="1"/>
  <c r="AK395" i="1"/>
  <c r="AI395" i="1"/>
  <c r="AF395" i="1"/>
  <c r="AD395" i="1"/>
  <c r="AA395" i="1"/>
  <c r="Y395" i="1"/>
  <c r="V395" i="1"/>
  <c r="T395" i="1"/>
  <c r="Q395" i="1"/>
  <c r="O395" i="1"/>
  <c r="L395" i="1"/>
  <c r="J395" i="1"/>
  <c r="G395" i="1"/>
  <c r="E395" i="1"/>
  <c r="B395" i="1"/>
  <c r="AN394" i="1"/>
  <c r="AK394" i="1"/>
  <c r="AI394" i="1"/>
  <c r="AF394" i="1"/>
  <c r="AD394" i="1"/>
  <c r="AA394" i="1"/>
  <c r="Y394" i="1"/>
  <c r="V394" i="1"/>
  <c r="T394" i="1"/>
  <c r="Q394" i="1"/>
  <c r="O394" i="1"/>
  <c r="L394" i="1"/>
  <c r="J394" i="1"/>
  <c r="G394" i="1"/>
  <c r="E394" i="1"/>
  <c r="B394" i="1"/>
  <c r="AN393" i="1"/>
  <c r="AK393" i="1"/>
  <c r="AI393" i="1"/>
  <c r="AF393" i="1"/>
  <c r="AD393" i="1"/>
  <c r="AA393" i="1"/>
  <c r="Y393" i="1"/>
  <c r="V393" i="1"/>
  <c r="T393" i="1"/>
  <c r="Q393" i="1"/>
  <c r="O393" i="1"/>
  <c r="L393" i="1"/>
  <c r="J393" i="1"/>
  <c r="G393" i="1"/>
  <c r="E393" i="1"/>
  <c r="B393" i="1"/>
  <c r="AN392" i="1"/>
  <c r="AK392" i="1"/>
  <c r="AI392" i="1"/>
  <c r="AF392" i="1"/>
  <c r="AD392" i="1"/>
  <c r="AA392" i="1"/>
  <c r="Y392" i="1"/>
  <c r="V392" i="1"/>
  <c r="T392" i="1"/>
  <c r="Q392" i="1"/>
  <c r="O392" i="1"/>
  <c r="L392" i="1"/>
  <c r="J392" i="1"/>
  <c r="G392" i="1"/>
  <c r="E392" i="1"/>
  <c r="B392" i="1"/>
  <c r="AN391" i="1"/>
  <c r="AK391" i="1"/>
  <c r="AI391" i="1"/>
  <c r="AF391" i="1"/>
  <c r="AD391" i="1"/>
  <c r="AA391" i="1"/>
  <c r="Y391" i="1"/>
  <c r="V391" i="1"/>
  <c r="T391" i="1"/>
  <c r="Q391" i="1"/>
  <c r="O391" i="1"/>
  <c r="L391" i="1"/>
  <c r="J391" i="1"/>
  <c r="G391" i="1"/>
  <c r="E391" i="1"/>
  <c r="B391" i="1"/>
  <c r="AN390" i="1"/>
  <c r="AK390" i="1"/>
  <c r="AI390" i="1"/>
  <c r="AF390" i="1"/>
  <c r="AD390" i="1"/>
  <c r="AA390" i="1"/>
  <c r="Y390" i="1"/>
  <c r="V390" i="1"/>
  <c r="T390" i="1"/>
  <c r="Q390" i="1"/>
  <c r="O390" i="1"/>
  <c r="L390" i="1"/>
  <c r="J390" i="1"/>
  <c r="G390" i="1"/>
  <c r="E390" i="1"/>
  <c r="B390" i="1"/>
  <c r="AN389" i="1"/>
  <c r="AK389" i="1"/>
  <c r="AI389" i="1"/>
  <c r="AF389" i="1"/>
  <c r="AD389" i="1"/>
  <c r="AA389" i="1"/>
  <c r="Y389" i="1"/>
  <c r="V389" i="1"/>
  <c r="T389" i="1"/>
  <c r="Q389" i="1"/>
  <c r="O389" i="1"/>
  <c r="L389" i="1"/>
  <c r="J389" i="1"/>
  <c r="G389" i="1"/>
  <c r="E389" i="1"/>
  <c r="B389" i="1"/>
  <c r="AN388" i="1"/>
  <c r="AK388" i="1"/>
  <c r="AI388" i="1"/>
  <c r="AF388" i="1"/>
  <c r="AD388" i="1"/>
  <c r="AA388" i="1"/>
  <c r="Y388" i="1"/>
  <c r="V388" i="1"/>
  <c r="T388" i="1"/>
  <c r="Q388" i="1"/>
  <c r="O388" i="1"/>
  <c r="L388" i="1"/>
  <c r="J388" i="1"/>
  <c r="G388" i="1"/>
  <c r="E388" i="1"/>
  <c r="B388" i="1"/>
  <c r="AN387" i="1"/>
  <c r="AK387" i="1"/>
  <c r="AI387" i="1"/>
  <c r="AF387" i="1"/>
  <c r="AD387" i="1"/>
  <c r="AA387" i="1"/>
  <c r="Y387" i="1"/>
  <c r="V387" i="1"/>
  <c r="T387" i="1"/>
  <c r="Q387" i="1"/>
  <c r="O387" i="1"/>
  <c r="L387" i="1"/>
  <c r="J387" i="1"/>
  <c r="G387" i="1"/>
  <c r="E387" i="1"/>
  <c r="B387" i="1"/>
  <c r="AN386" i="1"/>
  <c r="AK386" i="1"/>
  <c r="AI386" i="1"/>
  <c r="AF386" i="1"/>
  <c r="AD386" i="1"/>
  <c r="AA386" i="1"/>
  <c r="Y386" i="1"/>
  <c r="V386" i="1"/>
  <c r="T386" i="1"/>
  <c r="Q386" i="1"/>
  <c r="O386" i="1"/>
  <c r="L386" i="1"/>
  <c r="J386" i="1"/>
  <c r="G386" i="1"/>
  <c r="E386" i="1"/>
  <c r="B386" i="1"/>
  <c r="AN385" i="1"/>
  <c r="AK385" i="1"/>
  <c r="AI385" i="1"/>
  <c r="AF385" i="1"/>
  <c r="AD385" i="1"/>
  <c r="AA385" i="1"/>
  <c r="Y385" i="1"/>
  <c r="V385" i="1"/>
  <c r="T385" i="1"/>
  <c r="Q385" i="1"/>
  <c r="O385" i="1"/>
  <c r="L385" i="1"/>
  <c r="J385" i="1"/>
  <c r="G385" i="1"/>
  <c r="E385" i="1"/>
  <c r="B385" i="1"/>
  <c r="AN384" i="1"/>
  <c r="AK384" i="1"/>
  <c r="AI384" i="1"/>
  <c r="AF384" i="1"/>
  <c r="AD384" i="1"/>
  <c r="AA384" i="1"/>
  <c r="Y384" i="1"/>
  <c r="V384" i="1"/>
  <c r="T384" i="1"/>
  <c r="Q384" i="1"/>
  <c r="O384" i="1"/>
  <c r="L384" i="1"/>
  <c r="J384" i="1"/>
  <c r="G384" i="1"/>
  <c r="E384" i="1"/>
  <c r="B384" i="1"/>
  <c r="AN383" i="1"/>
  <c r="AK383" i="1"/>
  <c r="AI383" i="1"/>
  <c r="AF383" i="1"/>
  <c r="AD383" i="1"/>
  <c r="AA383" i="1"/>
  <c r="Y383" i="1"/>
  <c r="V383" i="1"/>
  <c r="T383" i="1"/>
  <c r="Q383" i="1"/>
  <c r="O383" i="1"/>
  <c r="L383" i="1"/>
  <c r="J383" i="1"/>
  <c r="G383" i="1"/>
  <c r="E383" i="1"/>
  <c r="B383" i="1"/>
  <c r="AN382" i="1"/>
  <c r="AK382" i="1"/>
  <c r="AI382" i="1"/>
  <c r="AF382" i="1"/>
  <c r="AD382" i="1"/>
  <c r="AA382" i="1"/>
  <c r="Y382" i="1"/>
  <c r="V382" i="1"/>
  <c r="T382" i="1"/>
  <c r="Q382" i="1"/>
  <c r="O382" i="1"/>
  <c r="L382" i="1"/>
  <c r="J382" i="1"/>
  <c r="G382" i="1"/>
  <c r="E382" i="1"/>
  <c r="B382" i="1"/>
  <c r="AN381" i="1"/>
  <c r="AK381" i="1"/>
  <c r="AI381" i="1"/>
  <c r="AF381" i="1"/>
  <c r="AD381" i="1"/>
  <c r="AA381" i="1"/>
  <c r="Y381" i="1"/>
  <c r="V381" i="1"/>
  <c r="T381" i="1"/>
  <c r="Q381" i="1"/>
  <c r="O381" i="1"/>
  <c r="L381" i="1"/>
  <c r="J381" i="1"/>
  <c r="G381" i="1"/>
  <c r="E381" i="1"/>
  <c r="B381" i="1"/>
  <c r="AN380" i="1"/>
  <c r="AK380" i="1"/>
  <c r="AI380" i="1"/>
  <c r="AF380" i="1"/>
  <c r="AD380" i="1"/>
  <c r="AA380" i="1"/>
  <c r="Y380" i="1"/>
  <c r="V380" i="1"/>
  <c r="T380" i="1"/>
  <c r="Q380" i="1"/>
  <c r="O380" i="1"/>
  <c r="L380" i="1"/>
  <c r="J380" i="1"/>
  <c r="G380" i="1"/>
  <c r="E380" i="1"/>
  <c r="B380" i="1"/>
  <c r="AN379" i="1"/>
  <c r="AK379" i="1"/>
  <c r="AI379" i="1"/>
  <c r="AF379" i="1"/>
  <c r="AD379" i="1"/>
  <c r="AA379" i="1"/>
  <c r="Y379" i="1"/>
  <c r="V379" i="1"/>
  <c r="T379" i="1"/>
  <c r="Q379" i="1"/>
  <c r="O379" i="1"/>
  <c r="L379" i="1"/>
  <c r="J379" i="1"/>
  <c r="G379" i="1"/>
  <c r="E379" i="1"/>
  <c r="B379" i="1"/>
  <c r="AN378" i="1"/>
  <c r="AK378" i="1"/>
  <c r="AI378" i="1"/>
  <c r="AF378" i="1"/>
  <c r="AD378" i="1"/>
  <c r="AA378" i="1"/>
  <c r="Y378" i="1"/>
  <c r="V378" i="1"/>
  <c r="T378" i="1"/>
  <c r="Q378" i="1"/>
  <c r="O378" i="1"/>
  <c r="L378" i="1"/>
  <c r="J378" i="1"/>
  <c r="G378" i="1"/>
  <c r="E378" i="1"/>
  <c r="B378" i="1"/>
  <c r="AN377" i="1"/>
  <c r="AK377" i="1"/>
  <c r="AI377" i="1"/>
  <c r="AF377" i="1"/>
  <c r="AD377" i="1"/>
  <c r="AA377" i="1"/>
  <c r="Y377" i="1"/>
  <c r="V377" i="1"/>
  <c r="T377" i="1"/>
  <c r="Q377" i="1"/>
  <c r="O377" i="1"/>
  <c r="L377" i="1"/>
  <c r="J377" i="1"/>
  <c r="G377" i="1"/>
  <c r="E377" i="1"/>
  <c r="B377" i="1"/>
  <c r="AN370" i="1"/>
  <c r="AK370" i="1"/>
  <c r="AI370" i="1"/>
  <c r="AF370" i="1"/>
  <c r="AD370" i="1"/>
  <c r="AA370" i="1"/>
  <c r="Y370" i="1"/>
  <c r="V370" i="1"/>
  <c r="T370" i="1"/>
  <c r="Q370" i="1"/>
  <c r="O370" i="1"/>
  <c r="L370" i="1"/>
  <c r="J370" i="1"/>
  <c r="G370" i="1"/>
  <c r="E370" i="1"/>
  <c r="B370" i="1"/>
  <c r="AN369" i="1"/>
  <c r="AK369" i="1"/>
  <c r="AI369" i="1"/>
  <c r="AF369" i="1"/>
  <c r="AD369" i="1"/>
  <c r="AA369" i="1"/>
  <c r="Y369" i="1"/>
  <c r="V369" i="1"/>
  <c r="T369" i="1"/>
  <c r="Q369" i="1"/>
  <c r="O369" i="1"/>
  <c r="L369" i="1"/>
  <c r="J369" i="1"/>
  <c r="G369" i="1"/>
  <c r="E369" i="1"/>
  <c r="B369" i="1"/>
  <c r="AN368" i="1"/>
  <c r="AK368" i="1"/>
  <c r="AI368" i="1"/>
  <c r="AF368" i="1"/>
  <c r="AD368" i="1"/>
  <c r="AA368" i="1"/>
  <c r="Y368" i="1"/>
  <c r="V368" i="1"/>
  <c r="T368" i="1"/>
  <c r="Q368" i="1"/>
  <c r="O368" i="1"/>
  <c r="L368" i="1"/>
  <c r="J368" i="1"/>
  <c r="G368" i="1"/>
  <c r="E368" i="1"/>
  <c r="B368" i="1"/>
  <c r="AN367" i="1"/>
  <c r="AK367" i="1"/>
  <c r="AI367" i="1"/>
  <c r="AF367" i="1"/>
  <c r="AD367" i="1"/>
  <c r="AA367" i="1"/>
  <c r="Y367" i="1"/>
  <c r="V367" i="1"/>
  <c r="T367" i="1"/>
  <c r="Q367" i="1"/>
  <c r="O367" i="1"/>
  <c r="L367" i="1"/>
  <c r="J367" i="1"/>
  <c r="G367" i="1"/>
  <c r="E367" i="1"/>
  <c r="B367" i="1"/>
  <c r="AN366" i="1"/>
  <c r="AK366" i="1"/>
  <c r="AI366" i="1"/>
  <c r="AF366" i="1"/>
  <c r="AD366" i="1"/>
  <c r="AA366" i="1"/>
  <c r="Y366" i="1"/>
  <c r="V366" i="1"/>
  <c r="T366" i="1"/>
  <c r="Q366" i="1"/>
  <c r="O366" i="1"/>
  <c r="L366" i="1"/>
  <c r="J366" i="1"/>
  <c r="G366" i="1"/>
  <c r="E366" i="1"/>
  <c r="B366" i="1"/>
  <c r="AN365" i="1"/>
  <c r="AK365" i="1"/>
  <c r="AI365" i="1"/>
  <c r="AF365" i="1"/>
  <c r="AD365" i="1"/>
  <c r="AA365" i="1"/>
  <c r="Y365" i="1"/>
  <c r="V365" i="1"/>
  <c r="T365" i="1"/>
  <c r="Q365" i="1"/>
  <c r="O365" i="1"/>
  <c r="L365" i="1"/>
  <c r="J365" i="1"/>
  <c r="G365" i="1"/>
  <c r="E365" i="1"/>
  <c r="B365" i="1"/>
  <c r="AN364" i="1"/>
  <c r="AK364" i="1"/>
  <c r="AI364" i="1"/>
  <c r="AF364" i="1"/>
  <c r="AD364" i="1"/>
  <c r="AA364" i="1"/>
  <c r="Y364" i="1"/>
  <c r="V364" i="1"/>
  <c r="T364" i="1"/>
  <c r="Q364" i="1"/>
  <c r="O364" i="1"/>
  <c r="L364" i="1"/>
  <c r="J364" i="1"/>
  <c r="G364" i="1"/>
  <c r="E364" i="1"/>
  <c r="B364" i="1"/>
  <c r="AN363" i="1"/>
  <c r="AK363" i="1"/>
  <c r="AI363" i="1"/>
  <c r="AF363" i="1"/>
  <c r="AD363" i="1"/>
  <c r="AA363" i="1"/>
  <c r="Y363" i="1"/>
  <c r="V363" i="1"/>
  <c r="T363" i="1"/>
  <c r="Q363" i="1"/>
  <c r="O363" i="1"/>
  <c r="L363" i="1"/>
  <c r="J363" i="1"/>
  <c r="G363" i="1"/>
  <c r="E363" i="1"/>
  <c r="B363" i="1"/>
  <c r="AN362" i="1"/>
  <c r="AK362" i="1"/>
  <c r="AI362" i="1"/>
  <c r="AF362" i="1"/>
  <c r="AD362" i="1"/>
  <c r="AA362" i="1"/>
  <c r="Y362" i="1"/>
  <c r="V362" i="1"/>
  <c r="T362" i="1"/>
  <c r="Q362" i="1"/>
  <c r="O362" i="1"/>
  <c r="L362" i="1"/>
  <c r="J362" i="1"/>
  <c r="G362" i="1"/>
  <c r="E362" i="1"/>
  <c r="B362" i="1"/>
  <c r="AN361" i="1"/>
  <c r="AK361" i="1"/>
  <c r="AI361" i="1"/>
  <c r="AF361" i="1"/>
  <c r="AD361" i="1"/>
  <c r="AA361" i="1"/>
  <c r="Y361" i="1"/>
  <c r="V361" i="1"/>
  <c r="T361" i="1"/>
  <c r="Q361" i="1"/>
  <c r="O361" i="1"/>
  <c r="L361" i="1"/>
  <c r="J361" i="1"/>
  <c r="G361" i="1"/>
  <c r="E361" i="1"/>
  <c r="B361" i="1"/>
  <c r="AN360" i="1"/>
  <c r="AK360" i="1"/>
  <c r="AI360" i="1"/>
  <c r="AF360" i="1"/>
  <c r="AD360" i="1"/>
  <c r="AA360" i="1"/>
  <c r="Y360" i="1"/>
  <c r="V360" i="1"/>
  <c r="T360" i="1"/>
  <c r="Q360" i="1"/>
  <c r="O360" i="1"/>
  <c r="L360" i="1"/>
  <c r="J360" i="1"/>
  <c r="G360" i="1"/>
  <c r="E360" i="1"/>
  <c r="B360" i="1"/>
  <c r="AN359" i="1"/>
  <c r="AK359" i="1"/>
  <c r="AI359" i="1"/>
  <c r="AF359" i="1"/>
  <c r="AD359" i="1"/>
  <c r="AA359" i="1"/>
  <c r="Y359" i="1"/>
  <c r="V359" i="1"/>
  <c r="T359" i="1"/>
  <c r="Q359" i="1"/>
  <c r="O359" i="1"/>
  <c r="L359" i="1"/>
  <c r="J359" i="1"/>
  <c r="G359" i="1"/>
  <c r="E359" i="1"/>
  <c r="B359" i="1"/>
  <c r="AN358" i="1"/>
  <c r="AK358" i="1"/>
  <c r="AI358" i="1"/>
  <c r="AF358" i="1"/>
  <c r="AD358" i="1"/>
  <c r="AA358" i="1"/>
  <c r="Y358" i="1"/>
  <c r="V358" i="1"/>
  <c r="T358" i="1"/>
  <c r="Q358" i="1"/>
  <c r="O358" i="1"/>
  <c r="L358" i="1"/>
  <c r="J358" i="1"/>
  <c r="G358" i="1"/>
  <c r="E358" i="1"/>
  <c r="B358" i="1"/>
  <c r="AN357" i="1"/>
  <c r="AK357" i="1"/>
  <c r="AI357" i="1"/>
  <c r="AF357" i="1"/>
  <c r="AD357" i="1"/>
  <c r="AA357" i="1"/>
  <c r="Y357" i="1"/>
  <c r="V357" i="1"/>
  <c r="T357" i="1"/>
  <c r="Q357" i="1"/>
  <c r="O357" i="1"/>
  <c r="L357" i="1"/>
  <c r="J357" i="1"/>
  <c r="G357" i="1"/>
  <c r="E357" i="1"/>
  <c r="B357" i="1"/>
  <c r="AN356" i="1"/>
  <c r="AK356" i="1"/>
  <c r="AI356" i="1"/>
  <c r="AF356" i="1"/>
  <c r="AD356" i="1"/>
  <c r="AA356" i="1"/>
  <c r="Y356" i="1"/>
  <c r="V356" i="1"/>
  <c r="T356" i="1"/>
  <c r="Q356" i="1"/>
  <c r="O356" i="1"/>
  <c r="L356" i="1"/>
  <c r="J356" i="1"/>
  <c r="G356" i="1"/>
  <c r="E356" i="1"/>
  <c r="B356" i="1"/>
  <c r="AN355" i="1"/>
  <c r="AK355" i="1"/>
  <c r="AI355" i="1"/>
  <c r="AF355" i="1"/>
  <c r="AD355" i="1"/>
  <c r="AA355" i="1"/>
  <c r="Y355" i="1"/>
  <c r="V355" i="1"/>
  <c r="T355" i="1"/>
  <c r="Q355" i="1"/>
  <c r="O355" i="1"/>
  <c r="L355" i="1"/>
  <c r="J355" i="1"/>
  <c r="G355" i="1"/>
  <c r="E355" i="1"/>
  <c r="B355" i="1"/>
  <c r="AN354" i="1"/>
  <c r="AK354" i="1"/>
  <c r="AI354" i="1"/>
  <c r="AF354" i="1"/>
  <c r="AD354" i="1"/>
  <c r="AA354" i="1"/>
  <c r="Y354" i="1"/>
  <c r="V354" i="1"/>
  <c r="T354" i="1"/>
  <c r="Q354" i="1"/>
  <c r="O354" i="1"/>
  <c r="L354" i="1"/>
  <c r="J354" i="1"/>
  <c r="G354" i="1"/>
  <c r="E354" i="1"/>
  <c r="B354" i="1"/>
  <c r="AN353" i="1"/>
  <c r="AK353" i="1"/>
  <c r="AI353" i="1"/>
  <c r="AF353" i="1"/>
  <c r="AD353" i="1"/>
  <c r="AA353" i="1"/>
  <c r="Y353" i="1"/>
  <c r="V353" i="1"/>
  <c r="T353" i="1"/>
  <c r="Q353" i="1"/>
  <c r="O353" i="1"/>
  <c r="L353" i="1"/>
  <c r="J353" i="1"/>
  <c r="G353" i="1"/>
  <c r="E353" i="1"/>
  <c r="B353" i="1"/>
  <c r="AN352" i="1"/>
  <c r="AK352" i="1"/>
  <c r="AI352" i="1"/>
  <c r="AF352" i="1"/>
  <c r="AD352" i="1"/>
  <c r="AA352" i="1"/>
  <c r="Y352" i="1"/>
  <c r="V352" i="1"/>
  <c r="T352" i="1"/>
  <c r="Q352" i="1"/>
  <c r="O352" i="1"/>
  <c r="L352" i="1"/>
  <c r="J352" i="1"/>
  <c r="G352" i="1"/>
  <c r="E352" i="1"/>
  <c r="B352" i="1"/>
  <c r="AN351" i="1"/>
  <c r="AK351" i="1"/>
  <c r="AI351" i="1"/>
  <c r="AF351" i="1"/>
  <c r="AD351" i="1"/>
  <c r="AA351" i="1"/>
  <c r="Y351" i="1"/>
  <c r="V351" i="1"/>
  <c r="T351" i="1"/>
  <c r="Q351" i="1"/>
  <c r="O351" i="1"/>
  <c r="L351" i="1"/>
  <c r="J351" i="1"/>
  <c r="G351" i="1"/>
  <c r="E351" i="1"/>
  <c r="B351" i="1"/>
  <c r="AN350" i="1"/>
  <c r="AK350" i="1"/>
  <c r="AI350" i="1"/>
  <c r="AF350" i="1"/>
  <c r="AD350" i="1"/>
  <c r="AA350" i="1"/>
  <c r="Y350" i="1"/>
  <c r="V350" i="1"/>
  <c r="T350" i="1"/>
  <c r="Q350" i="1"/>
  <c r="O350" i="1"/>
  <c r="L350" i="1"/>
  <c r="J350" i="1"/>
  <c r="G350" i="1"/>
  <c r="E350" i="1"/>
  <c r="B350" i="1"/>
  <c r="AN340" i="1"/>
  <c r="AK340" i="1"/>
  <c r="AI340" i="1"/>
  <c r="AF340" i="1"/>
  <c r="AD340" i="1"/>
  <c r="AA340" i="1"/>
  <c r="Y340" i="1"/>
  <c r="V340" i="1"/>
  <c r="T340" i="1"/>
  <c r="Q340" i="1"/>
  <c r="O340" i="1"/>
  <c r="L340" i="1"/>
  <c r="J340" i="1"/>
  <c r="G340" i="1"/>
  <c r="E340" i="1"/>
  <c r="B340" i="1"/>
  <c r="AN339" i="1"/>
  <c r="AK339" i="1"/>
  <c r="AI339" i="1"/>
  <c r="AF339" i="1"/>
  <c r="AD339" i="1"/>
  <c r="AA339" i="1"/>
  <c r="Y339" i="1"/>
  <c r="V339" i="1"/>
  <c r="T339" i="1"/>
  <c r="Q339" i="1"/>
  <c r="O339" i="1"/>
  <c r="L339" i="1"/>
  <c r="J339" i="1"/>
  <c r="G339" i="1"/>
  <c r="E339" i="1"/>
  <c r="B339" i="1"/>
  <c r="AN338" i="1"/>
  <c r="AK338" i="1"/>
  <c r="AI338" i="1"/>
  <c r="AF338" i="1"/>
  <c r="AD338" i="1"/>
  <c r="AA338" i="1"/>
  <c r="Y338" i="1"/>
  <c r="V338" i="1"/>
  <c r="T338" i="1"/>
  <c r="Q338" i="1"/>
  <c r="O338" i="1"/>
  <c r="L338" i="1"/>
  <c r="J338" i="1"/>
  <c r="G338" i="1"/>
  <c r="E338" i="1"/>
  <c r="B338" i="1"/>
  <c r="AN337" i="1"/>
  <c r="AK337" i="1"/>
  <c r="AI337" i="1"/>
  <c r="AF337" i="1"/>
  <c r="AD337" i="1"/>
  <c r="AA337" i="1"/>
  <c r="Y337" i="1"/>
  <c r="V337" i="1"/>
  <c r="T337" i="1"/>
  <c r="Q337" i="1"/>
  <c r="O337" i="1"/>
  <c r="L337" i="1"/>
  <c r="J337" i="1"/>
  <c r="G337" i="1"/>
  <c r="E337" i="1"/>
  <c r="B337" i="1"/>
  <c r="AN336" i="1"/>
  <c r="AK336" i="1"/>
  <c r="AI336" i="1"/>
  <c r="AF336" i="1"/>
  <c r="AD336" i="1"/>
  <c r="AA336" i="1"/>
  <c r="Y336" i="1"/>
  <c r="V336" i="1"/>
  <c r="T336" i="1"/>
  <c r="Q336" i="1"/>
  <c r="O336" i="1"/>
  <c r="L336" i="1"/>
  <c r="J336" i="1"/>
  <c r="G336" i="1"/>
  <c r="E336" i="1"/>
  <c r="B336" i="1"/>
  <c r="AN335" i="1"/>
  <c r="AK335" i="1"/>
  <c r="AI335" i="1"/>
  <c r="AF335" i="1"/>
  <c r="AD335" i="1"/>
  <c r="AA335" i="1"/>
  <c r="Y335" i="1"/>
  <c r="V335" i="1"/>
  <c r="T335" i="1"/>
  <c r="Q335" i="1"/>
  <c r="O335" i="1"/>
  <c r="L335" i="1"/>
  <c r="J335" i="1"/>
  <c r="G335" i="1"/>
  <c r="E335" i="1"/>
  <c r="B335" i="1"/>
  <c r="AN334" i="1"/>
  <c r="AK334" i="1"/>
  <c r="AI334" i="1"/>
  <c r="AF334" i="1"/>
  <c r="AD334" i="1"/>
  <c r="AA334" i="1"/>
  <c r="Y334" i="1"/>
  <c r="V334" i="1"/>
  <c r="T334" i="1"/>
  <c r="Q334" i="1"/>
  <c r="O334" i="1"/>
  <c r="L334" i="1"/>
  <c r="J334" i="1"/>
  <c r="G334" i="1"/>
  <c r="E334" i="1"/>
  <c r="B334" i="1"/>
  <c r="AN333" i="1"/>
  <c r="AK333" i="1"/>
  <c r="AI333" i="1"/>
  <c r="AF333" i="1"/>
  <c r="AD333" i="1"/>
  <c r="AA333" i="1"/>
  <c r="Y333" i="1"/>
  <c r="V333" i="1"/>
  <c r="T333" i="1"/>
  <c r="Q333" i="1"/>
  <c r="O333" i="1"/>
  <c r="L333" i="1"/>
  <c r="J333" i="1"/>
  <c r="G333" i="1"/>
  <c r="E333" i="1"/>
  <c r="B333" i="1"/>
  <c r="AN332" i="1"/>
  <c r="AK332" i="1"/>
  <c r="AI332" i="1"/>
  <c r="AF332" i="1"/>
  <c r="AD332" i="1"/>
  <c r="AA332" i="1"/>
  <c r="Y332" i="1"/>
  <c r="V332" i="1"/>
  <c r="T332" i="1"/>
  <c r="Q332" i="1"/>
  <c r="O332" i="1"/>
  <c r="L332" i="1"/>
  <c r="J332" i="1"/>
  <c r="G332" i="1"/>
  <c r="E332" i="1"/>
  <c r="B332" i="1"/>
  <c r="AN331" i="1"/>
  <c r="AK331" i="1"/>
  <c r="AI331" i="1"/>
  <c r="AF331" i="1"/>
  <c r="AD331" i="1"/>
  <c r="AA331" i="1"/>
  <c r="Y331" i="1"/>
  <c r="V331" i="1"/>
  <c r="T331" i="1"/>
  <c r="Q331" i="1"/>
  <c r="O331" i="1"/>
  <c r="L331" i="1"/>
  <c r="J331" i="1"/>
  <c r="G331" i="1"/>
  <c r="E331" i="1"/>
  <c r="B331" i="1"/>
  <c r="AN330" i="1"/>
  <c r="AK330" i="1"/>
  <c r="AI330" i="1"/>
  <c r="AF330" i="1"/>
  <c r="AD330" i="1"/>
  <c r="AA330" i="1"/>
  <c r="Y330" i="1"/>
  <c r="V330" i="1"/>
  <c r="T330" i="1"/>
  <c r="Q330" i="1"/>
  <c r="O330" i="1"/>
  <c r="L330" i="1"/>
  <c r="J330" i="1"/>
  <c r="G330" i="1"/>
  <c r="E330" i="1"/>
  <c r="B330" i="1"/>
  <c r="AN329" i="1"/>
  <c r="AK329" i="1"/>
  <c r="AI329" i="1"/>
  <c r="AF329" i="1"/>
  <c r="AD329" i="1"/>
  <c r="AA329" i="1"/>
  <c r="Y329" i="1"/>
  <c r="V329" i="1"/>
  <c r="T329" i="1"/>
  <c r="Q329" i="1"/>
  <c r="O329" i="1"/>
  <c r="L329" i="1"/>
  <c r="J329" i="1"/>
  <c r="G329" i="1"/>
  <c r="E329" i="1"/>
  <c r="B329" i="1"/>
  <c r="AN328" i="1"/>
  <c r="AK328" i="1"/>
  <c r="AI328" i="1"/>
  <c r="AF328" i="1"/>
  <c r="AD328" i="1"/>
  <c r="AA328" i="1"/>
  <c r="Y328" i="1"/>
  <c r="V328" i="1"/>
  <c r="T328" i="1"/>
  <c r="Q328" i="1"/>
  <c r="O328" i="1"/>
  <c r="L328" i="1"/>
  <c r="J328" i="1"/>
  <c r="G328" i="1"/>
  <c r="E328" i="1"/>
  <c r="B328" i="1"/>
  <c r="AN327" i="1"/>
  <c r="AK327" i="1"/>
  <c r="AI327" i="1"/>
  <c r="AF327" i="1"/>
  <c r="AD327" i="1"/>
  <c r="AA327" i="1"/>
  <c r="Y327" i="1"/>
  <c r="V327" i="1"/>
  <c r="T327" i="1"/>
  <c r="Q327" i="1"/>
  <c r="O327" i="1"/>
  <c r="L327" i="1"/>
  <c r="J327" i="1"/>
  <c r="G327" i="1"/>
  <c r="E327" i="1"/>
  <c r="B327" i="1"/>
  <c r="AN326" i="1"/>
  <c r="AK326" i="1"/>
  <c r="AI326" i="1"/>
  <c r="AF326" i="1"/>
  <c r="AD326" i="1"/>
  <c r="AA326" i="1"/>
  <c r="Y326" i="1"/>
  <c r="V326" i="1"/>
  <c r="T326" i="1"/>
  <c r="Q326" i="1"/>
  <c r="O326" i="1"/>
  <c r="L326" i="1"/>
  <c r="J326" i="1"/>
  <c r="G326" i="1"/>
  <c r="E326" i="1"/>
  <c r="B326" i="1"/>
  <c r="AN325" i="1"/>
  <c r="AK325" i="1"/>
  <c r="AI325" i="1"/>
  <c r="AF325" i="1"/>
  <c r="AD325" i="1"/>
  <c r="AA325" i="1"/>
  <c r="Y325" i="1"/>
  <c r="V325" i="1"/>
  <c r="T325" i="1"/>
  <c r="Q325" i="1"/>
  <c r="O325" i="1"/>
  <c r="L325" i="1"/>
  <c r="J325" i="1"/>
  <c r="G325" i="1"/>
  <c r="E325" i="1"/>
  <c r="B325" i="1"/>
  <c r="AN324" i="1"/>
  <c r="AK324" i="1"/>
  <c r="AI324" i="1"/>
  <c r="AF324" i="1"/>
  <c r="AD324" i="1"/>
  <c r="AA324" i="1"/>
  <c r="Y324" i="1"/>
  <c r="V324" i="1"/>
  <c r="T324" i="1"/>
  <c r="Q324" i="1"/>
  <c r="O324" i="1"/>
  <c r="L324" i="1"/>
  <c r="J324" i="1"/>
  <c r="G324" i="1"/>
  <c r="E324" i="1"/>
  <c r="B324" i="1"/>
  <c r="AN323" i="1"/>
  <c r="AK323" i="1"/>
  <c r="AI323" i="1"/>
  <c r="AF323" i="1"/>
  <c r="AD323" i="1"/>
  <c r="AA323" i="1"/>
  <c r="Y323" i="1"/>
  <c r="V323" i="1"/>
  <c r="T323" i="1"/>
  <c r="Q323" i="1"/>
  <c r="O323" i="1"/>
  <c r="L323" i="1"/>
  <c r="J323" i="1"/>
  <c r="G323" i="1"/>
  <c r="E323" i="1"/>
  <c r="B323" i="1"/>
  <c r="AN322" i="1"/>
  <c r="AK322" i="1"/>
  <c r="AI322" i="1"/>
  <c r="AF322" i="1"/>
  <c r="AD322" i="1"/>
  <c r="AA322" i="1"/>
  <c r="Y322" i="1"/>
  <c r="V322" i="1"/>
  <c r="T322" i="1"/>
  <c r="Q322" i="1"/>
  <c r="O322" i="1"/>
  <c r="L322" i="1"/>
  <c r="J322" i="1"/>
  <c r="G322" i="1"/>
  <c r="E322" i="1"/>
  <c r="B322" i="1"/>
  <c r="AN321" i="1"/>
  <c r="AK321" i="1"/>
  <c r="AI321" i="1"/>
  <c r="AF321" i="1"/>
  <c r="AD321" i="1"/>
  <c r="AA321" i="1"/>
  <c r="Y321" i="1"/>
  <c r="V321" i="1"/>
  <c r="T321" i="1"/>
  <c r="Q321" i="1"/>
  <c r="O321" i="1"/>
  <c r="L321" i="1"/>
  <c r="J321" i="1"/>
  <c r="G321" i="1"/>
  <c r="E321" i="1"/>
  <c r="B321" i="1"/>
  <c r="AN320" i="1"/>
  <c r="AK320" i="1"/>
  <c r="AI320" i="1"/>
  <c r="AF320" i="1"/>
  <c r="AD320" i="1"/>
  <c r="AA320" i="1"/>
  <c r="Y320" i="1"/>
  <c r="V320" i="1"/>
  <c r="T320" i="1"/>
  <c r="Q320" i="1"/>
  <c r="O320" i="1"/>
  <c r="L320" i="1"/>
  <c r="J320" i="1"/>
  <c r="G320" i="1"/>
  <c r="E320" i="1"/>
  <c r="B320" i="1"/>
  <c r="AN313" i="1"/>
  <c r="AK313" i="1"/>
  <c r="AI313" i="1"/>
  <c r="AF313" i="1"/>
  <c r="AD313" i="1"/>
  <c r="AA313" i="1"/>
  <c r="Y313" i="1"/>
  <c r="V313" i="1"/>
  <c r="T313" i="1"/>
  <c r="Q313" i="1"/>
  <c r="O313" i="1"/>
  <c r="L313" i="1"/>
  <c r="J313" i="1"/>
  <c r="G313" i="1"/>
  <c r="E313" i="1"/>
  <c r="B313" i="1"/>
  <c r="AN312" i="1"/>
  <c r="AK312" i="1"/>
  <c r="AI312" i="1"/>
  <c r="AF312" i="1"/>
  <c r="AD312" i="1"/>
  <c r="AA312" i="1"/>
  <c r="Y312" i="1"/>
  <c r="V312" i="1"/>
  <c r="T312" i="1"/>
  <c r="Q312" i="1"/>
  <c r="O312" i="1"/>
  <c r="L312" i="1"/>
  <c r="J312" i="1"/>
  <c r="G312" i="1"/>
  <c r="E312" i="1"/>
  <c r="B312" i="1"/>
  <c r="AN311" i="1"/>
  <c r="AK311" i="1"/>
  <c r="AI311" i="1"/>
  <c r="AF311" i="1"/>
  <c r="AD311" i="1"/>
  <c r="AA311" i="1"/>
  <c r="Y311" i="1"/>
  <c r="V311" i="1"/>
  <c r="T311" i="1"/>
  <c r="Q311" i="1"/>
  <c r="O311" i="1"/>
  <c r="L311" i="1"/>
  <c r="J311" i="1"/>
  <c r="G311" i="1"/>
  <c r="E311" i="1"/>
  <c r="B311" i="1"/>
  <c r="AN310" i="1"/>
  <c r="AK310" i="1"/>
  <c r="AI310" i="1"/>
  <c r="AF310" i="1"/>
  <c r="AD310" i="1"/>
  <c r="AA310" i="1"/>
  <c r="Y310" i="1"/>
  <c r="V310" i="1"/>
  <c r="T310" i="1"/>
  <c r="Q310" i="1"/>
  <c r="O310" i="1"/>
  <c r="L310" i="1"/>
  <c r="J310" i="1"/>
  <c r="G310" i="1"/>
  <c r="E310" i="1"/>
  <c r="B310" i="1"/>
  <c r="AN309" i="1"/>
  <c r="AK309" i="1"/>
  <c r="AI309" i="1"/>
  <c r="AF309" i="1"/>
  <c r="AD309" i="1"/>
  <c r="AA309" i="1"/>
  <c r="Y309" i="1"/>
  <c r="V309" i="1"/>
  <c r="T309" i="1"/>
  <c r="Q309" i="1"/>
  <c r="O309" i="1"/>
  <c r="L309" i="1"/>
  <c r="J309" i="1"/>
  <c r="G309" i="1"/>
  <c r="E309" i="1"/>
  <c r="B309" i="1"/>
  <c r="AN308" i="1"/>
  <c r="AK308" i="1"/>
  <c r="AI308" i="1"/>
  <c r="AF308" i="1"/>
  <c r="AD308" i="1"/>
  <c r="AA308" i="1"/>
  <c r="Y308" i="1"/>
  <c r="V308" i="1"/>
  <c r="T308" i="1"/>
  <c r="Q308" i="1"/>
  <c r="O308" i="1"/>
  <c r="L308" i="1"/>
  <c r="J308" i="1"/>
  <c r="G308" i="1"/>
  <c r="E308" i="1"/>
  <c r="B308" i="1"/>
  <c r="AN307" i="1"/>
  <c r="AK307" i="1"/>
  <c r="AI307" i="1"/>
  <c r="AF307" i="1"/>
  <c r="AD307" i="1"/>
  <c r="AA307" i="1"/>
  <c r="Y307" i="1"/>
  <c r="V307" i="1"/>
  <c r="T307" i="1"/>
  <c r="Q307" i="1"/>
  <c r="O307" i="1"/>
  <c r="L307" i="1"/>
  <c r="J307" i="1"/>
  <c r="G307" i="1"/>
  <c r="E307" i="1"/>
  <c r="B307" i="1"/>
  <c r="AN306" i="1"/>
  <c r="AK306" i="1"/>
  <c r="AI306" i="1"/>
  <c r="AF306" i="1"/>
  <c r="AD306" i="1"/>
  <c r="AA306" i="1"/>
  <c r="Y306" i="1"/>
  <c r="V306" i="1"/>
  <c r="T306" i="1"/>
  <c r="Q306" i="1"/>
  <c r="O306" i="1"/>
  <c r="L306" i="1"/>
  <c r="J306" i="1"/>
  <c r="G306" i="1"/>
  <c r="E306" i="1"/>
  <c r="B306" i="1"/>
  <c r="AN305" i="1"/>
  <c r="AK305" i="1"/>
  <c r="AI305" i="1"/>
  <c r="AF305" i="1"/>
  <c r="AD305" i="1"/>
  <c r="AA305" i="1"/>
  <c r="Y305" i="1"/>
  <c r="V305" i="1"/>
  <c r="T305" i="1"/>
  <c r="Q305" i="1"/>
  <c r="O305" i="1"/>
  <c r="L305" i="1"/>
  <c r="J305" i="1"/>
  <c r="G305" i="1"/>
  <c r="E305" i="1"/>
  <c r="B305" i="1"/>
  <c r="AN304" i="1"/>
  <c r="AK304" i="1"/>
  <c r="AI304" i="1"/>
  <c r="AF304" i="1"/>
  <c r="AD304" i="1"/>
  <c r="AA304" i="1"/>
  <c r="Y304" i="1"/>
  <c r="V304" i="1"/>
  <c r="T304" i="1"/>
  <c r="Q304" i="1"/>
  <c r="O304" i="1"/>
  <c r="L304" i="1"/>
  <c r="J304" i="1"/>
  <c r="G304" i="1"/>
  <c r="E304" i="1"/>
  <c r="B304" i="1"/>
  <c r="AN303" i="1"/>
  <c r="AK303" i="1"/>
  <c r="AI303" i="1"/>
  <c r="AF303" i="1"/>
  <c r="AD303" i="1"/>
  <c r="AA303" i="1"/>
  <c r="Y303" i="1"/>
  <c r="V303" i="1"/>
  <c r="T303" i="1"/>
  <c r="Q303" i="1"/>
  <c r="O303" i="1"/>
  <c r="L303" i="1"/>
  <c r="J303" i="1"/>
  <c r="G303" i="1"/>
  <c r="E303" i="1"/>
  <c r="B303" i="1"/>
  <c r="AN302" i="1"/>
  <c r="AK302" i="1"/>
  <c r="AI302" i="1"/>
  <c r="AF302" i="1"/>
  <c r="AD302" i="1"/>
  <c r="AA302" i="1"/>
  <c r="Y302" i="1"/>
  <c r="V302" i="1"/>
  <c r="T302" i="1"/>
  <c r="Q302" i="1"/>
  <c r="O302" i="1"/>
  <c r="L302" i="1"/>
  <c r="J302" i="1"/>
  <c r="G302" i="1"/>
  <c r="E302" i="1"/>
  <c r="B302" i="1"/>
  <c r="AN301" i="1"/>
  <c r="AK301" i="1"/>
  <c r="AI301" i="1"/>
  <c r="AF301" i="1"/>
  <c r="AD301" i="1"/>
  <c r="AA301" i="1"/>
  <c r="Y301" i="1"/>
  <c r="V301" i="1"/>
  <c r="T301" i="1"/>
  <c r="Q301" i="1"/>
  <c r="O301" i="1"/>
  <c r="L301" i="1"/>
  <c r="J301" i="1"/>
  <c r="G301" i="1"/>
  <c r="E301" i="1"/>
  <c r="B301" i="1"/>
  <c r="AN300" i="1"/>
  <c r="AK300" i="1"/>
  <c r="AI300" i="1"/>
  <c r="AF300" i="1"/>
  <c r="AD300" i="1"/>
  <c r="AA300" i="1"/>
  <c r="Y300" i="1"/>
  <c r="V300" i="1"/>
  <c r="T300" i="1"/>
  <c r="Q300" i="1"/>
  <c r="O300" i="1"/>
  <c r="L300" i="1"/>
  <c r="J300" i="1"/>
  <c r="G300" i="1"/>
  <c r="E300" i="1"/>
  <c r="B300" i="1"/>
  <c r="AN299" i="1"/>
  <c r="AK299" i="1"/>
  <c r="AI299" i="1"/>
  <c r="AF299" i="1"/>
  <c r="AD299" i="1"/>
  <c r="AA299" i="1"/>
  <c r="Y299" i="1"/>
  <c r="V299" i="1"/>
  <c r="T299" i="1"/>
  <c r="Q299" i="1"/>
  <c r="O299" i="1"/>
  <c r="L299" i="1"/>
  <c r="J299" i="1"/>
  <c r="G299" i="1"/>
  <c r="E299" i="1"/>
  <c r="B299" i="1"/>
  <c r="AN298" i="1"/>
  <c r="AK298" i="1"/>
  <c r="AI298" i="1"/>
  <c r="AF298" i="1"/>
  <c r="AD298" i="1"/>
  <c r="AA298" i="1"/>
  <c r="Y298" i="1"/>
  <c r="V298" i="1"/>
  <c r="T298" i="1"/>
  <c r="Q298" i="1"/>
  <c r="O298" i="1"/>
  <c r="L298" i="1"/>
  <c r="J298" i="1"/>
  <c r="G298" i="1"/>
  <c r="E298" i="1"/>
  <c r="B298" i="1"/>
  <c r="AN297" i="1"/>
  <c r="AK297" i="1"/>
  <c r="AI297" i="1"/>
  <c r="AF297" i="1"/>
  <c r="AD297" i="1"/>
  <c r="AA297" i="1"/>
  <c r="Y297" i="1"/>
  <c r="V297" i="1"/>
  <c r="T297" i="1"/>
  <c r="Q297" i="1"/>
  <c r="O297" i="1"/>
  <c r="L297" i="1"/>
  <c r="J297" i="1"/>
  <c r="G297" i="1"/>
  <c r="E297" i="1"/>
  <c r="B297" i="1"/>
  <c r="AN296" i="1"/>
  <c r="AK296" i="1"/>
  <c r="AI296" i="1"/>
  <c r="AF296" i="1"/>
  <c r="AD296" i="1"/>
  <c r="AA296" i="1"/>
  <c r="Y296" i="1"/>
  <c r="V296" i="1"/>
  <c r="T296" i="1"/>
  <c r="Q296" i="1"/>
  <c r="O296" i="1"/>
  <c r="L296" i="1"/>
  <c r="J296" i="1"/>
  <c r="G296" i="1"/>
  <c r="E296" i="1"/>
  <c r="B296" i="1"/>
  <c r="AN295" i="1"/>
  <c r="AK295" i="1"/>
  <c r="AI295" i="1"/>
  <c r="AF295" i="1"/>
  <c r="AD295" i="1"/>
  <c r="AA295" i="1"/>
  <c r="Y295" i="1"/>
  <c r="V295" i="1"/>
  <c r="T295" i="1"/>
  <c r="Q295" i="1"/>
  <c r="O295" i="1"/>
  <c r="L295" i="1"/>
  <c r="J295" i="1"/>
  <c r="G295" i="1"/>
  <c r="E295" i="1"/>
  <c r="B295" i="1"/>
  <c r="AN294" i="1"/>
  <c r="AK294" i="1"/>
  <c r="AI294" i="1"/>
  <c r="AF294" i="1"/>
  <c r="AD294" i="1"/>
  <c r="AA294" i="1"/>
  <c r="Y294" i="1"/>
  <c r="V294" i="1"/>
  <c r="T294" i="1"/>
  <c r="Q294" i="1"/>
  <c r="O294" i="1"/>
  <c r="L294" i="1"/>
  <c r="J294" i="1"/>
  <c r="G294" i="1"/>
  <c r="E294" i="1"/>
  <c r="B294" i="1"/>
  <c r="AN293" i="1"/>
  <c r="AK293" i="1"/>
  <c r="AI293" i="1"/>
  <c r="AF293" i="1"/>
  <c r="AD293" i="1"/>
  <c r="AA293" i="1"/>
  <c r="Y293" i="1"/>
  <c r="V293" i="1"/>
  <c r="T293" i="1"/>
  <c r="Q293" i="1"/>
  <c r="O293" i="1"/>
  <c r="L293" i="1"/>
  <c r="J293" i="1"/>
  <c r="G293" i="1"/>
  <c r="E293" i="1"/>
  <c r="B293" i="1"/>
  <c r="AN283" i="1"/>
  <c r="AK283" i="1"/>
  <c r="AI283" i="1"/>
  <c r="AF283" i="1"/>
  <c r="AD283" i="1"/>
  <c r="AA283" i="1"/>
  <c r="Y283" i="1"/>
  <c r="V283" i="1"/>
  <c r="T283" i="1"/>
  <c r="Q283" i="1"/>
  <c r="O283" i="1"/>
  <c r="L283" i="1"/>
  <c r="J283" i="1"/>
  <c r="G283" i="1"/>
  <c r="E283" i="1"/>
  <c r="B283" i="1"/>
  <c r="AN282" i="1"/>
  <c r="AK282" i="1"/>
  <c r="AI282" i="1"/>
  <c r="AF282" i="1"/>
  <c r="AD282" i="1"/>
  <c r="AA282" i="1"/>
  <c r="Y282" i="1"/>
  <c r="V282" i="1"/>
  <c r="T282" i="1"/>
  <c r="Q282" i="1"/>
  <c r="O282" i="1"/>
  <c r="L282" i="1"/>
  <c r="J282" i="1"/>
  <c r="G282" i="1"/>
  <c r="E282" i="1"/>
  <c r="B282" i="1"/>
  <c r="AN281" i="1"/>
  <c r="AK281" i="1"/>
  <c r="AI281" i="1"/>
  <c r="AF281" i="1"/>
  <c r="AD281" i="1"/>
  <c r="AA281" i="1"/>
  <c r="Y281" i="1"/>
  <c r="V281" i="1"/>
  <c r="T281" i="1"/>
  <c r="Q281" i="1"/>
  <c r="O281" i="1"/>
  <c r="L281" i="1"/>
  <c r="J281" i="1"/>
  <c r="G281" i="1"/>
  <c r="E281" i="1"/>
  <c r="B281" i="1"/>
  <c r="AN280" i="1"/>
  <c r="AK280" i="1"/>
  <c r="AI280" i="1"/>
  <c r="AF280" i="1"/>
  <c r="AD280" i="1"/>
  <c r="AA280" i="1"/>
  <c r="Y280" i="1"/>
  <c r="V280" i="1"/>
  <c r="T280" i="1"/>
  <c r="Q280" i="1"/>
  <c r="O280" i="1"/>
  <c r="L280" i="1"/>
  <c r="J280" i="1"/>
  <c r="G280" i="1"/>
  <c r="E280" i="1"/>
  <c r="B280" i="1"/>
  <c r="AN279" i="1"/>
  <c r="AK279" i="1"/>
  <c r="AI279" i="1"/>
  <c r="AF279" i="1"/>
  <c r="AD279" i="1"/>
  <c r="AA279" i="1"/>
  <c r="Y279" i="1"/>
  <c r="V279" i="1"/>
  <c r="T279" i="1"/>
  <c r="Q279" i="1"/>
  <c r="O279" i="1"/>
  <c r="L279" i="1"/>
  <c r="J279" i="1"/>
  <c r="G279" i="1"/>
  <c r="E279" i="1"/>
  <c r="B279" i="1"/>
  <c r="AN278" i="1"/>
  <c r="AK278" i="1"/>
  <c r="AI278" i="1"/>
  <c r="AF278" i="1"/>
  <c r="AD278" i="1"/>
  <c r="AA278" i="1"/>
  <c r="Y278" i="1"/>
  <c r="V278" i="1"/>
  <c r="T278" i="1"/>
  <c r="Q278" i="1"/>
  <c r="O278" i="1"/>
  <c r="L278" i="1"/>
  <c r="J278" i="1"/>
  <c r="G278" i="1"/>
  <c r="E278" i="1"/>
  <c r="B278" i="1"/>
  <c r="AN277" i="1"/>
  <c r="AK277" i="1"/>
  <c r="AI277" i="1"/>
  <c r="AF277" i="1"/>
  <c r="AD277" i="1"/>
  <c r="AA277" i="1"/>
  <c r="Y277" i="1"/>
  <c r="V277" i="1"/>
  <c r="T277" i="1"/>
  <c r="Q277" i="1"/>
  <c r="O277" i="1"/>
  <c r="L277" i="1"/>
  <c r="J277" i="1"/>
  <c r="G277" i="1"/>
  <c r="E277" i="1"/>
  <c r="B277" i="1"/>
  <c r="AN276" i="1"/>
  <c r="AK276" i="1"/>
  <c r="AI276" i="1"/>
  <c r="AF276" i="1"/>
  <c r="AD276" i="1"/>
  <c r="AA276" i="1"/>
  <c r="Y276" i="1"/>
  <c r="V276" i="1"/>
  <c r="T276" i="1"/>
  <c r="Q276" i="1"/>
  <c r="O276" i="1"/>
  <c r="L276" i="1"/>
  <c r="J276" i="1"/>
  <c r="G276" i="1"/>
  <c r="E276" i="1"/>
  <c r="B276" i="1"/>
  <c r="AN275" i="1"/>
  <c r="AK275" i="1"/>
  <c r="AI275" i="1"/>
  <c r="AF275" i="1"/>
  <c r="AD275" i="1"/>
  <c r="AA275" i="1"/>
  <c r="Y275" i="1"/>
  <c r="V275" i="1"/>
  <c r="T275" i="1"/>
  <c r="Q275" i="1"/>
  <c r="O275" i="1"/>
  <c r="L275" i="1"/>
  <c r="J275" i="1"/>
  <c r="G275" i="1"/>
  <c r="E275" i="1"/>
  <c r="B275" i="1"/>
  <c r="AN274" i="1"/>
  <c r="AK274" i="1"/>
  <c r="AI274" i="1"/>
  <c r="AF274" i="1"/>
  <c r="AD274" i="1"/>
  <c r="AA274" i="1"/>
  <c r="Y274" i="1"/>
  <c r="V274" i="1"/>
  <c r="T274" i="1"/>
  <c r="Q274" i="1"/>
  <c r="O274" i="1"/>
  <c r="L274" i="1"/>
  <c r="J274" i="1"/>
  <c r="G274" i="1"/>
  <c r="E274" i="1"/>
  <c r="B274" i="1"/>
  <c r="AN273" i="1"/>
  <c r="AK273" i="1"/>
  <c r="AI273" i="1"/>
  <c r="AF273" i="1"/>
  <c r="AD273" i="1"/>
  <c r="AA273" i="1"/>
  <c r="Y273" i="1"/>
  <c r="V273" i="1"/>
  <c r="T273" i="1"/>
  <c r="Q273" i="1"/>
  <c r="O273" i="1"/>
  <c r="L273" i="1"/>
  <c r="J273" i="1"/>
  <c r="G273" i="1"/>
  <c r="E273" i="1"/>
  <c r="B273" i="1"/>
  <c r="AN272" i="1"/>
  <c r="AK272" i="1"/>
  <c r="AI272" i="1"/>
  <c r="AF272" i="1"/>
  <c r="AD272" i="1"/>
  <c r="AA272" i="1"/>
  <c r="Y272" i="1"/>
  <c r="V272" i="1"/>
  <c r="T272" i="1"/>
  <c r="Q272" i="1"/>
  <c r="O272" i="1"/>
  <c r="L272" i="1"/>
  <c r="J272" i="1"/>
  <c r="G272" i="1"/>
  <c r="E272" i="1"/>
  <c r="B272" i="1"/>
  <c r="AN271" i="1"/>
  <c r="AK271" i="1"/>
  <c r="AI271" i="1"/>
  <c r="AF271" i="1"/>
  <c r="AD271" i="1"/>
  <c r="AA271" i="1"/>
  <c r="Y271" i="1"/>
  <c r="V271" i="1"/>
  <c r="T271" i="1"/>
  <c r="Q271" i="1"/>
  <c r="O271" i="1"/>
  <c r="L271" i="1"/>
  <c r="J271" i="1"/>
  <c r="G271" i="1"/>
  <c r="E271" i="1"/>
  <c r="B271" i="1"/>
  <c r="AN270" i="1"/>
  <c r="AK270" i="1"/>
  <c r="AI270" i="1"/>
  <c r="AF270" i="1"/>
  <c r="AD270" i="1"/>
  <c r="AA270" i="1"/>
  <c r="Y270" i="1"/>
  <c r="V270" i="1"/>
  <c r="T270" i="1"/>
  <c r="Q270" i="1"/>
  <c r="O270" i="1"/>
  <c r="L270" i="1"/>
  <c r="J270" i="1"/>
  <c r="G270" i="1"/>
  <c r="E270" i="1"/>
  <c r="B270" i="1"/>
  <c r="AN269" i="1"/>
  <c r="AK269" i="1"/>
  <c r="AI269" i="1"/>
  <c r="AF269" i="1"/>
  <c r="AD269" i="1"/>
  <c r="AA269" i="1"/>
  <c r="Y269" i="1"/>
  <c r="V269" i="1"/>
  <c r="T269" i="1"/>
  <c r="Q269" i="1"/>
  <c r="O269" i="1"/>
  <c r="L269" i="1"/>
  <c r="J269" i="1"/>
  <c r="G269" i="1"/>
  <c r="E269" i="1"/>
  <c r="B269" i="1"/>
  <c r="AN268" i="1"/>
  <c r="AK268" i="1"/>
  <c r="AI268" i="1"/>
  <c r="AF268" i="1"/>
  <c r="AD268" i="1"/>
  <c r="AA268" i="1"/>
  <c r="Y268" i="1"/>
  <c r="V268" i="1"/>
  <c r="T268" i="1"/>
  <c r="Q268" i="1"/>
  <c r="O268" i="1"/>
  <c r="L268" i="1"/>
  <c r="J268" i="1"/>
  <c r="G268" i="1"/>
  <c r="E268" i="1"/>
  <c r="B268" i="1"/>
  <c r="AN267" i="1"/>
  <c r="AK267" i="1"/>
  <c r="AI267" i="1"/>
  <c r="AF267" i="1"/>
  <c r="AD267" i="1"/>
  <c r="AA267" i="1"/>
  <c r="Y267" i="1"/>
  <c r="V267" i="1"/>
  <c r="T267" i="1"/>
  <c r="Q267" i="1"/>
  <c r="O267" i="1"/>
  <c r="L267" i="1"/>
  <c r="J267" i="1"/>
  <c r="G267" i="1"/>
  <c r="E267" i="1"/>
  <c r="B267" i="1"/>
  <c r="AN266" i="1"/>
  <c r="AK266" i="1"/>
  <c r="AI266" i="1"/>
  <c r="AF266" i="1"/>
  <c r="AD266" i="1"/>
  <c r="AA266" i="1"/>
  <c r="Y266" i="1"/>
  <c r="V266" i="1"/>
  <c r="T266" i="1"/>
  <c r="Q266" i="1"/>
  <c r="O266" i="1"/>
  <c r="L266" i="1"/>
  <c r="J266" i="1"/>
  <c r="G266" i="1"/>
  <c r="E266" i="1"/>
  <c r="B266" i="1"/>
  <c r="AN265" i="1"/>
  <c r="AK265" i="1"/>
  <c r="AI265" i="1"/>
  <c r="AF265" i="1"/>
  <c r="AD265" i="1"/>
  <c r="AA265" i="1"/>
  <c r="Y265" i="1"/>
  <c r="V265" i="1"/>
  <c r="T265" i="1"/>
  <c r="Q265" i="1"/>
  <c r="O265" i="1"/>
  <c r="L265" i="1"/>
  <c r="J265" i="1"/>
  <c r="G265" i="1"/>
  <c r="E265" i="1"/>
  <c r="B265" i="1"/>
  <c r="AN264" i="1"/>
  <c r="AK264" i="1"/>
  <c r="AI264" i="1"/>
  <c r="AF264" i="1"/>
  <c r="AD264" i="1"/>
  <c r="AA264" i="1"/>
  <c r="Y264" i="1"/>
  <c r="V264" i="1"/>
  <c r="T264" i="1"/>
  <c r="Q264" i="1"/>
  <c r="O264" i="1"/>
  <c r="L264" i="1"/>
  <c r="J264" i="1"/>
  <c r="G264" i="1"/>
  <c r="E264" i="1"/>
  <c r="B264" i="1"/>
  <c r="AN263" i="1"/>
  <c r="AK263" i="1"/>
  <c r="AI263" i="1"/>
  <c r="AF263" i="1"/>
  <c r="AD263" i="1"/>
  <c r="AA263" i="1"/>
  <c r="Y263" i="1"/>
  <c r="V263" i="1"/>
  <c r="T263" i="1"/>
  <c r="Q263" i="1"/>
  <c r="O263" i="1"/>
  <c r="L263" i="1"/>
  <c r="J263" i="1"/>
  <c r="G263" i="1"/>
  <c r="E263" i="1"/>
  <c r="B263" i="1"/>
  <c r="AN256" i="1"/>
  <c r="AK256" i="1"/>
  <c r="AI256" i="1"/>
  <c r="AF256" i="1"/>
  <c r="AD256" i="1"/>
  <c r="AA256" i="1"/>
  <c r="Y256" i="1"/>
  <c r="V256" i="1"/>
  <c r="T256" i="1"/>
  <c r="Q256" i="1"/>
  <c r="O256" i="1"/>
  <c r="L256" i="1"/>
  <c r="J256" i="1"/>
  <c r="G256" i="1"/>
  <c r="E256" i="1"/>
  <c r="B256" i="1"/>
  <c r="AN255" i="1"/>
  <c r="AK255" i="1"/>
  <c r="AI255" i="1"/>
  <c r="AF255" i="1"/>
  <c r="AD255" i="1"/>
  <c r="AA255" i="1"/>
  <c r="Y255" i="1"/>
  <c r="V255" i="1"/>
  <c r="T255" i="1"/>
  <c r="Q255" i="1"/>
  <c r="O255" i="1"/>
  <c r="L255" i="1"/>
  <c r="J255" i="1"/>
  <c r="G255" i="1"/>
  <c r="E255" i="1"/>
  <c r="B255" i="1"/>
  <c r="AN254" i="1"/>
  <c r="AK254" i="1"/>
  <c r="AI254" i="1"/>
  <c r="AF254" i="1"/>
  <c r="AD254" i="1"/>
  <c r="AA254" i="1"/>
  <c r="Y254" i="1"/>
  <c r="V254" i="1"/>
  <c r="T254" i="1"/>
  <c r="Q254" i="1"/>
  <c r="O254" i="1"/>
  <c r="L254" i="1"/>
  <c r="J254" i="1"/>
  <c r="G254" i="1"/>
  <c r="E254" i="1"/>
  <c r="B254" i="1"/>
  <c r="AN253" i="1"/>
  <c r="AK253" i="1"/>
  <c r="AI253" i="1"/>
  <c r="AF253" i="1"/>
  <c r="AD253" i="1"/>
  <c r="AA253" i="1"/>
  <c r="Y253" i="1"/>
  <c r="V253" i="1"/>
  <c r="T253" i="1"/>
  <c r="Q253" i="1"/>
  <c r="O253" i="1"/>
  <c r="L253" i="1"/>
  <c r="J253" i="1"/>
  <c r="G253" i="1"/>
  <c r="E253" i="1"/>
  <c r="B253" i="1"/>
  <c r="AN252" i="1"/>
  <c r="AK252" i="1"/>
  <c r="AI252" i="1"/>
  <c r="AF252" i="1"/>
  <c r="AD252" i="1"/>
  <c r="AA252" i="1"/>
  <c r="Y252" i="1"/>
  <c r="V252" i="1"/>
  <c r="T252" i="1"/>
  <c r="Q252" i="1"/>
  <c r="O252" i="1"/>
  <c r="L252" i="1"/>
  <c r="J252" i="1"/>
  <c r="G252" i="1"/>
  <c r="E252" i="1"/>
  <c r="B252" i="1"/>
  <c r="AN251" i="1"/>
  <c r="AK251" i="1"/>
  <c r="AI251" i="1"/>
  <c r="AF251" i="1"/>
  <c r="AD251" i="1"/>
  <c r="AA251" i="1"/>
  <c r="Y251" i="1"/>
  <c r="V251" i="1"/>
  <c r="T251" i="1"/>
  <c r="Q251" i="1"/>
  <c r="O251" i="1"/>
  <c r="L251" i="1"/>
  <c r="J251" i="1"/>
  <c r="G251" i="1"/>
  <c r="E251" i="1"/>
  <c r="B251" i="1"/>
  <c r="AN250" i="1"/>
  <c r="AK250" i="1"/>
  <c r="AI250" i="1"/>
  <c r="AF250" i="1"/>
  <c r="AD250" i="1"/>
  <c r="AA250" i="1"/>
  <c r="Y250" i="1"/>
  <c r="V250" i="1"/>
  <c r="T250" i="1"/>
  <c r="Q250" i="1"/>
  <c r="O250" i="1"/>
  <c r="L250" i="1"/>
  <c r="J250" i="1"/>
  <c r="G250" i="1"/>
  <c r="E250" i="1"/>
  <c r="B250" i="1"/>
  <c r="AN249" i="1"/>
  <c r="AK249" i="1"/>
  <c r="AI249" i="1"/>
  <c r="AF249" i="1"/>
  <c r="AD249" i="1"/>
  <c r="AA249" i="1"/>
  <c r="Y249" i="1"/>
  <c r="V249" i="1"/>
  <c r="T249" i="1"/>
  <c r="Q249" i="1"/>
  <c r="O249" i="1"/>
  <c r="L249" i="1"/>
  <c r="J249" i="1"/>
  <c r="G249" i="1"/>
  <c r="E249" i="1"/>
  <c r="B249" i="1"/>
  <c r="AN248" i="1"/>
  <c r="AK248" i="1"/>
  <c r="AI248" i="1"/>
  <c r="AF248" i="1"/>
  <c r="AD248" i="1"/>
  <c r="AA248" i="1"/>
  <c r="Y248" i="1"/>
  <c r="V248" i="1"/>
  <c r="T248" i="1"/>
  <c r="Q248" i="1"/>
  <c r="O248" i="1"/>
  <c r="L248" i="1"/>
  <c r="J248" i="1"/>
  <c r="G248" i="1"/>
  <c r="E248" i="1"/>
  <c r="B248" i="1"/>
  <c r="AN247" i="1"/>
  <c r="AK247" i="1"/>
  <c r="AI247" i="1"/>
  <c r="AF247" i="1"/>
  <c r="AD247" i="1"/>
  <c r="AA247" i="1"/>
  <c r="Y247" i="1"/>
  <c r="V247" i="1"/>
  <c r="T247" i="1"/>
  <c r="Q247" i="1"/>
  <c r="O247" i="1"/>
  <c r="L247" i="1"/>
  <c r="J247" i="1"/>
  <c r="G247" i="1"/>
  <c r="E247" i="1"/>
  <c r="B247" i="1"/>
  <c r="AN246" i="1"/>
  <c r="AK246" i="1"/>
  <c r="AI246" i="1"/>
  <c r="AF246" i="1"/>
  <c r="AD246" i="1"/>
  <c r="AA246" i="1"/>
  <c r="Y246" i="1"/>
  <c r="V246" i="1"/>
  <c r="T246" i="1"/>
  <c r="Q246" i="1"/>
  <c r="O246" i="1"/>
  <c r="L246" i="1"/>
  <c r="J246" i="1"/>
  <c r="G246" i="1"/>
  <c r="E246" i="1"/>
  <c r="B246" i="1"/>
  <c r="AN245" i="1"/>
  <c r="AK245" i="1"/>
  <c r="AI245" i="1"/>
  <c r="AF245" i="1"/>
  <c r="AD245" i="1"/>
  <c r="AA245" i="1"/>
  <c r="Y245" i="1"/>
  <c r="V245" i="1"/>
  <c r="T245" i="1"/>
  <c r="Q245" i="1"/>
  <c r="O245" i="1"/>
  <c r="L245" i="1"/>
  <c r="J245" i="1"/>
  <c r="G245" i="1"/>
  <c r="E245" i="1"/>
  <c r="B245" i="1"/>
  <c r="AN244" i="1"/>
  <c r="AK244" i="1"/>
  <c r="AI244" i="1"/>
  <c r="AF244" i="1"/>
  <c r="AD244" i="1"/>
  <c r="AA244" i="1"/>
  <c r="Y244" i="1"/>
  <c r="V244" i="1"/>
  <c r="T244" i="1"/>
  <c r="Q244" i="1"/>
  <c r="O244" i="1"/>
  <c r="L244" i="1"/>
  <c r="J244" i="1"/>
  <c r="G244" i="1"/>
  <c r="E244" i="1"/>
  <c r="B244" i="1"/>
  <c r="AN243" i="1"/>
  <c r="AK243" i="1"/>
  <c r="AI243" i="1"/>
  <c r="AF243" i="1"/>
  <c r="AD243" i="1"/>
  <c r="AA243" i="1"/>
  <c r="Y243" i="1"/>
  <c r="V243" i="1"/>
  <c r="T243" i="1"/>
  <c r="Q243" i="1"/>
  <c r="O243" i="1"/>
  <c r="L243" i="1"/>
  <c r="J243" i="1"/>
  <c r="G243" i="1"/>
  <c r="E243" i="1"/>
  <c r="B243" i="1"/>
  <c r="AN242" i="1"/>
  <c r="AK242" i="1"/>
  <c r="AI242" i="1"/>
  <c r="AF242" i="1"/>
  <c r="AD242" i="1"/>
  <c r="AA242" i="1"/>
  <c r="Y242" i="1"/>
  <c r="V242" i="1"/>
  <c r="T242" i="1"/>
  <c r="Q242" i="1"/>
  <c r="O242" i="1"/>
  <c r="L242" i="1"/>
  <c r="J242" i="1"/>
  <c r="G242" i="1"/>
  <c r="E242" i="1"/>
  <c r="B242" i="1"/>
  <c r="AN241" i="1"/>
  <c r="AK241" i="1"/>
  <c r="AI241" i="1"/>
  <c r="AF241" i="1"/>
  <c r="AD241" i="1"/>
  <c r="AA241" i="1"/>
  <c r="Y241" i="1"/>
  <c r="V241" i="1"/>
  <c r="T241" i="1"/>
  <c r="Q241" i="1"/>
  <c r="O241" i="1"/>
  <c r="L241" i="1"/>
  <c r="J241" i="1"/>
  <c r="G241" i="1"/>
  <c r="E241" i="1"/>
  <c r="B241" i="1"/>
  <c r="AN240" i="1"/>
  <c r="AK240" i="1"/>
  <c r="AI240" i="1"/>
  <c r="AF240" i="1"/>
  <c r="AD240" i="1"/>
  <c r="AA240" i="1"/>
  <c r="Y240" i="1"/>
  <c r="V240" i="1"/>
  <c r="T240" i="1"/>
  <c r="Q240" i="1"/>
  <c r="O240" i="1"/>
  <c r="L240" i="1"/>
  <c r="J240" i="1"/>
  <c r="G240" i="1"/>
  <c r="E240" i="1"/>
  <c r="B240" i="1"/>
  <c r="AN239" i="1"/>
  <c r="AK239" i="1"/>
  <c r="AI239" i="1"/>
  <c r="AF239" i="1"/>
  <c r="AD239" i="1"/>
  <c r="AA239" i="1"/>
  <c r="Y239" i="1"/>
  <c r="V239" i="1"/>
  <c r="T239" i="1"/>
  <c r="Q239" i="1"/>
  <c r="O239" i="1"/>
  <c r="L239" i="1"/>
  <c r="J239" i="1"/>
  <c r="G239" i="1"/>
  <c r="E239" i="1"/>
  <c r="B239" i="1"/>
  <c r="AN238" i="1"/>
  <c r="AK238" i="1"/>
  <c r="AI238" i="1"/>
  <c r="AF238" i="1"/>
  <c r="AD238" i="1"/>
  <c r="AA238" i="1"/>
  <c r="Y238" i="1"/>
  <c r="V238" i="1"/>
  <c r="T238" i="1"/>
  <c r="Q238" i="1"/>
  <c r="O238" i="1"/>
  <c r="L238" i="1"/>
  <c r="J238" i="1"/>
  <c r="G238" i="1"/>
  <c r="E238" i="1"/>
  <c r="B238" i="1"/>
  <c r="AN237" i="1"/>
  <c r="AK237" i="1"/>
  <c r="AI237" i="1"/>
  <c r="AF237" i="1"/>
  <c r="AD237" i="1"/>
  <c r="AA237" i="1"/>
  <c r="Y237" i="1"/>
  <c r="V237" i="1"/>
  <c r="T237" i="1"/>
  <c r="Q237" i="1"/>
  <c r="O237" i="1"/>
  <c r="L237" i="1"/>
  <c r="J237" i="1"/>
  <c r="G237" i="1"/>
  <c r="E237" i="1"/>
  <c r="B237" i="1"/>
  <c r="AN236" i="1"/>
  <c r="AK236" i="1"/>
  <c r="AI236" i="1"/>
  <c r="AF236" i="1"/>
  <c r="AD236" i="1"/>
  <c r="AA236" i="1"/>
  <c r="Y236" i="1"/>
  <c r="V236" i="1"/>
  <c r="T236" i="1"/>
  <c r="Q236" i="1"/>
  <c r="O236" i="1"/>
  <c r="L236" i="1"/>
  <c r="J236" i="1"/>
  <c r="G236" i="1"/>
  <c r="E236" i="1"/>
  <c r="B236" i="1"/>
  <c r="AN226" i="1"/>
  <c r="AK226" i="1"/>
  <c r="AI226" i="1"/>
  <c r="AF226" i="1"/>
  <c r="AD226" i="1"/>
  <c r="AA226" i="1"/>
  <c r="Y226" i="1"/>
  <c r="V226" i="1"/>
  <c r="T226" i="1"/>
  <c r="Q226" i="1"/>
  <c r="O226" i="1"/>
  <c r="L226" i="1"/>
  <c r="J226" i="1"/>
  <c r="G226" i="1"/>
  <c r="E226" i="1"/>
  <c r="B226" i="1"/>
  <c r="AN225" i="1"/>
  <c r="AK225" i="1"/>
  <c r="AI225" i="1"/>
  <c r="AF225" i="1"/>
  <c r="AD225" i="1"/>
  <c r="AA225" i="1"/>
  <c r="Y225" i="1"/>
  <c r="V225" i="1"/>
  <c r="T225" i="1"/>
  <c r="Q225" i="1"/>
  <c r="O225" i="1"/>
  <c r="L225" i="1"/>
  <c r="J225" i="1"/>
  <c r="G225" i="1"/>
  <c r="E225" i="1"/>
  <c r="B225" i="1"/>
  <c r="AN224" i="1"/>
  <c r="AK224" i="1"/>
  <c r="AI224" i="1"/>
  <c r="AF224" i="1"/>
  <c r="AD224" i="1"/>
  <c r="AA224" i="1"/>
  <c r="Y224" i="1"/>
  <c r="V224" i="1"/>
  <c r="T224" i="1"/>
  <c r="Q224" i="1"/>
  <c r="O224" i="1"/>
  <c r="L224" i="1"/>
  <c r="J224" i="1"/>
  <c r="G224" i="1"/>
  <c r="E224" i="1"/>
  <c r="B224" i="1"/>
  <c r="AN223" i="1"/>
  <c r="AK223" i="1"/>
  <c r="AI223" i="1"/>
  <c r="AF223" i="1"/>
  <c r="AD223" i="1"/>
  <c r="AA223" i="1"/>
  <c r="Y223" i="1"/>
  <c r="V223" i="1"/>
  <c r="T223" i="1"/>
  <c r="Q223" i="1"/>
  <c r="O223" i="1"/>
  <c r="L223" i="1"/>
  <c r="J223" i="1"/>
  <c r="G223" i="1"/>
  <c r="E223" i="1"/>
  <c r="B223" i="1"/>
  <c r="AN222" i="1"/>
  <c r="AK222" i="1"/>
  <c r="AI222" i="1"/>
  <c r="AF222" i="1"/>
  <c r="AD222" i="1"/>
  <c r="AA222" i="1"/>
  <c r="Y222" i="1"/>
  <c r="V222" i="1"/>
  <c r="T222" i="1"/>
  <c r="Q222" i="1"/>
  <c r="O222" i="1"/>
  <c r="L222" i="1"/>
  <c r="J222" i="1"/>
  <c r="G222" i="1"/>
  <c r="E222" i="1"/>
  <c r="B222" i="1"/>
  <c r="AN221" i="1"/>
  <c r="AK221" i="1"/>
  <c r="AI221" i="1"/>
  <c r="AF221" i="1"/>
  <c r="AD221" i="1"/>
  <c r="AA221" i="1"/>
  <c r="Y221" i="1"/>
  <c r="V221" i="1"/>
  <c r="T221" i="1"/>
  <c r="Q221" i="1"/>
  <c r="O221" i="1"/>
  <c r="L221" i="1"/>
  <c r="J221" i="1"/>
  <c r="G221" i="1"/>
  <c r="E221" i="1"/>
  <c r="B221" i="1"/>
  <c r="AN220" i="1"/>
  <c r="AK220" i="1"/>
  <c r="AI220" i="1"/>
  <c r="AF220" i="1"/>
  <c r="AD220" i="1"/>
  <c r="AA220" i="1"/>
  <c r="Y220" i="1"/>
  <c r="V220" i="1"/>
  <c r="T220" i="1"/>
  <c r="Q220" i="1"/>
  <c r="O220" i="1"/>
  <c r="L220" i="1"/>
  <c r="J220" i="1"/>
  <c r="G220" i="1"/>
  <c r="E220" i="1"/>
  <c r="B220" i="1"/>
  <c r="AN219" i="1"/>
  <c r="AK219" i="1"/>
  <c r="AI219" i="1"/>
  <c r="AF219" i="1"/>
  <c r="AD219" i="1"/>
  <c r="AA219" i="1"/>
  <c r="Y219" i="1"/>
  <c r="V219" i="1"/>
  <c r="T219" i="1"/>
  <c r="Q219" i="1"/>
  <c r="O219" i="1"/>
  <c r="L219" i="1"/>
  <c r="J219" i="1"/>
  <c r="G219" i="1"/>
  <c r="E219" i="1"/>
  <c r="B219" i="1"/>
  <c r="AN218" i="1"/>
  <c r="AK218" i="1"/>
  <c r="AI218" i="1"/>
  <c r="AF218" i="1"/>
  <c r="AD218" i="1"/>
  <c r="AA218" i="1"/>
  <c r="Y218" i="1"/>
  <c r="V218" i="1"/>
  <c r="T218" i="1"/>
  <c r="Q218" i="1"/>
  <c r="O218" i="1"/>
  <c r="L218" i="1"/>
  <c r="J218" i="1"/>
  <c r="G218" i="1"/>
  <c r="E218" i="1"/>
  <c r="B218" i="1"/>
  <c r="AN217" i="1"/>
  <c r="AK217" i="1"/>
  <c r="AI217" i="1"/>
  <c r="AF217" i="1"/>
  <c r="AD217" i="1"/>
  <c r="AA217" i="1"/>
  <c r="Y217" i="1"/>
  <c r="V217" i="1"/>
  <c r="T217" i="1"/>
  <c r="Q217" i="1"/>
  <c r="O217" i="1"/>
  <c r="L217" i="1"/>
  <c r="J217" i="1"/>
  <c r="G217" i="1"/>
  <c r="E217" i="1"/>
  <c r="B217" i="1"/>
  <c r="AN216" i="1"/>
  <c r="AK216" i="1"/>
  <c r="AI216" i="1"/>
  <c r="AF216" i="1"/>
  <c r="AD216" i="1"/>
  <c r="AA216" i="1"/>
  <c r="Y216" i="1"/>
  <c r="V216" i="1"/>
  <c r="T216" i="1"/>
  <c r="Q216" i="1"/>
  <c r="O216" i="1"/>
  <c r="L216" i="1"/>
  <c r="J216" i="1"/>
  <c r="G216" i="1"/>
  <c r="E216" i="1"/>
  <c r="B216" i="1"/>
  <c r="AN215" i="1"/>
  <c r="AK215" i="1"/>
  <c r="AI215" i="1"/>
  <c r="AF215" i="1"/>
  <c r="AD215" i="1"/>
  <c r="AA215" i="1"/>
  <c r="Y215" i="1"/>
  <c r="V215" i="1"/>
  <c r="T215" i="1"/>
  <c r="Q215" i="1"/>
  <c r="O215" i="1"/>
  <c r="L215" i="1"/>
  <c r="J215" i="1"/>
  <c r="G215" i="1"/>
  <c r="E215" i="1"/>
  <c r="B215" i="1"/>
  <c r="AN214" i="1"/>
  <c r="AK214" i="1"/>
  <c r="AI214" i="1"/>
  <c r="AF214" i="1"/>
  <c r="AD214" i="1"/>
  <c r="AA214" i="1"/>
  <c r="Y214" i="1"/>
  <c r="V214" i="1"/>
  <c r="T214" i="1"/>
  <c r="Q214" i="1"/>
  <c r="O214" i="1"/>
  <c r="L214" i="1"/>
  <c r="J214" i="1"/>
  <c r="G214" i="1"/>
  <c r="E214" i="1"/>
  <c r="B214" i="1"/>
  <c r="AN213" i="1"/>
  <c r="AK213" i="1"/>
  <c r="AI213" i="1"/>
  <c r="AF213" i="1"/>
  <c r="AD213" i="1"/>
  <c r="AA213" i="1"/>
  <c r="Y213" i="1"/>
  <c r="V213" i="1"/>
  <c r="T213" i="1"/>
  <c r="Q213" i="1"/>
  <c r="O213" i="1"/>
  <c r="L213" i="1"/>
  <c r="J213" i="1"/>
  <c r="G213" i="1"/>
  <c r="E213" i="1"/>
  <c r="B213" i="1"/>
  <c r="AN212" i="1"/>
  <c r="AK212" i="1"/>
  <c r="AI212" i="1"/>
  <c r="AF212" i="1"/>
  <c r="AD212" i="1"/>
  <c r="AA212" i="1"/>
  <c r="Y212" i="1"/>
  <c r="V212" i="1"/>
  <c r="T212" i="1"/>
  <c r="Q212" i="1"/>
  <c r="O212" i="1"/>
  <c r="L212" i="1"/>
  <c r="J212" i="1"/>
  <c r="G212" i="1"/>
  <c r="E212" i="1"/>
  <c r="B212" i="1"/>
  <c r="AN211" i="1"/>
  <c r="AK211" i="1"/>
  <c r="AI211" i="1"/>
  <c r="AF211" i="1"/>
  <c r="AD211" i="1"/>
  <c r="AA211" i="1"/>
  <c r="Y211" i="1"/>
  <c r="V211" i="1"/>
  <c r="T211" i="1"/>
  <c r="Q211" i="1"/>
  <c r="O211" i="1"/>
  <c r="L211" i="1"/>
  <c r="J211" i="1"/>
  <c r="G211" i="1"/>
  <c r="E211" i="1"/>
  <c r="B211" i="1"/>
  <c r="AN210" i="1"/>
  <c r="AK210" i="1"/>
  <c r="AI210" i="1"/>
  <c r="AF210" i="1"/>
  <c r="AD210" i="1"/>
  <c r="AA210" i="1"/>
  <c r="Y210" i="1"/>
  <c r="V210" i="1"/>
  <c r="T210" i="1"/>
  <c r="Q210" i="1"/>
  <c r="O210" i="1"/>
  <c r="L210" i="1"/>
  <c r="J210" i="1"/>
  <c r="G210" i="1"/>
  <c r="E210" i="1"/>
  <c r="B210" i="1"/>
  <c r="AN209" i="1"/>
  <c r="AK209" i="1"/>
  <c r="AI209" i="1"/>
  <c r="AF209" i="1"/>
  <c r="AD209" i="1"/>
  <c r="AA209" i="1"/>
  <c r="Y209" i="1"/>
  <c r="V209" i="1"/>
  <c r="T209" i="1"/>
  <c r="Q209" i="1"/>
  <c r="O209" i="1"/>
  <c r="L209" i="1"/>
  <c r="J209" i="1"/>
  <c r="G209" i="1"/>
  <c r="E209" i="1"/>
  <c r="B209" i="1"/>
  <c r="AN208" i="1"/>
  <c r="AK208" i="1"/>
  <c r="AI208" i="1"/>
  <c r="AF208" i="1"/>
  <c r="AD208" i="1"/>
  <c r="AA208" i="1"/>
  <c r="Y208" i="1"/>
  <c r="V208" i="1"/>
  <c r="T208" i="1"/>
  <c r="Q208" i="1"/>
  <c r="O208" i="1"/>
  <c r="L208" i="1"/>
  <c r="J208" i="1"/>
  <c r="G208" i="1"/>
  <c r="E208" i="1"/>
  <c r="B208" i="1"/>
  <c r="AN207" i="1"/>
  <c r="AK207" i="1"/>
  <c r="AI207" i="1"/>
  <c r="AF207" i="1"/>
  <c r="AD207" i="1"/>
  <c r="AA207" i="1"/>
  <c r="Y207" i="1"/>
  <c r="V207" i="1"/>
  <c r="T207" i="1"/>
  <c r="Q207" i="1"/>
  <c r="O207" i="1"/>
  <c r="L207" i="1"/>
  <c r="J207" i="1"/>
  <c r="G207" i="1"/>
  <c r="E207" i="1"/>
  <c r="B207" i="1"/>
  <c r="AN206" i="1"/>
  <c r="AK206" i="1"/>
  <c r="AI206" i="1"/>
  <c r="AF206" i="1"/>
  <c r="AD206" i="1"/>
  <c r="AA206" i="1"/>
  <c r="Y206" i="1"/>
  <c r="V206" i="1"/>
  <c r="T206" i="1"/>
  <c r="Q206" i="1"/>
  <c r="O206" i="1"/>
  <c r="L206" i="1"/>
  <c r="J206" i="1"/>
  <c r="G206" i="1"/>
  <c r="E206" i="1"/>
  <c r="B206" i="1"/>
  <c r="AN199" i="1"/>
  <c r="AK199" i="1"/>
  <c r="AI199" i="1"/>
  <c r="AF199" i="1"/>
  <c r="AD199" i="1"/>
  <c r="AA199" i="1"/>
  <c r="Y199" i="1"/>
  <c r="V199" i="1"/>
  <c r="T199" i="1"/>
  <c r="Q199" i="1"/>
  <c r="O199" i="1"/>
  <c r="L199" i="1"/>
  <c r="J199" i="1"/>
  <c r="G199" i="1"/>
  <c r="E199" i="1"/>
  <c r="B199" i="1"/>
  <c r="AN198" i="1"/>
  <c r="AK198" i="1"/>
  <c r="AI198" i="1"/>
  <c r="AF198" i="1"/>
  <c r="AD198" i="1"/>
  <c r="AA198" i="1"/>
  <c r="Y198" i="1"/>
  <c r="V198" i="1"/>
  <c r="T198" i="1"/>
  <c r="Q198" i="1"/>
  <c r="O198" i="1"/>
  <c r="L198" i="1"/>
  <c r="J198" i="1"/>
  <c r="G198" i="1"/>
  <c r="E198" i="1"/>
  <c r="B198" i="1"/>
  <c r="AN197" i="1"/>
  <c r="AK197" i="1"/>
  <c r="AI197" i="1"/>
  <c r="AF197" i="1"/>
  <c r="AD197" i="1"/>
  <c r="AA197" i="1"/>
  <c r="Y197" i="1"/>
  <c r="V197" i="1"/>
  <c r="T197" i="1"/>
  <c r="Q197" i="1"/>
  <c r="O197" i="1"/>
  <c r="L197" i="1"/>
  <c r="J197" i="1"/>
  <c r="G197" i="1"/>
  <c r="E197" i="1"/>
  <c r="B197" i="1"/>
  <c r="AN196" i="1"/>
  <c r="AK196" i="1"/>
  <c r="AI196" i="1"/>
  <c r="AF196" i="1"/>
  <c r="AD196" i="1"/>
  <c r="AA196" i="1"/>
  <c r="Y196" i="1"/>
  <c r="V196" i="1"/>
  <c r="T196" i="1"/>
  <c r="Q196" i="1"/>
  <c r="O196" i="1"/>
  <c r="L196" i="1"/>
  <c r="J196" i="1"/>
  <c r="G196" i="1"/>
  <c r="E196" i="1"/>
  <c r="B196" i="1"/>
  <c r="AN195" i="1"/>
  <c r="AK195" i="1"/>
  <c r="AI195" i="1"/>
  <c r="AF195" i="1"/>
  <c r="AD195" i="1"/>
  <c r="AA195" i="1"/>
  <c r="Y195" i="1"/>
  <c r="V195" i="1"/>
  <c r="T195" i="1"/>
  <c r="Q195" i="1"/>
  <c r="O195" i="1"/>
  <c r="L195" i="1"/>
  <c r="J195" i="1"/>
  <c r="G195" i="1"/>
  <c r="E195" i="1"/>
  <c r="B195" i="1"/>
  <c r="AN194" i="1"/>
  <c r="AK194" i="1"/>
  <c r="AI194" i="1"/>
  <c r="AF194" i="1"/>
  <c r="AD194" i="1"/>
  <c r="AA194" i="1"/>
  <c r="Y194" i="1"/>
  <c r="V194" i="1"/>
  <c r="T194" i="1"/>
  <c r="Q194" i="1"/>
  <c r="O194" i="1"/>
  <c r="L194" i="1"/>
  <c r="J194" i="1"/>
  <c r="G194" i="1"/>
  <c r="E194" i="1"/>
  <c r="B194" i="1"/>
  <c r="AN193" i="1"/>
  <c r="AK193" i="1"/>
  <c r="AI193" i="1"/>
  <c r="AF193" i="1"/>
  <c r="AD193" i="1"/>
  <c r="AA193" i="1"/>
  <c r="Y193" i="1"/>
  <c r="V193" i="1"/>
  <c r="T193" i="1"/>
  <c r="Q193" i="1"/>
  <c r="O193" i="1"/>
  <c r="L193" i="1"/>
  <c r="J193" i="1"/>
  <c r="G193" i="1"/>
  <c r="E193" i="1"/>
  <c r="B193" i="1"/>
  <c r="AN192" i="1"/>
  <c r="AK192" i="1"/>
  <c r="AI192" i="1"/>
  <c r="AF192" i="1"/>
  <c r="AD192" i="1"/>
  <c r="AA192" i="1"/>
  <c r="Y192" i="1"/>
  <c r="V192" i="1"/>
  <c r="T192" i="1"/>
  <c r="Q192" i="1"/>
  <c r="O192" i="1"/>
  <c r="L192" i="1"/>
  <c r="J192" i="1"/>
  <c r="G192" i="1"/>
  <c r="E192" i="1"/>
  <c r="B192" i="1"/>
  <c r="AN191" i="1"/>
  <c r="AK191" i="1"/>
  <c r="AI191" i="1"/>
  <c r="AF191" i="1"/>
  <c r="AD191" i="1"/>
  <c r="AA191" i="1"/>
  <c r="Y191" i="1"/>
  <c r="V191" i="1"/>
  <c r="T191" i="1"/>
  <c r="Q191" i="1"/>
  <c r="O191" i="1"/>
  <c r="L191" i="1"/>
  <c r="J191" i="1"/>
  <c r="G191" i="1"/>
  <c r="E191" i="1"/>
  <c r="B191" i="1"/>
  <c r="AN190" i="1"/>
  <c r="AK190" i="1"/>
  <c r="AI190" i="1"/>
  <c r="AF190" i="1"/>
  <c r="AD190" i="1"/>
  <c r="AA190" i="1"/>
  <c r="Y190" i="1"/>
  <c r="V190" i="1"/>
  <c r="T190" i="1"/>
  <c r="Q190" i="1"/>
  <c r="O190" i="1"/>
  <c r="L190" i="1"/>
  <c r="J190" i="1"/>
  <c r="G190" i="1"/>
  <c r="E190" i="1"/>
  <c r="B190" i="1"/>
  <c r="AN189" i="1"/>
  <c r="AK189" i="1"/>
  <c r="AI189" i="1"/>
  <c r="AF189" i="1"/>
  <c r="AD189" i="1"/>
  <c r="AA189" i="1"/>
  <c r="Y189" i="1"/>
  <c r="V189" i="1"/>
  <c r="T189" i="1"/>
  <c r="Q189" i="1"/>
  <c r="O189" i="1"/>
  <c r="L189" i="1"/>
  <c r="J189" i="1"/>
  <c r="G189" i="1"/>
  <c r="E189" i="1"/>
  <c r="B189" i="1"/>
  <c r="AN188" i="1"/>
  <c r="AK188" i="1"/>
  <c r="AI188" i="1"/>
  <c r="AF188" i="1"/>
  <c r="AD188" i="1"/>
  <c r="AA188" i="1"/>
  <c r="Y188" i="1"/>
  <c r="V188" i="1"/>
  <c r="T188" i="1"/>
  <c r="Q188" i="1"/>
  <c r="O188" i="1"/>
  <c r="L188" i="1"/>
  <c r="J188" i="1"/>
  <c r="G188" i="1"/>
  <c r="E188" i="1"/>
  <c r="B188" i="1"/>
  <c r="AN187" i="1"/>
  <c r="AK187" i="1"/>
  <c r="AI187" i="1"/>
  <c r="AF187" i="1"/>
  <c r="AD187" i="1"/>
  <c r="AA187" i="1"/>
  <c r="Y187" i="1"/>
  <c r="V187" i="1"/>
  <c r="T187" i="1"/>
  <c r="Q187" i="1"/>
  <c r="O187" i="1"/>
  <c r="L187" i="1"/>
  <c r="J187" i="1"/>
  <c r="G187" i="1"/>
  <c r="E187" i="1"/>
  <c r="B187" i="1"/>
  <c r="AN186" i="1"/>
  <c r="AK186" i="1"/>
  <c r="AI186" i="1"/>
  <c r="AF186" i="1"/>
  <c r="AD186" i="1"/>
  <c r="AA186" i="1"/>
  <c r="Y186" i="1"/>
  <c r="V186" i="1"/>
  <c r="T186" i="1"/>
  <c r="Q186" i="1"/>
  <c r="O186" i="1"/>
  <c r="L186" i="1"/>
  <c r="J186" i="1"/>
  <c r="G186" i="1"/>
  <c r="E186" i="1"/>
  <c r="B186" i="1"/>
  <c r="AN185" i="1"/>
  <c r="AK185" i="1"/>
  <c r="AI185" i="1"/>
  <c r="AF185" i="1"/>
  <c r="AD185" i="1"/>
  <c r="AA185" i="1"/>
  <c r="Y185" i="1"/>
  <c r="V185" i="1"/>
  <c r="T185" i="1"/>
  <c r="Q185" i="1"/>
  <c r="O185" i="1"/>
  <c r="L185" i="1"/>
  <c r="J185" i="1"/>
  <c r="G185" i="1"/>
  <c r="E185" i="1"/>
  <c r="B185" i="1"/>
  <c r="AN184" i="1"/>
  <c r="AK184" i="1"/>
  <c r="AI184" i="1"/>
  <c r="AF184" i="1"/>
  <c r="AD184" i="1"/>
  <c r="AA184" i="1"/>
  <c r="Y184" i="1"/>
  <c r="V184" i="1"/>
  <c r="T184" i="1"/>
  <c r="Q184" i="1"/>
  <c r="O184" i="1"/>
  <c r="L184" i="1"/>
  <c r="J184" i="1"/>
  <c r="G184" i="1"/>
  <c r="E184" i="1"/>
  <c r="B184" i="1"/>
  <c r="AN183" i="1"/>
  <c r="AK183" i="1"/>
  <c r="AI183" i="1"/>
  <c r="AF183" i="1"/>
  <c r="AD183" i="1"/>
  <c r="AA183" i="1"/>
  <c r="Y183" i="1"/>
  <c r="V183" i="1"/>
  <c r="T183" i="1"/>
  <c r="Q183" i="1"/>
  <c r="O183" i="1"/>
  <c r="L183" i="1"/>
  <c r="J183" i="1"/>
  <c r="G183" i="1"/>
  <c r="E183" i="1"/>
  <c r="B183" i="1"/>
  <c r="AN182" i="1"/>
  <c r="AK182" i="1"/>
  <c r="AI182" i="1"/>
  <c r="AF182" i="1"/>
  <c r="AD182" i="1"/>
  <c r="AA182" i="1"/>
  <c r="Y182" i="1"/>
  <c r="V182" i="1"/>
  <c r="T182" i="1"/>
  <c r="Q182" i="1"/>
  <c r="O182" i="1"/>
  <c r="L182" i="1"/>
  <c r="J182" i="1"/>
  <c r="G182" i="1"/>
  <c r="E182" i="1"/>
  <c r="B182" i="1"/>
  <c r="AN181" i="1"/>
  <c r="AK181" i="1"/>
  <c r="AI181" i="1"/>
  <c r="AF181" i="1"/>
  <c r="AD181" i="1"/>
  <c r="AA181" i="1"/>
  <c r="Y181" i="1"/>
  <c r="V181" i="1"/>
  <c r="T181" i="1"/>
  <c r="Q181" i="1"/>
  <c r="O181" i="1"/>
  <c r="L181" i="1"/>
  <c r="J181" i="1"/>
  <c r="G181" i="1"/>
  <c r="E181" i="1"/>
  <c r="B181" i="1"/>
  <c r="AN180" i="1"/>
  <c r="AK180" i="1"/>
  <c r="AI180" i="1"/>
  <c r="AF180" i="1"/>
  <c r="AD180" i="1"/>
  <c r="AA180" i="1"/>
  <c r="Y180" i="1"/>
  <c r="V180" i="1"/>
  <c r="T180" i="1"/>
  <c r="Q180" i="1"/>
  <c r="O180" i="1"/>
  <c r="L180" i="1"/>
  <c r="J180" i="1"/>
  <c r="G180" i="1"/>
  <c r="E180" i="1"/>
  <c r="B180" i="1"/>
  <c r="AN179" i="1"/>
  <c r="AK179" i="1"/>
  <c r="AI179" i="1"/>
  <c r="AF179" i="1"/>
  <c r="AD179" i="1"/>
  <c r="AA179" i="1"/>
  <c r="Y179" i="1"/>
  <c r="V179" i="1"/>
  <c r="T179" i="1"/>
  <c r="Q179" i="1"/>
  <c r="O179" i="1"/>
  <c r="L179" i="1"/>
  <c r="J179" i="1"/>
  <c r="G179" i="1"/>
  <c r="E179" i="1"/>
  <c r="B179" i="1"/>
  <c r="AN169" i="1"/>
  <c r="AK169" i="1"/>
  <c r="AI169" i="1"/>
  <c r="AF169" i="1"/>
  <c r="AD169" i="1"/>
  <c r="AA169" i="1"/>
  <c r="Y169" i="1"/>
  <c r="V169" i="1"/>
  <c r="T169" i="1"/>
  <c r="Q169" i="1"/>
  <c r="O169" i="1"/>
  <c r="L169" i="1"/>
  <c r="J169" i="1"/>
  <c r="G169" i="1"/>
  <c r="E169" i="1"/>
  <c r="B169" i="1"/>
  <c r="AN168" i="1"/>
  <c r="AK168" i="1"/>
  <c r="AI168" i="1"/>
  <c r="AF168" i="1"/>
  <c r="AD168" i="1"/>
  <c r="AA168" i="1"/>
  <c r="Y168" i="1"/>
  <c r="V168" i="1"/>
  <c r="T168" i="1"/>
  <c r="Q168" i="1"/>
  <c r="O168" i="1"/>
  <c r="L168" i="1"/>
  <c r="J168" i="1"/>
  <c r="G168" i="1"/>
  <c r="E168" i="1"/>
  <c r="B168" i="1"/>
  <c r="AN167" i="1"/>
  <c r="AK167" i="1"/>
  <c r="AI167" i="1"/>
  <c r="AF167" i="1"/>
  <c r="AD167" i="1"/>
  <c r="AA167" i="1"/>
  <c r="Y167" i="1"/>
  <c r="V167" i="1"/>
  <c r="T167" i="1"/>
  <c r="Q167" i="1"/>
  <c r="O167" i="1"/>
  <c r="L167" i="1"/>
  <c r="J167" i="1"/>
  <c r="G167" i="1"/>
  <c r="E167" i="1"/>
  <c r="B167" i="1"/>
  <c r="AN166" i="1"/>
  <c r="AK166" i="1"/>
  <c r="AI166" i="1"/>
  <c r="AF166" i="1"/>
  <c r="AD166" i="1"/>
  <c r="AA166" i="1"/>
  <c r="Y166" i="1"/>
  <c r="V166" i="1"/>
  <c r="T166" i="1"/>
  <c r="Q166" i="1"/>
  <c r="O166" i="1"/>
  <c r="L166" i="1"/>
  <c r="J166" i="1"/>
  <c r="G166" i="1"/>
  <c r="E166" i="1"/>
  <c r="B166" i="1"/>
  <c r="AN165" i="1"/>
  <c r="AK165" i="1"/>
  <c r="AI165" i="1"/>
  <c r="AF165" i="1"/>
  <c r="AD165" i="1"/>
  <c r="AA165" i="1"/>
  <c r="Y165" i="1"/>
  <c r="V165" i="1"/>
  <c r="T165" i="1"/>
  <c r="Q165" i="1"/>
  <c r="O165" i="1"/>
  <c r="L165" i="1"/>
  <c r="J165" i="1"/>
  <c r="G165" i="1"/>
  <c r="E165" i="1"/>
  <c r="B165" i="1"/>
  <c r="AN164" i="1"/>
  <c r="AK164" i="1"/>
  <c r="AI164" i="1"/>
  <c r="AF164" i="1"/>
  <c r="AD164" i="1"/>
  <c r="AA164" i="1"/>
  <c r="Y164" i="1"/>
  <c r="V164" i="1"/>
  <c r="T164" i="1"/>
  <c r="Q164" i="1"/>
  <c r="O164" i="1"/>
  <c r="L164" i="1"/>
  <c r="J164" i="1"/>
  <c r="G164" i="1"/>
  <c r="E164" i="1"/>
  <c r="B164" i="1"/>
  <c r="AN163" i="1"/>
  <c r="AK163" i="1"/>
  <c r="AI163" i="1"/>
  <c r="AF163" i="1"/>
  <c r="AD163" i="1"/>
  <c r="AA163" i="1"/>
  <c r="Y163" i="1"/>
  <c r="V163" i="1"/>
  <c r="T163" i="1"/>
  <c r="Q163" i="1"/>
  <c r="O163" i="1"/>
  <c r="L163" i="1"/>
  <c r="J163" i="1"/>
  <c r="G163" i="1"/>
  <c r="E163" i="1"/>
  <c r="B163" i="1"/>
  <c r="AN162" i="1"/>
  <c r="AK162" i="1"/>
  <c r="AI162" i="1"/>
  <c r="AF162" i="1"/>
  <c r="AD162" i="1"/>
  <c r="AA162" i="1"/>
  <c r="Y162" i="1"/>
  <c r="V162" i="1"/>
  <c r="T162" i="1"/>
  <c r="Q162" i="1"/>
  <c r="O162" i="1"/>
  <c r="L162" i="1"/>
  <c r="J162" i="1"/>
  <c r="G162" i="1"/>
  <c r="E162" i="1"/>
  <c r="B162" i="1"/>
  <c r="AN161" i="1"/>
  <c r="AK161" i="1"/>
  <c r="AI161" i="1"/>
  <c r="AF161" i="1"/>
  <c r="AD161" i="1"/>
  <c r="AA161" i="1"/>
  <c r="Y161" i="1"/>
  <c r="V161" i="1"/>
  <c r="T161" i="1"/>
  <c r="Q161" i="1"/>
  <c r="O161" i="1"/>
  <c r="L161" i="1"/>
  <c r="J161" i="1"/>
  <c r="G161" i="1"/>
  <c r="E161" i="1"/>
  <c r="B161" i="1"/>
  <c r="AN160" i="1"/>
  <c r="AK160" i="1"/>
  <c r="AI160" i="1"/>
  <c r="AF160" i="1"/>
  <c r="AD160" i="1"/>
  <c r="AA160" i="1"/>
  <c r="Y160" i="1"/>
  <c r="V160" i="1"/>
  <c r="T160" i="1"/>
  <c r="Q160" i="1"/>
  <c r="O160" i="1"/>
  <c r="L160" i="1"/>
  <c r="J160" i="1"/>
  <c r="G160" i="1"/>
  <c r="E160" i="1"/>
  <c r="B160" i="1"/>
  <c r="AN159" i="1"/>
  <c r="AK159" i="1"/>
  <c r="AI159" i="1"/>
  <c r="AF159" i="1"/>
  <c r="AD159" i="1"/>
  <c r="AA159" i="1"/>
  <c r="Y159" i="1"/>
  <c r="V159" i="1"/>
  <c r="T159" i="1"/>
  <c r="Q159" i="1"/>
  <c r="O159" i="1"/>
  <c r="L159" i="1"/>
  <c r="J159" i="1"/>
  <c r="G159" i="1"/>
  <c r="E159" i="1"/>
  <c r="B159" i="1"/>
  <c r="AN158" i="1"/>
  <c r="AK158" i="1"/>
  <c r="AI158" i="1"/>
  <c r="AF158" i="1"/>
  <c r="AD158" i="1"/>
  <c r="AA158" i="1"/>
  <c r="Y158" i="1"/>
  <c r="V158" i="1"/>
  <c r="T158" i="1"/>
  <c r="Q158" i="1"/>
  <c r="O158" i="1"/>
  <c r="L158" i="1"/>
  <c r="J158" i="1"/>
  <c r="G158" i="1"/>
  <c r="E158" i="1"/>
  <c r="B158" i="1"/>
  <c r="AN157" i="1"/>
  <c r="AK157" i="1"/>
  <c r="AI157" i="1"/>
  <c r="AF157" i="1"/>
  <c r="AD157" i="1"/>
  <c r="AA157" i="1"/>
  <c r="Y157" i="1"/>
  <c r="V157" i="1"/>
  <c r="T157" i="1"/>
  <c r="Q157" i="1"/>
  <c r="O157" i="1"/>
  <c r="L157" i="1"/>
  <c r="J157" i="1"/>
  <c r="G157" i="1"/>
  <c r="E157" i="1"/>
  <c r="B157" i="1"/>
  <c r="AN156" i="1"/>
  <c r="AK156" i="1"/>
  <c r="AI156" i="1"/>
  <c r="AF156" i="1"/>
  <c r="AD156" i="1"/>
  <c r="AA156" i="1"/>
  <c r="Y156" i="1"/>
  <c r="V156" i="1"/>
  <c r="T156" i="1"/>
  <c r="Q156" i="1"/>
  <c r="O156" i="1"/>
  <c r="L156" i="1"/>
  <c r="J156" i="1"/>
  <c r="G156" i="1"/>
  <c r="E156" i="1"/>
  <c r="B156" i="1"/>
  <c r="AN155" i="1"/>
  <c r="AK155" i="1"/>
  <c r="AI155" i="1"/>
  <c r="AF155" i="1"/>
  <c r="AD155" i="1"/>
  <c r="AA155" i="1"/>
  <c r="Y155" i="1"/>
  <c r="V155" i="1"/>
  <c r="T155" i="1"/>
  <c r="Q155" i="1"/>
  <c r="O155" i="1"/>
  <c r="L155" i="1"/>
  <c r="J155" i="1"/>
  <c r="G155" i="1"/>
  <c r="E155" i="1"/>
  <c r="B155" i="1"/>
  <c r="AN154" i="1"/>
  <c r="AK154" i="1"/>
  <c r="AI154" i="1"/>
  <c r="AF154" i="1"/>
  <c r="AD154" i="1"/>
  <c r="AA154" i="1"/>
  <c r="Y154" i="1"/>
  <c r="V154" i="1"/>
  <c r="T154" i="1"/>
  <c r="Q154" i="1"/>
  <c r="O154" i="1"/>
  <c r="L154" i="1"/>
  <c r="J154" i="1"/>
  <c r="G154" i="1"/>
  <c r="E154" i="1"/>
  <c r="B154" i="1"/>
  <c r="AN153" i="1"/>
  <c r="AK153" i="1"/>
  <c r="AI153" i="1"/>
  <c r="AF153" i="1"/>
  <c r="AD153" i="1"/>
  <c r="AA153" i="1"/>
  <c r="Y153" i="1"/>
  <c r="V153" i="1"/>
  <c r="T153" i="1"/>
  <c r="Q153" i="1"/>
  <c r="O153" i="1"/>
  <c r="L153" i="1"/>
  <c r="J153" i="1"/>
  <c r="G153" i="1"/>
  <c r="E153" i="1"/>
  <c r="B153" i="1"/>
  <c r="AN152" i="1"/>
  <c r="AK152" i="1"/>
  <c r="AI152" i="1"/>
  <c r="AF152" i="1"/>
  <c r="AD152" i="1"/>
  <c r="AA152" i="1"/>
  <c r="Y152" i="1"/>
  <c r="V152" i="1"/>
  <c r="T152" i="1"/>
  <c r="Q152" i="1"/>
  <c r="O152" i="1"/>
  <c r="L152" i="1"/>
  <c r="J152" i="1"/>
  <c r="G152" i="1"/>
  <c r="E152" i="1"/>
  <c r="B152" i="1"/>
  <c r="AN151" i="1"/>
  <c r="AK151" i="1"/>
  <c r="AI151" i="1"/>
  <c r="AF151" i="1"/>
  <c r="AD151" i="1"/>
  <c r="AA151" i="1"/>
  <c r="Y151" i="1"/>
  <c r="V151" i="1"/>
  <c r="T151" i="1"/>
  <c r="Q151" i="1"/>
  <c r="O151" i="1"/>
  <c r="L151" i="1"/>
  <c r="J151" i="1"/>
  <c r="G151" i="1"/>
  <c r="E151" i="1"/>
  <c r="B151" i="1"/>
  <c r="AN150" i="1"/>
  <c r="AK150" i="1"/>
  <c r="AI150" i="1"/>
  <c r="AF150" i="1"/>
  <c r="AD150" i="1"/>
  <c r="AA150" i="1"/>
  <c r="Y150" i="1"/>
  <c r="V150" i="1"/>
  <c r="T150" i="1"/>
  <c r="Q150" i="1"/>
  <c r="O150" i="1"/>
  <c r="L150" i="1"/>
  <c r="J150" i="1"/>
  <c r="G150" i="1"/>
  <c r="E150" i="1"/>
  <c r="B150" i="1"/>
  <c r="AN149" i="1"/>
  <c r="AK149" i="1"/>
  <c r="AI149" i="1"/>
  <c r="AF149" i="1"/>
  <c r="AD149" i="1"/>
  <c r="AA149" i="1"/>
  <c r="Y149" i="1"/>
  <c r="V149" i="1"/>
  <c r="T149" i="1"/>
  <c r="Q149" i="1"/>
  <c r="O149" i="1"/>
  <c r="L149" i="1"/>
  <c r="J149" i="1"/>
  <c r="G149" i="1"/>
  <c r="E149" i="1"/>
  <c r="B149" i="1"/>
  <c r="AN142" i="1"/>
  <c r="AK142" i="1"/>
  <c r="AI142" i="1"/>
  <c r="AF142" i="1"/>
  <c r="AD142" i="1"/>
  <c r="AA142" i="1"/>
  <c r="Y142" i="1"/>
  <c r="V142" i="1"/>
  <c r="T142" i="1"/>
  <c r="Q142" i="1"/>
  <c r="O142" i="1"/>
  <c r="L142" i="1"/>
  <c r="J142" i="1"/>
  <c r="G142" i="1"/>
  <c r="E142" i="1"/>
  <c r="B142" i="1"/>
  <c r="AN141" i="1"/>
  <c r="AK141" i="1"/>
  <c r="AI141" i="1"/>
  <c r="AF141" i="1"/>
  <c r="AD141" i="1"/>
  <c r="AA141" i="1"/>
  <c r="Y141" i="1"/>
  <c r="V141" i="1"/>
  <c r="T141" i="1"/>
  <c r="Q141" i="1"/>
  <c r="O141" i="1"/>
  <c r="L141" i="1"/>
  <c r="J141" i="1"/>
  <c r="G141" i="1"/>
  <c r="E141" i="1"/>
  <c r="B141" i="1"/>
  <c r="AN140" i="1"/>
  <c r="AK140" i="1"/>
  <c r="AI140" i="1"/>
  <c r="AF140" i="1"/>
  <c r="AD140" i="1"/>
  <c r="AA140" i="1"/>
  <c r="Y140" i="1"/>
  <c r="V140" i="1"/>
  <c r="T140" i="1"/>
  <c r="Q140" i="1"/>
  <c r="O140" i="1"/>
  <c r="L140" i="1"/>
  <c r="J140" i="1"/>
  <c r="G140" i="1"/>
  <c r="E140" i="1"/>
  <c r="B140" i="1"/>
  <c r="AN139" i="1"/>
  <c r="AK139" i="1"/>
  <c r="AI139" i="1"/>
  <c r="AF139" i="1"/>
  <c r="AD139" i="1"/>
  <c r="AA139" i="1"/>
  <c r="Y139" i="1"/>
  <c r="V139" i="1"/>
  <c r="T139" i="1"/>
  <c r="Q139" i="1"/>
  <c r="O139" i="1"/>
  <c r="L139" i="1"/>
  <c r="J139" i="1"/>
  <c r="G139" i="1"/>
  <c r="E139" i="1"/>
  <c r="B139" i="1"/>
  <c r="AN138" i="1"/>
  <c r="AK138" i="1"/>
  <c r="AI138" i="1"/>
  <c r="AF138" i="1"/>
  <c r="AD138" i="1"/>
  <c r="AA138" i="1"/>
  <c r="Y138" i="1"/>
  <c r="V138" i="1"/>
  <c r="T138" i="1"/>
  <c r="Q138" i="1"/>
  <c r="O138" i="1"/>
  <c r="L138" i="1"/>
  <c r="J138" i="1"/>
  <c r="G138" i="1"/>
  <c r="E138" i="1"/>
  <c r="B138" i="1"/>
  <c r="AN137" i="1"/>
  <c r="AK137" i="1"/>
  <c r="AI137" i="1"/>
  <c r="AF137" i="1"/>
  <c r="AD137" i="1"/>
  <c r="AA137" i="1"/>
  <c r="Y137" i="1"/>
  <c r="V137" i="1"/>
  <c r="T137" i="1"/>
  <c r="Q137" i="1"/>
  <c r="O137" i="1"/>
  <c r="L137" i="1"/>
  <c r="J137" i="1"/>
  <c r="G137" i="1"/>
  <c r="E137" i="1"/>
  <c r="B137" i="1"/>
  <c r="AN136" i="1"/>
  <c r="AK136" i="1"/>
  <c r="AI136" i="1"/>
  <c r="AF136" i="1"/>
  <c r="AD136" i="1"/>
  <c r="AA136" i="1"/>
  <c r="Y136" i="1"/>
  <c r="V136" i="1"/>
  <c r="T136" i="1"/>
  <c r="Q136" i="1"/>
  <c r="O136" i="1"/>
  <c r="L136" i="1"/>
  <c r="J136" i="1"/>
  <c r="G136" i="1"/>
  <c r="E136" i="1"/>
  <c r="B136" i="1"/>
  <c r="AN135" i="1"/>
  <c r="AK135" i="1"/>
  <c r="AI135" i="1"/>
  <c r="AF135" i="1"/>
  <c r="AD135" i="1"/>
  <c r="AA135" i="1"/>
  <c r="Y135" i="1"/>
  <c r="V135" i="1"/>
  <c r="T135" i="1"/>
  <c r="Q135" i="1"/>
  <c r="O135" i="1"/>
  <c r="L135" i="1"/>
  <c r="J135" i="1"/>
  <c r="G135" i="1"/>
  <c r="E135" i="1"/>
  <c r="B135" i="1"/>
  <c r="AN134" i="1"/>
  <c r="AK134" i="1"/>
  <c r="AI134" i="1"/>
  <c r="AF134" i="1"/>
  <c r="AD134" i="1"/>
  <c r="AA134" i="1"/>
  <c r="Y134" i="1"/>
  <c r="V134" i="1"/>
  <c r="T134" i="1"/>
  <c r="Q134" i="1"/>
  <c r="O134" i="1"/>
  <c r="L134" i="1"/>
  <c r="J134" i="1"/>
  <c r="G134" i="1"/>
  <c r="E134" i="1"/>
  <c r="B134" i="1"/>
  <c r="AN133" i="1"/>
  <c r="AK133" i="1"/>
  <c r="AI133" i="1"/>
  <c r="AF133" i="1"/>
  <c r="AD133" i="1"/>
  <c r="AA133" i="1"/>
  <c r="Y133" i="1"/>
  <c r="V133" i="1"/>
  <c r="T133" i="1"/>
  <c r="Q133" i="1"/>
  <c r="O133" i="1"/>
  <c r="L133" i="1"/>
  <c r="J133" i="1"/>
  <c r="G133" i="1"/>
  <c r="E133" i="1"/>
  <c r="B133" i="1"/>
  <c r="AN132" i="1"/>
  <c r="AK132" i="1"/>
  <c r="AI132" i="1"/>
  <c r="AF132" i="1"/>
  <c r="AD132" i="1"/>
  <c r="AA132" i="1"/>
  <c r="Y132" i="1"/>
  <c r="V132" i="1"/>
  <c r="T132" i="1"/>
  <c r="Q132" i="1"/>
  <c r="O132" i="1"/>
  <c r="L132" i="1"/>
  <c r="J132" i="1"/>
  <c r="G132" i="1"/>
  <c r="E132" i="1"/>
  <c r="B132" i="1"/>
  <c r="AN131" i="1"/>
  <c r="AK131" i="1"/>
  <c r="AI131" i="1"/>
  <c r="AF131" i="1"/>
  <c r="AD131" i="1"/>
  <c r="AA131" i="1"/>
  <c r="Y131" i="1"/>
  <c r="V131" i="1"/>
  <c r="T131" i="1"/>
  <c r="Q131" i="1"/>
  <c r="O131" i="1"/>
  <c r="L131" i="1"/>
  <c r="J131" i="1"/>
  <c r="G131" i="1"/>
  <c r="E131" i="1"/>
  <c r="B131" i="1"/>
  <c r="AN130" i="1"/>
  <c r="AK130" i="1"/>
  <c r="AI130" i="1"/>
  <c r="AF130" i="1"/>
  <c r="AD130" i="1"/>
  <c r="AA130" i="1"/>
  <c r="Y130" i="1"/>
  <c r="V130" i="1"/>
  <c r="T130" i="1"/>
  <c r="Q130" i="1"/>
  <c r="O130" i="1"/>
  <c r="L130" i="1"/>
  <c r="J130" i="1"/>
  <c r="G130" i="1"/>
  <c r="E130" i="1"/>
  <c r="B130" i="1"/>
  <c r="AN129" i="1"/>
  <c r="AK129" i="1"/>
  <c r="AI129" i="1"/>
  <c r="AF129" i="1"/>
  <c r="AD129" i="1"/>
  <c r="AA129" i="1"/>
  <c r="Y129" i="1"/>
  <c r="V129" i="1"/>
  <c r="T129" i="1"/>
  <c r="Q129" i="1"/>
  <c r="O129" i="1"/>
  <c r="L129" i="1"/>
  <c r="J129" i="1"/>
  <c r="G129" i="1"/>
  <c r="E129" i="1"/>
  <c r="B129" i="1"/>
  <c r="AN128" i="1"/>
  <c r="AK128" i="1"/>
  <c r="AI128" i="1"/>
  <c r="AF128" i="1"/>
  <c r="AD128" i="1"/>
  <c r="AA128" i="1"/>
  <c r="Y128" i="1"/>
  <c r="V128" i="1"/>
  <c r="T128" i="1"/>
  <c r="Q128" i="1"/>
  <c r="O128" i="1"/>
  <c r="L128" i="1"/>
  <c r="J128" i="1"/>
  <c r="G128" i="1"/>
  <c r="E128" i="1"/>
  <c r="B128" i="1"/>
  <c r="AN127" i="1"/>
  <c r="AK127" i="1"/>
  <c r="AI127" i="1"/>
  <c r="AF127" i="1"/>
  <c r="AD127" i="1"/>
  <c r="AA127" i="1"/>
  <c r="Y127" i="1"/>
  <c r="V127" i="1"/>
  <c r="T127" i="1"/>
  <c r="Q127" i="1"/>
  <c r="O127" i="1"/>
  <c r="L127" i="1"/>
  <c r="J127" i="1"/>
  <c r="G127" i="1"/>
  <c r="E127" i="1"/>
  <c r="B127" i="1"/>
  <c r="AN126" i="1"/>
  <c r="AK126" i="1"/>
  <c r="AI126" i="1"/>
  <c r="AF126" i="1"/>
  <c r="AD126" i="1"/>
  <c r="AA126" i="1"/>
  <c r="Y126" i="1"/>
  <c r="V126" i="1"/>
  <c r="T126" i="1"/>
  <c r="Q126" i="1"/>
  <c r="O126" i="1"/>
  <c r="L126" i="1"/>
  <c r="J126" i="1"/>
  <c r="G126" i="1"/>
  <c r="E126" i="1"/>
  <c r="B126" i="1"/>
  <c r="AN125" i="1"/>
  <c r="AK125" i="1"/>
  <c r="AI125" i="1"/>
  <c r="AF125" i="1"/>
  <c r="AD125" i="1"/>
  <c r="AA125" i="1"/>
  <c r="Y125" i="1"/>
  <c r="V125" i="1"/>
  <c r="T125" i="1"/>
  <c r="Q125" i="1"/>
  <c r="O125" i="1"/>
  <c r="L125" i="1"/>
  <c r="J125" i="1"/>
  <c r="G125" i="1"/>
  <c r="E125" i="1"/>
  <c r="B125" i="1"/>
  <c r="AN124" i="1"/>
  <c r="AK124" i="1"/>
  <c r="AI124" i="1"/>
  <c r="AF124" i="1"/>
  <c r="AD124" i="1"/>
  <c r="AA124" i="1"/>
  <c r="Y124" i="1"/>
  <c r="V124" i="1"/>
  <c r="T124" i="1"/>
  <c r="Q124" i="1"/>
  <c r="O124" i="1"/>
  <c r="L124" i="1"/>
  <c r="J124" i="1"/>
  <c r="G124" i="1"/>
  <c r="E124" i="1"/>
  <c r="B124" i="1"/>
  <c r="AN123" i="1"/>
  <c r="AK123" i="1"/>
  <c r="AI123" i="1"/>
  <c r="AF123" i="1"/>
  <c r="AD123" i="1"/>
  <c r="AA123" i="1"/>
  <c r="Y123" i="1"/>
  <c r="V123" i="1"/>
  <c r="T123" i="1"/>
  <c r="Q123" i="1"/>
  <c r="O123" i="1"/>
  <c r="L123" i="1"/>
  <c r="J123" i="1"/>
  <c r="G123" i="1"/>
  <c r="E123" i="1"/>
  <c r="B123" i="1"/>
  <c r="AN122" i="1"/>
  <c r="AK122" i="1"/>
  <c r="AI122" i="1"/>
  <c r="AF122" i="1"/>
  <c r="AD122" i="1"/>
  <c r="AA122" i="1"/>
  <c r="Y122" i="1"/>
  <c r="V122" i="1"/>
  <c r="T122" i="1"/>
  <c r="Q122" i="1"/>
  <c r="O122" i="1"/>
  <c r="L122" i="1"/>
  <c r="J122" i="1"/>
  <c r="G122" i="1"/>
  <c r="E122" i="1"/>
  <c r="B122" i="1"/>
  <c r="AN112" i="1"/>
  <c r="AK112" i="1"/>
  <c r="AI112" i="1"/>
  <c r="AF112" i="1"/>
  <c r="AD112" i="1"/>
  <c r="AA112" i="1"/>
  <c r="Y112" i="1"/>
  <c r="V112" i="1"/>
  <c r="T112" i="1"/>
  <c r="Q112" i="1"/>
  <c r="O112" i="1"/>
  <c r="L112" i="1"/>
  <c r="J112" i="1"/>
  <c r="G112" i="1"/>
  <c r="E112" i="1"/>
  <c r="B112" i="1"/>
  <c r="AN111" i="1"/>
  <c r="AK111" i="1"/>
  <c r="AI111" i="1"/>
  <c r="AF111" i="1"/>
  <c r="AD111" i="1"/>
  <c r="AA111" i="1"/>
  <c r="Y111" i="1"/>
  <c r="V111" i="1"/>
  <c r="T111" i="1"/>
  <c r="Q111" i="1"/>
  <c r="O111" i="1"/>
  <c r="L111" i="1"/>
  <c r="J111" i="1"/>
  <c r="G111" i="1"/>
  <c r="E111" i="1"/>
  <c r="B111" i="1"/>
  <c r="AN110" i="1"/>
  <c r="AK110" i="1"/>
  <c r="AI110" i="1"/>
  <c r="AF110" i="1"/>
  <c r="AD110" i="1"/>
  <c r="AA110" i="1"/>
  <c r="Y110" i="1"/>
  <c r="V110" i="1"/>
  <c r="T110" i="1"/>
  <c r="Q110" i="1"/>
  <c r="O110" i="1"/>
  <c r="L110" i="1"/>
  <c r="J110" i="1"/>
  <c r="G110" i="1"/>
  <c r="E110" i="1"/>
  <c r="B110" i="1"/>
  <c r="AN109" i="1"/>
  <c r="AK109" i="1"/>
  <c r="AI109" i="1"/>
  <c r="AF109" i="1"/>
  <c r="AD109" i="1"/>
  <c r="AA109" i="1"/>
  <c r="Y109" i="1"/>
  <c r="V109" i="1"/>
  <c r="T109" i="1"/>
  <c r="Q109" i="1"/>
  <c r="O109" i="1"/>
  <c r="L109" i="1"/>
  <c r="J109" i="1"/>
  <c r="G109" i="1"/>
  <c r="E109" i="1"/>
  <c r="B109" i="1"/>
  <c r="AN108" i="1"/>
  <c r="AK108" i="1"/>
  <c r="AI108" i="1"/>
  <c r="AF108" i="1"/>
  <c r="AD108" i="1"/>
  <c r="AA108" i="1"/>
  <c r="Y108" i="1"/>
  <c r="V108" i="1"/>
  <c r="T108" i="1"/>
  <c r="Q108" i="1"/>
  <c r="O108" i="1"/>
  <c r="L108" i="1"/>
  <c r="J108" i="1"/>
  <c r="G108" i="1"/>
  <c r="E108" i="1"/>
  <c r="B108" i="1"/>
  <c r="AN107" i="1"/>
  <c r="AK107" i="1"/>
  <c r="AI107" i="1"/>
  <c r="AF107" i="1"/>
  <c r="AD107" i="1"/>
  <c r="AA107" i="1"/>
  <c r="Y107" i="1"/>
  <c r="V107" i="1"/>
  <c r="T107" i="1"/>
  <c r="Q107" i="1"/>
  <c r="O107" i="1"/>
  <c r="L107" i="1"/>
  <c r="J107" i="1"/>
  <c r="G107" i="1"/>
  <c r="E107" i="1"/>
  <c r="B107" i="1"/>
  <c r="AN106" i="1"/>
  <c r="AK106" i="1"/>
  <c r="AI106" i="1"/>
  <c r="AF106" i="1"/>
  <c r="AD106" i="1"/>
  <c r="AA106" i="1"/>
  <c r="Y106" i="1"/>
  <c r="V106" i="1"/>
  <c r="T106" i="1"/>
  <c r="Q106" i="1"/>
  <c r="O106" i="1"/>
  <c r="L106" i="1"/>
  <c r="J106" i="1"/>
  <c r="G106" i="1"/>
  <c r="E106" i="1"/>
  <c r="B106" i="1"/>
  <c r="AN105" i="1"/>
  <c r="AK105" i="1"/>
  <c r="AI105" i="1"/>
  <c r="AF105" i="1"/>
  <c r="AD105" i="1"/>
  <c r="AA105" i="1"/>
  <c r="Y105" i="1"/>
  <c r="V105" i="1"/>
  <c r="T105" i="1"/>
  <c r="Q105" i="1"/>
  <c r="O105" i="1"/>
  <c r="L105" i="1"/>
  <c r="J105" i="1"/>
  <c r="G105" i="1"/>
  <c r="E105" i="1"/>
  <c r="B105" i="1"/>
  <c r="AN104" i="1"/>
  <c r="AK104" i="1"/>
  <c r="AI104" i="1"/>
  <c r="AF104" i="1"/>
  <c r="AD104" i="1"/>
  <c r="AA104" i="1"/>
  <c r="Y104" i="1"/>
  <c r="V104" i="1"/>
  <c r="T104" i="1"/>
  <c r="Q104" i="1"/>
  <c r="O104" i="1"/>
  <c r="L104" i="1"/>
  <c r="J104" i="1"/>
  <c r="G104" i="1"/>
  <c r="E104" i="1"/>
  <c r="B104" i="1"/>
  <c r="AN103" i="1"/>
  <c r="AK103" i="1"/>
  <c r="AI103" i="1"/>
  <c r="AF103" i="1"/>
  <c r="AD103" i="1"/>
  <c r="AA103" i="1"/>
  <c r="Y103" i="1"/>
  <c r="V103" i="1"/>
  <c r="T103" i="1"/>
  <c r="Q103" i="1"/>
  <c r="O103" i="1"/>
  <c r="L103" i="1"/>
  <c r="J103" i="1"/>
  <c r="G103" i="1"/>
  <c r="E103" i="1"/>
  <c r="B103" i="1"/>
  <c r="AN102" i="1"/>
  <c r="AK102" i="1"/>
  <c r="AI102" i="1"/>
  <c r="AF102" i="1"/>
  <c r="AD102" i="1"/>
  <c r="AA102" i="1"/>
  <c r="Y102" i="1"/>
  <c r="V102" i="1"/>
  <c r="T102" i="1"/>
  <c r="Q102" i="1"/>
  <c r="O102" i="1"/>
  <c r="L102" i="1"/>
  <c r="J102" i="1"/>
  <c r="G102" i="1"/>
  <c r="E102" i="1"/>
  <c r="B102" i="1"/>
  <c r="AN101" i="1"/>
  <c r="AK101" i="1"/>
  <c r="AI101" i="1"/>
  <c r="AF101" i="1"/>
  <c r="AD101" i="1"/>
  <c r="AA101" i="1"/>
  <c r="Y101" i="1"/>
  <c r="V101" i="1"/>
  <c r="T101" i="1"/>
  <c r="Q101" i="1"/>
  <c r="O101" i="1"/>
  <c r="L101" i="1"/>
  <c r="J101" i="1"/>
  <c r="G101" i="1"/>
  <c r="E101" i="1"/>
  <c r="B101" i="1"/>
  <c r="AN100" i="1"/>
  <c r="AK100" i="1"/>
  <c r="AI100" i="1"/>
  <c r="AF100" i="1"/>
  <c r="AD100" i="1"/>
  <c r="AA100" i="1"/>
  <c r="Y100" i="1"/>
  <c r="V100" i="1"/>
  <c r="T100" i="1"/>
  <c r="Q100" i="1"/>
  <c r="O100" i="1"/>
  <c r="L100" i="1"/>
  <c r="J100" i="1"/>
  <c r="G100" i="1"/>
  <c r="E100" i="1"/>
  <c r="B100" i="1"/>
  <c r="AN99" i="1"/>
  <c r="AK99" i="1"/>
  <c r="AI99" i="1"/>
  <c r="AF99" i="1"/>
  <c r="AD99" i="1"/>
  <c r="AA99" i="1"/>
  <c r="Y99" i="1"/>
  <c r="V99" i="1"/>
  <c r="T99" i="1"/>
  <c r="Q99" i="1"/>
  <c r="O99" i="1"/>
  <c r="L99" i="1"/>
  <c r="J99" i="1"/>
  <c r="G99" i="1"/>
  <c r="E99" i="1"/>
  <c r="B99" i="1"/>
  <c r="AN98" i="1"/>
  <c r="AK98" i="1"/>
  <c r="AI98" i="1"/>
  <c r="AF98" i="1"/>
  <c r="AD98" i="1"/>
  <c r="AA98" i="1"/>
  <c r="Y98" i="1"/>
  <c r="V98" i="1"/>
  <c r="T98" i="1"/>
  <c r="Q98" i="1"/>
  <c r="O98" i="1"/>
  <c r="L98" i="1"/>
  <c r="J98" i="1"/>
  <c r="G98" i="1"/>
  <c r="E98" i="1"/>
  <c r="B98" i="1"/>
  <c r="AN97" i="1"/>
  <c r="AK97" i="1"/>
  <c r="AI97" i="1"/>
  <c r="AF97" i="1"/>
  <c r="AD97" i="1"/>
  <c r="AA97" i="1"/>
  <c r="Y97" i="1"/>
  <c r="V97" i="1"/>
  <c r="T97" i="1"/>
  <c r="Q97" i="1"/>
  <c r="O97" i="1"/>
  <c r="L97" i="1"/>
  <c r="J97" i="1"/>
  <c r="G97" i="1"/>
  <c r="E97" i="1"/>
  <c r="B97" i="1"/>
  <c r="AN96" i="1"/>
  <c r="AK96" i="1"/>
  <c r="AI96" i="1"/>
  <c r="AF96" i="1"/>
  <c r="AD96" i="1"/>
  <c r="AA96" i="1"/>
  <c r="Y96" i="1"/>
  <c r="V96" i="1"/>
  <c r="T96" i="1"/>
  <c r="Q96" i="1"/>
  <c r="O96" i="1"/>
  <c r="L96" i="1"/>
  <c r="J96" i="1"/>
  <c r="G96" i="1"/>
  <c r="E96" i="1"/>
  <c r="B96" i="1"/>
  <c r="AN95" i="1"/>
  <c r="AK95" i="1"/>
  <c r="AI95" i="1"/>
  <c r="AF95" i="1"/>
  <c r="AD95" i="1"/>
  <c r="AA95" i="1"/>
  <c r="Y95" i="1"/>
  <c r="V95" i="1"/>
  <c r="T95" i="1"/>
  <c r="Q95" i="1"/>
  <c r="O95" i="1"/>
  <c r="L95" i="1"/>
  <c r="J95" i="1"/>
  <c r="G95" i="1"/>
  <c r="E95" i="1"/>
  <c r="B95" i="1"/>
  <c r="AN94" i="1"/>
  <c r="AK94" i="1"/>
  <c r="AI94" i="1"/>
  <c r="AF94" i="1"/>
  <c r="AD94" i="1"/>
  <c r="AA94" i="1"/>
  <c r="Y94" i="1"/>
  <c r="V94" i="1"/>
  <c r="T94" i="1"/>
  <c r="Q94" i="1"/>
  <c r="O94" i="1"/>
  <c r="L94" i="1"/>
  <c r="J94" i="1"/>
  <c r="G94" i="1"/>
  <c r="E94" i="1"/>
  <c r="B94" i="1"/>
  <c r="AN93" i="1"/>
  <c r="AK93" i="1"/>
  <c r="AI93" i="1"/>
  <c r="AF93" i="1"/>
  <c r="AD93" i="1"/>
  <c r="AA93" i="1"/>
  <c r="Y93" i="1"/>
  <c r="V93" i="1"/>
  <c r="T93" i="1"/>
  <c r="Q93" i="1"/>
  <c r="O93" i="1"/>
  <c r="L93" i="1"/>
  <c r="J93" i="1"/>
  <c r="G93" i="1"/>
  <c r="E93" i="1"/>
  <c r="B93" i="1"/>
  <c r="AN92" i="1"/>
  <c r="AK92" i="1"/>
  <c r="AI92" i="1"/>
  <c r="AF92" i="1"/>
  <c r="AD92" i="1"/>
  <c r="AA92" i="1"/>
  <c r="Y92" i="1"/>
  <c r="V92" i="1"/>
  <c r="T92" i="1"/>
  <c r="Q92" i="1"/>
  <c r="O92" i="1"/>
  <c r="L92" i="1"/>
  <c r="J92" i="1"/>
  <c r="G92" i="1"/>
  <c r="E92" i="1"/>
  <c r="B92" i="1"/>
  <c r="AN85" i="1"/>
  <c r="AK85" i="1"/>
  <c r="AI85" i="1"/>
  <c r="AF85" i="1"/>
  <c r="AD85" i="1"/>
  <c r="AA85" i="1"/>
  <c r="Y85" i="1"/>
  <c r="V85" i="1"/>
  <c r="T85" i="1"/>
  <c r="Q85" i="1"/>
  <c r="O85" i="1"/>
  <c r="L85" i="1"/>
  <c r="J85" i="1"/>
  <c r="G85" i="1"/>
  <c r="E85" i="1"/>
  <c r="B85" i="1"/>
  <c r="AN84" i="1"/>
  <c r="AK84" i="1"/>
  <c r="AI84" i="1"/>
  <c r="AF84" i="1"/>
  <c r="AD84" i="1"/>
  <c r="AA84" i="1"/>
  <c r="Y84" i="1"/>
  <c r="V84" i="1"/>
  <c r="T84" i="1"/>
  <c r="Q84" i="1"/>
  <c r="O84" i="1"/>
  <c r="L84" i="1"/>
  <c r="J84" i="1"/>
  <c r="G84" i="1"/>
  <c r="E84" i="1"/>
  <c r="B84" i="1"/>
  <c r="AN83" i="1"/>
  <c r="AK83" i="1"/>
  <c r="AI83" i="1"/>
  <c r="AF83" i="1"/>
  <c r="AD83" i="1"/>
  <c r="AA83" i="1"/>
  <c r="Y83" i="1"/>
  <c r="V83" i="1"/>
  <c r="T83" i="1"/>
  <c r="Q83" i="1"/>
  <c r="O83" i="1"/>
  <c r="L83" i="1"/>
  <c r="J83" i="1"/>
  <c r="G83" i="1"/>
  <c r="E83" i="1"/>
  <c r="B83" i="1"/>
  <c r="AN82" i="1"/>
  <c r="AK82" i="1"/>
  <c r="AI82" i="1"/>
  <c r="AF82" i="1"/>
  <c r="AD82" i="1"/>
  <c r="AA82" i="1"/>
  <c r="Y82" i="1"/>
  <c r="V82" i="1"/>
  <c r="T82" i="1"/>
  <c r="Q82" i="1"/>
  <c r="O82" i="1"/>
  <c r="L82" i="1"/>
  <c r="J82" i="1"/>
  <c r="G82" i="1"/>
  <c r="E82" i="1"/>
  <c r="B82" i="1"/>
  <c r="AN81" i="1"/>
  <c r="AK81" i="1"/>
  <c r="AI81" i="1"/>
  <c r="AF81" i="1"/>
  <c r="AD81" i="1"/>
  <c r="AA81" i="1"/>
  <c r="Y81" i="1"/>
  <c r="V81" i="1"/>
  <c r="T81" i="1"/>
  <c r="Q81" i="1"/>
  <c r="O81" i="1"/>
  <c r="L81" i="1"/>
  <c r="J81" i="1"/>
  <c r="G81" i="1"/>
  <c r="E81" i="1"/>
  <c r="B81" i="1"/>
  <c r="AN80" i="1"/>
  <c r="AK80" i="1"/>
  <c r="AI80" i="1"/>
  <c r="AF80" i="1"/>
  <c r="AD80" i="1"/>
  <c r="AA80" i="1"/>
  <c r="Y80" i="1"/>
  <c r="V80" i="1"/>
  <c r="T80" i="1"/>
  <c r="Q80" i="1"/>
  <c r="O80" i="1"/>
  <c r="L80" i="1"/>
  <c r="J80" i="1"/>
  <c r="G80" i="1"/>
  <c r="E80" i="1"/>
  <c r="B80" i="1"/>
  <c r="AN79" i="1"/>
  <c r="AK79" i="1"/>
  <c r="AI79" i="1"/>
  <c r="AF79" i="1"/>
  <c r="AD79" i="1"/>
  <c r="AA79" i="1"/>
  <c r="Y79" i="1"/>
  <c r="V79" i="1"/>
  <c r="T79" i="1"/>
  <c r="Q79" i="1"/>
  <c r="O79" i="1"/>
  <c r="L79" i="1"/>
  <c r="J79" i="1"/>
  <c r="G79" i="1"/>
  <c r="E79" i="1"/>
  <c r="B79" i="1"/>
  <c r="AN78" i="1"/>
  <c r="AK78" i="1"/>
  <c r="AI78" i="1"/>
  <c r="AF78" i="1"/>
  <c r="AD78" i="1"/>
  <c r="AA78" i="1"/>
  <c r="Y78" i="1"/>
  <c r="V78" i="1"/>
  <c r="T78" i="1"/>
  <c r="Q78" i="1"/>
  <c r="O78" i="1"/>
  <c r="L78" i="1"/>
  <c r="J78" i="1"/>
  <c r="G78" i="1"/>
  <c r="E78" i="1"/>
  <c r="B78" i="1"/>
  <c r="AN77" i="1"/>
  <c r="AK77" i="1"/>
  <c r="AI77" i="1"/>
  <c r="AF77" i="1"/>
  <c r="AD77" i="1"/>
  <c r="AA77" i="1"/>
  <c r="Y77" i="1"/>
  <c r="V77" i="1"/>
  <c r="T77" i="1"/>
  <c r="Q77" i="1"/>
  <c r="O77" i="1"/>
  <c r="L77" i="1"/>
  <c r="J77" i="1"/>
  <c r="G77" i="1"/>
  <c r="E77" i="1"/>
  <c r="B77" i="1"/>
  <c r="AN76" i="1"/>
  <c r="AK76" i="1"/>
  <c r="AI76" i="1"/>
  <c r="AF76" i="1"/>
  <c r="AD76" i="1"/>
  <c r="AA76" i="1"/>
  <c r="Y76" i="1"/>
  <c r="V76" i="1"/>
  <c r="T76" i="1"/>
  <c r="Q76" i="1"/>
  <c r="O76" i="1"/>
  <c r="L76" i="1"/>
  <c r="J76" i="1"/>
  <c r="G76" i="1"/>
  <c r="E76" i="1"/>
  <c r="B76" i="1"/>
  <c r="AN75" i="1"/>
  <c r="AK75" i="1"/>
  <c r="AI75" i="1"/>
  <c r="AF75" i="1"/>
  <c r="AD75" i="1"/>
  <c r="AA75" i="1"/>
  <c r="Y75" i="1"/>
  <c r="V75" i="1"/>
  <c r="T75" i="1"/>
  <c r="Q75" i="1"/>
  <c r="O75" i="1"/>
  <c r="L75" i="1"/>
  <c r="J75" i="1"/>
  <c r="G75" i="1"/>
  <c r="E75" i="1"/>
  <c r="B75" i="1"/>
  <c r="AN74" i="1"/>
  <c r="AK74" i="1"/>
  <c r="AI74" i="1"/>
  <c r="AF74" i="1"/>
  <c r="AD74" i="1"/>
  <c r="AA74" i="1"/>
  <c r="Y74" i="1"/>
  <c r="V74" i="1"/>
  <c r="T74" i="1"/>
  <c r="Q74" i="1"/>
  <c r="O74" i="1"/>
  <c r="L74" i="1"/>
  <c r="J74" i="1"/>
  <c r="G74" i="1"/>
  <c r="E74" i="1"/>
  <c r="B74" i="1"/>
  <c r="AN73" i="1"/>
  <c r="AK73" i="1"/>
  <c r="AI73" i="1"/>
  <c r="AF73" i="1"/>
  <c r="AD73" i="1"/>
  <c r="AA73" i="1"/>
  <c r="Y73" i="1"/>
  <c r="V73" i="1"/>
  <c r="T73" i="1"/>
  <c r="Q73" i="1"/>
  <c r="O73" i="1"/>
  <c r="L73" i="1"/>
  <c r="J73" i="1"/>
  <c r="G73" i="1"/>
  <c r="E73" i="1"/>
  <c r="B73" i="1"/>
  <c r="AN72" i="1"/>
  <c r="AK72" i="1"/>
  <c r="AI72" i="1"/>
  <c r="AF72" i="1"/>
  <c r="AD72" i="1"/>
  <c r="AA72" i="1"/>
  <c r="Y72" i="1"/>
  <c r="V72" i="1"/>
  <c r="T72" i="1"/>
  <c r="Q72" i="1"/>
  <c r="O72" i="1"/>
  <c r="L72" i="1"/>
  <c r="J72" i="1"/>
  <c r="G72" i="1"/>
  <c r="E72" i="1"/>
  <c r="B72" i="1"/>
  <c r="AN71" i="1"/>
  <c r="AK71" i="1"/>
  <c r="AI71" i="1"/>
  <c r="AF71" i="1"/>
  <c r="AD71" i="1"/>
  <c r="AA71" i="1"/>
  <c r="Y71" i="1"/>
  <c r="V71" i="1"/>
  <c r="T71" i="1"/>
  <c r="Q71" i="1"/>
  <c r="O71" i="1"/>
  <c r="L71" i="1"/>
  <c r="J71" i="1"/>
  <c r="G71" i="1"/>
  <c r="E71" i="1"/>
  <c r="B71" i="1"/>
  <c r="AN70" i="1"/>
  <c r="AK70" i="1"/>
  <c r="AI70" i="1"/>
  <c r="AF70" i="1"/>
  <c r="AD70" i="1"/>
  <c r="AA70" i="1"/>
  <c r="Y70" i="1"/>
  <c r="V70" i="1"/>
  <c r="T70" i="1"/>
  <c r="Q70" i="1"/>
  <c r="O70" i="1"/>
  <c r="L70" i="1"/>
  <c r="J70" i="1"/>
  <c r="G70" i="1"/>
  <c r="E70" i="1"/>
  <c r="B70" i="1"/>
  <c r="AN69" i="1"/>
  <c r="AK69" i="1"/>
  <c r="AI69" i="1"/>
  <c r="AF69" i="1"/>
  <c r="AD69" i="1"/>
  <c r="AA69" i="1"/>
  <c r="Y69" i="1"/>
  <c r="V69" i="1"/>
  <c r="T69" i="1"/>
  <c r="Q69" i="1"/>
  <c r="O69" i="1"/>
  <c r="L69" i="1"/>
  <c r="J69" i="1"/>
  <c r="G69" i="1"/>
  <c r="E69" i="1"/>
  <c r="B69" i="1"/>
  <c r="AN68" i="1"/>
  <c r="AK68" i="1"/>
  <c r="AI68" i="1"/>
  <c r="AF68" i="1"/>
  <c r="AD68" i="1"/>
  <c r="AA68" i="1"/>
  <c r="Y68" i="1"/>
  <c r="V68" i="1"/>
  <c r="T68" i="1"/>
  <c r="Q68" i="1"/>
  <c r="O68" i="1"/>
  <c r="L68" i="1"/>
  <c r="J68" i="1"/>
  <c r="G68" i="1"/>
  <c r="E68" i="1"/>
  <c r="B68" i="1"/>
  <c r="AN67" i="1"/>
  <c r="AK67" i="1"/>
  <c r="AI67" i="1"/>
  <c r="AF67" i="1"/>
  <c r="AD67" i="1"/>
  <c r="AA67" i="1"/>
  <c r="Y67" i="1"/>
  <c r="V67" i="1"/>
  <c r="T67" i="1"/>
  <c r="Q67" i="1"/>
  <c r="O67" i="1"/>
  <c r="L67" i="1"/>
  <c r="J67" i="1"/>
  <c r="G67" i="1"/>
  <c r="E67" i="1"/>
  <c r="B67" i="1"/>
  <c r="AN66" i="1"/>
  <c r="AK66" i="1"/>
  <c r="AI66" i="1"/>
  <c r="AF66" i="1"/>
  <c r="AD66" i="1"/>
  <c r="AA66" i="1"/>
  <c r="Y66" i="1"/>
  <c r="V66" i="1"/>
  <c r="T66" i="1"/>
  <c r="Q66" i="1"/>
  <c r="O66" i="1"/>
  <c r="L66" i="1"/>
  <c r="J66" i="1"/>
  <c r="G66" i="1"/>
  <c r="E66" i="1"/>
  <c r="B66" i="1"/>
  <c r="AN65" i="1"/>
  <c r="AK65" i="1"/>
  <c r="AI65" i="1"/>
  <c r="AF65" i="1"/>
  <c r="AD65" i="1"/>
  <c r="AA65" i="1"/>
  <c r="Y65" i="1"/>
  <c r="V65" i="1"/>
  <c r="T65" i="1"/>
  <c r="Q65" i="1"/>
  <c r="O65" i="1"/>
  <c r="L65" i="1"/>
  <c r="J65" i="1"/>
  <c r="G65" i="1"/>
  <c r="E65" i="1"/>
  <c r="B65" i="1"/>
  <c r="AN55" i="1"/>
  <c r="AK55" i="1"/>
  <c r="AI55" i="1"/>
  <c r="AF55" i="1"/>
  <c r="AD55" i="1"/>
  <c r="AA55" i="1"/>
  <c r="Y55" i="1"/>
  <c r="V55" i="1"/>
  <c r="T55" i="1"/>
  <c r="Q55" i="1"/>
  <c r="O55" i="1"/>
  <c r="L55" i="1"/>
  <c r="J55" i="1"/>
  <c r="G55" i="1"/>
  <c r="E55" i="1"/>
  <c r="B55" i="1"/>
  <c r="AN54" i="1"/>
  <c r="AK54" i="1"/>
  <c r="AI54" i="1"/>
  <c r="AF54" i="1"/>
  <c r="AD54" i="1"/>
  <c r="AA54" i="1"/>
  <c r="Y54" i="1"/>
  <c r="V54" i="1"/>
  <c r="T54" i="1"/>
  <c r="Q54" i="1"/>
  <c r="O54" i="1"/>
  <c r="L54" i="1"/>
  <c r="J54" i="1"/>
  <c r="G54" i="1"/>
  <c r="E54" i="1"/>
  <c r="B54" i="1"/>
  <c r="AN53" i="1"/>
  <c r="AK53" i="1"/>
  <c r="AI53" i="1"/>
  <c r="AF53" i="1"/>
  <c r="AD53" i="1"/>
  <c r="AA53" i="1"/>
  <c r="Y53" i="1"/>
  <c r="V53" i="1"/>
  <c r="T53" i="1"/>
  <c r="Q53" i="1"/>
  <c r="O53" i="1"/>
  <c r="L53" i="1"/>
  <c r="J53" i="1"/>
  <c r="G53" i="1"/>
  <c r="E53" i="1"/>
  <c r="B53" i="1"/>
  <c r="AN52" i="1"/>
  <c r="AK52" i="1"/>
  <c r="AI52" i="1"/>
  <c r="AF52" i="1"/>
  <c r="AD52" i="1"/>
  <c r="AA52" i="1"/>
  <c r="Y52" i="1"/>
  <c r="V52" i="1"/>
  <c r="T52" i="1"/>
  <c r="Q52" i="1"/>
  <c r="O52" i="1"/>
  <c r="L52" i="1"/>
  <c r="J52" i="1"/>
  <c r="G52" i="1"/>
  <c r="E52" i="1"/>
  <c r="B52" i="1"/>
  <c r="AN51" i="1"/>
  <c r="AK51" i="1"/>
  <c r="AI51" i="1"/>
  <c r="AF51" i="1"/>
  <c r="AD51" i="1"/>
  <c r="AA51" i="1"/>
  <c r="Y51" i="1"/>
  <c r="V51" i="1"/>
  <c r="T51" i="1"/>
  <c r="Q51" i="1"/>
  <c r="O51" i="1"/>
  <c r="L51" i="1"/>
  <c r="J51" i="1"/>
  <c r="G51" i="1"/>
  <c r="E51" i="1"/>
  <c r="B51" i="1"/>
  <c r="AN50" i="1"/>
  <c r="AK50" i="1"/>
  <c r="AI50" i="1"/>
  <c r="AF50" i="1"/>
  <c r="AD50" i="1"/>
  <c r="AA50" i="1"/>
  <c r="Y50" i="1"/>
  <c r="V50" i="1"/>
  <c r="T50" i="1"/>
  <c r="Q50" i="1"/>
  <c r="O50" i="1"/>
  <c r="L50" i="1"/>
  <c r="J50" i="1"/>
  <c r="G50" i="1"/>
  <c r="E50" i="1"/>
  <c r="B50" i="1"/>
  <c r="AN49" i="1"/>
  <c r="AK49" i="1"/>
  <c r="AI49" i="1"/>
  <c r="AF49" i="1"/>
  <c r="AD49" i="1"/>
  <c r="AA49" i="1"/>
  <c r="Y49" i="1"/>
  <c r="V49" i="1"/>
  <c r="T49" i="1"/>
  <c r="Q49" i="1"/>
  <c r="O49" i="1"/>
  <c r="L49" i="1"/>
  <c r="J49" i="1"/>
  <c r="G49" i="1"/>
  <c r="E49" i="1"/>
  <c r="B49" i="1"/>
  <c r="AN48" i="1"/>
  <c r="AK48" i="1"/>
  <c r="AI48" i="1"/>
  <c r="AF48" i="1"/>
  <c r="AD48" i="1"/>
  <c r="AA48" i="1"/>
  <c r="Y48" i="1"/>
  <c r="V48" i="1"/>
  <c r="T48" i="1"/>
  <c r="Q48" i="1"/>
  <c r="O48" i="1"/>
  <c r="L48" i="1"/>
  <c r="J48" i="1"/>
  <c r="G48" i="1"/>
  <c r="E48" i="1"/>
  <c r="B48" i="1"/>
  <c r="AN47" i="1"/>
  <c r="AK47" i="1"/>
  <c r="AI47" i="1"/>
  <c r="AF47" i="1"/>
  <c r="AD47" i="1"/>
  <c r="AA47" i="1"/>
  <c r="Y47" i="1"/>
  <c r="V47" i="1"/>
  <c r="T47" i="1"/>
  <c r="Q47" i="1"/>
  <c r="O47" i="1"/>
  <c r="L47" i="1"/>
  <c r="J47" i="1"/>
  <c r="G47" i="1"/>
  <c r="E47" i="1"/>
  <c r="B47" i="1"/>
  <c r="AN46" i="1"/>
  <c r="AK46" i="1"/>
  <c r="AI46" i="1"/>
  <c r="AF46" i="1"/>
  <c r="AD46" i="1"/>
  <c r="AA46" i="1"/>
  <c r="Y46" i="1"/>
  <c r="V46" i="1"/>
  <c r="T46" i="1"/>
  <c r="Q46" i="1"/>
  <c r="O46" i="1"/>
  <c r="L46" i="1"/>
  <c r="J46" i="1"/>
  <c r="G46" i="1"/>
  <c r="E46" i="1"/>
  <c r="B46" i="1"/>
  <c r="AN45" i="1"/>
  <c r="AK45" i="1"/>
  <c r="AI45" i="1"/>
  <c r="AF45" i="1"/>
  <c r="AD45" i="1"/>
  <c r="AA45" i="1"/>
  <c r="Y45" i="1"/>
  <c r="V45" i="1"/>
  <c r="T45" i="1"/>
  <c r="Q45" i="1"/>
  <c r="O45" i="1"/>
  <c r="L45" i="1"/>
  <c r="J45" i="1"/>
  <c r="G45" i="1"/>
  <c r="E45" i="1"/>
  <c r="B45" i="1"/>
  <c r="AN44" i="1"/>
  <c r="AK44" i="1"/>
  <c r="AI44" i="1"/>
  <c r="AF44" i="1"/>
  <c r="AD44" i="1"/>
  <c r="AA44" i="1"/>
  <c r="Y44" i="1"/>
  <c r="V44" i="1"/>
  <c r="T44" i="1"/>
  <c r="Q44" i="1"/>
  <c r="O44" i="1"/>
  <c r="L44" i="1"/>
  <c r="J44" i="1"/>
  <c r="G44" i="1"/>
  <c r="E44" i="1"/>
  <c r="B44" i="1"/>
  <c r="AN43" i="1"/>
  <c r="AK43" i="1"/>
  <c r="AI43" i="1"/>
  <c r="AF43" i="1"/>
  <c r="AD43" i="1"/>
  <c r="AA43" i="1"/>
  <c r="Y43" i="1"/>
  <c r="V43" i="1"/>
  <c r="T43" i="1"/>
  <c r="Q43" i="1"/>
  <c r="O43" i="1"/>
  <c r="L43" i="1"/>
  <c r="J43" i="1"/>
  <c r="G43" i="1"/>
  <c r="E43" i="1"/>
  <c r="B43" i="1"/>
  <c r="AN42" i="1"/>
  <c r="AK42" i="1"/>
  <c r="AI42" i="1"/>
  <c r="AF42" i="1"/>
  <c r="AD42" i="1"/>
  <c r="AA42" i="1"/>
  <c r="Y42" i="1"/>
  <c r="V42" i="1"/>
  <c r="T42" i="1"/>
  <c r="Q42" i="1"/>
  <c r="O42" i="1"/>
  <c r="L42" i="1"/>
  <c r="J42" i="1"/>
  <c r="G42" i="1"/>
  <c r="E42" i="1"/>
  <c r="B42" i="1"/>
  <c r="AN41" i="1"/>
  <c r="AK41" i="1"/>
  <c r="AI41" i="1"/>
  <c r="AF41" i="1"/>
  <c r="AD41" i="1"/>
  <c r="AA41" i="1"/>
  <c r="Y41" i="1"/>
  <c r="V41" i="1"/>
  <c r="T41" i="1"/>
  <c r="Q41" i="1"/>
  <c r="O41" i="1"/>
  <c r="L41" i="1"/>
  <c r="J41" i="1"/>
  <c r="G41" i="1"/>
  <c r="E41" i="1"/>
  <c r="B41" i="1"/>
  <c r="AN40" i="1"/>
  <c r="AK40" i="1"/>
  <c r="AI40" i="1"/>
  <c r="AF40" i="1"/>
  <c r="AD40" i="1"/>
  <c r="AA40" i="1"/>
  <c r="Y40" i="1"/>
  <c r="V40" i="1"/>
  <c r="T40" i="1"/>
  <c r="Q40" i="1"/>
  <c r="O40" i="1"/>
  <c r="L40" i="1"/>
  <c r="J40" i="1"/>
  <c r="G40" i="1"/>
  <c r="E40" i="1"/>
  <c r="B40" i="1"/>
  <c r="AN39" i="1"/>
  <c r="AK39" i="1"/>
  <c r="AI39" i="1"/>
  <c r="AF39" i="1"/>
  <c r="AD39" i="1"/>
  <c r="AA39" i="1"/>
  <c r="Y39" i="1"/>
  <c r="V39" i="1"/>
  <c r="T39" i="1"/>
  <c r="Q39" i="1"/>
  <c r="O39" i="1"/>
  <c r="L39" i="1"/>
  <c r="J39" i="1"/>
  <c r="G39" i="1"/>
  <c r="E39" i="1"/>
  <c r="B39" i="1"/>
  <c r="AN38" i="1"/>
  <c r="AK38" i="1"/>
  <c r="AI38" i="1"/>
  <c r="AF38" i="1"/>
  <c r="AD38" i="1"/>
  <c r="AA38" i="1"/>
  <c r="Y38" i="1"/>
  <c r="V38" i="1"/>
  <c r="T38" i="1"/>
  <c r="Q38" i="1"/>
  <c r="O38" i="1"/>
  <c r="L38" i="1"/>
  <c r="J38" i="1"/>
  <c r="G38" i="1"/>
  <c r="E38" i="1"/>
  <c r="B38" i="1"/>
  <c r="AN37" i="1"/>
  <c r="AK37" i="1"/>
  <c r="AI37" i="1"/>
  <c r="AF37" i="1"/>
  <c r="AD37" i="1"/>
  <c r="AA37" i="1"/>
  <c r="Y37" i="1"/>
  <c r="V37" i="1"/>
  <c r="T37" i="1"/>
  <c r="Q37" i="1"/>
  <c r="O37" i="1"/>
  <c r="L37" i="1"/>
  <c r="J37" i="1"/>
  <c r="G37" i="1"/>
  <c r="E37" i="1"/>
  <c r="B37" i="1"/>
  <c r="AN36" i="1"/>
  <c r="AK36" i="1"/>
  <c r="AI36" i="1"/>
  <c r="AF36" i="1"/>
  <c r="AD36" i="1"/>
  <c r="AA36" i="1"/>
  <c r="Y36" i="1"/>
  <c r="V36" i="1"/>
  <c r="T36" i="1"/>
  <c r="Q36" i="1"/>
  <c r="O36" i="1"/>
  <c r="L36" i="1"/>
  <c r="J36" i="1"/>
  <c r="G36" i="1"/>
  <c r="E36" i="1"/>
  <c r="B36" i="1"/>
  <c r="AN35" i="1"/>
  <c r="AK35" i="1"/>
  <c r="AI35" i="1"/>
  <c r="AF35" i="1"/>
  <c r="AD35" i="1"/>
  <c r="AA35" i="1"/>
  <c r="Y35" i="1"/>
  <c r="V35" i="1"/>
  <c r="T35" i="1"/>
  <c r="Q35" i="1"/>
  <c r="O35" i="1"/>
  <c r="L35" i="1"/>
  <c r="J35" i="1"/>
  <c r="G35" i="1"/>
  <c r="E35" i="1"/>
  <c r="B35" i="1"/>
  <c r="AN28" i="1"/>
  <c r="AK28" i="1"/>
  <c r="AI28" i="1"/>
  <c r="AF28" i="1"/>
  <c r="AD28" i="1"/>
  <c r="AA28" i="1"/>
  <c r="Y28" i="1"/>
  <c r="V28" i="1"/>
  <c r="T28" i="1"/>
  <c r="Q28" i="1"/>
  <c r="O28" i="1"/>
  <c r="L28" i="1"/>
  <c r="J28" i="1"/>
  <c r="G28" i="1"/>
  <c r="E28" i="1"/>
  <c r="B28" i="1"/>
  <c r="AN27" i="1"/>
  <c r="AK27" i="1"/>
  <c r="AI27" i="1"/>
  <c r="AF27" i="1"/>
  <c r="AD27" i="1"/>
  <c r="AA27" i="1"/>
  <c r="Y27" i="1"/>
  <c r="V27" i="1"/>
  <c r="T27" i="1"/>
  <c r="Q27" i="1"/>
  <c r="O27" i="1"/>
  <c r="L27" i="1"/>
  <c r="J27" i="1"/>
  <c r="G27" i="1"/>
  <c r="E27" i="1"/>
  <c r="B27" i="1"/>
  <c r="AN26" i="1"/>
  <c r="AK26" i="1"/>
  <c r="AI26" i="1"/>
  <c r="AF26" i="1"/>
  <c r="AD26" i="1"/>
  <c r="AA26" i="1"/>
  <c r="Y26" i="1"/>
  <c r="V26" i="1"/>
  <c r="T26" i="1"/>
  <c r="Q26" i="1"/>
  <c r="O26" i="1"/>
  <c r="L26" i="1"/>
  <c r="J26" i="1"/>
  <c r="G26" i="1"/>
  <c r="E26" i="1"/>
  <c r="B26" i="1"/>
  <c r="AN25" i="1"/>
  <c r="AK25" i="1"/>
  <c r="AI25" i="1"/>
  <c r="AF25" i="1"/>
  <c r="AD25" i="1"/>
  <c r="AA25" i="1"/>
  <c r="Y25" i="1"/>
  <c r="V25" i="1"/>
  <c r="T25" i="1"/>
  <c r="Q25" i="1"/>
  <c r="O25" i="1"/>
  <c r="L25" i="1"/>
  <c r="J25" i="1"/>
  <c r="G25" i="1"/>
  <c r="E25" i="1"/>
  <c r="B25" i="1"/>
  <c r="AN24" i="1"/>
  <c r="AK24" i="1"/>
  <c r="AI24" i="1"/>
  <c r="AF24" i="1"/>
  <c r="AD24" i="1"/>
  <c r="AA24" i="1"/>
  <c r="Y24" i="1"/>
  <c r="V24" i="1"/>
  <c r="T24" i="1"/>
  <c r="Q24" i="1"/>
  <c r="O24" i="1"/>
  <c r="L24" i="1"/>
  <c r="J24" i="1"/>
  <c r="G24" i="1"/>
  <c r="E24" i="1"/>
  <c r="B24" i="1"/>
  <c r="AN23" i="1"/>
  <c r="AK23" i="1"/>
  <c r="AI23" i="1"/>
  <c r="AF23" i="1"/>
  <c r="AD23" i="1"/>
  <c r="AA23" i="1"/>
  <c r="Y23" i="1"/>
  <c r="V23" i="1"/>
  <c r="T23" i="1"/>
  <c r="Q23" i="1"/>
  <c r="O23" i="1"/>
  <c r="L23" i="1"/>
  <c r="J23" i="1"/>
  <c r="G23" i="1"/>
  <c r="E23" i="1"/>
  <c r="B23" i="1"/>
  <c r="AN22" i="1"/>
  <c r="AK22" i="1"/>
  <c r="AI22" i="1"/>
  <c r="AF22" i="1"/>
  <c r="AD22" i="1"/>
  <c r="AA22" i="1"/>
  <c r="Y22" i="1"/>
  <c r="V22" i="1"/>
  <c r="T22" i="1"/>
  <c r="Q22" i="1"/>
  <c r="O22" i="1"/>
  <c r="L22" i="1"/>
  <c r="J22" i="1"/>
  <c r="G22" i="1"/>
  <c r="E22" i="1"/>
  <c r="B22" i="1"/>
  <c r="AN21" i="1"/>
  <c r="AK21" i="1"/>
  <c r="AI21" i="1"/>
  <c r="AF21" i="1"/>
  <c r="AD21" i="1"/>
  <c r="AA21" i="1"/>
  <c r="Y21" i="1"/>
  <c r="V21" i="1"/>
  <c r="T21" i="1"/>
  <c r="Q21" i="1"/>
  <c r="O21" i="1"/>
  <c r="L21" i="1"/>
  <c r="J21" i="1"/>
  <c r="G21" i="1"/>
  <c r="E21" i="1"/>
  <c r="B21" i="1"/>
  <c r="AN20" i="1"/>
  <c r="AK20" i="1"/>
  <c r="AI20" i="1"/>
  <c r="AF20" i="1"/>
  <c r="AD20" i="1"/>
  <c r="AA20" i="1"/>
  <c r="Y20" i="1"/>
  <c r="V20" i="1"/>
  <c r="T20" i="1"/>
  <c r="Q20" i="1"/>
  <c r="O20" i="1"/>
  <c r="L20" i="1"/>
  <c r="J20" i="1"/>
  <c r="G20" i="1"/>
  <c r="E20" i="1"/>
  <c r="B20" i="1"/>
  <c r="AN19" i="1"/>
  <c r="AK19" i="1"/>
  <c r="AI19" i="1"/>
  <c r="AF19" i="1"/>
  <c r="AD19" i="1"/>
  <c r="AA19" i="1"/>
  <c r="Y19" i="1"/>
  <c r="V19" i="1"/>
  <c r="T19" i="1"/>
  <c r="Q19" i="1"/>
  <c r="O19" i="1"/>
  <c r="L19" i="1"/>
  <c r="J19" i="1"/>
  <c r="G19" i="1"/>
  <c r="E19" i="1"/>
  <c r="B19" i="1"/>
  <c r="AN18" i="1"/>
  <c r="AK18" i="1"/>
  <c r="AI18" i="1"/>
  <c r="AF18" i="1"/>
  <c r="AD18" i="1"/>
  <c r="AA18" i="1"/>
  <c r="Y18" i="1"/>
  <c r="V18" i="1"/>
  <c r="T18" i="1"/>
  <c r="Q18" i="1"/>
  <c r="O18" i="1"/>
  <c r="L18" i="1"/>
  <c r="J18" i="1"/>
  <c r="G18" i="1"/>
  <c r="E18" i="1"/>
  <c r="B18" i="1"/>
  <c r="AN17" i="1"/>
  <c r="AK17" i="1"/>
  <c r="AI17" i="1"/>
  <c r="AF17" i="1"/>
  <c r="AD17" i="1"/>
  <c r="AA17" i="1"/>
  <c r="Y17" i="1"/>
  <c r="V17" i="1"/>
  <c r="T17" i="1"/>
  <c r="Q17" i="1"/>
  <c r="O17" i="1"/>
  <c r="L17" i="1"/>
  <c r="J17" i="1"/>
  <c r="G17" i="1"/>
  <c r="E17" i="1"/>
  <c r="B17" i="1"/>
  <c r="AN16" i="1"/>
  <c r="AK16" i="1"/>
  <c r="AI16" i="1"/>
  <c r="AF16" i="1"/>
  <c r="AD16" i="1"/>
  <c r="AA16" i="1"/>
  <c r="Y16" i="1"/>
  <c r="V16" i="1"/>
  <c r="T16" i="1"/>
  <c r="Q16" i="1"/>
  <c r="O16" i="1"/>
  <c r="L16" i="1"/>
  <c r="J16" i="1"/>
  <c r="G16" i="1"/>
  <c r="E16" i="1"/>
  <c r="B16" i="1"/>
  <c r="AN15" i="1"/>
  <c r="AK15" i="1"/>
  <c r="AI15" i="1"/>
  <c r="AF15" i="1"/>
  <c r="AD15" i="1"/>
  <c r="AA15" i="1"/>
  <c r="Y15" i="1"/>
  <c r="V15" i="1"/>
  <c r="T15" i="1"/>
  <c r="Q15" i="1"/>
  <c r="O15" i="1"/>
  <c r="L15" i="1"/>
  <c r="J15" i="1"/>
  <c r="G15" i="1"/>
  <c r="E15" i="1"/>
  <c r="B15" i="1"/>
  <c r="AN14" i="1"/>
  <c r="AK14" i="1"/>
  <c r="AI14" i="1"/>
  <c r="AF14" i="1"/>
  <c r="AD14" i="1"/>
  <c r="AA14" i="1"/>
  <c r="Y14" i="1"/>
  <c r="V14" i="1"/>
  <c r="T14" i="1"/>
  <c r="Q14" i="1"/>
  <c r="O14" i="1"/>
  <c r="L14" i="1"/>
  <c r="J14" i="1"/>
  <c r="G14" i="1"/>
  <c r="E14" i="1"/>
  <c r="B14" i="1"/>
  <c r="AN13" i="1"/>
  <c r="AK13" i="1"/>
  <c r="AI13" i="1"/>
  <c r="AF13" i="1"/>
  <c r="AD13" i="1"/>
  <c r="AA13" i="1"/>
  <c r="Y13" i="1"/>
  <c r="V13" i="1"/>
  <c r="T13" i="1"/>
  <c r="Q13" i="1"/>
  <c r="O13" i="1"/>
  <c r="L13" i="1"/>
  <c r="J13" i="1"/>
  <c r="G13" i="1"/>
  <c r="E13" i="1"/>
  <c r="B13" i="1"/>
  <c r="AN12" i="1"/>
  <c r="AK12" i="1"/>
  <c r="AI12" i="1"/>
  <c r="AF12" i="1"/>
  <c r="AD12" i="1"/>
  <c r="AA12" i="1"/>
  <c r="Y12" i="1"/>
  <c r="V12" i="1"/>
  <c r="T12" i="1"/>
  <c r="Q12" i="1"/>
  <c r="O12" i="1"/>
  <c r="L12" i="1"/>
  <c r="J12" i="1"/>
  <c r="G12" i="1"/>
  <c r="E12" i="1"/>
  <c r="B12" i="1"/>
  <c r="AN11" i="1"/>
  <c r="AK11" i="1"/>
  <c r="AI11" i="1"/>
  <c r="AF11" i="1"/>
  <c r="AD11" i="1"/>
  <c r="AA11" i="1"/>
  <c r="Y11" i="1"/>
  <c r="V11" i="1"/>
  <c r="T11" i="1"/>
  <c r="Q11" i="1"/>
  <c r="O11" i="1"/>
  <c r="L11" i="1"/>
  <c r="J11" i="1"/>
  <c r="G11" i="1"/>
  <c r="E11" i="1"/>
  <c r="B11" i="1"/>
  <c r="AN10" i="1"/>
  <c r="AK10" i="1"/>
  <c r="AI10" i="1"/>
  <c r="AF10" i="1"/>
  <c r="AD10" i="1"/>
  <c r="AA10" i="1"/>
  <c r="Y10" i="1"/>
  <c r="V10" i="1"/>
  <c r="T10" i="1"/>
  <c r="Q10" i="1"/>
  <c r="O10" i="1"/>
  <c r="L10" i="1"/>
  <c r="J10" i="1"/>
  <c r="G10" i="1"/>
  <c r="E10" i="1"/>
  <c r="B10" i="1"/>
  <c r="AN9" i="1"/>
  <c r="AK9" i="1"/>
  <c r="AI9" i="1"/>
  <c r="AF9" i="1"/>
  <c r="AD9" i="1"/>
  <c r="AA9" i="1"/>
  <c r="Y9" i="1"/>
  <c r="V9" i="1"/>
  <c r="T9" i="1"/>
  <c r="Q9" i="1"/>
  <c r="O9" i="1"/>
  <c r="L9" i="1"/>
  <c r="J9" i="1"/>
  <c r="G9" i="1"/>
  <c r="E9" i="1"/>
  <c r="B9" i="1"/>
  <c r="AN8" i="1"/>
  <c r="AK8" i="1"/>
  <c r="AI8" i="1"/>
  <c r="AF8" i="1"/>
  <c r="AD8" i="1"/>
  <c r="AA8" i="1"/>
  <c r="Y8" i="1"/>
  <c r="V8" i="1"/>
  <c r="T8" i="1"/>
  <c r="Q8" i="1"/>
  <c r="O8" i="1"/>
  <c r="L8" i="1"/>
  <c r="J8" i="1"/>
  <c r="G8" i="1"/>
  <c r="E8" i="1"/>
  <c r="B8" i="1"/>
</calcChain>
</file>

<file path=xl/sharedStrings.xml><?xml version="1.0" encoding="utf-8"?>
<sst xmlns="http://schemas.openxmlformats.org/spreadsheetml/2006/main" count="1593" uniqueCount="80">
  <si>
    <t>Model 1</t>
  </si>
  <si>
    <t>facet stress = facet contact force magnitude/facet contact area</t>
  </si>
  <si>
    <t>units=</t>
  </si>
  <si>
    <t>(N/mm^2)=MPa</t>
  </si>
  <si>
    <t>6LR_7UR</t>
  </si>
  <si>
    <t>6LL_7UL</t>
  </si>
  <si>
    <t>5LR_6UR</t>
  </si>
  <si>
    <t>5LL_6UL</t>
  </si>
  <si>
    <t>4LR_5UR</t>
  </si>
  <si>
    <t>4LL_5UL</t>
  </si>
  <si>
    <t>3LR_4UR</t>
  </si>
  <si>
    <t>3LL_4UL</t>
  </si>
  <si>
    <t>time</t>
  </si>
  <si>
    <t>moment</t>
  </si>
  <si>
    <t>CAREA</t>
  </si>
  <si>
    <t>CFNM</t>
  </si>
  <si>
    <t>CFNM/Total area contact</t>
  </si>
  <si>
    <t>Model 2</t>
  </si>
  <si>
    <t>moment is negative bc of rotation</t>
  </si>
  <si>
    <t xml:space="preserve">CAREA </t>
  </si>
  <si>
    <t>Model 3</t>
  </si>
  <si>
    <t>Model 4</t>
  </si>
  <si>
    <t>Model 5</t>
  </si>
  <si>
    <t>Model 6</t>
  </si>
  <si>
    <t>Model 7</t>
  </si>
  <si>
    <t>Model 8</t>
  </si>
  <si>
    <t>Model 9</t>
  </si>
  <si>
    <t>Model 10</t>
  </si>
  <si>
    <t>Model 11</t>
  </si>
  <si>
    <t>Model 12</t>
  </si>
  <si>
    <t>Model 13</t>
  </si>
  <si>
    <t>Model 14</t>
  </si>
  <si>
    <t>Model 15</t>
  </si>
  <si>
    <t xml:space="preserve">S2_6N_SlideSlide_Tether.odb </t>
  </si>
  <si>
    <t xml:space="preserve">6P Slide Slide Tether </t>
  </si>
  <si>
    <t>S2_6P_SlideSlide_Tether.odb</t>
  </si>
  <si>
    <t>6N slide slide No tether</t>
  </si>
  <si>
    <t>S2_6N_SlideSlide_NoTether.odb</t>
  </si>
  <si>
    <t>6P slide slide No tether</t>
  </si>
  <si>
    <t>S2_6P_SlideSlide_NoTether.odb</t>
  </si>
  <si>
    <t xml:space="preserve">S2_6N_APSlide_Tether.odb </t>
  </si>
  <si>
    <t xml:space="preserve">6P AP slide tether </t>
  </si>
  <si>
    <t>S2_6P_APSlide_Tether.odb</t>
  </si>
  <si>
    <t xml:space="preserve">S2_6N_APSlide_NoTether.odb </t>
  </si>
  <si>
    <t xml:space="preserve">6P AP Slide No Tether </t>
  </si>
  <si>
    <t>S2_6P_APSlide_NoTether.odb</t>
  </si>
  <si>
    <t xml:space="preserve">S2_6N_LatSlide_Tether.odb </t>
  </si>
  <si>
    <t xml:space="preserve">6P Lat Slide Tether  </t>
  </si>
  <si>
    <t>S2_6P_LatSlide_Tether.odb</t>
  </si>
  <si>
    <t xml:space="preserve">S2_6N_LatSlide_NoTether.odb </t>
  </si>
  <si>
    <t xml:space="preserve">6P Lat Slide NoTether  </t>
  </si>
  <si>
    <t>S2_6P_LatSlide_NoTether.odb</t>
  </si>
  <si>
    <t xml:space="preserve">S2_6N_PhysPhys_Tether.odb </t>
  </si>
  <si>
    <t xml:space="preserve">6P PhysPhys Tether  </t>
  </si>
  <si>
    <t>S2_6P_PhysPhys_Tether.odb</t>
  </si>
  <si>
    <t xml:space="preserve">S2_6N_PhysPhys_NoTether.odb </t>
  </si>
  <si>
    <t xml:space="preserve">6P PhysPhys No Tether  </t>
  </si>
  <si>
    <t>S2_6P_PhysPhys_NoTether.odb</t>
  </si>
  <si>
    <t xml:space="preserve">S2_6N_APPhys_Tether.odb </t>
  </si>
  <si>
    <t xml:space="preserve">6P AP Phys Tether </t>
  </si>
  <si>
    <t>S2_6P_APPhys_Tether.odb</t>
  </si>
  <si>
    <t xml:space="preserve">S2_6N_APPhys_NoTether.odb </t>
  </si>
  <si>
    <t xml:space="preserve">6P AP Phys NoTether  </t>
  </si>
  <si>
    <t>S2_6P_APPhys_NoTether.odb</t>
  </si>
  <si>
    <t xml:space="preserve">S2_6N_LatPhys_Tether.odb </t>
  </si>
  <si>
    <t xml:space="preserve">6P LatPhys Tether  </t>
  </si>
  <si>
    <t>S2_6P_LatPhys_Tether.odb</t>
  </si>
  <si>
    <t xml:space="preserve">S2_6N_LatPhys_NoTether.odb </t>
  </si>
  <si>
    <t xml:space="preserve">6P LatPhys NoTether  </t>
  </si>
  <si>
    <t>S2_6P_LatPhys_NoTether.odb</t>
  </si>
  <si>
    <t xml:space="preserve">S2_6N_Fixed_Tether.odb </t>
  </si>
  <si>
    <t xml:space="preserve">6P Fixed Tether  </t>
  </si>
  <si>
    <t>S2_6P_Fixed_Tether.odb</t>
  </si>
  <si>
    <t xml:space="preserve">S2_6N_Fixed_NoTether.odb </t>
  </si>
  <si>
    <t xml:space="preserve">6P Fixed NoTether  </t>
  </si>
  <si>
    <t>S2_6P_Fixed_NoTether.odb</t>
  </si>
  <si>
    <t xml:space="preserve">6N intact </t>
  </si>
  <si>
    <t>TLC_6N_1-26.odb</t>
  </si>
  <si>
    <t xml:space="preserve">6P intact </t>
  </si>
  <si>
    <t>TLC_6P_1-26.odb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</si>
</sst>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</cellXfs>
  <cellStyles count="1">
    <cellStyle name="Normal" xfId="0" builtinId="0"/>
  </cellStyles>
  <dxfs count="48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1" xr:uid="{D9700202-03A9-4582-BE9C-858E3C7CFB43}" name="Table1243" displayName="Table1243" ref="A7:E28" totalsRowShown="0">
  <autoFilter ref="A7:E28" xr:uid="{D9700202-03A9-4582-BE9C-858E3C7CFB43}"/>
  <tableColumns count="5">
    <tableColumn id="1" xr3:uid="{11BDBFCA-78B7-4499-8137-FC57EEB83EAF}" name="time"/>
    <tableColumn id="2" xr3:uid="{847825AE-1A64-4B7D-A148-04410F5BEC70}" name="moment" dataDxfId="479">
      <calculatedColumnFormula>-(Table1243[[#This Row],[time]]-2)*2</calculatedColumnFormula>
    </tableColumn>
    <tableColumn id="3" xr3:uid="{14DF358E-DA57-43A1-8C5F-E7B607E94EDE}" name="CAREA"/>
    <tableColumn id="4" xr3:uid="{B967FAAF-648A-4A7C-AFD0-8D359B063186}" name="CFNM"/>
    <tableColumn id="5" xr3:uid="{EB21B754-0D24-45E4-ADAF-C7A24344E742}" name="CFNM/Total area contact" dataDxfId="478">
      <calculatedColumnFormula>Table1243[[#This Row],[CFNM]]/Table1243[[#This Row],[CAREA]]</calculatedColumnFormula>
    </tableColumn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0" xr:uid="{FD85F35E-C13C-4118-A8E9-1B4E7F4F19AB}" name="Table211252" displayName="Table211252" ref="F34:J55" totalsRowShown="0">
  <autoFilter ref="F34:J55" xr:uid="{FD85F35E-C13C-4118-A8E9-1B4E7F4F19AB}"/>
  <tableColumns count="5">
    <tableColumn id="1" xr3:uid="{BD38CD4D-746E-4F6E-800F-C97CFA999F2F}" name="time"/>
    <tableColumn id="2" xr3:uid="{02D6C36D-10ED-470E-AFB6-62CB46785467}" name="moment" dataDxfId="461">
      <calculatedColumnFormula>(Table211252[[#This Row],[time]]-2)*2</calculatedColumnFormula>
    </tableColumn>
    <tableColumn id="3" xr3:uid="{F8855A63-BCFB-432D-8168-59698F2C04C9}" name="CAREA"/>
    <tableColumn id="4" xr3:uid="{6927E8E1-0B59-4A7A-83AF-883290DC8413}" name="CFNM"/>
    <tableColumn id="5" xr3:uid="{BEB7A2EB-1A5C-43F2-A6DD-D8849B62C75A}" name="CFNM/Total area contact" dataDxfId="460">
      <calculatedColumnFormula>Table211252[[#This Row],[CFNM]]/Table211252[[#This Row],[CAREA]]</calculatedColumnFormula>
    </tableColumn>
  </tableColumns>
  <tableStyleInfo name="TableStyleLight2" showFirstColumn="0" showLastColumn="0" showRowStripes="1" showColumnStripes="0"/>
</table>
</file>

<file path=xl/tables/table10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0" xr:uid="{2ACAB0B7-F74F-4BDF-941D-E5E459F22D42}" name="Table4342" displayName="Table4342" ref="P349:T370" totalsRowShown="0">
  <autoFilter ref="P349:T370" xr:uid="{2ACAB0B7-F74F-4BDF-941D-E5E459F22D42}"/>
  <tableColumns count="5">
    <tableColumn id="1" xr3:uid="{CAC5160B-FADB-43FB-9DC0-F0F4E6232AD0}" name="time"/>
    <tableColumn id="2" xr3:uid="{76BD11F4-A40D-41FC-B9BE-5C75E039EC95}" name="moment" dataDxfId="281">
      <calculatedColumnFormula>-(Table4342[[#This Row],[time]]-2)*2</calculatedColumnFormula>
    </tableColumn>
    <tableColumn id="3" xr3:uid="{87562863-6C11-46CC-8029-03C09D86245B}" name="CAREA"/>
    <tableColumn id="4" xr3:uid="{2365D72C-E56E-41C9-B3FE-73DED1F08645}" name="CFNM"/>
    <tableColumn id="5" xr3:uid="{F6131071-C461-4AB3-BFDA-2A48061CE8BD}" name="CFNM/Total area contact" dataDxfId="280">
      <calculatedColumnFormula>Table4342[[#This Row],[CFNM]]/Table4342[[#This Row],[CAREA]]</calculatedColumnFormula>
    </tableColumn>
  </tableColumns>
  <tableStyleInfo name="TableStyleLight4" showFirstColumn="0" showLastColumn="0" showRowStripes="1" showColumnStripes="0"/>
</table>
</file>

<file path=xl/tables/table10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1" xr:uid="{079A0BC7-3267-4BD8-A21D-9FD9EB847FDC}" name="Table5343" displayName="Table5343" ref="U349:Y370" totalsRowShown="0">
  <autoFilter ref="U349:Y370" xr:uid="{079A0BC7-3267-4BD8-A21D-9FD9EB847FDC}"/>
  <tableColumns count="5">
    <tableColumn id="1" xr3:uid="{0E3E4863-16C8-4DB5-9F40-8ADD4858AFEC}" name="time"/>
    <tableColumn id="2" xr3:uid="{F7A42E95-C384-43ED-94A6-53A5024EDB7A}" name="moment" dataDxfId="279">
      <calculatedColumnFormula>-(Table5343[[#This Row],[time]]-2)*2</calculatedColumnFormula>
    </tableColumn>
    <tableColumn id="3" xr3:uid="{D87D8DBF-4CF7-47E9-A1D4-E18126DB299A}" name="CAREA"/>
    <tableColumn id="4" xr3:uid="{DA029ACA-7339-4345-A2F5-BBC2453420EF}" name="CFNM"/>
    <tableColumn id="5" xr3:uid="{730444FA-2B0B-4578-BE93-687957C3E9A9}" name="CFNM/Total area contact" dataDxfId="278">
      <calculatedColumnFormula>Table5343[[#This Row],[CFNM]]/Table5343[[#This Row],[CAREA]]</calculatedColumnFormula>
    </tableColumn>
  </tableColumns>
  <tableStyleInfo name="TableStyleLight5" showFirstColumn="0" showLastColumn="0" showRowStripes="1" showColumnStripes="0"/>
</table>
</file>

<file path=xl/tables/table10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2" xr:uid="{EE4D2245-F905-4988-86F1-B6505FA8D572}" name="Table6344" displayName="Table6344" ref="Z349:AD370" totalsRowShown="0">
  <autoFilter ref="Z349:AD370" xr:uid="{EE4D2245-F905-4988-86F1-B6505FA8D572}"/>
  <tableColumns count="5">
    <tableColumn id="1" xr3:uid="{B73B76F2-64CB-4DCD-A828-0A427C8A9A5E}" name="time"/>
    <tableColumn id="2" xr3:uid="{4D781DD0-D285-42B7-86AB-512570CEAAED}" name="moment" dataDxfId="277">
      <calculatedColumnFormula>-(Table6344[[#This Row],[time]]-2)*2</calculatedColumnFormula>
    </tableColumn>
    <tableColumn id="3" xr3:uid="{C77B1919-E9D5-4346-BF72-FD577E0B2861}" name="CAREA"/>
    <tableColumn id="4" xr3:uid="{03CB60A1-9821-4BC7-A507-528612AE47EC}" name="CFNM"/>
    <tableColumn id="5" xr3:uid="{DEF7A6F9-8509-4CBF-A505-00F696DBF4DC}" name="CFNM/Total area contact" dataDxfId="276">
      <calculatedColumnFormula>Table6344[[#This Row],[CFNM]]/Table6344[[#This Row],[CAREA]]</calculatedColumnFormula>
    </tableColumn>
  </tableColumns>
  <tableStyleInfo name="TableStyleLight6" showFirstColumn="0" showLastColumn="0" showRowStripes="1" showColumnStripes="0"/>
</table>
</file>

<file path=xl/tables/table10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3" xr:uid="{667724DF-91E0-4B1A-BB1A-169B8A35F4A9}" name="Table7345" displayName="Table7345" ref="AE349:AI370" totalsRowShown="0">
  <autoFilter ref="AE349:AI370" xr:uid="{667724DF-91E0-4B1A-BB1A-169B8A35F4A9}"/>
  <tableColumns count="5">
    <tableColumn id="1" xr3:uid="{1A1D3844-F2D4-49E0-80F4-00DCD76C076F}" name="time"/>
    <tableColumn id="2" xr3:uid="{ECCC6B88-A7FB-4F07-9BA2-ADCB1B264F8D}" name="moment" dataDxfId="275">
      <calculatedColumnFormula>-(Table7345[[#This Row],[time]]-2)*2</calculatedColumnFormula>
    </tableColumn>
    <tableColumn id="3" xr3:uid="{603E6285-8D65-4658-AFA0-C28FCBBE502C}" name="CAREA"/>
    <tableColumn id="4" xr3:uid="{1E570BB0-001E-4716-8CC9-789ABF208B59}" name="CFNM"/>
    <tableColumn id="5" xr3:uid="{2D7F8F49-C3D9-4941-B1FE-AC97CB77A9E8}" name="CFNM/Total area contact" dataDxfId="274">
      <calculatedColumnFormula>Table7345[[#This Row],[CFNM]]/Table7345[[#This Row],[CAREA]]</calculatedColumnFormula>
    </tableColumn>
  </tableColumns>
  <tableStyleInfo name="TableStyleLight7" showFirstColumn="0" showLastColumn="0" showRowStripes="1" showColumnStripes="0"/>
</table>
</file>

<file path=xl/tables/table10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4" xr:uid="{B4CC1ECE-1664-48E4-B1BC-2E8DA0AC93A7}" name="Table8346" displayName="Table8346" ref="AJ349:AN370" totalsRowShown="0">
  <autoFilter ref="AJ349:AN370" xr:uid="{B4CC1ECE-1664-48E4-B1BC-2E8DA0AC93A7}"/>
  <tableColumns count="5">
    <tableColumn id="1" xr3:uid="{DE2D3087-FD0F-4735-B34B-4F340AC697E7}" name="time"/>
    <tableColumn id="2" xr3:uid="{E9C38E86-79C7-4031-BD5E-6E4768FB2FDE}" name="moment" dataDxfId="273">
      <calculatedColumnFormula>-(Table8346[[#This Row],[time]]-2)*2</calculatedColumnFormula>
    </tableColumn>
    <tableColumn id="3" xr3:uid="{7DC6FDAE-41F6-48B9-ABBC-065EBD4D7B0F}" name="CAREA"/>
    <tableColumn id="4" xr3:uid="{4E0E24E0-0BA6-448D-A7AF-CE27A20BDD21}" name="CFNM"/>
    <tableColumn id="5" xr3:uid="{5601841A-AA5B-4345-9303-77C4E8548AEB}" name="CFNM/Total area contact" dataDxfId="272">
      <calculatedColumnFormula>Table8346[[#This Row],[CFNM]]/Table8346[[#This Row],[CAREA]]</calculatedColumnFormula>
    </tableColumn>
  </tableColumns>
  <tableStyleInfo name="TableStyleLight15" showFirstColumn="0" showLastColumn="0" showRowStripes="1" showColumnStripes="0"/>
</table>
</file>

<file path=xl/tables/table10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5" xr:uid="{9A7B9165-1795-4B6F-8935-BCCD66ADD68A}" name="Table110347" displayName="Table110347" ref="A376:E397" totalsRowShown="0">
  <autoFilter ref="A376:E397" xr:uid="{9A7B9165-1795-4B6F-8935-BCCD66ADD68A}"/>
  <tableColumns count="5">
    <tableColumn id="1" xr3:uid="{34F7FD08-A349-43A8-ABA7-7272711AB547}" name="time"/>
    <tableColumn id="2" xr3:uid="{B619CCDA-DAE0-4DDD-AABD-619A013C4F54}" name="moment" dataDxfId="271">
      <calculatedColumnFormula>(Table110347[[#This Row],[time]]-2)*2</calculatedColumnFormula>
    </tableColumn>
    <tableColumn id="3" xr3:uid="{A5562F5A-2F77-45C2-9D1E-2645E17F336B}" name="CAREA"/>
    <tableColumn id="4" xr3:uid="{952B39DC-A6D3-4889-A3C3-811D069FBE54}" name="CFNM"/>
    <tableColumn id="5" xr3:uid="{0F9783E4-BD6C-4576-B7E1-A146CD903FC9}" name="CFNM/Total area contact" dataDxfId="270">
      <calculatedColumnFormula>Table110347[[#This Row],[CFNM]]/Table110347[[#This Row],[CAREA]]</calculatedColumnFormula>
    </tableColumn>
  </tableColumns>
  <tableStyleInfo name="TableStyleLight1" showFirstColumn="0" showLastColumn="0" showRowStripes="1" showColumnStripes="0"/>
</table>
</file>

<file path=xl/tables/table10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6" xr:uid="{B2F734A9-CF8D-4AF3-9CF9-AC5D22CBC298}" name="Table211348" displayName="Table211348" ref="F376:J397" totalsRowShown="0">
  <autoFilter ref="F376:J397" xr:uid="{B2F734A9-CF8D-4AF3-9CF9-AC5D22CBC298}"/>
  <tableColumns count="5">
    <tableColumn id="1" xr3:uid="{E7B56AC9-0DD9-4640-9A2E-A1D25EF4172E}" name="time"/>
    <tableColumn id="2" xr3:uid="{69BBBFCE-94CB-4EFA-8914-39352F9E3DEB}" name="moment" dataDxfId="269">
      <calculatedColumnFormula>(Table211348[[#This Row],[time]]-2)*2</calculatedColumnFormula>
    </tableColumn>
    <tableColumn id="3" xr3:uid="{82A38220-630E-472C-8CB4-700863EF6AAE}" name="CAREA"/>
    <tableColumn id="4" xr3:uid="{23A7C257-61B3-4B0F-9234-EB9E18057750}" name="CFNM"/>
    <tableColumn id="5" xr3:uid="{6F1DCA8E-EEA3-4B31-91FC-754428A93F6D}" name="CFNM/Total area contact" dataDxfId="268">
      <calculatedColumnFormula>Table211348[[#This Row],[CFNM]]/Table211348[[#This Row],[CAREA]]</calculatedColumnFormula>
    </tableColumn>
  </tableColumns>
  <tableStyleInfo name="TableStyleLight2" showFirstColumn="0" showLastColumn="0" showRowStripes="1" showColumnStripes="0"/>
</table>
</file>

<file path=xl/tables/table10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7" xr:uid="{EB9F6BE1-1CA1-4AD6-ABB1-8EA9AC4078BE}" name="Table312349" displayName="Table312349" ref="K376:O397" totalsRowShown="0">
  <autoFilter ref="K376:O397" xr:uid="{EB9F6BE1-1CA1-4AD6-ABB1-8EA9AC4078BE}"/>
  <tableColumns count="5">
    <tableColumn id="1" xr3:uid="{1FA9CC22-6FE6-46EA-9C34-EF716986D256}" name="time"/>
    <tableColumn id="2" xr3:uid="{71E6D702-329C-43E3-B583-A432CAA53253}" name="moment" dataDxfId="267">
      <calculatedColumnFormula>(Table312349[[#This Row],[time]]-2)*2</calculatedColumnFormula>
    </tableColumn>
    <tableColumn id="3" xr3:uid="{A447B636-EBC3-4647-B5D0-54CC2EABD09B}" name="CAREA"/>
    <tableColumn id="4" xr3:uid="{FD113BB9-A82D-4AF8-A91F-FD853168CE2C}" name="CFNM"/>
    <tableColumn id="5" xr3:uid="{051EE8B8-FAF3-429B-93CA-9F045893D364}" name="CFNM/Total area contact" dataDxfId="266">
      <calculatedColumnFormula>Table312349[[#This Row],[CFNM]]/Table312349[[#This Row],[CAREA]]</calculatedColumnFormula>
    </tableColumn>
  </tableColumns>
  <tableStyleInfo name="TableStyleLight3" showFirstColumn="0" showLastColumn="0" showRowStripes="1" showColumnStripes="0"/>
</table>
</file>

<file path=xl/tables/table10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8" xr:uid="{A0DFFF13-01DD-4DB4-9A8F-90E10A8A6DC1}" name="Table413350" displayName="Table413350" ref="P376:T397" totalsRowShown="0">
  <autoFilter ref="P376:T397" xr:uid="{A0DFFF13-01DD-4DB4-9A8F-90E10A8A6DC1}"/>
  <tableColumns count="5">
    <tableColumn id="1" xr3:uid="{FAADE1AA-3F43-44C9-B93C-8AFD1CC8AC07}" name="time"/>
    <tableColumn id="2" xr3:uid="{5607F748-49ED-41DC-8007-0E107980ECC5}" name="moment" dataDxfId="265">
      <calculatedColumnFormula>(Table413350[[#This Row],[time]]-2)*2</calculatedColumnFormula>
    </tableColumn>
    <tableColumn id="3" xr3:uid="{17501A07-AD66-4403-8980-BE528D6C2472}" name="CAREA"/>
    <tableColumn id="4" xr3:uid="{F14363B5-4343-478F-800F-DDC821079BF4}" name="CFNM"/>
    <tableColumn id="5" xr3:uid="{C367FFAE-BB05-44B2-9161-114125D9C59E}" name="CFNM/Total area contact" dataDxfId="264">
      <calculatedColumnFormula>Table413350[[#This Row],[CFNM]]/Table413350[[#This Row],[CAREA]]</calculatedColumnFormula>
    </tableColumn>
  </tableColumns>
  <tableStyleInfo name="TableStyleLight4" showFirstColumn="0" showLastColumn="0" showRowStripes="1" showColumnStripes="0"/>
</table>
</file>

<file path=xl/tables/table10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9" xr:uid="{A598FCCC-A790-4958-B3C5-558298C8F582}" name="Table514351" displayName="Table514351" ref="U376:Y397" totalsRowShown="0">
  <autoFilter ref="U376:Y397" xr:uid="{A598FCCC-A790-4958-B3C5-558298C8F582}"/>
  <tableColumns count="5">
    <tableColumn id="1" xr3:uid="{0A6B6019-84F6-4793-982C-F2AE7CD60EBB}" name="time"/>
    <tableColumn id="2" xr3:uid="{1F99551B-88AA-4A5D-A436-A50CEA54DA89}" name="moment" dataDxfId="263">
      <calculatedColumnFormula>(Table514351[[#This Row],[time]]-2)*2</calculatedColumnFormula>
    </tableColumn>
    <tableColumn id="3" xr3:uid="{197843FE-CC59-455E-AF99-7DA5E09FD8F7}" name="CAREA"/>
    <tableColumn id="4" xr3:uid="{9B5D9625-A148-425C-BB37-DC1427723785}" name="CFNM"/>
    <tableColumn id="5" xr3:uid="{425E6053-4C9F-4A6A-BEF3-708DB27CA3AC}" name="CFNM/Total area contact" dataDxfId="262">
      <calculatedColumnFormula>Table514351[[#This Row],[CFNM]]/Table514351[[#This Row],[CAREA]]</calculatedColumnFormula>
    </tableColumn>
  </tableColumns>
  <tableStyleInfo name="TableStyleLight5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1" xr:uid="{25A8175E-98BA-4C08-8EEC-48DD959B5894}" name="Table312253" displayName="Table312253" ref="K34:O55" totalsRowShown="0">
  <autoFilter ref="K34:O55" xr:uid="{25A8175E-98BA-4C08-8EEC-48DD959B5894}"/>
  <tableColumns count="5">
    <tableColumn id="1" xr3:uid="{32F518B1-6F3F-4BE3-A35E-8D990EDFD7BA}" name="time"/>
    <tableColumn id="2" xr3:uid="{F0451AF9-29CB-4C90-A3D5-96FD4C45EE2A}" name="moment" dataDxfId="459">
      <calculatedColumnFormula>(Table312253[[#This Row],[time]]-2)*2</calculatedColumnFormula>
    </tableColumn>
    <tableColumn id="3" xr3:uid="{F35AC160-A5EE-4D4F-8941-DCEF4AFF1A68}" name="CAREA"/>
    <tableColumn id="4" xr3:uid="{2872D6CB-40FB-4337-91AF-269A70D7AFDD}" name="CFNM"/>
    <tableColumn id="5" xr3:uid="{19368363-AA52-4E0F-A114-AFBC2FC12EFA}" name="CFNM/Total area contact" dataDxfId="458">
      <calculatedColumnFormula>Table312253[[#This Row],[CFNM]]/Table312253[[#This Row],[CAREA]]</calculatedColumnFormula>
    </tableColumn>
  </tableColumns>
  <tableStyleInfo name="TableStyleLight3" showFirstColumn="0" showLastColumn="0" showRowStripes="1" showColumnStripes="0"/>
</table>
</file>

<file path=xl/tables/table1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0" xr:uid="{B2DD1A16-0471-446D-91E4-EA3692C3FACC}" name="Table615352" displayName="Table615352" ref="Z376:AD397" totalsRowShown="0">
  <autoFilter ref="Z376:AD397" xr:uid="{B2DD1A16-0471-446D-91E4-EA3692C3FACC}"/>
  <tableColumns count="5">
    <tableColumn id="1" xr3:uid="{398960D4-A5BF-4BD0-9888-5A2AE6CF6CE8}" name="time"/>
    <tableColumn id="2" xr3:uid="{42A547D5-7196-4AE6-8D09-B5536BFE15AD}" name="moment" dataDxfId="261">
      <calculatedColumnFormula>(Table615352[[#This Row],[time]]-2)*2</calculatedColumnFormula>
    </tableColumn>
    <tableColumn id="3" xr3:uid="{EB8EF3F9-D46B-41B9-833C-B0AEC1D4F988}" name="CAREA"/>
    <tableColumn id="4" xr3:uid="{3B3BF656-0173-4211-8FAC-91F2C66F7021}" name="CFNM"/>
    <tableColumn id="5" xr3:uid="{D1E5A8C4-4B0D-4A62-BBCE-DD2721001D33}" name="CFNM/Total area contact" dataDxfId="260">
      <calculatedColumnFormula>Table615352[[#This Row],[CFNM]]/Table615352[[#This Row],[CAREA]]</calculatedColumnFormula>
    </tableColumn>
  </tableColumns>
  <tableStyleInfo name="TableStyleLight6" showFirstColumn="0" showLastColumn="0" showRowStripes="1" showColumnStripes="0"/>
</table>
</file>

<file path=xl/tables/table1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1" xr:uid="{2CC34677-C7B7-443B-81F5-FE9D1A1EAA8B}" name="Table716353" displayName="Table716353" ref="AE376:AI397" totalsRowShown="0">
  <autoFilter ref="AE376:AI397" xr:uid="{2CC34677-C7B7-443B-81F5-FE9D1A1EAA8B}"/>
  <tableColumns count="5">
    <tableColumn id="1" xr3:uid="{1F60CA5A-4CB9-4529-85E1-9C237D0D8922}" name="time"/>
    <tableColumn id="2" xr3:uid="{38298002-223C-4D3D-BD6C-BB3846B7BB88}" name="moment" dataDxfId="259">
      <calculatedColumnFormula>(Table716353[[#This Row],[time]]-2)*2</calculatedColumnFormula>
    </tableColumn>
    <tableColumn id="3" xr3:uid="{32A39073-5C64-41F3-8E95-8968964B7D77}" name="CAREA"/>
    <tableColumn id="4" xr3:uid="{B2610CA1-9232-4D1B-A862-C067F8BB4DD4}" name="CFNM"/>
    <tableColumn id="5" xr3:uid="{756C29D1-0EA5-47A9-9918-F55170B7D3E9}" name="CFNM/Total area contact" dataDxfId="258">
      <calculatedColumnFormula>Table716353[[#This Row],[CFNM]]/Table716353[[#This Row],[CAREA]]</calculatedColumnFormula>
    </tableColumn>
  </tableColumns>
  <tableStyleInfo name="TableStyleLight7" showFirstColumn="0" showLastColumn="0" showRowStripes="1" showColumnStripes="0"/>
</table>
</file>

<file path=xl/tables/table1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2" xr:uid="{561C45E8-5FCE-4472-9F41-CB903064B397}" name="Table817354" displayName="Table817354" ref="AJ376:AN397" totalsRowShown="0">
  <autoFilter ref="AJ376:AN397" xr:uid="{561C45E8-5FCE-4472-9F41-CB903064B397}"/>
  <tableColumns count="5">
    <tableColumn id="1" xr3:uid="{80B07EE7-FE16-4E16-A426-AE8DF9F99714}" name="time"/>
    <tableColumn id="2" xr3:uid="{8E15E8D2-2767-4075-8A2A-A33216386905}" name="moment" dataDxfId="257">
      <calculatedColumnFormula>(Table817354[[#This Row],[time]]-2)*2</calculatedColumnFormula>
    </tableColumn>
    <tableColumn id="3" xr3:uid="{C0442C35-BD26-442E-9FB6-C5A38F795B8B}" name="CAREA"/>
    <tableColumn id="4" xr3:uid="{589A63EF-5176-495E-84F9-93B589DCA63F}" name="CFNM"/>
    <tableColumn id="5" xr3:uid="{9FCFDEF1-E396-4231-9FCF-887B77E2BC03}" name="CFNM/Total area contact" dataDxfId="256">
      <calculatedColumnFormula>Table817354[[#This Row],[CFNM]]/Table817354[[#This Row],[CAREA]]</calculatedColumnFormula>
    </tableColumn>
  </tableColumns>
  <tableStyleInfo name="TableStyleLight15" showFirstColumn="0" showLastColumn="0" showRowStripes="1" showColumnStripes="0"/>
</table>
</file>

<file path=xl/tables/table1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3" xr:uid="{8615B8C2-AEF3-41E3-BE9D-AF7F667E41FE}" name="Table1355" displayName="Table1355" ref="A406:E427" totalsRowShown="0">
  <autoFilter ref="A406:E427" xr:uid="{8615B8C2-AEF3-41E3-BE9D-AF7F667E41FE}"/>
  <tableColumns count="5">
    <tableColumn id="1" xr3:uid="{AEF1272C-3387-41FD-AB70-1B08A245E871}" name="time"/>
    <tableColumn id="2" xr3:uid="{2D41CDFA-2045-4EC3-ACD5-E9937A0CB5E4}" name="moment" dataDxfId="255">
      <calculatedColumnFormula>-(Table1355[[#This Row],[time]]-2)*2</calculatedColumnFormula>
    </tableColumn>
    <tableColumn id="3" xr3:uid="{E5D8A4DF-F5EB-4942-BDF9-69417B5110E8}" name="CAREA"/>
    <tableColumn id="4" xr3:uid="{0BC29CDF-E721-4EF2-A645-41DB5F6A0927}" name="CFNM"/>
    <tableColumn id="5" xr3:uid="{0DF780C6-BA7A-4F0C-BB69-DD3760DD6B9B}" name="CFNM/Total area contact" dataDxfId="254">
      <calculatedColumnFormula>Table1355[[#This Row],[CFNM]]/Table1355[[#This Row],[CAREA]]</calculatedColumnFormula>
    </tableColumn>
  </tableColumns>
  <tableStyleInfo name="TableStyleLight1" showFirstColumn="0" showLastColumn="0" showRowStripes="1" showColumnStripes="0"/>
</table>
</file>

<file path=xl/tables/table1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4" xr:uid="{A5B30E9E-3B67-478D-97EC-A1EE3F7EB07B}" name="Table2356" displayName="Table2356" ref="F406:J427" totalsRowShown="0">
  <autoFilter ref="F406:J427" xr:uid="{A5B30E9E-3B67-478D-97EC-A1EE3F7EB07B}"/>
  <tableColumns count="5">
    <tableColumn id="1" xr3:uid="{A0739C6C-FDF2-41C7-960D-F43BB9E608E7}" name="time"/>
    <tableColumn id="2" xr3:uid="{0AAAFA47-DD98-486A-A351-DD9D764FDEDA}" name="moment" dataDxfId="253">
      <calculatedColumnFormula>-(Table2356[[#This Row],[time]]-2)*2</calculatedColumnFormula>
    </tableColumn>
    <tableColumn id="3" xr3:uid="{7434E974-4E7D-4EDB-AF6A-E32B05948C96}" name="CAREA"/>
    <tableColumn id="4" xr3:uid="{9423FF73-9FC1-4781-A987-F1BFF264D028}" name="CFNM"/>
    <tableColumn id="5" xr3:uid="{9D712CA5-3B39-4422-92D3-18FD8E801899}" name="CFNM/Total area contact" dataDxfId="252">
      <calculatedColumnFormula>Table2356[[#This Row],[CFNM]]/Table2356[[#This Row],[CAREA]]</calculatedColumnFormula>
    </tableColumn>
  </tableColumns>
  <tableStyleInfo name="TableStyleLight2" showFirstColumn="0" showLastColumn="0" showRowStripes="1" showColumnStripes="0"/>
</table>
</file>

<file path=xl/tables/table1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5" xr:uid="{A05C437D-D9A2-4B0A-8931-EF762C8DAAD6}" name="Table3357" displayName="Table3357" ref="K406:O427" totalsRowShown="0">
  <autoFilter ref="K406:O427" xr:uid="{A05C437D-D9A2-4B0A-8931-EF762C8DAAD6}"/>
  <tableColumns count="5">
    <tableColumn id="1" xr3:uid="{E126719C-1643-4F01-9748-30D05CA05A66}" name="time"/>
    <tableColumn id="2" xr3:uid="{F16DEEAC-4185-47E5-9A2D-C0515C00EF00}" name="moment" dataDxfId="251">
      <calculatedColumnFormula>-(Table3357[[#This Row],[time]]-2)*2</calculatedColumnFormula>
    </tableColumn>
    <tableColumn id="3" xr3:uid="{15FA1788-23DA-474C-A092-3C3820700FED}" name="CAREA"/>
    <tableColumn id="4" xr3:uid="{31E4D39C-2357-4E5B-AC0B-1D0867E8D3A5}" name="CFNM"/>
    <tableColumn id="5" xr3:uid="{17B5D878-2DAF-4251-8C7E-BA7CEABD58EE}" name="CFNM/Total area contact" dataDxfId="250">
      <calculatedColumnFormula>Table3357[[#This Row],[CFNM]]/Table3357[[#This Row],[CAREA]]</calculatedColumnFormula>
    </tableColumn>
  </tableColumns>
  <tableStyleInfo name="TableStyleLight3" showFirstColumn="0" showLastColumn="0" showRowStripes="1" showColumnStripes="0"/>
</table>
</file>

<file path=xl/tables/table1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6" xr:uid="{AC182192-165D-400D-AF89-9CD77F71F49D}" name="Table4358" displayName="Table4358" ref="P406:T427" totalsRowShown="0">
  <autoFilter ref="P406:T427" xr:uid="{AC182192-165D-400D-AF89-9CD77F71F49D}"/>
  <tableColumns count="5">
    <tableColumn id="1" xr3:uid="{40E69075-04C5-47DD-9907-DCB7888F4FFB}" name="time"/>
    <tableColumn id="2" xr3:uid="{1385F7D5-678D-4BB1-B556-1E632C4859B9}" name="moment" dataDxfId="249">
      <calculatedColumnFormula>-(Table4358[[#This Row],[time]]-2)*2</calculatedColumnFormula>
    </tableColumn>
    <tableColumn id="3" xr3:uid="{84DA23B5-C3D8-4D81-BF58-0D1D142FCD70}" name="CAREA"/>
    <tableColumn id="4" xr3:uid="{E0C74233-0F6D-4845-8439-8E97B10FCFF5}" name="CFNM"/>
    <tableColumn id="5" xr3:uid="{C2658C65-6317-4FB9-964D-A4C61F3A9ED5}" name="CFNM/Total area contact" dataDxfId="248">
      <calculatedColumnFormula>Table4358[[#This Row],[CFNM]]/Table4358[[#This Row],[CAREA]]</calculatedColumnFormula>
    </tableColumn>
  </tableColumns>
  <tableStyleInfo name="TableStyleLight4" showFirstColumn="0" showLastColumn="0" showRowStripes="1" showColumnStripes="0"/>
</table>
</file>

<file path=xl/tables/table1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7" xr:uid="{3444C438-7AA3-47F2-84F2-87BB18FA598E}" name="Table5359" displayName="Table5359" ref="U406:Y427" totalsRowShown="0">
  <autoFilter ref="U406:Y427" xr:uid="{3444C438-7AA3-47F2-84F2-87BB18FA598E}"/>
  <tableColumns count="5">
    <tableColumn id="1" xr3:uid="{1F880A12-1D62-4C52-8C87-36B27A622621}" name="time"/>
    <tableColumn id="2" xr3:uid="{A0167421-85AE-4895-91BD-C01E2F02CED9}" name="moment" dataDxfId="247">
      <calculatedColumnFormula>-(Table5359[[#This Row],[time]]-2)*2</calculatedColumnFormula>
    </tableColumn>
    <tableColumn id="3" xr3:uid="{0ABDA69C-C5F6-41FD-A082-4B61DE539023}" name="CAREA"/>
    <tableColumn id="4" xr3:uid="{CAC01016-318A-4E2A-82A5-D1B0BFCD462A}" name="CFNM"/>
    <tableColumn id="5" xr3:uid="{71F06255-CD0F-4B97-B401-FD2F5DABB92B}" name="CFNM/Total area contact" dataDxfId="246">
      <calculatedColumnFormula>Table5359[[#This Row],[CFNM]]/Table5359[[#This Row],[CAREA]]</calculatedColumnFormula>
    </tableColumn>
  </tableColumns>
  <tableStyleInfo name="TableStyleLight5" showFirstColumn="0" showLastColumn="0" showRowStripes="1" showColumnStripes="0"/>
</table>
</file>

<file path=xl/tables/table1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8" xr:uid="{45DC2E96-C33B-43E8-8CCD-49C4366408E6}" name="Table6360" displayName="Table6360" ref="Z406:AD427" totalsRowShown="0">
  <autoFilter ref="Z406:AD427" xr:uid="{45DC2E96-C33B-43E8-8CCD-49C4366408E6}"/>
  <tableColumns count="5">
    <tableColumn id="1" xr3:uid="{AEECF899-E56B-4ED9-903D-B3E08D113947}" name="time"/>
    <tableColumn id="2" xr3:uid="{D7537B96-4CB0-4070-8A03-FBC1F0A4AC04}" name="moment" dataDxfId="245">
      <calculatedColumnFormula>-(Table6360[[#This Row],[time]]-2)*2</calculatedColumnFormula>
    </tableColumn>
    <tableColumn id="3" xr3:uid="{D1981D41-57DE-499A-87C6-87EC84BF9B06}" name="CAREA"/>
    <tableColumn id="4" xr3:uid="{C89CD37E-6BD2-4A56-899E-22E5027E8733}" name="CFNM"/>
    <tableColumn id="5" xr3:uid="{E02C5CEA-E989-41B1-9723-BD40907E55BE}" name="CFNM/Total area contact" dataDxfId="244">
      <calculatedColumnFormula>Table6360[[#This Row],[CFNM]]/Table6360[[#This Row],[CAREA]]</calculatedColumnFormula>
    </tableColumn>
  </tableColumns>
  <tableStyleInfo name="TableStyleLight6" showFirstColumn="0" showLastColumn="0" showRowStripes="1" showColumnStripes="0"/>
</table>
</file>

<file path=xl/tables/table1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9" xr:uid="{19B0ED33-48F7-404A-8FF4-2708CA57DB31}" name="Table7361" displayName="Table7361" ref="AE406:AI427" totalsRowShown="0">
  <autoFilter ref="AE406:AI427" xr:uid="{19B0ED33-48F7-404A-8FF4-2708CA57DB31}"/>
  <tableColumns count="5">
    <tableColumn id="1" xr3:uid="{8C55DA96-F511-4E6D-84F5-96133EF5D0B0}" name="time"/>
    <tableColumn id="2" xr3:uid="{5F9BF4EB-AC05-415C-A2DB-D4D5C95A8455}" name="moment" dataDxfId="243">
      <calculatedColumnFormula>-(Table7361[[#This Row],[time]]-2)*2</calculatedColumnFormula>
    </tableColumn>
    <tableColumn id="3" xr3:uid="{D02D2911-3C74-43C3-8CC2-F2790CC12051}" name="CAREA"/>
    <tableColumn id="4" xr3:uid="{7B88CF05-61D7-4093-A2EB-C5531C215BF4}" name="CFNM"/>
    <tableColumn id="5" xr3:uid="{FB55BCEA-C97C-40F7-A05A-9AD3707F0EA2}" name="CFNM/Total area contact" dataDxfId="242">
      <calculatedColumnFormula>Table7361[[#This Row],[CFNM]]/Table7361[[#This Row],[CAREA]]</calculatedColumnFormula>
    </tableColumn>
  </tableColumns>
  <tableStyleInfo name="TableStyleLight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2" xr:uid="{C2CFA8A2-2C5D-41A9-9E6A-75CF6DC8D757}" name="Table413254" displayName="Table413254" ref="P34:T55" totalsRowShown="0">
  <autoFilter ref="P34:T55" xr:uid="{C2CFA8A2-2C5D-41A9-9E6A-75CF6DC8D757}"/>
  <tableColumns count="5">
    <tableColumn id="1" xr3:uid="{82E7E7EE-6AC0-434F-AA3F-D7A2A33C0541}" name="time"/>
    <tableColumn id="2" xr3:uid="{17EBBF56-8466-48B0-A908-7E2228AB0702}" name="moment" dataDxfId="457">
      <calculatedColumnFormula>(Table413254[[#This Row],[time]]-2)*2</calculatedColumnFormula>
    </tableColumn>
    <tableColumn id="3" xr3:uid="{5DA3D341-13BD-4FA2-BA83-49E4E8736659}" name="CAREA"/>
    <tableColumn id="4" xr3:uid="{506EB490-FBA5-495D-9F1A-14689BE91912}" name="CFNM"/>
    <tableColumn id="5" xr3:uid="{5302AB03-8771-42BB-AE1E-933A77DEED60}" name="CFNM/Total area contact" dataDxfId="456">
      <calculatedColumnFormula>Table413254[[#This Row],[CFNM]]/Table413254[[#This Row],[CAREA]]</calculatedColumnFormula>
    </tableColumn>
  </tableColumns>
  <tableStyleInfo name="TableStyleLight4" showFirstColumn="0" showLastColumn="0" showRowStripes="1" showColumnStripes="0"/>
</table>
</file>

<file path=xl/tables/table1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0" xr:uid="{C72660AB-46D2-4233-B5EA-661A492B4E8E}" name="Table8362" displayName="Table8362" ref="AJ406:AN427" totalsRowShown="0">
  <autoFilter ref="AJ406:AN427" xr:uid="{C72660AB-46D2-4233-B5EA-661A492B4E8E}"/>
  <tableColumns count="5">
    <tableColumn id="1" xr3:uid="{A15A0515-7B40-4F43-AF2E-A7C160DF9DD8}" name="time"/>
    <tableColumn id="2" xr3:uid="{E5E1DCAE-A01D-445B-BDC5-7F6B522AE571}" name="moment" dataDxfId="241">
      <calculatedColumnFormula>-(Table8362[[#This Row],[time]]-2)*2</calculatedColumnFormula>
    </tableColumn>
    <tableColumn id="3" xr3:uid="{F92055A4-F539-42B7-86F8-073CEF9FA477}" name="CAREA"/>
    <tableColumn id="4" xr3:uid="{BE53E2A5-03BE-406A-9C31-2136511BFA07}" name="CFNM"/>
    <tableColumn id="5" xr3:uid="{4DF2F5E4-F5FB-4CF8-9685-6FFE7B5B83E3}" name="CFNM/Total area contact" dataDxfId="240">
      <calculatedColumnFormula>Table8362[[#This Row],[CFNM]]/Table8362[[#This Row],[CAREA]]</calculatedColumnFormula>
    </tableColumn>
  </tableColumns>
  <tableStyleInfo name="TableStyleLight15" showFirstColumn="0" showLastColumn="0" showRowStripes="1" showColumnStripes="0"/>
</table>
</file>

<file path=xl/tables/table1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1" xr:uid="{D232B8E7-18B9-4CA6-9402-C380A99CB30D}" name="Table110363" displayName="Table110363" ref="A433:E454" totalsRowShown="0">
  <autoFilter ref="A433:E454" xr:uid="{D232B8E7-18B9-4CA6-9402-C380A99CB30D}"/>
  <tableColumns count="5">
    <tableColumn id="1" xr3:uid="{C423AA46-5CAB-47D3-A988-3220F601EEEB}" name="time"/>
    <tableColumn id="2" xr3:uid="{784928FF-D5F7-458E-BD47-0C213A4206A9}" name="moment" dataDxfId="239">
      <calculatedColumnFormula>(Table110363[[#This Row],[time]]-2)*2</calculatedColumnFormula>
    </tableColumn>
    <tableColumn id="3" xr3:uid="{20D05DE7-433C-4BB4-B321-C43F36C7EE2F}" name="CAREA"/>
    <tableColumn id="4" xr3:uid="{825BB045-87D0-46DB-B633-C1080581DEBC}" name="CFNM"/>
    <tableColumn id="5" xr3:uid="{98918A04-8FC1-481F-93CE-694A1ECCAF9B}" name="CFNM/Total area contact" dataDxfId="238">
      <calculatedColumnFormula>Table110363[[#This Row],[CFNM]]/Table110363[[#This Row],[CAREA]]</calculatedColumnFormula>
    </tableColumn>
  </tableColumns>
  <tableStyleInfo name="TableStyleLight1" showFirstColumn="0" showLastColumn="0" showRowStripes="1" showColumnStripes="0"/>
</table>
</file>

<file path=xl/tables/table1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2" xr:uid="{A20130D6-C179-4545-9E32-0213A10214F0}" name="Table211364" displayName="Table211364" ref="F433:J454" totalsRowShown="0">
  <autoFilter ref="F433:J454" xr:uid="{A20130D6-C179-4545-9E32-0213A10214F0}"/>
  <tableColumns count="5">
    <tableColumn id="1" xr3:uid="{67B15CF9-BB32-4753-9FC1-D3C3A5B69FB5}" name="time"/>
    <tableColumn id="2" xr3:uid="{D54AADAF-7A9C-4390-9CA4-B18E22D7EC76}" name="moment" dataDxfId="237">
      <calculatedColumnFormula>(Table211364[[#This Row],[time]]-2)*2</calculatedColumnFormula>
    </tableColumn>
    <tableColumn id="3" xr3:uid="{AD4D3FE1-C051-4FD0-BDFE-A395AA9C0774}" name="CAREA"/>
    <tableColumn id="4" xr3:uid="{049352BE-94B6-449F-8DF3-395C8AF0A167}" name="CFNM"/>
    <tableColumn id="5" xr3:uid="{AF0514A6-1714-48A1-8492-3A613072B1A2}" name="CFNM/Total area contact" dataDxfId="236">
      <calculatedColumnFormula>Table211364[[#This Row],[CFNM]]/Table211364[[#This Row],[CAREA]]</calculatedColumnFormula>
    </tableColumn>
  </tableColumns>
  <tableStyleInfo name="TableStyleLight2" showFirstColumn="0" showLastColumn="0" showRowStripes="1" showColumnStripes="0"/>
</table>
</file>

<file path=xl/tables/table1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3" xr:uid="{3773C988-A404-4F0F-AA3C-53DAA0719721}" name="Table312365" displayName="Table312365" ref="K433:O454" totalsRowShown="0">
  <autoFilter ref="K433:O454" xr:uid="{3773C988-A404-4F0F-AA3C-53DAA0719721}"/>
  <tableColumns count="5">
    <tableColumn id="1" xr3:uid="{8E924802-13E9-4E7D-AEFD-2ED193F02540}" name="time"/>
    <tableColumn id="2" xr3:uid="{872CBDB3-FB83-411A-8B3E-9458760D7EB2}" name="moment" dataDxfId="235">
      <calculatedColumnFormula>(Table312365[[#This Row],[time]]-2)*2</calculatedColumnFormula>
    </tableColumn>
    <tableColumn id="3" xr3:uid="{C219BDEF-606A-4E5A-826B-AD8EADCB9B55}" name="CAREA"/>
    <tableColumn id="4" xr3:uid="{F06F4A3C-458F-47BF-BD15-8A1C6848F057}" name="CFNM"/>
    <tableColumn id="5" xr3:uid="{B19732DD-7F11-4548-9288-A6FE15341CFC}" name="CFNM/Total area contact" dataDxfId="234">
      <calculatedColumnFormula>Table312365[[#This Row],[CFNM]]/Table312365[[#This Row],[CAREA]]</calculatedColumnFormula>
    </tableColumn>
  </tableColumns>
  <tableStyleInfo name="TableStyleLight3" showFirstColumn="0" showLastColumn="0" showRowStripes="1" showColumnStripes="0"/>
</table>
</file>

<file path=xl/tables/table1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4" xr:uid="{5C66CE79-0DB0-4A49-9274-8A766FBFF2E5}" name="Table413366" displayName="Table413366" ref="P433:T454" totalsRowShown="0">
  <autoFilter ref="P433:T454" xr:uid="{5C66CE79-0DB0-4A49-9274-8A766FBFF2E5}"/>
  <tableColumns count="5">
    <tableColumn id="1" xr3:uid="{736E8E4E-136F-429D-867D-2F5926E69FDC}" name="time"/>
    <tableColumn id="2" xr3:uid="{B32E4DC3-D7D8-4CA6-AE2F-A5D908EAD294}" name="moment" dataDxfId="233">
      <calculatedColumnFormula>(Table413366[[#This Row],[time]]-2)*2</calculatedColumnFormula>
    </tableColumn>
    <tableColumn id="3" xr3:uid="{7130C9D1-F064-41AA-95EF-5E078B404FE9}" name="CAREA"/>
    <tableColumn id="4" xr3:uid="{6E7C4158-F7D8-45C8-93B9-359B119216C5}" name="CFNM"/>
    <tableColumn id="5" xr3:uid="{BFD1845B-53AD-4F5B-A361-F977180DE1E1}" name="CFNM/Total area contact" dataDxfId="232">
      <calculatedColumnFormula>Table413366[[#This Row],[CFNM]]/Table413366[[#This Row],[CAREA]]</calculatedColumnFormula>
    </tableColumn>
  </tableColumns>
  <tableStyleInfo name="TableStyleLight4" showFirstColumn="0" showLastColumn="0" showRowStripes="1" showColumnStripes="0"/>
</table>
</file>

<file path=xl/tables/table1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5" xr:uid="{FD8F3941-675D-415F-B221-77A2F419D1F3}" name="Table514367" displayName="Table514367" ref="U433:Y454" totalsRowShown="0">
  <autoFilter ref="U433:Y454" xr:uid="{FD8F3941-675D-415F-B221-77A2F419D1F3}"/>
  <tableColumns count="5">
    <tableColumn id="1" xr3:uid="{B97C6D8B-A590-47FA-B13D-F5DA8B751C32}" name="time"/>
    <tableColumn id="2" xr3:uid="{5164CC20-4CC2-4749-A255-8D78A9655211}" name="moment" dataDxfId="231">
      <calculatedColumnFormula>(Table514367[[#This Row],[time]]-2)*2</calculatedColumnFormula>
    </tableColumn>
    <tableColumn id="3" xr3:uid="{D409B7FE-B134-47CD-BB3E-31FFCA277A06}" name="CAREA"/>
    <tableColumn id="4" xr3:uid="{772EBC05-57A5-4806-ABFC-A4931F4F3E90}" name="CFNM"/>
    <tableColumn id="5" xr3:uid="{8D8E03A5-C53F-4D20-B16F-5B2468AB954D}" name="CFNM/Total area contact" dataDxfId="230">
      <calculatedColumnFormula>Table514367[[#This Row],[CFNM]]/Table514367[[#This Row],[CAREA]]</calculatedColumnFormula>
    </tableColumn>
  </tableColumns>
  <tableStyleInfo name="TableStyleLight5" showFirstColumn="0" showLastColumn="0" showRowStripes="1" showColumnStripes="0"/>
</table>
</file>

<file path=xl/tables/table1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6" xr:uid="{90C5B5AF-53C6-42EA-98C6-455E4A91E606}" name="Table615368" displayName="Table615368" ref="Z433:AD454" totalsRowShown="0">
  <autoFilter ref="Z433:AD454" xr:uid="{90C5B5AF-53C6-42EA-98C6-455E4A91E606}"/>
  <tableColumns count="5">
    <tableColumn id="1" xr3:uid="{7C9064E4-0C04-4D82-87DC-4EDDAC22FA3C}" name="time"/>
    <tableColumn id="2" xr3:uid="{F4C8878C-CD6E-40B7-9E2F-F898811A92AA}" name="moment" dataDxfId="229">
      <calculatedColumnFormula>(Table615368[[#This Row],[time]]-2)*2</calculatedColumnFormula>
    </tableColumn>
    <tableColumn id="3" xr3:uid="{F6C42BBA-DB10-41ED-8F5A-0349153AC948}" name="CAREA"/>
    <tableColumn id="4" xr3:uid="{9FEE0ABF-A733-4F3E-A7D1-24F11EED14FF}" name="CFNM"/>
    <tableColumn id="5" xr3:uid="{210F1326-CCAC-4726-883F-CD61A359C6B3}" name="CFNM/Total area contact" dataDxfId="228">
      <calculatedColumnFormula>Table615368[[#This Row],[CFNM]]/Table615368[[#This Row],[CAREA]]</calculatedColumnFormula>
    </tableColumn>
  </tableColumns>
  <tableStyleInfo name="TableStyleLight6" showFirstColumn="0" showLastColumn="0" showRowStripes="1" showColumnStripes="0"/>
</table>
</file>

<file path=xl/tables/table1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7" xr:uid="{CBE42F9D-60C5-4030-A9A2-D0407E051943}" name="Table716369" displayName="Table716369" ref="AE433:AI454" totalsRowShown="0">
  <autoFilter ref="AE433:AI454" xr:uid="{CBE42F9D-60C5-4030-A9A2-D0407E051943}"/>
  <tableColumns count="5">
    <tableColumn id="1" xr3:uid="{63A04AF5-9DB3-4680-9211-B850EFC35B60}" name="time"/>
    <tableColumn id="2" xr3:uid="{A7C7BCE6-BEA8-41FE-B858-C414A77BB397}" name="moment" dataDxfId="227">
      <calculatedColumnFormula>(Table716369[[#This Row],[time]]-2)*2</calculatedColumnFormula>
    </tableColumn>
    <tableColumn id="3" xr3:uid="{B126E914-AB2A-4B13-A7B4-1E8BEC808383}" name="CAREA"/>
    <tableColumn id="4" xr3:uid="{443029D2-17A5-4F1C-96E5-CB0097E38054}" name="CFNM"/>
    <tableColumn id="5" xr3:uid="{6E0825AF-087B-4DC9-B91F-DD2A04A1F53D}" name="CFNM/Total area contact" dataDxfId="226">
      <calculatedColumnFormula>Table716369[[#This Row],[CFNM]]/Table716369[[#This Row],[CAREA]]</calculatedColumnFormula>
    </tableColumn>
  </tableColumns>
  <tableStyleInfo name="TableStyleLight7" showFirstColumn="0" showLastColumn="0" showRowStripes="1" showColumnStripes="0"/>
</table>
</file>

<file path=xl/tables/table1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8" xr:uid="{B2326666-B956-427A-ABF1-786B2BD0B048}" name="Table817370" displayName="Table817370" ref="AJ433:AN454" totalsRowShown="0">
  <autoFilter ref="AJ433:AN454" xr:uid="{B2326666-B956-427A-ABF1-786B2BD0B048}"/>
  <tableColumns count="5">
    <tableColumn id="1" xr3:uid="{DB1A65B3-8BAF-46F7-A688-ECA638A1F037}" name="time"/>
    <tableColumn id="2" xr3:uid="{76434A4B-6D31-4E35-8A4A-6FBEC63E393B}" name="moment" dataDxfId="225">
      <calculatedColumnFormula>(Table817370[[#This Row],[time]]-2)*2</calculatedColumnFormula>
    </tableColumn>
    <tableColumn id="3" xr3:uid="{6B45476C-3BE7-4616-9B86-D41C78DF1A23}" name="CAREA"/>
    <tableColumn id="4" xr3:uid="{380C6D66-E40F-4390-8B52-7065788B97D9}" name="CFNM"/>
    <tableColumn id="5" xr3:uid="{6CAE4624-6F11-47E1-90C9-D691A4DE5C01}" name="CFNM/Total area contact" dataDxfId="224">
      <calculatedColumnFormula>Table817370[[#This Row],[CFNM]]/Table817370[[#This Row],[CAREA]]</calculatedColumnFormula>
    </tableColumn>
  </tableColumns>
  <tableStyleInfo name="TableStyleLight15" showFirstColumn="0" showLastColumn="0" showRowStripes="1" showColumnStripes="0"/>
</table>
</file>

<file path=xl/tables/table1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9" xr:uid="{5D155965-9531-4DEA-ABF7-483545A0EB8E}" name="Table1371" displayName="Table1371" ref="A463:E484" totalsRowShown="0">
  <autoFilter ref="A463:E484" xr:uid="{5D155965-9531-4DEA-ABF7-483545A0EB8E}"/>
  <tableColumns count="5">
    <tableColumn id="1" xr3:uid="{D56DB339-298E-4506-A299-AB308B8D993B}" name="time"/>
    <tableColumn id="2" xr3:uid="{15D10AAE-F8CA-46B9-A991-20021CC1903B}" name="moment" dataDxfId="223">
      <calculatedColumnFormula>-(Table1371[[#This Row],[time]]-2)*2</calculatedColumnFormula>
    </tableColumn>
    <tableColumn id="3" xr3:uid="{82C57B7D-485F-441B-BEA3-E3F40143BD35}" name="CAREA"/>
    <tableColumn id="4" xr3:uid="{A000789E-C061-44F0-BC8C-C17838830D49}" name="CFNM"/>
    <tableColumn id="5" xr3:uid="{49C8B978-62DC-4818-AA6A-92DC7C42E4F2}" name="CFNM/Total area contact" dataDxfId="222">
      <calculatedColumnFormula>Table1371[[#This Row],[CFNM]]/Table1371[[#This Row],[CAREA]]</calculatedColumnFormula>
    </tableColumn>
  </tableColumns>
  <tableStyleInfo name="TableStyleLight1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3" xr:uid="{2F603F1C-F70B-48EA-AF1B-7E20A5D0D07F}" name="Table514255" displayName="Table514255" ref="U34:Y55" totalsRowShown="0">
  <autoFilter ref="U34:Y55" xr:uid="{2F603F1C-F70B-48EA-AF1B-7E20A5D0D07F}"/>
  <tableColumns count="5">
    <tableColumn id="1" xr3:uid="{0EC02AA0-16E2-4CD1-8798-13FF99E46F06}" name="time"/>
    <tableColumn id="2" xr3:uid="{27C03685-BCC1-4D33-AD8A-E9E47139087B}" name="moment" dataDxfId="455">
      <calculatedColumnFormula>(Table514255[[#This Row],[time]]-2)*2</calculatedColumnFormula>
    </tableColumn>
    <tableColumn id="3" xr3:uid="{875484FD-E716-422B-B91B-CD359B9B179B}" name="CAREA"/>
    <tableColumn id="4" xr3:uid="{0A1D1D0C-E8E2-4F36-AE6C-B39FC9AF2FC7}" name="CFNM"/>
    <tableColumn id="5" xr3:uid="{E7C71814-46AC-4F1F-9796-87E693BA7504}" name="CFNM/Total area contact" dataDxfId="454">
      <calculatedColumnFormula>Table514255[[#This Row],[CFNM]]/Table514255[[#This Row],[CAREA]]</calculatedColumnFormula>
    </tableColumn>
  </tableColumns>
  <tableStyleInfo name="TableStyleLight5" showFirstColumn="0" showLastColumn="0" showRowStripes="1" showColumnStripes="0"/>
</table>
</file>

<file path=xl/tables/table1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0" xr:uid="{42F72744-687E-450E-BAE5-A3B6F26B1C2C}" name="Table2372" displayName="Table2372" ref="F463:J484" totalsRowShown="0">
  <autoFilter ref="F463:J484" xr:uid="{42F72744-687E-450E-BAE5-A3B6F26B1C2C}"/>
  <tableColumns count="5">
    <tableColumn id="1" xr3:uid="{F1359D3D-60DE-4F8C-8806-E62D03BB91AE}" name="time"/>
    <tableColumn id="2" xr3:uid="{3220DC70-BF0C-402F-A006-0CD428FAB506}" name="moment" dataDxfId="221">
      <calculatedColumnFormula>-(Table2372[[#This Row],[time]]-2)*2</calculatedColumnFormula>
    </tableColumn>
    <tableColumn id="3" xr3:uid="{B0351207-D33E-4ADF-8CD7-44D9B5C0B8B3}" name="CAREA"/>
    <tableColumn id="4" xr3:uid="{D3055862-F7C2-4C65-8F35-F6D4867E7376}" name="CFNM"/>
    <tableColumn id="5" xr3:uid="{405D68B5-ED38-4593-94AC-8741968D3ADF}" name="CFNM/Total area contact" dataDxfId="220">
      <calculatedColumnFormula>Table2372[[#This Row],[CFNM]]/Table2372[[#This Row],[CAREA]]</calculatedColumnFormula>
    </tableColumn>
  </tableColumns>
  <tableStyleInfo name="TableStyleLight2" showFirstColumn="0" showLastColumn="0" showRowStripes="1" showColumnStripes="0"/>
</table>
</file>

<file path=xl/tables/table1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1" xr:uid="{071C668C-4FF2-41ED-A56E-9D38DB71B22F}" name="Table3373" displayName="Table3373" ref="K463:O484" totalsRowShown="0">
  <autoFilter ref="K463:O484" xr:uid="{071C668C-4FF2-41ED-A56E-9D38DB71B22F}"/>
  <tableColumns count="5">
    <tableColumn id="1" xr3:uid="{5CB06F30-6693-409B-8C97-943DEE97CDE4}" name="time"/>
    <tableColumn id="2" xr3:uid="{CB795D33-F09A-4F3E-B322-C16F69D7295F}" name="moment" dataDxfId="219">
      <calculatedColumnFormula>-(Table3373[[#This Row],[time]]-2)*2</calculatedColumnFormula>
    </tableColumn>
    <tableColumn id="3" xr3:uid="{214B90F2-203D-4228-B989-D29AAA3D2EE4}" name="CAREA"/>
    <tableColumn id="4" xr3:uid="{08FA5BFB-6AEF-4688-BC79-189E45C22239}" name="CFNM"/>
    <tableColumn id="5" xr3:uid="{6622E56A-7E9B-4641-B308-A14068E59883}" name="CFNM/Total area contact" dataDxfId="218">
      <calculatedColumnFormula>Table3373[[#This Row],[CFNM]]/Table3373[[#This Row],[CAREA]]</calculatedColumnFormula>
    </tableColumn>
  </tableColumns>
  <tableStyleInfo name="TableStyleLight3" showFirstColumn="0" showLastColumn="0" showRowStripes="1" showColumnStripes="0"/>
</table>
</file>

<file path=xl/tables/table1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2" xr:uid="{BAD7883E-FEB7-48D4-BFF9-F276C0D2E980}" name="Table4374" displayName="Table4374" ref="P463:T484" totalsRowShown="0">
  <autoFilter ref="P463:T484" xr:uid="{BAD7883E-FEB7-48D4-BFF9-F276C0D2E980}"/>
  <tableColumns count="5">
    <tableColumn id="1" xr3:uid="{3B968735-09E4-4ECF-86F2-70D9FF1C2C85}" name="time"/>
    <tableColumn id="2" xr3:uid="{94421FD8-A636-4E4F-8018-3B875430DAB2}" name="moment" dataDxfId="217">
      <calculatedColumnFormula>-(Table4374[[#This Row],[time]]-2)*2</calculatedColumnFormula>
    </tableColumn>
    <tableColumn id="3" xr3:uid="{CFC53D6F-873B-4B25-B347-52E9E46A45D8}" name="CAREA"/>
    <tableColumn id="4" xr3:uid="{32234C8F-B73A-4047-97F1-54DAE553BDDE}" name="CFNM"/>
    <tableColumn id="5" xr3:uid="{07196960-D995-4FF9-BBFC-7314178F7282}" name="CFNM/Total area contact" dataDxfId="216">
      <calculatedColumnFormula>Table4374[[#This Row],[CFNM]]/Table4374[[#This Row],[CAREA]]</calculatedColumnFormula>
    </tableColumn>
  </tableColumns>
  <tableStyleInfo name="TableStyleLight4" showFirstColumn="0" showLastColumn="0" showRowStripes="1" showColumnStripes="0"/>
</table>
</file>

<file path=xl/tables/table1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3" xr:uid="{C9410B70-056A-4D7F-9F17-9CBE19BDCE00}" name="Table5375" displayName="Table5375" ref="U463:Y484" totalsRowShown="0">
  <autoFilter ref="U463:Y484" xr:uid="{C9410B70-056A-4D7F-9F17-9CBE19BDCE00}"/>
  <tableColumns count="5">
    <tableColumn id="1" xr3:uid="{79E9562A-6250-4B5E-8116-CA31B53DA9AC}" name="time"/>
    <tableColumn id="2" xr3:uid="{38772F90-FD4C-43CC-B4E0-1DA9EFD6E46E}" name="moment" dataDxfId="215">
      <calculatedColumnFormula>-(Table5375[[#This Row],[time]]-2)*2</calculatedColumnFormula>
    </tableColumn>
    <tableColumn id="3" xr3:uid="{3B82F055-677A-47D3-AC61-C1E29211AD4E}" name="CAREA"/>
    <tableColumn id="4" xr3:uid="{5D896308-DFB1-4D76-AD5C-F92DF33CB27E}" name="CFNM"/>
    <tableColumn id="5" xr3:uid="{67888999-5016-4A6B-B69E-7BD36C7DF2FD}" name="CFNM/Total area contact" dataDxfId="214">
      <calculatedColumnFormula>Table5375[[#This Row],[CFNM]]/Table5375[[#This Row],[CAREA]]</calculatedColumnFormula>
    </tableColumn>
  </tableColumns>
  <tableStyleInfo name="TableStyleLight5" showFirstColumn="0" showLastColumn="0" showRowStripes="1" showColumnStripes="0"/>
</table>
</file>

<file path=xl/tables/table1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4" xr:uid="{4D95F0A2-2AEA-4491-BFCE-FE6E0277B1E0}" name="Table6376" displayName="Table6376" ref="Z463:AD484" totalsRowShown="0">
  <autoFilter ref="Z463:AD484" xr:uid="{4D95F0A2-2AEA-4491-BFCE-FE6E0277B1E0}"/>
  <tableColumns count="5">
    <tableColumn id="1" xr3:uid="{47921B62-E556-496B-8A79-FEF282502B5B}" name="time"/>
    <tableColumn id="2" xr3:uid="{F6C9F179-5C01-404D-8E22-B6BF201EEC2B}" name="moment" dataDxfId="213">
      <calculatedColumnFormula>-(Table6376[[#This Row],[time]]-2)*2</calculatedColumnFormula>
    </tableColumn>
    <tableColumn id="3" xr3:uid="{C97C878A-DD01-4B1F-94B3-6AB486D710E7}" name="CAREA"/>
    <tableColumn id="4" xr3:uid="{149E35E7-6252-4300-A65B-2CBEE1BEAB3D}" name="CFNM"/>
    <tableColumn id="5" xr3:uid="{82A37D40-7BAD-45E8-8045-E8D96A9DD091}" name="CFNM/Total area contact" dataDxfId="212">
      <calculatedColumnFormula>Table6376[[#This Row],[CFNM]]/Table6376[[#This Row],[CAREA]]</calculatedColumnFormula>
    </tableColumn>
  </tableColumns>
  <tableStyleInfo name="TableStyleLight6" showFirstColumn="0" showLastColumn="0" showRowStripes="1" showColumnStripes="0"/>
</table>
</file>

<file path=xl/tables/table1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5" xr:uid="{59C52520-C604-46DC-BB0C-F1506FF8CEEF}" name="Table7377" displayName="Table7377" ref="AE463:AI484" totalsRowShown="0">
  <autoFilter ref="AE463:AI484" xr:uid="{59C52520-C604-46DC-BB0C-F1506FF8CEEF}"/>
  <tableColumns count="5">
    <tableColumn id="1" xr3:uid="{71D2B454-FA9C-4680-9883-45C85C289136}" name="time"/>
    <tableColumn id="2" xr3:uid="{3170D673-124B-42E2-BBB8-BA6147314531}" name="moment" dataDxfId="211">
      <calculatedColumnFormula>-(Table7377[[#This Row],[time]]-2)*2</calculatedColumnFormula>
    </tableColumn>
    <tableColumn id="3" xr3:uid="{60541884-EEC2-468B-8C68-54ED5A60D83A}" name="CAREA"/>
    <tableColumn id="4" xr3:uid="{F9437064-57B4-4B88-A136-E731930274B9}" name="CFNM"/>
    <tableColumn id="5" xr3:uid="{31D1A70E-7B52-4F02-8D9A-D3F5A117AE91}" name="CFNM/Total area contact" dataDxfId="210">
      <calculatedColumnFormula>Table7377[[#This Row],[CFNM]]/Table7377[[#This Row],[CAREA]]</calculatedColumnFormula>
    </tableColumn>
  </tableColumns>
  <tableStyleInfo name="TableStyleLight7" showFirstColumn="0" showLastColumn="0" showRowStripes="1" showColumnStripes="0"/>
</table>
</file>

<file path=xl/tables/table1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6" xr:uid="{C2E7F3EB-1FD7-47FB-AFAE-805AFABB47E9}" name="Table8378" displayName="Table8378" ref="AJ463:AN484" totalsRowShown="0">
  <autoFilter ref="AJ463:AN484" xr:uid="{C2E7F3EB-1FD7-47FB-AFAE-805AFABB47E9}"/>
  <tableColumns count="5">
    <tableColumn id="1" xr3:uid="{CAB51A9D-EE23-49FE-BD40-6DC8EDE54BEC}" name="time"/>
    <tableColumn id="2" xr3:uid="{FB99DA38-62B8-40CD-9753-26A483BFCDDE}" name="moment" dataDxfId="209">
      <calculatedColumnFormula>-(Table8378[[#This Row],[time]]-2)*2</calculatedColumnFormula>
    </tableColumn>
    <tableColumn id="3" xr3:uid="{C3FBF036-57F5-4A8E-A167-EE973DCD33F5}" name="CAREA"/>
    <tableColumn id="4" xr3:uid="{68E7CB24-638D-4962-81F6-86366EF829F4}" name="CFNM"/>
    <tableColumn id="5" xr3:uid="{9F7A80B3-EA14-45BF-9236-8C8C047D9C97}" name="CFNM/Total area contact" dataDxfId="208">
      <calculatedColumnFormula>Table8378[[#This Row],[CFNM]]/Table8378[[#This Row],[CAREA]]</calculatedColumnFormula>
    </tableColumn>
  </tableColumns>
  <tableStyleInfo name="TableStyleLight15" showFirstColumn="0" showLastColumn="0" showRowStripes="1" showColumnStripes="0"/>
</table>
</file>

<file path=xl/tables/table1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7" xr:uid="{825FAE0C-4ECC-4F77-9B8C-6FB5AC908516}" name="Table110379" displayName="Table110379" ref="A490:E511" totalsRowShown="0">
  <autoFilter ref="A490:E511" xr:uid="{825FAE0C-4ECC-4F77-9B8C-6FB5AC908516}"/>
  <tableColumns count="5">
    <tableColumn id="1" xr3:uid="{B2BDB0B5-5347-4B1D-939D-E14711CE688A}" name="time"/>
    <tableColumn id="2" xr3:uid="{65E57D80-ADF3-4C2B-ABDC-6EC1FB877FBE}" name="moment" dataDxfId="207">
      <calculatedColumnFormula>(Table110379[[#This Row],[time]]-2)*2</calculatedColumnFormula>
    </tableColumn>
    <tableColumn id="3" xr3:uid="{4400C1F3-B998-4D93-8C10-8DD8AEABEABB}" name="CAREA"/>
    <tableColumn id="4" xr3:uid="{037D93AA-F94F-4267-979E-6C0E224F74C2}" name="CFNM"/>
    <tableColumn id="5" xr3:uid="{F2E9EA40-DC8F-4686-81F6-81EF4E9AFA34}" name="CFNM/Total area contact" dataDxfId="206">
      <calculatedColumnFormula>Table110379[[#This Row],[CFNM]]/Table110379[[#This Row],[CAREA]]</calculatedColumnFormula>
    </tableColumn>
  </tableColumns>
  <tableStyleInfo name="TableStyleLight1" showFirstColumn="0" showLastColumn="0" showRowStripes="1" showColumnStripes="0"/>
</table>
</file>

<file path=xl/tables/table1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8" xr:uid="{68DE24EF-86D9-4D5D-98AD-F0CE5C766E55}" name="Table211380" displayName="Table211380" ref="F490:J511" totalsRowShown="0">
  <autoFilter ref="F490:J511" xr:uid="{68DE24EF-86D9-4D5D-98AD-F0CE5C766E55}"/>
  <tableColumns count="5">
    <tableColumn id="1" xr3:uid="{369EAA49-D341-4134-AFFB-49552C88802F}" name="time"/>
    <tableColumn id="2" xr3:uid="{CAAB07DC-DA86-49D8-8782-633011063927}" name="moment" dataDxfId="205">
      <calculatedColumnFormula>(Table211380[[#This Row],[time]]-2)*2</calculatedColumnFormula>
    </tableColumn>
    <tableColumn id="3" xr3:uid="{AEFEA7DC-E628-4580-B6E2-0C2E77FB4A74}" name="CAREA"/>
    <tableColumn id="4" xr3:uid="{E9B6A283-F3DD-4E55-9BDE-254D2D881175}" name="CFNM"/>
    <tableColumn id="5" xr3:uid="{72FE24D0-34EF-4F4D-8570-053B51239593}" name="CFNM/Total area contact" dataDxfId="204">
      <calculatedColumnFormula>Table211380[[#This Row],[CFNM]]/Table211380[[#This Row],[CAREA]]</calculatedColumnFormula>
    </tableColumn>
  </tableColumns>
  <tableStyleInfo name="TableStyleLight2" showFirstColumn="0" showLastColumn="0" showRowStripes="1" showColumnStripes="0"/>
</table>
</file>

<file path=xl/tables/table1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9" xr:uid="{FC476192-17E1-4B35-98BB-EC78E49D72BD}" name="Table312381" displayName="Table312381" ref="K490:O511" totalsRowShown="0">
  <autoFilter ref="K490:O511" xr:uid="{FC476192-17E1-4B35-98BB-EC78E49D72BD}"/>
  <tableColumns count="5">
    <tableColumn id="1" xr3:uid="{7DFB1172-C5CE-4287-9F4E-780764D94353}" name="time"/>
    <tableColumn id="2" xr3:uid="{F491752E-4EB6-46F7-B1B3-7806C75B4AC3}" name="moment" dataDxfId="203">
      <calculatedColumnFormula>(Table312381[[#This Row],[time]]-2)*2</calculatedColumnFormula>
    </tableColumn>
    <tableColumn id="3" xr3:uid="{3FA222D0-E7E0-4FB6-96A2-87E9E626B529}" name="CAREA"/>
    <tableColumn id="4" xr3:uid="{618D6B97-76FA-45FC-9C2B-A4EA44DA199C}" name="CFNM"/>
    <tableColumn id="5" xr3:uid="{B566CBFC-0DD5-4FFE-A8C0-21FD757C0249}" name="CFNM/Total area contact" dataDxfId="202">
      <calculatedColumnFormula>Table312381[[#This Row],[CFNM]]/Table312381[[#This Row],[CAREA]]</calculatedColumnFormula>
    </tableColumn>
  </tableColumns>
  <tableStyleInfo name="TableStyleLight3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4" xr:uid="{1BC60FE5-524B-4CA7-A906-30A5E4115AED}" name="Table615256" displayName="Table615256" ref="Z34:AD55" totalsRowShown="0">
  <autoFilter ref="Z34:AD55" xr:uid="{1BC60FE5-524B-4CA7-A906-30A5E4115AED}"/>
  <tableColumns count="5">
    <tableColumn id="1" xr3:uid="{C6870584-F784-44C9-8FF2-ED2C8411DA07}" name="time"/>
    <tableColumn id="2" xr3:uid="{6BB695A8-8ACA-4973-AFE0-0812149AED98}" name="moment" dataDxfId="453">
      <calculatedColumnFormula>(Table615256[[#This Row],[time]]-2)*2</calculatedColumnFormula>
    </tableColumn>
    <tableColumn id="3" xr3:uid="{D2B694F1-08B9-4416-B13B-2BC2745262E6}" name="CAREA"/>
    <tableColumn id="4" xr3:uid="{7130B9A0-B31A-4107-93B6-2896EBF5175F}" name="CFNM"/>
    <tableColumn id="5" xr3:uid="{A4DC9B89-E1D8-4A07-B321-9ADFFA3EA0F1}" name="CFNM/Total area contact" dataDxfId="452">
      <calculatedColumnFormula>Table615256[[#This Row],[CFNM]]/Table615256[[#This Row],[CAREA]]</calculatedColumnFormula>
    </tableColumn>
  </tableColumns>
  <tableStyleInfo name="TableStyleLight6" showFirstColumn="0" showLastColumn="0" showRowStripes="1" showColumnStripes="0"/>
</table>
</file>

<file path=xl/tables/table1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0" xr:uid="{5F12DC64-7B98-4CBD-9135-1C4885D62D67}" name="Table413382" displayName="Table413382" ref="P490:T511" totalsRowShown="0">
  <autoFilter ref="P490:T511" xr:uid="{5F12DC64-7B98-4CBD-9135-1C4885D62D67}"/>
  <tableColumns count="5">
    <tableColumn id="1" xr3:uid="{838F844A-3231-40AB-83CD-B4045754701C}" name="time"/>
    <tableColumn id="2" xr3:uid="{08EDE54C-D9D7-4A39-9E51-0A84470F1956}" name="moment" dataDxfId="201">
      <calculatedColumnFormula>(Table413382[[#This Row],[time]]-2)*2</calculatedColumnFormula>
    </tableColumn>
    <tableColumn id="3" xr3:uid="{3D675B48-98D0-4204-9A55-21662653B147}" name="CAREA"/>
    <tableColumn id="4" xr3:uid="{7FB9D593-1C9E-4E45-94F4-3C1DFD6BF4DC}" name="CFNM"/>
    <tableColumn id="5" xr3:uid="{026A0E02-E60B-4EFF-ADB2-0C59855D5FF2}" name="CFNM/Total area contact" dataDxfId="200">
      <calculatedColumnFormula>Table413382[[#This Row],[CFNM]]/Table413382[[#This Row],[CAREA]]</calculatedColumnFormula>
    </tableColumn>
  </tableColumns>
  <tableStyleInfo name="TableStyleLight4" showFirstColumn="0" showLastColumn="0" showRowStripes="1" showColumnStripes="0"/>
</table>
</file>

<file path=xl/tables/table1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1" xr:uid="{ECBF6BD2-B0D3-4292-B946-BF3829536D3D}" name="Table514383" displayName="Table514383" ref="U490:Y511" totalsRowShown="0">
  <autoFilter ref="U490:Y511" xr:uid="{ECBF6BD2-B0D3-4292-B946-BF3829536D3D}"/>
  <tableColumns count="5">
    <tableColumn id="1" xr3:uid="{2C6746E6-9279-48CD-B906-C8B2699DF5E7}" name="time"/>
    <tableColumn id="2" xr3:uid="{34121DC2-FBC9-4D3C-B51F-1508F1F3585F}" name="moment" dataDxfId="199">
      <calculatedColumnFormula>(Table514383[[#This Row],[time]]-2)*2</calculatedColumnFormula>
    </tableColumn>
    <tableColumn id="3" xr3:uid="{41CBB029-D29D-4B1A-9419-913F0AC48017}" name="CAREA"/>
    <tableColumn id="4" xr3:uid="{9C280733-687D-45F1-B8C4-3CD9E74D27C2}" name="CFNM"/>
    <tableColumn id="5" xr3:uid="{8078761A-7096-4C9D-9B43-D249AE53B192}" name="CFNM/Total area contact" dataDxfId="198">
      <calculatedColumnFormula>Table514383[[#This Row],[CFNM]]/Table514383[[#This Row],[CAREA]]</calculatedColumnFormula>
    </tableColumn>
  </tableColumns>
  <tableStyleInfo name="TableStyleLight5" showFirstColumn="0" showLastColumn="0" showRowStripes="1" showColumnStripes="0"/>
</table>
</file>

<file path=xl/tables/table1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2" xr:uid="{433CC9EF-6501-45DF-B214-07A42C5E398B}" name="Table615384" displayName="Table615384" ref="Z490:AD511" totalsRowShown="0">
  <autoFilter ref="Z490:AD511" xr:uid="{433CC9EF-6501-45DF-B214-07A42C5E398B}"/>
  <tableColumns count="5">
    <tableColumn id="1" xr3:uid="{147C23C1-C190-4844-BAC4-475CE20DD5E4}" name="time"/>
    <tableColumn id="2" xr3:uid="{643BCF0E-EE86-49DB-B858-3222C95930C3}" name="moment" dataDxfId="197">
      <calculatedColumnFormula>(Table615384[[#This Row],[time]]-2)*2</calculatedColumnFormula>
    </tableColumn>
    <tableColumn id="3" xr3:uid="{A795A5CE-A258-4F30-8728-D7866C972286}" name="CAREA"/>
    <tableColumn id="4" xr3:uid="{4EF5CB86-4142-4488-8453-5C6CA686A586}" name="CFNM"/>
    <tableColumn id="5" xr3:uid="{DA5DB747-DBE4-4249-8EEB-F7FBDC4DA7D8}" name="CFNM/Total area contact" dataDxfId="196">
      <calculatedColumnFormula>Table615384[[#This Row],[CFNM]]/Table615384[[#This Row],[CAREA]]</calculatedColumnFormula>
    </tableColumn>
  </tableColumns>
  <tableStyleInfo name="TableStyleLight6" showFirstColumn="0" showLastColumn="0" showRowStripes="1" showColumnStripes="0"/>
</table>
</file>

<file path=xl/tables/table1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3" xr:uid="{3A88C4EB-79DB-471D-9CBF-5199A63D6720}" name="Table716385" displayName="Table716385" ref="AE490:AI511" totalsRowShown="0">
  <autoFilter ref="AE490:AI511" xr:uid="{3A88C4EB-79DB-471D-9CBF-5199A63D6720}"/>
  <tableColumns count="5">
    <tableColumn id="1" xr3:uid="{5973F743-1047-4C42-9B17-E8E704584ED5}" name="time"/>
    <tableColumn id="2" xr3:uid="{CBCA19DB-406A-48FE-A4C4-179A978E80E8}" name="moment" dataDxfId="195">
      <calculatedColumnFormula>(Table716385[[#This Row],[time]]-2)*2</calculatedColumnFormula>
    </tableColumn>
    <tableColumn id="3" xr3:uid="{B0506DF1-DFC9-44F9-BDCA-67C501E92A29}" name="CAREA"/>
    <tableColumn id="4" xr3:uid="{723B296C-834E-41C3-A060-B6F1402EA45E}" name="CFNM"/>
    <tableColumn id="5" xr3:uid="{DC95307E-AC7C-4DCB-9582-24E550F86A03}" name="CFNM/Total area contact" dataDxfId="194">
      <calculatedColumnFormula>Table716385[[#This Row],[CFNM]]/Table716385[[#This Row],[CAREA]]</calculatedColumnFormula>
    </tableColumn>
  </tableColumns>
  <tableStyleInfo name="TableStyleLight7" showFirstColumn="0" showLastColumn="0" showRowStripes="1" showColumnStripes="0"/>
</table>
</file>

<file path=xl/tables/table1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4" xr:uid="{8800CB9A-DC33-43D3-9344-396EC650B7E2}" name="Table817386" displayName="Table817386" ref="AJ490:AN511" totalsRowShown="0">
  <autoFilter ref="AJ490:AN511" xr:uid="{8800CB9A-DC33-43D3-9344-396EC650B7E2}"/>
  <tableColumns count="5">
    <tableColumn id="1" xr3:uid="{E75B9A9A-4785-4748-A4A5-60405D1AD73B}" name="time"/>
    <tableColumn id="2" xr3:uid="{D75EC72B-3582-4705-96D2-BC325D13B21A}" name="moment" dataDxfId="193">
      <calculatedColumnFormula>(Table817386[[#This Row],[time]]-2)*2</calculatedColumnFormula>
    </tableColumn>
    <tableColumn id="3" xr3:uid="{FA6EC8B8-16EA-4732-A026-B1CE8A7DB5F7}" name="CAREA"/>
    <tableColumn id="4" xr3:uid="{482B7F6D-8E2B-495D-A7EE-CCCD80BC10B4}" name="CFNM"/>
    <tableColumn id="5" xr3:uid="{DD4B021C-BBE6-4C00-B7E4-DD606C9E5382}" name="CFNM/Total area contact" dataDxfId="192">
      <calculatedColumnFormula>Table817386[[#This Row],[CFNM]]/Table817386[[#This Row],[CAREA]]</calculatedColumnFormula>
    </tableColumn>
  </tableColumns>
  <tableStyleInfo name="TableStyleLight15" showFirstColumn="0" showLastColumn="0" showRowStripes="1" showColumnStripes="0"/>
</table>
</file>

<file path=xl/tables/table14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5" xr:uid="{DC2CE8DE-1D54-4B9C-AD48-E5E98BAA9599}" name="Table1387" displayName="Table1387" ref="A520:E541" totalsRowShown="0">
  <autoFilter ref="A520:E541" xr:uid="{DC2CE8DE-1D54-4B9C-AD48-E5E98BAA9599}"/>
  <tableColumns count="5">
    <tableColumn id="1" xr3:uid="{2A4BDB21-D116-4EBA-978C-6D3F5EF0170B}" name="time"/>
    <tableColumn id="2" xr3:uid="{A33F33B0-79AD-4D11-84FB-A9B3A4F38235}" name="moment" dataDxfId="191">
      <calculatedColumnFormula>-(Table1387[[#This Row],[time]]-2)*2</calculatedColumnFormula>
    </tableColumn>
    <tableColumn id="3" xr3:uid="{D79853BF-F768-4131-8D20-4506967D2321}" name="CAREA"/>
    <tableColumn id="4" xr3:uid="{26582957-D0EF-466A-AA92-2216D5197CA0}" name="CFNM"/>
    <tableColumn id="5" xr3:uid="{B9E85A89-C52A-4099-89CA-81D718B281CC}" name="CFNM/Total area contact" dataDxfId="190">
      <calculatedColumnFormula>Table1387[[#This Row],[CFNM]]/Table1387[[#This Row],[CAREA]]</calculatedColumnFormula>
    </tableColumn>
  </tableColumns>
  <tableStyleInfo name="TableStyleLight1" showFirstColumn="0" showLastColumn="0" showRowStripes="1" showColumnStripes="0"/>
</table>
</file>

<file path=xl/tables/table14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6" xr:uid="{F1675DE1-38C7-4D95-8508-41721B760FBF}" name="Table2388" displayName="Table2388" ref="F520:J541" totalsRowShown="0">
  <autoFilter ref="F520:J541" xr:uid="{F1675DE1-38C7-4D95-8508-41721B760FBF}"/>
  <tableColumns count="5">
    <tableColumn id="1" xr3:uid="{7C42D927-614C-4039-8E98-BDAC180CB768}" name="time"/>
    <tableColumn id="2" xr3:uid="{D041FB03-2EDD-4F27-BFD6-AEEDB353E536}" name="moment" dataDxfId="189">
      <calculatedColumnFormula>-(Table2388[[#This Row],[time]]-2)*2</calculatedColumnFormula>
    </tableColumn>
    <tableColumn id="3" xr3:uid="{8F15DB4E-E5DC-4A53-8B54-EF1FA1848B06}" name="CAREA"/>
    <tableColumn id="4" xr3:uid="{68778815-0168-481E-B84B-01ABBC751104}" name="CFNM"/>
    <tableColumn id="5" xr3:uid="{23F66699-C9C6-4910-8E39-3A88013FB22D}" name="CFNM/Total area contact" dataDxfId="188">
      <calculatedColumnFormula>Table2388[[#This Row],[CFNM]]/Table2388[[#This Row],[CAREA]]</calculatedColumnFormula>
    </tableColumn>
  </tableColumns>
  <tableStyleInfo name="TableStyleLight2" showFirstColumn="0" showLastColumn="0" showRowStripes="1" showColumnStripes="0"/>
</table>
</file>

<file path=xl/tables/table14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7" xr:uid="{FF740BCB-B451-4167-B3DE-C32A817E5FCE}" name="Table3389" displayName="Table3389" ref="K520:O541" totalsRowShown="0">
  <autoFilter ref="K520:O541" xr:uid="{FF740BCB-B451-4167-B3DE-C32A817E5FCE}"/>
  <tableColumns count="5">
    <tableColumn id="1" xr3:uid="{67FA8913-E514-401A-8241-DA976AC13B15}" name="time"/>
    <tableColumn id="2" xr3:uid="{E7C386A1-5830-484D-8F39-A14F8B5CB883}" name="moment" dataDxfId="187">
      <calculatedColumnFormula>-(Table3389[[#This Row],[time]]-2)*2</calculatedColumnFormula>
    </tableColumn>
    <tableColumn id="3" xr3:uid="{6A3A23E4-984D-4AAF-A87B-1740646DA3DA}" name="CAREA"/>
    <tableColumn id="4" xr3:uid="{5B67F503-53CE-4840-9ACC-D86173B078C8}" name="CFNM"/>
    <tableColumn id="5" xr3:uid="{1D90363B-FB65-42D7-9C6B-535BB048CB57}" name="CFNM/Total area contact" dataDxfId="186">
      <calculatedColumnFormula>Table3389[[#This Row],[CFNM]]/Table3389[[#This Row],[CAREA]]</calculatedColumnFormula>
    </tableColumn>
  </tableColumns>
  <tableStyleInfo name="TableStyleLight3" showFirstColumn="0" showLastColumn="0" showRowStripes="1" showColumnStripes="0"/>
</table>
</file>

<file path=xl/tables/table14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8" xr:uid="{BA89067E-0A2D-49FA-8339-C4A80D401AC8}" name="Table4390" displayName="Table4390" ref="P520:T541" totalsRowShown="0">
  <autoFilter ref="P520:T541" xr:uid="{BA89067E-0A2D-49FA-8339-C4A80D401AC8}"/>
  <tableColumns count="5">
    <tableColumn id="1" xr3:uid="{6A5786FD-D321-47F4-B7F4-857C267AC88D}" name="time"/>
    <tableColumn id="2" xr3:uid="{DEAB99F7-E0ED-47B5-898E-10BD37D5DF80}" name="moment" dataDxfId="185">
      <calculatedColumnFormula>-(Table4390[[#This Row],[time]]-2)*2</calculatedColumnFormula>
    </tableColumn>
    <tableColumn id="3" xr3:uid="{070D3AC9-2CED-4A04-921D-6BC25D3CA089}" name="CAREA"/>
    <tableColumn id="4" xr3:uid="{40B71B2C-4AEA-44AD-8A64-077EF98BACBF}" name="CFNM"/>
    <tableColumn id="5" xr3:uid="{E8983FF7-C623-481A-8EA9-B560132A0538}" name="CFNM/Total area contact" dataDxfId="184">
      <calculatedColumnFormula>Table4390[[#This Row],[CFNM]]/Table4390[[#This Row],[CAREA]]</calculatedColumnFormula>
    </tableColumn>
  </tableColumns>
  <tableStyleInfo name="TableStyleLight4" showFirstColumn="0" showLastColumn="0" showRowStripes="1" showColumnStripes="0"/>
</table>
</file>

<file path=xl/tables/table14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9" xr:uid="{D597F2C7-6E83-4427-A547-F3826BF55DDA}" name="Table5391" displayName="Table5391" ref="U520:Y541" totalsRowShown="0">
  <autoFilter ref="U520:Y541" xr:uid="{D597F2C7-6E83-4427-A547-F3826BF55DDA}"/>
  <tableColumns count="5">
    <tableColumn id="1" xr3:uid="{DAD77DB2-085E-45CE-B16C-2816A2591BFD}" name="time"/>
    <tableColumn id="2" xr3:uid="{3BEC9419-7DAA-4CBD-ABF7-EBA18A589521}" name="moment" dataDxfId="183">
      <calculatedColumnFormula>-(Table5391[[#This Row],[time]]-2)*2</calculatedColumnFormula>
    </tableColumn>
    <tableColumn id="3" xr3:uid="{23C6D90E-D1D3-4FDC-A86E-DAA5C154F5F4}" name="CAREA"/>
    <tableColumn id="4" xr3:uid="{AC19103A-B0ED-41EB-9BEC-093D0E96F5D4}" name="CFNM"/>
    <tableColumn id="5" xr3:uid="{10B209A1-243B-4F1E-BB4A-630A2625F93D}" name="CFNM/Total area contact" dataDxfId="182">
      <calculatedColumnFormula>Table5391[[#This Row],[CFNM]]/Table5391[[#This Row],[CAREA]]</calculatedColumnFormula>
    </tableColumn>
  </tableColumns>
  <tableStyleInfo name="TableStyleLight5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5" xr:uid="{333AF506-F11B-43E5-9DFC-A12E3A4856C4}" name="Table716257" displayName="Table716257" ref="AE34:AI55" totalsRowShown="0">
  <autoFilter ref="AE34:AI55" xr:uid="{333AF506-F11B-43E5-9DFC-A12E3A4856C4}"/>
  <tableColumns count="5">
    <tableColumn id="1" xr3:uid="{DF8BB383-8E3B-41F8-889D-CE857BBF0399}" name="time"/>
    <tableColumn id="2" xr3:uid="{B50047E6-4F25-4450-B32B-3E69A09C78E9}" name="moment" dataDxfId="451">
      <calculatedColumnFormula>(Table716257[[#This Row],[time]]-2)*2</calculatedColumnFormula>
    </tableColumn>
    <tableColumn id="3" xr3:uid="{57B4564B-3A36-46C6-80D6-844D2279045A}" name="CAREA"/>
    <tableColumn id="4" xr3:uid="{0A8CBD30-1F1C-4263-98BE-5160E8133593}" name="CFNM"/>
    <tableColumn id="5" xr3:uid="{A529F5E7-A191-4EDE-938C-388FA59CB842}" name="CFNM/Total area contact" dataDxfId="450">
      <calculatedColumnFormula>Table716257[[#This Row],[CFNM]]/Table716257[[#This Row],[CAREA]]</calculatedColumnFormula>
    </tableColumn>
  </tableColumns>
  <tableStyleInfo name="TableStyleLight7" showFirstColumn="0" showLastColumn="0" showRowStripes="1" showColumnStripes="0"/>
</table>
</file>

<file path=xl/tables/table15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0" xr:uid="{4680ECC5-F4AB-443A-B343-E8F7C62BF359}" name="Table6392" displayName="Table6392" ref="Z520:AD541" totalsRowShown="0">
  <autoFilter ref="Z520:AD541" xr:uid="{4680ECC5-F4AB-443A-B343-E8F7C62BF359}"/>
  <tableColumns count="5">
    <tableColumn id="1" xr3:uid="{ABC5420C-05C7-44B0-B51F-B485C4C9A812}" name="time"/>
    <tableColumn id="2" xr3:uid="{CDDA079A-F390-489E-A592-40F91510831D}" name="moment" dataDxfId="181">
      <calculatedColumnFormula>-(Table6392[[#This Row],[time]]-2)*2</calculatedColumnFormula>
    </tableColumn>
    <tableColumn id="3" xr3:uid="{3BBA0083-2CAA-4058-B33E-48D6DF8A72EB}" name="CAREA"/>
    <tableColumn id="4" xr3:uid="{B1FD1352-0AE9-4FA7-8DEE-87CEC1552135}" name="CFNM"/>
    <tableColumn id="5" xr3:uid="{4ED16429-AD50-4609-8F36-BFB50B1885A6}" name="CFNM/Total area contact" dataDxfId="180">
      <calculatedColumnFormula>Table6392[[#This Row],[CFNM]]/Table6392[[#This Row],[CAREA]]</calculatedColumnFormula>
    </tableColumn>
  </tableColumns>
  <tableStyleInfo name="TableStyleLight6" showFirstColumn="0" showLastColumn="0" showRowStripes="1" showColumnStripes="0"/>
</table>
</file>

<file path=xl/tables/table15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1" xr:uid="{7C817876-3E19-4BF6-B2EB-F6EDCB0B2B57}" name="Table7393" displayName="Table7393" ref="AE520:AI541" totalsRowShown="0">
  <autoFilter ref="AE520:AI541" xr:uid="{7C817876-3E19-4BF6-B2EB-F6EDCB0B2B57}"/>
  <tableColumns count="5">
    <tableColumn id="1" xr3:uid="{9A81F16A-E9A8-4B6E-B617-09808A1B5803}" name="time"/>
    <tableColumn id="2" xr3:uid="{F7258794-6176-470A-86D9-249F60580C1E}" name="moment" dataDxfId="179">
      <calculatedColumnFormula>-(Table7393[[#This Row],[time]]-2)*2</calculatedColumnFormula>
    </tableColumn>
    <tableColumn id="3" xr3:uid="{E3CE99C0-7507-4A50-85DD-AE1555875A3F}" name="CAREA"/>
    <tableColumn id="4" xr3:uid="{07156B2D-92B2-4284-86AE-3009A245F2CC}" name="CFNM"/>
    <tableColumn id="5" xr3:uid="{BEF66D96-B88C-4781-BE23-D9F7C95D8739}" name="CFNM/Total area contact" dataDxfId="178">
      <calculatedColumnFormula>Table7393[[#This Row],[CFNM]]/Table7393[[#This Row],[CAREA]]</calculatedColumnFormula>
    </tableColumn>
  </tableColumns>
  <tableStyleInfo name="TableStyleLight7" showFirstColumn="0" showLastColumn="0" showRowStripes="1" showColumnStripes="0"/>
</table>
</file>

<file path=xl/tables/table15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2" xr:uid="{6146403D-5802-4CA0-AE58-64902ED74FCF}" name="Table8394" displayName="Table8394" ref="AJ520:AN541" totalsRowShown="0">
  <autoFilter ref="AJ520:AN541" xr:uid="{6146403D-5802-4CA0-AE58-64902ED74FCF}"/>
  <tableColumns count="5">
    <tableColumn id="1" xr3:uid="{D280B7B8-9988-4C55-BC53-ACFD09E8CB0D}" name="time"/>
    <tableColumn id="2" xr3:uid="{1B30F058-8F18-457D-A747-85B72B161DFF}" name="moment" dataDxfId="177">
      <calculatedColumnFormula>-(Table8394[[#This Row],[time]]-2)*2</calculatedColumnFormula>
    </tableColumn>
    <tableColumn id="3" xr3:uid="{A26DABDF-C54F-4A99-9DEA-F934B09D893E}" name="CAREA"/>
    <tableColumn id="4" xr3:uid="{B821F079-49E3-468E-B76E-DBFEE745BE2A}" name="CFNM"/>
    <tableColumn id="5" xr3:uid="{7CCF2A6A-2075-4835-AB89-A220963059BE}" name="CFNM/Total area contact" dataDxfId="176">
      <calculatedColumnFormula>Table8394[[#This Row],[CFNM]]/Table8394[[#This Row],[CAREA]]</calculatedColumnFormula>
    </tableColumn>
  </tableColumns>
  <tableStyleInfo name="TableStyleLight15" showFirstColumn="0" showLastColumn="0" showRowStripes="1" showColumnStripes="0"/>
</table>
</file>

<file path=xl/tables/table15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3" xr:uid="{C44F44D1-DA78-4167-8AB5-5DA42B593F2C}" name="Table110395" displayName="Table110395" ref="A547:E568" totalsRowShown="0">
  <autoFilter ref="A547:E568" xr:uid="{C44F44D1-DA78-4167-8AB5-5DA42B593F2C}"/>
  <tableColumns count="5">
    <tableColumn id="1" xr3:uid="{DB69AAFB-FB0C-4610-8874-C5AD7A44C0EE}" name="time"/>
    <tableColumn id="2" xr3:uid="{6D7DE6F4-B4A4-49E2-BB3C-90BE63141020}" name="moment" dataDxfId="175">
      <calculatedColumnFormula>(Table110395[[#This Row],[time]]-2)*2</calculatedColumnFormula>
    </tableColumn>
    <tableColumn id="3" xr3:uid="{A5CC2908-7DA5-4FA9-A82C-3A2F6452BB4A}" name="CAREA"/>
    <tableColumn id="4" xr3:uid="{0B701920-7326-43E1-8784-38C4CCCF44E1}" name="CFNM"/>
    <tableColumn id="5" xr3:uid="{55C80245-D015-436F-BA3D-E9B66C7A3C89}" name="CFNM/Total area contact" dataDxfId="174">
      <calculatedColumnFormula>Table110395[[#This Row],[CFNM]]/Table110395[[#This Row],[CAREA]]</calculatedColumnFormula>
    </tableColumn>
  </tableColumns>
  <tableStyleInfo name="TableStyleLight1" showFirstColumn="0" showLastColumn="0" showRowStripes="1" showColumnStripes="0"/>
</table>
</file>

<file path=xl/tables/table15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4" xr:uid="{71250689-3096-498A-BAFD-7FC2A4024FB6}" name="Table211396" displayName="Table211396" ref="F547:J568" totalsRowShown="0">
  <autoFilter ref="F547:J568" xr:uid="{71250689-3096-498A-BAFD-7FC2A4024FB6}"/>
  <tableColumns count="5">
    <tableColumn id="1" xr3:uid="{E311B39B-776D-4BD5-B481-0A63DB3061D9}" name="time"/>
    <tableColumn id="2" xr3:uid="{776FE5D9-179B-427D-896A-372D1DD66517}" name="moment" dataDxfId="173">
      <calculatedColumnFormula>(Table211396[[#This Row],[time]]-2)*2</calculatedColumnFormula>
    </tableColumn>
    <tableColumn id="3" xr3:uid="{E1CCA91A-B620-4A1E-8181-C004FA9834D7}" name="CAREA"/>
    <tableColumn id="4" xr3:uid="{84F09FAC-80D4-4589-9A29-E3F0F8BE5C57}" name="CFNM"/>
    <tableColumn id="5" xr3:uid="{13F139B4-FFD8-4369-85CD-EB3235DC5D81}" name="CFNM/Total area contact" dataDxfId="172">
      <calculatedColumnFormula>Table211396[[#This Row],[CFNM]]/Table211396[[#This Row],[CAREA]]</calculatedColumnFormula>
    </tableColumn>
  </tableColumns>
  <tableStyleInfo name="TableStyleLight2" showFirstColumn="0" showLastColumn="0" showRowStripes="1" showColumnStripes="0"/>
</table>
</file>

<file path=xl/tables/table15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5" xr:uid="{FA542039-E838-4CAB-B677-A8FC47149CF3}" name="Table312397" displayName="Table312397" ref="K547:O568" totalsRowShown="0">
  <autoFilter ref="K547:O568" xr:uid="{FA542039-E838-4CAB-B677-A8FC47149CF3}"/>
  <tableColumns count="5">
    <tableColumn id="1" xr3:uid="{FC9D3BFD-FB30-4513-AF0B-4F1EFD653605}" name="time"/>
    <tableColumn id="2" xr3:uid="{8F3919B6-0559-4A44-9F68-E62F3E3BE528}" name="moment" dataDxfId="171">
      <calculatedColumnFormula>(Table312397[[#This Row],[time]]-2)*2</calculatedColumnFormula>
    </tableColumn>
    <tableColumn id="3" xr3:uid="{D7725A32-EEAE-4955-B4EA-9975AB3A3433}" name="CAREA"/>
    <tableColumn id="4" xr3:uid="{E265D109-DEB2-4F9B-BF7A-A0A8CF139D7E}" name="CFNM"/>
    <tableColumn id="5" xr3:uid="{59A7BDC7-F9F8-4BFF-AFA4-D36CCC467A54}" name="CFNM/Total area contact" dataDxfId="170">
      <calculatedColumnFormula>Table312397[[#This Row],[CFNM]]/Table312397[[#This Row],[CAREA]]</calculatedColumnFormula>
    </tableColumn>
  </tableColumns>
  <tableStyleInfo name="TableStyleLight3" showFirstColumn="0" showLastColumn="0" showRowStripes="1" showColumnStripes="0"/>
</table>
</file>

<file path=xl/tables/table15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6" xr:uid="{EB21C049-7D6D-49B5-938B-5B6A3F2A2157}" name="Table413398" displayName="Table413398" ref="P547:T568" totalsRowShown="0">
  <autoFilter ref="P547:T568" xr:uid="{EB21C049-7D6D-49B5-938B-5B6A3F2A2157}"/>
  <tableColumns count="5">
    <tableColumn id="1" xr3:uid="{2086EFF7-7ADD-40DB-9C2C-D59AA8492F53}" name="time"/>
    <tableColumn id="2" xr3:uid="{8C5FA898-2CCC-434F-9F0A-B671B0DB5284}" name="moment" dataDxfId="169">
      <calculatedColumnFormula>(Table413398[[#This Row],[time]]-2)*2</calculatedColumnFormula>
    </tableColumn>
    <tableColumn id="3" xr3:uid="{60A7AD80-3099-4277-895B-001C4E2A484C}" name="CAREA"/>
    <tableColumn id="4" xr3:uid="{8C371626-DB37-46DA-9CF3-0D21CA925650}" name="CFNM"/>
    <tableColumn id="5" xr3:uid="{03AE2DDD-8C78-46BF-B7C2-0E299C63A87A}" name="CFNM/Total area contact" dataDxfId="168">
      <calculatedColumnFormula>Table413398[[#This Row],[CFNM]]/Table413398[[#This Row],[CAREA]]</calculatedColumnFormula>
    </tableColumn>
  </tableColumns>
  <tableStyleInfo name="TableStyleLight4" showFirstColumn="0" showLastColumn="0" showRowStripes="1" showColumnStripes="0"/>
</table>
</file>

<file path=xl/tables/table15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7" xr:uid="{FE4EF16A-97C9-4CEC-90E1-13829E3A2B7A}" name="Table514399" displayName="Table514399" ref="U547:Y568" totalsRowShown="0">
  <autoFilter ref="U547:Y568" xr:uid="{FE4EF16A-97C9-4CEC-90E1-13829E3A2B7A}"/>
  <tableColumns count="5">
    <tableColumn id="1" xr3:uid="{711223B8-EEFE-42AC-B6E9-1C6C6C15429F}" name="time"/>
    <tableColumn id="2" xr3:uid="{8A75002D-54D3-4B5B-A735-8248E5676975}" name="moment" dataDxfId="167">
      <calculatedColumnFormula>(Table514399[[#This Row],[time]]-2)*2</calculatedColumnFormula>
    </tableColumn>
    <tableColumn id="3" xr3:uid="{6C9BA639-2608-489E-B5EE-4FE69283AEB4}" name="CAREA"/>
    <tableColumn id="4" xr3:uid="{0C14CDEA-40F7-44FF-B9D9-141941E8C48F}" name="CFNM"/>
    <tableColumn id="5" xr3:uid="{3D204AE2-2E58-4731-8E38-CAE5E5A24ADE}" name="CFNM/Total area contact" dataDxfId="166">
      <calculatedColumnFormula>Table514399[[#This Row],[CFNM]]/Table514399[[#This Row],[CAREA]]</calculatedColumnFormula>
    </tableColumn>
  </tableColumns>
  <tableStyleInfo name="TableStyleLight5" showFirstColumn="0" showLastColumn="0" showRowStripes="1" showColumnStripes="0"/>
</table>
</file>

<file path=xl/tables/table15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8" xr:uid="{6AAB9E04-FB9C-469B-B266-94454C261DA9}" name="Table615400" displayName="Table615400" ref="Z547:AD568" totalsRowShown="0">
  <autoFilter ref="Z547:AD568" xr:uid="{6AAB9E04-FB9C-469B-B266-94454C261DA9}"/>
  <tableColumns count="5">
    <tableColumn id="1" xr3:uid="{35669F52-B36D-40C8-A372-A8CEE6ED97FC}" name="time"/>
    <tableColumn id="2" xr3:uid="{EE4F0707-783C-4065-89A3-043C53FFD392}" name="moment" dataDxfId="165">
      <calculatedColumnFormula>(Table615400[[#This Row],[time]]-2)*2</calculatedColumnFormula>
    </tableColumn>
    <tableColumn id="3" xr3:uid="{2D331250-FF4D-43E3-94FD-C248B0621A53}" name="CAREA"/>
    <tableColumn id="4" xr3:uid="{BF43BF74-3E40-4A5A-A379-D232C168FE95}" name="CFNM"/>
    <tableColumn id="5" xr3:uid="{C212B86F-F0A5-4081-B237-C0C70CB3D51C}" name="CFNM/Total area contact" dataDxfId="164">
      <calculatedColumnFormula>Table615400[[#This Row],[CFNM]]/Table615400[[#This Row],[CAREA]]</calculatedColumnFormula>
    </tableColumn>
  </tableColumns>
  <tableStyleInfo name="TableStyleLight6" showFirstColumn="0" showLastColumn="0" showRowStripes="1" showColumnStripes="0"/>
</table>
</file>

<file path=xl/tables/table15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9" xr:uid="{0E87FCBE-50FC-43B4-8893-EE7572D5CD92}" name="Table716401" displayName="Table716401" ref="AE547:AI568" totalsRowShown="0">
  <autoFilter ref="AE547:AI568" xr:uid="{0E87FCBE-50FC-43B4-8893-EE7572D5CD92}"/>
  <tableColumns count="5">
    <tableColumn id="1" xr3:uid="{8EDE7F6A-0643-42A8-927D-9444F944D7D6}" name="time"/>
    <tableColumn id="2" xr3:uid="{8947B89C-949B-422D-B449-72AAE8656D67}" name="moment" dataDxfId="163">
      <calculatedColumnFormula>(Table716401[[#This Row],[time]]-2)*2</calculatedColumnFormula>
    </tableColumn>
    <tableColumn id="3" xr3:uid="{834A11C0-DEEA-4F24-8951-0172C63813D4}" name="CAREA"/>
    <tableColumn id="4" xr3:uid="{4E06AB31-E274-49EA-BC5D-50ECBEACD090}" name="CFNM"/>
    <tableColumn id="5" xr3:uid="{F33C4583-D2A9-485F-B49A-15C2BD9BBCD2}" name="CFNM/Total area contact" dataDxfId="162">
      <calculatedColumnFormula>Table716401[[#This Row],[CFNM]]/Table716401[[#This Row],[CAREA]]</calculatedColumnFormula>
    </tableColumn>
  </tableColumns>
  <tableStyleInfo name="TableStyleLight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6" xr:uid="{6D05D31A-3CFA-4B1D-9B69-5B01476E278C}" name="Table817258" displayName="Table817258" ref="AJ34:AN55" totalsRowShown="0">
  <autoFilter ref="AJ34:AN55" xr:uid="{6D05D31A-3CFA-4B1D-9B69-5B01476E278C}"/>
  <tableColumns count="5">
    <tableColumn id="1" xr3:uid="{40B69319-87B7-4047-B08A-FD4E15F63A49}" name="time"/>
    <tableColumn id="2" xr3:uid="{19FF5991-E3BC-4D50-912A-DFE35BD52F38}" name="moment" dataDxfId="449">
      <calculatedColumnFormula>(Table817258[[#This Row],[time]]-2)*2</calculatedColumnFormula>
    </tableColumn>
    <tableColumn id="3" xr3:uid="{ACB5FC1B-E9FB-4455-A54E-99582F1644C5}" name="CAREA"/>
    <tableColumn id="4" xr3:uid="{5D713348-4473-4C3A-9BD0-ED55859D7B42}" name="CFNM"/>
    <tableColumn id="5" xr3:uid="{5F51E375-FEDD-4640-A49A-5112458D43C4}" name="CFNM/Total area contact" dataDxfId="448">
      <calculatedColumnFormula>Table817258[[#This Row],[CFNM]]/Table817258[[#This Row],[CAREA]]</calculatedColumnFormula>
    </tableColumn>
  </tableColumns>
  <tableStyleInfo name="TableStyleLight15" showFirstColumn="0" showLastColumn="0" showRowStripes="1" showColumnStripes="0"/>
</table>
</file>

<file path=xl/tables/table16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0" xr:uid="{FB2D99E2-32C2-4426-B04C-E3E1FD4D06E9}" name="Table817402" displayName="Table817402" ref="AJ547:AN568" totalsRowShown="0">
  <autoFilter ref="AJ547:AN568" xr:uid="{FB2D99E2-32C2-4426-B04C-E3E1FD4D06E9}"/>
  <tableColumns count="5">
    <tableColumn id="1" xr3:uid="{AE6FD94B-C74E-4797-B557-484D7146DA45}" name="time"/>
    <tableColumn id="2" xr3:uid="{9BF6C654-DE0F-4F64-8CCD-D28FF90FADF3}" name="moment" dataDxfId="161">
      <calculatedColumnFormula>(Table817402[[#This Row],[time]]-2)*2</calculatedColumnFormula>
    </tableColumn>
    <tableColumn id="3" xr3:uid="{C1BF560C-FE7A-46BB-BB40-4D4748FB9EF6}" name="CAREA"/>
    <tableColumn id="4" xr3:uid="{429CB6D6-25DE-470A-BB9E-883DF9702F65}" name="CFNM"/>
    <tableColumn id="5" xr3:uid="{16BD3ACE-B52A-48A1-B621-F44040447AED}" name="CFNM/Total area contact" dataDxfId="160">
      <calculatedColumnFormula>Table817402[[#This Row],[CFNM]]/Table817402[[#This Row],[CAREA]]</calculatedColumnFormula>
    </tableColumn>
  </tableColumns>
  <tableStyleInfo name="TableStyleLight15" showFirstColumn="0" showLastColumn="0" showRowStripes="1" showColumnStripes="0"/>
</table>
</file>

<file path=xl/tables/table16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1" xr:uid="{F934B7D3-88DF-413B-8B28-D982E0799E7A}" name="Table1403" displayName="Table1403" ref="A577:E598" totalsRowShown="0">
  <autoFilter ref="A577:E598" xr:uid="{F934B7D3-88DF-413B-8B28-D982E0799E7A}"/>
  <tableColumns count="5">
    <tableColumn id="1" xr3:uid="{F34E6889-3D82-4880-A657-1DB46EB0163E}" name="time"/>
    <tableColumn id="2" xr3:uid="{6CDFB32A-84A9-4EFA-9D51-54D7BA9E5375}" name="moment" dataDxfId="159">
      <calculatedColumnFormula>-(Table1403[[#This Row],[time]]-2)*2</calculatedColumnFormula>
    </tableColumn>
    <tableColumn id="3" xr3:uid="{5D145828-F526-4B2D-9ECB-DEE06A94C37F}" name="CAREA"/>
    <tableColumn id="4" xr3:uid="{D1E6739A-6EDF-4890-8ECB-9697EF13A739}" name="CFNM"/>
    <tableColumn id="5" xr3:uid="{CD41234C-123D-4397-B68A-42B167B969A6}" name="CFNM/Total area contact" dataDxfId="158">
      <calculatedColumnFormula>Table1403[[#This Row],[CFNM]]/Table1403[[#This Row],[CAREA]]</calculatedColumnFormula>
    </tableColumn>
  </tableColumns>
  <tableStyleInfo name="TableStyleLight1" showFirstColumn="0" showLastColumn="0" showRowStripes="1" showColumnStripes="0"/>
</table>
</file>

<file path=xl/tables/table16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2" xr:uid="{EC23202E-D6C8-46A5-8132-A8DCE5F30654}" name="Table2404" displayName="Table2404" ref="F577:J598" totalsRowShown="0">
  <autoFilter ref="F577:J598" xr:uid="{EC23202E-D6C8-46A5-8132-A8DCE5F30654}"/>
  <tableColumns count="5">
    <tableColumn id="1" xr3:uid="{E4AB8E3E-9092-44DF-A739-B9992D6499FD}" name="time"/>
    <tableColumn id="2" xr3:uid="{268ED97A-2782-43BE-859D-9C71E050D0E2}" name="moment" dataDxfId="157">
      <calculatedColumnFormula>-(Table2404[[#This Row],[time]]-2)*2</calculatedColumnFormula>
    </tableColumn>
    <tableColumn id="3" xr3:uid="{2C8FFFDA-BAB2-4942-A609-ABEA4191CA4F}" name="CAREA"/>
    <tableColumn id="4" xr3:uid="{0651373A-488E-4995-9CDD-ABF1E38F1B4B}" name="CFNM"/>
    <tableColumn id="5" xr3:uid="{70D9B9CC-F5F3-4D9C-89F8-3D8195E3D639}" name="CFNM/Total area contact" dataDxfId="156">
      <calculatedColumnFormula>Table2404[[#This Row],[CFNM]]/Table2404[[#This Row],[CAREA]]</calculatedColumnFormula>
    </tableColumn>
  </tableColumns>
  <tableStyleInfo name="TableStyleLight2" showFirstColumn="0" showLastColumn="0" showRowStripes="1" showColumnStripes="0"/>
</table>
</file>

<file path=xl/tables/table16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3" xr:uid="{67827D9B-7342-4366-8ED2-CD9F56781C49}" name="Table3405" displayName="Table3405" ref="K577:O598" totalsRowShown="0">
  <autoFilter ref="K577:O598" xr:uid="{67827D9B-7342-4366-8ED2-CD9F56781C49}"/>
  <tableColumns count="5">
    <tableColumn id="1" xr3:uid="{EC8B3B21-A537-4451-8D78-C2475667D1A7}" name="time"/>
    <tableColumn id="2" xr3:uid="{E4A781F4-82F0-40A0-A0D7-E886F455FA3E}" name="moment" dataDxfId="155">
      <calculatedColumnFormula>-(Table3405[[#This Row],[time]]-2)*2</calculatedColumnFormula>
    </tableColumn>
    <tableColumn id="3" xr3:uid="{6B356710-3FC6-4B28-B953-A4B3A13A8087}" name="CAREA"/>
    <tableColumn id="4" xr3:uid="{27F6F8A5-D976-41DC-B63E-14230DAE2CC4}" name="CFNM"/>
    <tableColumn id="5" xr3:uid="{29536EAA-8A35-4EF8-A3F5-19E98895E1BE}" name="CFNM/Total area contact" dataDxfId="154">
      <calculatedColumnFormula>Table3405[[#This Row],[CFNM]]/Table3405[[#This Row],[CAREA]]</calculatedColumnFormula>
    </tableColumn>
  </tableColumns>
  <tableStyleInfo name="TableStyleLight3" showFirstColumn="0" showLastColumn="0" showRowStripes="1" showColumnStripes="0"/>
</table>
</file>

<file path=xl/tables/table16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4" xr:uid="{796ACE99-EA80-487E-8A61-A958E5BAA9E3}" name="Table4406" displayName="Table4406" ref="P577:T598" totalsRowShown="0">
  <autoFilter ref="P577:T598" xr:uid="{796ACE99-EA80-487E-8A61-A958E5BAA9E3}"/>
  <tableColumns count="5">
    <tableColumn id="1" xr3:uid="{C06C1E11-707E-4285-A240-304D5A278631}" name="time"/>
    <tableColumn id="2" xr3:uid="{012C5550-8BBB-42CE-8979-46D18A00113A}" name="moment" dataDxfId="153">
      <calculatedColumnFormula>-(Table4406[[#This Row],[time]]-2)*2</calculatedColumnFormula>
    </tableColumn>
    <tableColumn id="3" xr3:uid="{D3818A09-51DE-452B-AA44-2BBABADA1FCB}" name="CAREA"/>
    <tableColumn id="4" xr3:uid="{93736D07-4B09-4566-94BC-170DE945904A}" name="CFNM"/>
    <tableColumn id="5" xr3:uid="{C3724337-9061-4DBE-AD8E-B979FC2D9B3D}" name="CFNM/Total area contact" dataDxfId="152">
      <calculatedColumnFormula>Table4406[[#This Row],[CFNM]]/Table4406[[#This Row],[CAREA]]</calculatedColumnFormula>
    </tableColumn>
  </tableColumns>
  <tableStyleInfo name="TableStyleLight4" showFirstColumn="0" showLastColumn="0" showRowStripes="1" showColumnStripes="0"/>
</table>
</file>

<file path=xl/tables/table16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5" xr:uid="{C433FB60-9416-4ED2-9C32-A505E8BE427C}" name="Table5407" displayName="Table5407" ref="U577:Y598" totalsRowShown="0">
  <autoFilter ref="U577:Y598" xr:uid="{C433FB60-9416-4ED2-9C32-A505E8BE427C}"/>
  <tableColumns count="5">
    <tableColumn id="1" xr3:uid="{87EED8A2-89AB-47E6-8034-9A85CC659C0B}" name="time"/>
    <tableColumn id="2" xr3:uid="{B73DE084-53A3-4BC7-9631-BE6D34CD0A34}" name="moment" dataDxfId="151">
      <calculatedColumnFormula>-(Table5407[[#This Row],[time]]-2)*2</calculatedColumnFormula>
    </tableColumn>
    <tableColumn id="3" xr3:uid="{0BA7DE5D-4A0C-4CA4-ABE9-8929E0907E55}" name="CAREA"/>
    <tableColumn id="4" xr3:uid="{F987A835-4F11-48FB-96D9-32468747FD9A}" name="CFNM"/>
    <tableColumn id="5" xr3:uid="{66EA767E-802E-473A-8F7F-5DBB276D750C}" name="CFNM/Total area contact" dataDxfId="150">
      <calculatedColumnFormula>Table5407[[#This Row],[CFNM]]/Table5407[[#This Row],[CAREA]]</calculatedColumnFormula>
    </tableColumn>
  </tableColumns>
  <tableStyleInfo name="TableStyleLight5" showFirstColumn="0" showLastColumn="0" showRowStripes="1" showColumnStripes="0"/>
</table>
</file>

<file path=xl/tables/table16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6" xr:uid="{2646300C-AEF5-4BA8-A532-73E0EC256EF0}" name="Table6408" displayName="Table6408" ref="Z577:AD598" totalsRowShown="0">
  <autoFilter ref="Z577:AD598" xr:uid="{2646300C-AEF5-4BA8-A532-73E0EC256EF0}"/>
  <tableColumns count="5">
    <tableColumn id="1" xr3:uid="{0545D857-74AF-4234-B05C-1D6A380A5EBB}" name="time"/>
    <tableColumn id="2" xr3:uid="{CB7659AA-1E48-4280-815B-A7089166AF22}" name="moment" dataDxfId="149">
      <calculatedColumnFormula>-(Table6408[[#This Row],[time]]-2)*2</calculatedColumnFormula>
    </tableColumn>
    <tableColumn id="3" xr3:uid="{8200488B-064D-4789-86BC-1D35B958EB84}" name="CAREA"/>
    <tableColumn id="4" xr3:uid="{333EC40F-8A7B-41B7-AB0F-B8B76FB60FE9}" name="CFNM"/>
    <tableColumn id="5" xr3:uid="{1D135FBC-5614-4666-A467-FD21C7FA0066}" name="CFNM/Total area contact" dataDxfId="148">
      <calculatedColumnFormula>Table6408[[#This Row],[CFNM]]/Table6408[[#This Row],[CAREA]]</calculatedColumnFormula>
    </tableColumn>
  </tableColumns>
  <tableStyleInfo name="TableStyleLight6" showFirstColumn="0" showLastColumn="0" showRowStripes="1" showColumnStripes="0"/>
</table>
</file>

<file path=xl/tables/table16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7" xr:uid="{E2A26B8A-A156-4F38-A507-D604D261CEE5}" name="Table7409" displayName="Table7409" ref="AE577:AI598" totalsRowShown="0">
  <autoFilter ref="AE577:AI598" xr:uid="{E2A26B8A-A156-4F38-A507-D604D261CEE5}"/>
  <tableColumns count="5">
    <tableColumn id="1" xr3:uid="{437B8A05-CE97-46E9-9FE5-66E33A2F9FA3}" name="time"/>
    <tableColumn id="2" xr3:uid="{28A40628-4A01-42F8-A119-F1ED8DE9B3B3}" name="moment" dataDxfId="147">
      <calculatedColumnFormula>-(Table7409[[#This Row],[time]]-2)*2</calculatedColumnFormula>
    </tableColumn>
    <tableColumn id="3" xr3:uid="{48B5CFE3-430D-43FE-A2E2-1243949A7359}" name="CAREA"/>
    <tableColumn id="4" xr3:uid="{965D586F-B8B6-4577-8CB0-CA6A36C11AE6}" name="CFNM"/>
    <tableColumn id="5" xr3:uid="{0E0E5647-89ED-49AF-945F-512BF4FD11C0}" name="CFNM/Total area contact" dataDxfId="146">
      <calculatedColumnFormula>Table7409[[#This Row],[CFNM]]/Table7409[[#This Row],[CAREA]]</calculatedColumnFormula>
    </tableColumn>
  </tableColumns>
  <tableStyleInfo name="TableStyleLight7" showFirstColumn="0" showLastColumn="0" showRowStripes="1" showColumnStripes="0"/>
</table>
</file>

<file path=xl/tables/table16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8" xr:uid="{64F72E42-9C0F-4AB8-85A2-D89CBE863E14}" name="Table8410" displayName="Table8410" ref="AJ577:AN598" totalsRowShown="0">
  <autoFilter ref="AJ577:AN598" xr:uid="{64F72E42-9C0F-4AB8-85A2-D89CBE863E14}"/>
  <tableColumns count="5">
    <tableColumn id="1" xr3:uid="{969461D7-CCA9-4EDC-8DBA-E0563D846303}" name="time"/>
    <tableColumn id="2" xr3:uid="{F8C88FCF-9E5D-4AD7-B8BF-3FA10066E899}" name="moment" dataDxfId="145">
      <calculatedColumnFormula>-(Table8410[[#This Row],[time]]-2)*2</calculatedColumnFormula>
    </tableColumn>
    <tableColumn id="3" xr3:uid="{AAFF7DCA-918C-4A25-8DFC-68244ECAC9E6}" name="CAREA"/>
    <tableColumn id="4" xr3:uid="{3E2CC871-634B-4F48-BFCC-C185B1917D3E}" name="CFNM"/>
    <tableColumn id="5" xr3:uid="{3492D3E2-59E3-46C1-9210-52B74AD411CB}" name="CFNM/Total area contact" dataDxfId="144">
      <calculatedColumnFormula>Table8410[[#This Row],[CFNM]]/Table8410[[#This Row],[CAREA]]</calculatedColumnFormula>
    </tableColumn>
  </tableColumns>
  <tableStyleInfo name="TableStyleLight15" showFirstColumn="0" showLastColumn="0" showRowStripes="1" showColumnStripes="0"/>
</table>
</file>

<file path=xl/tables/table16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9" xr:uid="{A8D47A09-BC26-4863-A4A0-9F88A9E450B8}" name="Table110411" displayName="Table110411" ref="A604:E625" totalsRowShown="0">
  <autoFilter ref="A604:E625" xr:uid="{A8D47A09-BC26-4863-A4A0-9F88A9E450B8}"/>
  <tableColumns count="5">
    <tableColumn id="1" xr3:uid="{94A80510-E945-41CD-BD8B-C0D56EFC6765}" name="time"/>
    <tableColumn id="2" xr3:uid="{1F1A466B-B456-4670-8E4B-1B003007BAC2}" name="moment" dataDxfId="143">
      <calculatedColumnFormula>(Table110411[[#This Row],[time]]-2)*2</calculatedColumnFormula>
    </tableColumn>
    <tableColumn id="3" xr3:uid="{DC404A47-337B-4478-9BEE-D3DD5B0FD84F}" name="CAREA"/>
    <tableColumn id="4" xr3:uid="{01C50B17-E28E-4F8A-B550-192F8EA386D3}" name="CFNM"/>
    <tableColumn id="5" xr3:uid="{C4DDD3B9-022C-4E76-B437-ADDE98BD9DBF}" name="CFNM/Total area contact" dataDxfId="142">
      <calculatedColumnFormula>Table110411[[#This Row],[CFNM]]/Table110411[[#This Row],[CAREA]]</calculatedColumnFormula>
    </tableColumn>
  </tableColumns>
  <tableStyleInfo name="TableStyleLight1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7" xr:uid="{15F5BB1A-BADE-4542-9B7B-7983670B040D}" name="Table1258" displayName="Table1258" ref="A91:E112" totalsRowShown="0">
  <autoFilter ref="A91:E112" xr:uid="{15F5BB1A-BADE-4542-9B7B-7983670B040D}"/>
  <tableColumns count="5">
    <tableColumn id="1" xr3:uid="{5F2DB3C4-95D0-46AD-837A-732FB64F288B}" name="time"/>
    <tableColumn id="2" xr3:uid="{536D0888-643C-4499-8A9A-588E0C5A310C}" name="moment" dataDxfId="447">
      <calculatedColumnFormula>(Table1258[[#This Row],[time]]-2)*2</calculatedColumnFormula>
    </tableColumn>
    <tableColumn id="3" xr3:uid="{C463D504-F115-46DA-8442-A075630D7CA4}" name="CAREA"/>
    <tableColumn id="4" xr3:uid="{BB53FEEB-C04F-42BE-8A1F-B7A0A6449F8B}" name="CFNM"/>
    <tableColumn id="5" xr3:uid="{64144811-1ECE-45FC-A833-0CBD10751452}" name="CFNM/Total area contact" dataDxfId="446">
      <calculatedColumnFormula>Table1258[[#This Row],[CFNM]]/Table1258[[#This Row],[CAREA]]</calculatedColumnFormula>
    </tableColumn>
  </tableColumns>
  <tableStyleInfo name="TableStyleLight1" showFirstColumn="0" showLastColumn="0" showRowStripes="1" showColumnStripes="0"/>
</table>
</file>

<file path=xl/tables/table17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0" xr:uid="{9476AA20-447A-4054-86EA-FF6476B47954}" name="Table211412" displayName="Table211412" ref="F604:J625" totalsRowShown="0">
  <autoFilter ref="F604:J625" xr:uid="{9476AA20-447A-4054-86EA-FF6476B47954}"/>
  <tableColumns count="5">
    <tableColumn id="1" xr3:uid="{20C50F66-835C-48B8-B68F-6E32B3DAB276}" name="time"/>
    <tableColumn id="2" xr3:uid="{3EB07875-DAF2-4B83-9CC3-743DF1A9A315}" name="moment" dataDxfId="141">
      <calculatedColumnFormula>(Table211412[[#This Row],[time]]-2)*2</calculatedColumnFormula>
    </tableColumn>
    <tableColumn id="3" xr3:uid="{5667447E-1127-48BD-88AD-414D1B91C4F3}" name="CAREA"/>
    <tableColumn id="4" xr3:uid="{CCE0BA34-BCC9-4CE9-99DD-A2BE5B2C1A9D}" name="CFNM"/>
    <tableColumn id="5" xr3:uid="{0E910F77-777B-44AE-8033-0C86D1FE65D4}" name="CFNM/Total area contact" dataDxfId="140">
      <calculatedColumnFormula>Table211412[[#This Row],[CFNM]]/Table211412[[#This Row],[CAREA]]</calculatedColumnFormula>
    </tableColumn>
  </tableColumns>
  <tableStyleInfo name="TableStyleLight2" showFirstColumn="0" showLastColumn="0" showRowStripes="1" showColumnStripes="0"/>
</table>
</file>

<file path=xl/tables/table17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1" xr:uid="{B64464BC-C3D7-4954-A40E-0CC44D0796F7}" name="Table312413" displayName="Table312413" ref="K604:O625" totalsRowShown="0">
  <autoFilter ref="K604:O625" xr:uid="{B64464BC-C3D7-4954-A40E-0CC44D0796F7}"/>
  <tableColumns count="5">
    <tableColumn id="1" xr3:uid="{D11F481B-1833-4FBA-8B8F-1BC45D924E45}" name="time"/>
    <tableColumn id="2" xr3:uid="{FF975146-9EC5-45F6-AD1E-797ABEF31579}" name="moment" dataDxfId="139">
      <calculatedColumnFormula>(Table312413[[#This Row],[time]]-2)*2</calculatedColumnFormula>
    </tableColumn>
    <tableColumn id="3" xr3:uid="{7C69336D-44A9-450C-BD99-1693B509C246}" name="CAREA"/>
    <tableColumn id="4" xr3:uid="{6B5DF7D4-86D8-432A-AE29-7E48A0408821}" name="CFNM"/>
    <tableColumn id="5" xr3:uid="{DEC10D5C-0CA8-48BA-BC2D-F815DC4DE1A1}" name="CFNM/Total area contact" dataDxfId="138">
      <calculatedColumnFormula>Table312413[[#This Row],[CFNM]]/Table312413[[#This Row],[CAREA]]</calculatedColumnFormula>
    </tableColumn>
  </tableColumns>
  <tableStyleInfo name="TableStyleLight3" showFirstColumn="0" showLastColumn="0" showRowStripes="1" showColumnStripes="0"/>
</table>
</file>

<file path=xl/tables/table17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2" xr:uid="{2CFA6F3E-B395-4782-AD4A-9DBC6E1DF2D5}" name="Table413414" displayName="Table413414" ref="P604:T625" totalsRowShown="0">
  <autoFilter ref="P604:T625" xr:uid="{2CFA6F3E-B395-4782-AD4A-9DBC6E1DF2D5}"/>
  <tableColumns count="5">
    <tableColumn id="1" xr3:uid="{42991F66-8549-4EAB-8BE0-FFE25473A12F}" name="time"/>
    <tableColumn id="2" xr3:uid="{777D684A-BE3A-4340-A630-9F5FD1A8420E}" name="moment" dataDxfId="137">
      <calculatedColumnFormula>(Table413414[[#This Row],[time]]-2)*2</calculatedColumnFormula>
    </tableColumn>
    <tableColumn id="3" xr3:uid="{4F1AA3C8-E775-42F1-8EF6-866405078FF7}" name="CAREA"/>
    <tableColumn id="4" xr3:uid="{4B323BEE-80DC-4658-BE14-F6678289DA2B}" name="CFNM"/>
    <tableColumn id="5" xr3:uid="{48A1B33B-3C43-431E-AEFA-5F3A218986BB}" name="CFNM/Total area contact" dataDxfId="136">
      <calculatedColumnFormula>Table413414[[#This Row],[CFNM]]/Table413414[[#This Row],[CAREA]]</calculatedColumnFormula>
    </tableColumn>
  </tableColumns>
  <tableStyleInfo name="TableStyleLight4" showFirstColumn="0" showLastColumn="0" showRowStripes="1" showColumnStripes="0"/>
</table>
</file>

<file path=xl/tables/table17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3" xr:uid="{2EB38AA1-4A48-4052-BBC9-713A71BA4D4A}" name="Table514415" displayName="Table514415" ref="U604:Y625" totalsRowShown="0">
  <autoFilter ref="U604:Y625" xr:uid="{2EB38AA1-4A48-4052-BBC9-713A71BA4D4A}"/>
  <tableColumns count="5">
    <tableColumn id="1" xr3:uid="{2E5BBDAF-BC8A-4ADB-BCD6-0AEC946983D8}" name="time"/>
    <tableColumn id="2" xr3:uid="{31DE6923-2383-4388-9BE1-1EC382920A96}" name="moment" dataDxfId="135">
      <calculatedColumnFormula>(Table514415[[#This Row],[time]]-2)*2</calculatedColumnFormula>
    </tableColumn>
    <tableColumn id="3" xr3:uid="{8CB8E569-DB3B-4208-A13F-3BD77C8418CC}" name="CAREA"/>
    <tableColumn id="4" xr3:uid="{910C462A-50A8-4F9B-943F-D46D4BFFB7B3}" name="CFNM"/>
    <tableColumn id="5" xr3:uid="{BF5F7742-21FA-4966-805C-AFB484DC9A6C}" name="CFNM/Total area contact" dataDxfId="134">
      <calculatedColumnFormula>Table514415[[#This Row],[CFNM]]/Table514415[[#This Row],[CAREA]]</calculatedColumnFormula>
    </tableColumn>
  </tableColumns>
  <tableStyleInfo name="TableStyleLight5" showFirstColumn="0" showLastColumn="0" showRowStripes="1" showColumnStripes="0"/>
</table>
</file>

<file path=xl/tables/table17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4" xr:uid="{E40C29B4-FC6C-45DF-91A4-ADC6C5D6110B}" name="Table615416" displayName="Table615416" ref="Z604:AD625" totalsRowShown="0">
  <autoFilter ref="Z604:AD625" xr:uid="{E40C29B4-FC6C-45DF-91A4-ADC6C5D6110B}"/>
  <tableColumns count="5">
    <tableColumn id="1" xr3:uid="{23BC1D6E-EDD7-4309-9E17-71415E9987F3}" name="time"/>
    <tableColumn id="2" xr3:uid="{CA634AC0-46B7-4BCD-968E-204D06917950}" name="moment" dataDxfId="133">
      <calculatedColumnFormula>(Table615416[[#This Row],[time]]-2)*2</calculatedColumnFormula>
    </tableColumn>
    <tableColumn id="3" xr3:uid="{41018E98-ACF3-4226-B04D-E47939D8CC7E}" name="CAREA"/>
    <tableColumn id="4" xr3:uid="{D210798A-5960-49DA-AE36-C0D55FD00191}" name="CFNM"/>
    <tableColumn id="5" xr3:uid="{A6D1BB0E-2559-4099-AA01-C0B74203F36F}" name="CFNM/Total area contact" dataDxfId="132">
      <calculatedColumnFormula>Table615416[[#This Row],[CFNM]]/Table615416[[#This Row],[CAREA]]</calculatedColumnFormula>
    </tableColumn>
  </tableColumns>
  <tableStyleInfo name="TableStyleLight6" showFirstColumn="0" showLastColumn="0" showRowStripes="1" showColumnStripes="0"/>
</table>
</file>

<file path=xl/tables/table17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5" xr:uid="{63D7B081-2261-4DC2-8D81-DF2E7772C52D}" name="Table716417" displayName="Table716417" ref="AE604:AI625" totalsRowShown="0">
  <autoFilter ref="AE604:AI625" xr:uid="{63D7B081-2261-4DC2-8D81-DF2E7772C52D}"/>
  <tableColumns count="5">
    <tableColumn id="1" xr3:uid="{575EA459-8D26-455B-9CFC-E4E4FCF4D6FB}" name="time"/>
    <tableColumn id="2" xr3:uid="{EA4A6012-63BE-4740-A738-F1DE66D2BB20}" name="moment" dataDxfId="131">
      <calculatedColumnFormula>(Table716417[[#This Row],[time]]-2)*2</calculatedColumnFormula>
    </tableColumn>
    <tableColumn id="3" xr3:uid="{2034AC71-AEE5-424A-A1B8-303C4096C3D1}" name="CAREA"/>
    <tableColumn id="4" xr3:uid="{A72EA81A-E0C0-4495-9EBE-19E6ADFE1820}" name="CFNM"/>
    <tableColumn id="5" xr3:uid="{2A2A0C23-A75E-45F0-A7EB-206895D33879}" name="CFNM/Total area contact" dataDxfId="130">
      <calculatedColumnFormula>Table716417[[#This Row],[CFNM]]/Table716417[[#This Row],[CAREA]]</calculatedColumnFormula>
    </tableColumn>
  </tableColumns>
  <tableStyleInfo name="TableStyleLight7" showFirstColumn="0" showLastColumn="0" showRowStripes="1" showColumnStripes="0"/>
</table>
</file>

<file path=xl/tables/table17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6" xr:uid="{1D369E59-F425-4419-8576-C42405907CE3}" name="Table817418" displayName="Table817418" ref="AJ604:AN625" totalsRowShown="0">
  <autoFilter ref="AJ604:AN625" xr:uid="{1D369E59-F425-4419-8576-C42405907CE3}"/>
  <tableColumns count="5">
    <tableColumn id="1" xr3:uid="{ACA65B07-6A36-423D-A974-52634359F3AA}" name="time"/>
    <tableColumn id="2" xr3:uid="{CB09E096-C3CB-4808-BC74-00517106D34F}" name="moment" dataDxfId="129">
      <calculatedColumnFormula>(Table817418[[#This Row],[time]]-2)*2</calculatedColumnFormula>
    </tableColumn>
    <tableColumn id="3" xr3:uid="{1938B78A-F246-4C17-97FD-ED1D7E54C0D5}" name="CAREA"/>
    <tableColumn id="4" xr3:uid="{2C6FCAF3-A8B6-4E24-87A5-0BF082272504}" name="CFNM"/>
    <tableColumn id="5" xr3:uid="{7EF473A1-CC2C-4FD7-85FD-700F50244620}" name="CFNM/Total area contact" dataDxfId="128">
      <calculatedColumnFormula>Table817418[[#This Row],[CFNM]]/Table817418[[#This Row],[CAREA]]</calculatedColumnFormula>
    </tableColumn>
  </tableColumns>
  <tableStyleInfo name="TableStyleLight15" showFirstColumn="0" showLastColumn="0" showRowStripes="1" showColumnStripes="0"/>
</table>
</file>

<file path=xl/tables/table17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7" xr:uid="{0D3D3676-80B9-421B-9293-443C09D2A9C3}" name="Table1419" displayName="Table1419" ref="A634:E655" totalsRowShown="0">
  <autoFilter ref="A634:E655" xr:uid="{0D3D3676-80B9-421B-9293-443C09D2A9C3}"/>
  <tableColumns count="5">
    <tableColumn id="1" xr3:uid="{AAB07EED-0D1C-4EDE-A759-924599A57358}" name="time"/>
    <tableColumn id="2" xr3:uid="{31304934-8C9A-4B24-A914-88FD23ABB5FD}" name="moment" dataDxfId="127">
      <calculatedColumnFormula>-(Table1419[[#This Row],[time]]-2)*2</calculatedColumnFormula>
    </tableColumn>
    <tableColumn id="3" xr3:uid="{0B84A450-88D5-44C2-86A3-D8C3BB204194}" name="CAREA"/>
    <tableColumn id="4" xr3:uid="{1E940A7A-0429-4ABA-A2D3-2442F6B54E1B}" name="CFNM"/>
    <tableColumn id="5" xr3:uid="{BF891D18-8630-46BD-B3B2-B838D75B27D5}" name="CFNM/Total area contact" dataDxfId="126">
      <calculatedColumnFormula>Table1419[[#This Row],[CFNM]]/Table1419[[#This Row],[CAREA]]</calculatedColumnFormula>
    </tableColumn>
  </tableColumns>
  <tableStyleInfo name="TableStyleLight1" showFirstColumn="0" showLastColumn="0" showRowStripes="1" showColumnStripes="0"/>
</table>
</file>

<file path=xl/tables/table17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8" xr:uid="{B8038439-7B3A-4E0C-A2CC-507F19D9FA2B}" name="Table2420" displayName="Table2420" ref="F634:J655" totalsRowShown="0">
  <autoFilter ref="F634:J655" xr:uid="{B8038439-7B3A-4E0C-A2CC-507F19D9FA2B}"/>
  <tableColumns count="5">
    <tableColumn id="1" xr3:uid="{4F6AB2D3-98DA-4EE4-8544-7797E88B9835}" name="time"/>
    <tableColumn id="2" xr3:uid="{2F6FEDB8-8A7D-4AEA-A31A-CDDDCB27CE98}" name="moment" dataDxfId="125">
      <calculatedColumnFormula>-(Table2420[[#This Row],[time]]-2)*2</calculatedColumnFormula>
    </tableColumn>
    <tableColumn id="3" xr3:uid="{BC4C5843-FB2D-4C4B-A95B-EFEE76F0B103}" name="CAREA"/>
    <tableColumn id="4" xr3:uid="{67BBC5DD-5C13-4F7C-AB56-E27726972683}" name="CFNM"/>
    <tableColumn id="5" xr3:uid="{EDA1F90D-1BBE-42CB-8D33-0A6E4D1172CB}" name="CFNM/Total area contact" dataDxfId="124">
      <calculatedColumnFormula>Table2420[[#This Row],[CFNM]]/Table2420[[#This Row],[CAREA]]</calculatedColumnFormula>
    </tableColumn>
  </tableColumns>
  <tableStyleInfo name="TableStyleLight2" showFirstColumn="0" showLastColumn="0" showRowStripes="1" showColumnStripes="0"/>
</table>
</file>

<file path=xl/tables/table17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9" xr:uid="{7B7AFB3D-5D62-4E4F-857C-538D43D5BDE5}" name="Table3421" displayName="Table3421" ref="K634:O655" totalsRowShown="0">
  <autoFilter ref="K634:O655" xr:uid="{7B7AFB3D-5D62-4E4F-857C-538D43D5BDE5}"/>
  <tableColumns count="5">
    <tableColumn id="1" xr3:uid="{FBD1F439-51CF-464B-B888-2D505D0BC5D6}" name="time"/>
    <tableColumn id="2" xr3:uid="{68BB79EF-652A-4F51-8D9C-073C308AD9E7}" name="moment" dataDxfId="123">
      <calculatedColumnFormula>-(Table3421[[#This Row],[time]]-2)*2</calculatedColumnFormula>
    </tableColumn>
    <tableColumn id="3" xr3:uid="{D075AAB8-EEA6-41FA-902E-03C357FE410F}" name="CAREA"/>
    <tableColumn id="4" xr3:uid="{49FC50B2-F859-47E5-8485-28E71FEF00F4}" name="CFNM"/>
    <tableColumn id="5" xr3:uid="{A70A84B2-0BE6-4FB1-94CC-FEFE70EE70C3}" name="CFNM/Total area contact" dataDxfId="122">
      <calculatedColumnFormula>Table3421[[#This Row],[CFNM]]/Table3421[[#This Row],[CAREA]]</calculatedColumnFormula>
    </tableColumn>
  </tableColumns>
  <tableStyleInfo name="TableStyleLight3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8" xr:uid="{9588BB6F-832E-4AF5-8355-A1D824BDCB7E}" name="Table2259" displayName="Table2259" ref="F91:J112" totalsRowShown="0">
  <autoFilter ref="F91:J112" xr:uid="{9588BB6F-832E-4AF5-8355-A1D824BDCB7E}"/>
  <tableColumns count="5">
    <tableColumn id="1" xr3:uid="{BC6DD757-EC20-4776-9E43-E5FD14541418}" name="time"/>
    <tableColumn id="2" xr3:uid="{82884AB6-83B2-48FC-8139-84D2294C7A56}" name="moment" dataDxfId="445">
      <calculatedColumnFormula>(Table2259[[#This Row],[time]]-2)*2</calculatedColumnFormula>
    </tableColumn>
    <tableColumn id="3" xr3:uid="{9A18B57B-1F9B-4BC7-944B-AEB42005862E}" name="CAREA"/>
    <tableColumn id="4" xr3:uid="{2FF87B3E-20A3-45C8-A05C-C4E202BD22BD}" name="CFNM"/>
    <tableColumn id="5" xr3:uid="{7ACC0854-5370-4760-B674-DF8968266CE6}" name="CFNM/Total area contact" dataDxfId="444">
      <calculatedColumnFormula>Table2259[[#This Row],[CFNM]]/Table2259[[#This Row],[CAREA]]</calculatedColumnFormula>
    </tableColumn>
  </tableColumns>
  <tableStyleInfo name="TableStyleLight2" showFirstColumn="0" showLastColumn="0" showRowStripes="1" showColumnStripes="0"/>
</table>
</file>

<file path=xl/tables/table18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0" xr:uid="{F123DCBB-C0CC-4D6B-AD12-C9B6C9BB24F2}" name="Table4422" displayName="Table4422" ref="P634:T655" totalsRowShown="0">
  <autoFilter ref="P634:T655" xr:uid="{F123DCBB-C0CC-4D6B-AD12-C9B6C9BB24F2}"/>
  <tableColumns count="5">
    <tableColumn id="1" xr3:uid="{3B75E6C2-D971-431A-8336-5C76814D5F25}" name="time"/>
    <tableColumn id="2" xr3:uid="{C555F639-944D-46ED-8E66-9A0817DFA8A8}" name="moment" dataDxfId="121">
      <calculatedColumnFormula>-(Table4422[[#This Row],[time]]-2)*2</calculatedColumnFormula>
    </tableColumn>
    <tableColumn id="3" xr3:uid="{1B6C6F56-CBC4-4F70-8CF3-B5844275ED14}" name="CAREA"/>
    <tableColumn id="4" xr3:uid="{5A56B280-F1EF-4EFF-9F1D-2F44AC799BE4}" name="CFNM"/>
    <tableColumn id="5" xr3:uid="{76B6E8DA-3113-434B-B94D-1E5311958456}" name="CFNM/Total area contact" dataDxfId="120">
      <calculatedColumnFormula>Table4422[[#This Row],[CFNM]]/Table4422[[#This Row],[CAREA]]</calculatedColumnFormula>
    </tableColumn>
  </tableColumns>
  <tableStyleInfo name="TableStyleLight4" showFirstColumn="0" showLastColumn="0" showRowStripes="1" showColumnStripes="0"/>
</table>
</file>

<file path=xl/tables/table18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1" xr:uid="{5E5C371F-7BE4-4FEB-A20C-A1C9E33936AB}" name="Table5423" displayName="Table5423" ref="U634:Y655" totalsRowShown="0">
  <autoFilter ref="U634:Y655" xr:uid="{5E5C371F-7BE4-4FEB-A20C-A1C9E33936AB}"/>
  <tableColumns count="5">
    <tableColumn id="1" xr3:uid="{134C874E-7D8C-4E71-9A8C-FAFEA07AF15E}" name="time"/>
    <tableColumn id="2" xr3:uid="{90343A7A-9D6F-4B8A-895A-730BA8E4A8C3}" name="moment" dataDxfId="119">
      <calculatedColumnFormula>-(Table5423[[#This Row],[time]]-2)*2</calculatedColumnFormula>
    </tableColumn>
    <tableColumn id="3" xr3:uid="{7D09A399-72B1-42F5-9DDE-CDF6A4974CC4}" name="CAREA"/>
    <tableColumn id="4" xr3:uid="{961B7B1C-C5FB-42E2-9CD7-9A3874465D7B}" name="CFNM"/>
    <tableColumn id="5" xr3:uid="{C89F603E-9E25-47C8-8607-1782C0F2CD6B}" name="CFNM/Total area contact" dataDxfId="118">
      <calculatedColumnFormula>Table5423[[#This Row],[CFNM]]/Table5423[[#This Row],[CAREA]]</calculatedColumnFormula>
    </tableColumn>
  </tableColumns>
  <tableStyleInfo name="TableStyleLight5" showFirstColumn="0" showLastColumn="0" showRowStripes="1" showColumnStripes="0"/>
</table>
</file>

<file path=xl/tables/table18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2" xr:uid="{A7EDEC1A-1947-4841-8A52-15D095DDD090}" name="Table6424" displayName="Table6424" ref="Z634:AD655" totalsRowShown="0">
  <autoFilter ref="Z634:AD655" xr:uid="{A7EDEC1A-1947-4841-8A52-15D095DDD090}"/>
  <tableColumns count="5">
    <tableColumn id="1" xr3:uid="{881EC415-7440-49BA-A493-4D974D991DFF}" name="time"/>
    <tableColumn id="2" xr3:uid="{61B5E044-EC04-4627-A29E-8E38253C7EB4}" name="moment" dataDxfId="117">
      <calculatedColumnFormula>-(Table6424[[#This Row],[time]]-2)*2</calculatedColumnFormula>
    </tableColumn>
    <tableColumn id="3" xr3:uid="{A1F1223D-6D03-4E57-994E-00C48EB593EB}" name="CAREA"/>
    <tableColumn id="4" xr3:uid="{4C34789C-4C9A-4FAD-89F2-6C15A01EBC38}" name="CFNM"/>
    <tableColumn id="5" xr3:uid="{80801A97-C017-437C-A1DC-63720D8CFC0F}" name="CFNM/Total area contact" dataDxfId="116">
      <calculatedColumnFormula>Table6424[[#This Row],[CFNM]]/Table6424[[#This Row],[CAREA]]</calculatedColumnFormula>
    </tableColumn>
  </tableColumns>
  <tableStyleInfo name="TableStyleLight6" showFirstColumn="0" showLastColumn="0" showRowStripes="1" showColumnStripes="0"/>
</table>
</file>

<file path=xl/tables/table18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3" xr:uid="{7CE93153-F69C-4EE9-B048-9B43A3C38EF1}" name="Table7425" displayName="Table7425" ref="AE634:AI655" totalsRowShown="0">
  <autoFilter ref="AE634:AI655" xr:uid="{7CE93153-F69C-4EE9-B048-9B43A3C38EF1}"/>
  <tableColumns count="5">
    <tableColumn id="1" xr3:uid="{D7F46CB7-754F-415D-849B-8A733889B8E7}" name="time"/>
    <tableColumn id="2" xr3:uid="{333AA561-FAA5-4DEB-B397-66D53BC31F34}" name="moment" dataDxfId="115">
      <calculatedColumnFormula>-(Table7425[[#This Row],[time]]-2)*2</calculatedColumnFormula>
    </tableColumn>
    <tableColumn id="3" xr3:uid="{05A48C25-5B86-4E14-8651-E4ACFD5F00DC}" name="CAREA"/>
    <tableColumn id="4" xr3:uid="{34C6A18B-4873-4F7F-AA9F-FD986C991328}" name="CFNM"/>
    <tableColumn id="5" xr3:uid="{62AF5389-E300-41D0-AE9F-6DC775C0EBFC}" name="CFNM/Total area contact" dataDxfId="114">
      <calculatedColumnFormula>Table7425[[#This Row],[CFNM]]/Table7425[[#This Row],[CAREA]]</calculatedColumnFormula>
    </tableColumn>
  </tableColumns>
  <tableStyleInfo name="TableStyleLight7" showFirstColumn="0" showLastColumn="0" showRowStripes="1" showColumnStripes="0"/>
</table>
</file>

<file path=xl/tables/table18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4" xr:uid="{765D3EAD-9D92-4815-9207-ACDA9C07BBD9}" name="Table8426" displayName="Table8426" ref="AJ634:AN655" totalsRowShown="0">
  <autoFilter ref="AJ634:AN655" xr:uid="{765D3EAD-9D92-4815-9207-ACDA9C07BBD9}"/>
  <tableColumns count="5">
    <tableColumn id="1" xr3:uid="{AD95DE95-446E-458F-9F8B-D5616FB1EE11}" name="time"/>
    <tableColumn id="2" xr3:uid="{D950C841-B42B-471D-BAE6-D99D22B3C6FB}" name="moment" dataDxfId="113">
      <calculatedColumnFormula>-(Table8426[[#This Row],[time]]-2)*2</calculatedColumnFormula>
    </tableColumn>
    <tableColumn id="3" xr3:uid="{A7E86ED1-EF5E-4583-81FD-1405C46A0706}" name="CAREA"/>
    <tableColumn id="4" xr3:uid="{F612ADC2-8471-4B65-9145-42A7E21736A4}" name="CFNM"/>
    <tableColumn id="5" xr3:uid="{BA367537-667B-4B93-972C-02AA95614A45}" name="CFNM/Total area contact" dataDxfId="112">
      <calculatedColumnFormula>Table8426[[#This Row],[CFNM]]/Table8426[[#This Row],[CAREA]]</calculatedColumnFormula>
    </tableColumn>
  </tableColumns>
  <tableStyleInfo name="TableStyleLight15" showFirstColumn="0" showLastColumn="0" showRowStripes="1" showColumnStripes="0"/>
</table>
</file>

<file path=xl/tables/table18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5" xr:uid="{2586BDD1-2DA1-46D2-924E-F2591367EE5C}" name="Table110427" displayName="Table110427" ref="A661:E682" totalsRowShown="0">
  <autoFilter ref="A661:E682" xr:uid="{2586BDD1-2DA1-46D2-924E-F2591367EE5C}"/>
  <tableColumns count="5">
    <tableColumn id="1" xr3:uid="{D0506154-260F-41B5-A182-2018BFBFF13E}" name="time"/>
    <tableColumn id="2" xr3:uid="{8AC1C36C-9B4B-484E-B83B-2F12FBCBE240}" name="moment" dataDxfId="111">
      <calculatedColumnFormula>(Table110427[[#This Row],[time]]-2)*2</calculatedColumnFormula>
    </tableColumn>
    <tableColumn id="3" xr3:uid="{C40109F7-CB45-478A-93B5-EFD7F6E8C635}" name="CAREA"/>
    <tableColumn id="4" xr3:uid="{D2C66EC9-930D-4F99-873D-7C6B343D8A34}" name="CFNM"/>
    <tableColumn id="5" xr3:uid="{579388C6-103E-4D89-AC72-397386DA39C7}" name="CFNM/Total area contact" dataDxfId="110">
      <calculatedColumnFormula>Table110427[[#This Row],[CFNM]]/Table110427[[#This Row],[CAREA]]</calculatedColumnFormula>
    </tableColumn>
  </tableColumns>
  <tableStyleInfo name="TableStyleLight1" showFirstColumn="0" showLastColumn="0" showRowStripes="1" showColumnStripes="0"/>
</table>
</file>

<file path=xl/tables/table18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6" xr:uid="{4342F388-0F84-447D-BF2D-3CDCF7A1A6CB}" name="Table211428" displayName="Table211428" ref="F661:J682" totalsRowShown="0">
  <autoFilter ref="F661:J682" xr:uid="{4342F388-0F84-447D-BF2D-3CDCF7A1A6CB}"/>
  <tableColumns count="5">
    <tableColumn id="1" xr3:uid="{2C56EF0C-7061-4CE1-8802-566B631A01AB}" name="time"/>
    <tableColumn id="2" xr3:uid="{2F0DDCE0-9AE6-4A50-BBB6-5A275CE501B2}" name="moment" dataDxfId="109">
      <calculatedColumnFormula>(Table211428[[#This Row],[time]]-2)*2</calculatedColumnFormula>
    </tableColumn>
    <tableColumn id="3" xr3:uid="{9BF9C505-37B8-428B-888E-7E5BED7E3159}" name="CAREA"/>
    <tableColumn id="4" xr3:uid="{D1985A3E-3E78-4EA3-A784-1226729F5698}" name="CFNM"/>
    <tableColumn id="5" xr3:uid="{5AE95A8C-E1B5-48F6-9B06-D9E1EA8EF8F4}" name="CFNM/Total area contact" dataDxfId="108">
      <calculatedColumnFormula>Table211428[[#This Row],[CFNM]]/Table211428[[#This Row],[CAREA]]</calculatedColumnFormula>
    </tableColumn>
  </tableColumns>
  <tableStyleInfo name="TableStyleLight2" showFirstColumn="0" showLastColumn="0" showRowStripes="1" showColumnStripes="0"/>
</table>
</file>

<file path=xl/tables/table18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7" xr:uid="{EE940FEC-855E-409F-9E14-24458DA2F1E4}" name="Table312429" displayName="Table312429" ref="K661:O682" totalsRowShown="0">
  <autoFilter ref="K661:O682" xr:uid="{EE940FEC-855E-409F-9E14-24458DA2F1E4}"/>
  <tableColumns count="5">
    <tableColumn id="1" xr3:uid="{515118EF-E10A-4569-A7D9-784F8AC09E8B}" name="time"/>
    <tableColumn id="2" xr3:uid="{06D0EA83-D68B-4F5B-A17E-1F0C7182ED4C}" name="moment" dataDxfId="107">
      <calculatedColumnFormula>(Table312429[[#This Row],[time]]-2)*2</calculatedColumnFormula>
    </tableColumn>
    <tableColumn id="3" xr3:uid="{CF17F250-03DD-4F4C-B6B7-73A874FC4F43}" name="CAREA"/>
    <tableColumn id="4" xr3:uid="{6D63EBAA-26E9-452D-869F-02B3F223BC17}" name="CFNM"/>
    <tableColumn id="5" xr3:uid="{94FB09ED-ACA0-4005-9751-3C8888F81AB9}" name="CFNM/Total area contact" dataDxfId="106">
      <calculatedColumnFormula>Table312429[[#This Row],[CFNM]]/Table312429[[#This Row],[CAREA]]</calculatedColumnFormula>
    </tableColumn>
  </tableColumns>
  <tableStyleInfo name="TableStyleLight3" showFirstColumn="0" showLastColumn="0" showRowStripes="1" showColumnStripes="0"/>
</table>
</file>

<file path=xl/tables/table18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8" xr:uid="{4C5C415A-CA3D-4208-BCD1-EFDBB8056833}" name="Table413430" displayName="Table413430" ref="P661:T682" totalsRowShown="0">
  <autoFilter ref="P661:T682" xr:uid="{4C5C415A-CA3D-4208-BCD1-EFDBB8056833}"/>
  <tableColumns count="5">
    <tableColumn id="1" xr3:uid="{CE8989DE-BC02-4501-B8ED-DAD11CC7B16D}" name="time"/>
    <tableColumn id="2" xr3:uid="{5845B258-7C4C-420F-AC28-F07AE88F3260}" name="moment" dataDxfId="105">
      <calculatedColumnFormula>(Table413430[[#This Row],[time]]-2)*2</calculatedColumnFormula>
    </tableColumn>
    <tableColumn id="3" xr3:uid="{32F19246-94FC-43AE-AD91-731D9D7DC222}" name="CAREA"/>
    <tableColumn id="4" xr3:uid="{4326BCC5-7B64-4163-B07E-199CA61A85F4}" name="CFNM"/>
    <tableColumn id="5" xr3:uid="{CE7459D0-69EB-44CF-9A67-98796C37C852}" name="CFNM/Total area contact" dataDxfId="104">
      <calculatedColumnFormula>Table413430[[#This Row],[CFNM]]/Table413430[[#This Row],[CAREA]]</calculatedColumnFormula>
    </tableColumn>
  </tableColumns>
  <tableStyleInfo name="TableStyleLight4" showFirstColumn="0" showLastColumn="0" showRowStripes="1" showColumnStripes="0"/>
</table>
</file>

<file path=xl/tables/table18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9" xr:uid="{3B7D5E03-2706-4BC0-94B1-6E3CDD445FB6}" name="Table514431" displayName="Table514431" ref="U661:Y682" totalsRowShown="0">
  <autoFilter ref="U661:Y682" xr:uid="{3B7D5E03-2706-4BC0-94B1-6E3CDD445FB6}"/>
  <tableColumns count="5">
    <tableColumn id="1" xr3:uid="{F22AEC35-AC6C-4A24-9B2D-7C0B16AD5F16}" name="time"/>
    <tableColumn id="2" xr3:uid="{ABAA218F-9CFF-4E78-9A23-F376AD1B7D1E}" name="moment" dataDxfId="103">
      <calculatedColumnFormula>(Table514431[[#This Row],[time]]-2)*2</calculatedColumnFormula>
    </tableColumn>
    <tableColumn id="3" xr3:uid="{C50E1534-9235-4AAE-B92B-AC93A5EB7154}" name="CAREA"/>
    <tableColumn id="4" xr3:uid="{E3EC03A0-C592-4145-A867-7E928242A55A}" name="CFNM"/>
    <tableColumn id="5" xr3:uid="{6209A768-69D9-4406-90A9-0B1539A38E90}" name="CFNM/Total area contact" dataDxfId="102">
      <calculatedColumnFormula>Table514431[[#This Row],[CFNM]]/Table514431[[#This Row],[CAREA]]</calculatedColumnFormula>
    </tableColumn>
  </tableColumns>
  <tableStyleInfo name="TableStyleLight5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9" xr:uid="{895BF882-F187-426C-984E-EC78BDFEA4AC}" name="Table3260" displayName="Table3260" ref="K91:O112" totalsRowShown="0">
  <autoFilter ref="K91:O112" xr:uid="{895BF882-F187-426C-984E-EC78BDFEA4AC}"/>
  <tableColumns count="5">
    <tableColumn id="1" xr3:uid="{89C780B3-6037-467C-8294-E7F8D157B683}" name="time"/>
    <tableColumn id="2" xr3:uid="{32CF4351-A6AB-45A3-A745-E24C09229483}" name="moment" dataDxfId="443">
      <calculatedColumnFormula>(Table3260[[#This Row],[time]]-2)*2</calculatedColumnFormula>
    </tableColumn>
    <tableColumn id="3" xr3:uid="{E364D946-6112-4167-A377-3011C4CA8B45}" name="CAREA"/>
    <tableColumn id="4" xr3:uid="{3917CAFA-73F6-4C6B-9188-CF87325B6E73}" name="CFNM"/>
    <tableColumn id="5" xr3:uid="{1DC0DEB0-3EAF-4DA8-AA34-62DABBE96A42}" name="CFNM/Total area contact" dataDxfId="442">
      <calculatedColumnFormula>Table3260[[#This Row],[CFNM]]/Table3260[[#This Row],[CAREA]]</calculatedColumnFormula>
    </tableColumn>
  </tableColumns>
  <tableStyleInfo name="TableStyleLight3" showFirstColumn="0" showLastColumn="0" showRowStripes="1" showColumnStripes="0"/>
</table>
</file>

<file path=xl/tables/table19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0" xr:uid="{10FCACAF-8C34-408B-9CA1-6E38D824FD07}" name="Table615432" displayName="Table615432" ref="Z661:AD682" totalsRowShown="0">
  <autoFilter ref="Z661:AD682" xr:uid="{10FCACAF-8C34-408B-9CA1-6E38D824FD07}"/>
  <tableColumns count="5">
    <tableColumn id="1" xr3:uid="{A6E9EDD2-6DE5-40AB-8170-6B979B274A91}" name="time"/>
    <tableColumn id="2" xr3:uid="{7C393D29-1FD7-421B-AA23-C4B1B72561F8}" name="moment" dataDxfId="101">
      <calculatedColumnFormula>(Table615432[[#This Row],[time]]-2)*2</calculatedColumnFormula>
    </tableColumn>
    <tableColumn id="3" xr3:uid="{5A356C94-AAC6-4222-B6C4-36A74F7B20C1}" name="CAREA"/>
    <tableColumn id="4" xr3:uid="{CEBB4613-D311-4FC0-A99B-87F75B23DF8F}" name="CFNM"/>
    <tableColumn id="5" xr3:uid="{03776E6C-AD72-4F5C-AF23-41A3684AEC3B}" name="CFNM/Total area contact" dataDxfId="100">
      <calculatedColumnFormula>Table615432[[#This Row],[CFNM]]/Table615432[[#This Row],[CAREA]]</calculatedColumnFormula>
    </tableColumn>
  </tableColumns>
  <tableStyleInfo name="TableStyleLight6" showFirstColumn="0" showLastColumn="0" showRowStripes="1" showColumnStripes="0"/>
</table>
</file>

<file path=xl/tables/table19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1" xr:uid="{EF8D456F-8211-4438-ACCC-9AFEB477C33E}" name="Table716433" displayName="Table716433" ref="AE661:AI682" totalsRowShown="0">
  <autoFilter ref="AE661:AI682" xr:uid="{EF8D456F-8211-4438-ACCC-9AFEB477C33E}"/>
  <tableColumns count="5">
    <tableColumn id="1" xr3:uid="{06150D34-2E0E-484F-AA67-4C5C56DEB972}" name="time"/>
    <tableColumn id="2" xr3:uid="{358F4865-1956-4DE4-9D08-9FE05B4F5300}" name="moment" dataDxfId="99">
      <calculatedColumnFormula>(Table716433[[#This Row],[time]]-2)*2</calculatedColumnFormula>
    </tableColumn>
    <tableColumn id="3" xr3:uid="{11B106AB-7076-41DF-97CD-EF3C88BB45EE}" name="CAREA"/>
    <tableColumn id="4" xr3:uid="{744DC755-0E6F-4696-92F1-43D4E73FF574}" name="CFNM"/>
    <tableColumn id="5" xr3:uid="{959C1C5F-004A-4601-81C1-AB50F661C2BC}" name="CFNM/Total area contact" dataDxfId="98">
      <calculatedColumnFormula>Table716433[[#This Row],[CFNM]]/Table716433[[#This Row],[CAREA]]</calculatedColumnFormula>
    </tableColumn>
  </tableColumns>
  <tableStyleInfo name="TableStyleLight7" showFirstColumn="0" showLastColumn="0" showRowStripes="1" showColumnStripes="0"/>
</table>
</file>

<file path=xl/tables/table19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2" xr:uid="{94E31A05-D41F-46C8-9084-5915FFD74453}" name="Table817434" displayName="Table817434" ref="AJ661:AN682" totalsRowShown="0">
  <autoFilter ref="AJ661:AN682" xr:uid="{94E31A05-D41F-46C8-9084-5915FFD74453}"/>
  <tableColumns count="5">
    <tableColumn id="1" xr3:uid="{D85CEAB8-73F8-49AA-854F-F60B62411DA3}" name="time"/>
    <tableColumn id="2" xr3:uid="{1F48B78A-0F6B-4E94-9422-49DED82ED3C8}" name="moment" dataDxfId="97">
      <calculatedColumnFormula>(Table817434[[#This Row],[time]]-2)*2</calculatedColumnFormula>
    </tableColumn>
    <tableColumn id="3" xr3:uid="{91740DDD-D47B-4093-A517-97EEDF8CFA09}" name="CAREA"/>
    <tableColumn id="4" xr3:uid="{DE91BB1C-7467-44A1-A3D2-2560B75A0957}" name="CFNM"/>
    <tableColumn id="5" xr3:uid="{F0AD3A12-59F1-477F-BEDD-E9C67BA0D00D}" name="CFNM/Total area contact" dataDxfId="96">
      <calculatedColumnFormula>Table817434[[#This Row],[CFNM]]/Table817434[[#This Row],[CAREA]]</calculatedColumnFormula>
    </tableColumn>
  </tableColumns>
  <tableStyleInfo name="TableStyleLight15" showFirstColumn="0" showLastColumn="0" showRowStripes="1" showColumnStripes="0"/>
</table>
</file>

<file path=xl/tables/table19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3" xr:uid="{98DD87FF-0D64-4B2E-BA17-C7BF88D1B05E}" name="Table1435" displayName="Table1435" ref="A691:E712" totalsRowShown="0">
  <autoFilter ref="A691:E712" xr:uid="{98DD87FF-0D64-4B2E-BA17-C7BF88D1B05E}"/>
  <tableColumns count="5">
    <tableColumn id="1" xr3:uid="{75002847-5998-4702-BA29-C1F514925145}" name="time"/>
    <tableColumn id="2" xr3:uid="{CB47E125-A1A4-4767-A8DE-D9137DFAC647}" name="moment" dataDxfId="95">
      <calculatedColumnFormula>-(Table1435[[#This Row],[time]]-2)*2</calculatedColumnFormula>
    </tableColumn>
    <tableColumn id="3" xr3:uid="{8165A96F-BAFB-405C-BB62-78A12B193C3B}" name="CAREA"/>
    <tableColumn id="4" xr3:uid="{B9F47FC4-6243-45AB-884B-035996882B7E}" name="CFNM"/>
    <tableColumn id="5" xr3:uid="{B2AA38CE-8255-475E-AA13-08F8237CFB7F}" name="CFNM/Total area contact" dataDxfId="94">
      <calculatedColumnFormula>Table1435[[#This Row],[CFNM]]/Table1435[[#This Row],[CAREA]]</calculatedColumnFormula>
    </tableColumn>
  </tableColumns>
  <tableStyleInfo name="TableStyleLight1" showFirstColumn="0" showLastColumn="0" showRowStripes="1" showColumnStripes="0"/>
</table>
</file>

<file path=xl/tables/table19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4" xr:uid="{778D0815-A31E-4AB7-AB31-44FDDD86B9D1}" name="Table2436" displayName="Table2436" ref="F691:J712" totalsRowShown="0">
  <autoFilter ref="F691:J712" xr:uid="{778D0815-A31E-4AB7-AB31-44FDDD86B9D1}"/>
  <tableColumns count="5">
    <tableColumn id="1" xr3:uid="{7F60454B-D16E-4C96-B70A-A92EE8518C67}" name="time"/>
    <tableColumn id="2" xr3:uid="{5A651C16-D8F5-4584-ADBE-D076FE46D44E}" name="moment" dataDxfId="93">
      <calculatedColumnFormula>-(Table2436[[#This Row],[time]]-2)*2</calculatedColumnFormula>
    </tableColumn>
    <tableColumn id="3" xr3:uid="{8AC202B8-D67D-488C-A8FE-0E24A0C30017}" name="CAREA"/>
    <tableColumn id="4" xr3:uid="{EE0DEDF3-B8A4-492E-BCED-29CE96587A3D}" name="CFNM"/>
    <tableColumn id="5" xr3:uid="{1660E237-9B53-4A9D-B98C-E78C7B545F1A}" name="CFNM/Total area contact" dataDxfId="92">
      <calculatedColumnFormula>Table2436[[#This Row],[CFNM]]/Table2436[[#This Row],[CAREA]]</calculatedColumnFormula>
    </tableColumn>
  </tableColumns>
  <tableStyleInfo name="TableStyleLight2" showFirstColumn="0" showLastColumn="0" showRowStripes="1" showColumnStripes="0"/>
</table>
</file>

<file path=xl/tables/table19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5" xr:uid="{E07E575A-B051-435B-BCF5-DEFF70BA0031}" name="Table3437" displayName="Table3437" ref="K691:O712" totalsRowShown="0">
  <autoFilter ref="K691:O712" xr:uid="{E07E575A-B051-435B-BCF5-DEFF70BA0031}"/>
  <tableColumns count="5">
    <tableColumn id="1" xr3:uid="{54AE9E5D-900C-4792-BADC-59901843E0B0}" name="time"/>
    <tableColumn id="2" xr3:uid="{1F53465F-B30B-4CBC-A1C8-3B738DC4FD97}" name="moment" dataDxfId="91">
      <calculatedColumnFormula>-(Table3437[[#This Row],[time]]-2)*2</calculatedColumnFormula>
    </tableColumn>
    <tableColumn id="3" xr3:uid="{FFDC1BBB-BA5A-4590-9ED5-812BB959E3EA}" name="CAREA"/>
    <tableColumn id="4" xr3:uid="{BD87E3E9-CF04-49A9-95D9-246A40F57895}" name="CFNM"/>
    <tableColumn id="5" xr3:uid="{64A75989-30F7-4390-8FAD-6DB04A540D27}" name="CFNM/Total area contact" dataDxfId="90">
      <calculatedColumnFormula>Table3437[[#This Row],[CFNM]]/Table3437[[#This Row],[CAREA]]</calculatedColumnFormula>
    </tableColumn>
  </tableColumns>
  <tableStyleInfo name="TableStyleLight3" showFirstColumn="0" showLastColumn="0" showRowStripes="1" showColumnStripes="0"/>
</table>
</file>

<file path=xl/tables/table19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6" xr:uid="{61E4FC45-ED91-4651-8D15-B5BED30D64FD}" name="Table4438" displayName="Table4438" ref="P691:T712" totalsRowShown="0">
  <autoFilter ref="P691:T712" xr:uid="{61E4FC45-ED91-4651-8D15-B5BED30D64FD}"/>
  <tableColumns count="5">
    <tableColumn id="1" xr3:uid="{5FF203D5-E4AB-434B-8AD5-2ABD2CC6769F}" name="time"/>
    <tableColumn id="2" xr3:uid="{ABC4729E-9B75-4846-88A5-C3FDEAD996F5}" name="moment" dataDxfId="89">
      <calculatedColumnFormula>-(Table4438[[#This Row],[time]]-2)*2</calculatedColumnFormula>
    </tableColumn>
    <tableColumn id="3" xr3:uid="{D1ABA4F5-2E84-4010-9D44-F7BF598D3337}" name="CAREA"/>
    <tableColumn id="4" xr3:uid="{46D8990F-45E6-4893-B29E-AE9C446D40AA}" name="CFNM"/>
    <tableColumn id="5" xr3:uid="{E570B76A-53D8-4E22-A823-EA65FB4C6BF9}" name="CFNM/Total area contact" dataDxfId="88">
      <calculatedColumnFormula>Table4438[[#This Row],[CFNM]]/Table4438[[#This Row],[CAREA]]</calculatedColumnFormula>
    </tableColumn>
  </tableColumns>
  <tableStyleInfo name="TableStyleLight4" showFirstColumn="0" showLastColumn="0" showRowStripes="1" showColumnStripes="0"/>
</table>
</file>

<file path=xl/tables/table19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7" xr:uid="{6D34A418-534F-44EC-8AE7-AD96EEAAD18E}" name="Table5439" displayName="Table5439" ref="U691:Y712" totalsRowShown="0">
  <autoFilter ref="U691:Y712" xr:uid="{6D34A418-534F-44EC-8AE7-AD96EEAAD18E}"/>
  <tableColumns count="5">
    <tableColumn id="1" xr3:uid="{F8F96B78-C822-41D8-8E63-B66AD64C3043}" name="time"/>
    <tableColumn id="2" xr3:uid="{E41BF273-55CB-47F5-A104-B064891834B8}" name="moment" dataDxfId="87">
      <calculatedColumnFormula>-(Table5439[[#This Row],[time]]-2)*2</calculatedColumnFormula>
    </tableColumn>
    <tableColumn id="3" xr3:uid="{EE65DDED-E66B-4DD5-B25C-9CC41032D4E2}" name="CAREA"/>
    <tableColumn id="4" xr3:uid="{9CCF66A9-3302-4659-A39F-BCCBB8E3FF26}" name="CFNM"/>
    <tableColumn id="5" xr3:uid="{BAB98968-4CC0-4D42-9F19-9BC237C78865}" name="CFNM/Total area contact" dataDxfId="86">
      <calculatedColumnFormula>Table5439[[#This Row],[CFNM]]/Table5439[[#This Row],[CAREA]]</calculatedColumnFormula>
    </tableColumn>
  </tableColumns>
  <tableStyleInfo name="TableStyleLight5" showFirstColumn="0" showLastColumn="0" showRowStripes="1" showColumnStripes="0"/>
</table>
</file>

<file path=xl/tables/table19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8" xr:uid="{550DFF2C-842F-44D3-9EAD-644378D56D89}" name="Table6440" displayName="Table6440" ref="Z691:AD712" totalsRowShown="0">
  <autoFilter ref="Z691:AD712" xr:uid="{550DFF2C-842F-44D3-9EAD-644378D56D89}"/>
  <tableColumns count="5">
    <tableColumn id="1" xr3:uid="{21D7FAC1-CB47-403F-A34D-EF30A5BC11EB}" name="time"/>
    <tableColumn id="2" xr3:uid="{9F312CD7-C88E-4BF2-AB07-8B493AC54C3A}" name="moment" dataDxfId="85">
      <calculatedColumnFormula>-(Table6440[[#This Row],[time]]-2)*2</calculatedColumnFormula>
    </tableColumn>
    <tableColumn id="3" xr3:uid="{B0B2908E-F1CA-46E7-9AC3-EB82327EAE0D}" name="CAREA"/>
    <tableColumn id="4" xr3:uid="{24AC9179-FF82-47B3-B0CD-A08DFA1B22F7}" name="CFNM"/>
    <tableColumn id="5" xr3:uid="{080F64F5-326E-4052-8B6E-F730125496E9}" name="CFNM/Total area contact" dataDxfId="84">
      <calculatedColumnFormula>Table6440[[#This Row],[CFNM]]/Table6440[[#This Row],[CAREA]]</calculatedColumnFormula>
    </tableColumn>
  </tableColumns>
  <tableStyleInfo name="TableStyleLight6" showFirstColumn="0" showLastColumn="0" showRowStripes="1" showColumnStripes="0"/>
</table>
</file>

<file path=xl/tables/table19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9" xr:uid="{9F68AB6F-C034-4E1E-BFCA-AA12F7C08232}" name="Table7441" displayName="Table7441" ref="AE691:AI712" totalsRowShown="0">
  <autoFilter ref="AE691:AI712" xr:uid="{9F68AB6F-C034-4E1E-BFCA-AA12F7C08232}"/>
  <tableColumns count="5">
    <tableColumn id="1" xr3:uid="{35E4F6C8-D8B5-4A31-8FFD-383A80B70D33}" name="time"/>
    <tableColumn id="2" xr3:uid="{87D04854-2A56-46D5-903B-0D6606B52AF4}" name="moment" dataDxfId="83">
      <calculatedColumnFormula>-(Table7441[[#This Row],[time]]-2)*2</calculatedColumnFormula>
    </tableColumn>
    <tableColumn id="3" xr3:uid="{8FFB837E-09E9-4428-AF9E-CD2765975BFF}" name="CAREA"/>
    <tableColumn id="4" xr3:uid="{09DCFA96-040B-4072-B6AA-55DBB6BFEB58}" name="CFNM"/>
    <tableColumn id="5" xr3:uid="{BAFA0952-1641-424B-A2DA-448E192B9CC0}" name="CFNM/Total area contact" dataDxfId="82">
      <calculatedColumnFormula>Table7441[[#This Row],[CFNM]]/Table7441[[#This Row],[CAREA]]</calculatedColumnFormula>
    </tableColumn>
  </tableColumns>
  <tableStyleInfo name="TableStyleLight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2" xr:uid="{AEF3D678-9AA2-4BAF-8C61-84590B01D601}" name="Table2244" displayName="Table2244" ref="F7:J28" totalsRowShown="0">
  <autoFilter ref="F7:J28" xr:uid="{AEF3D678-9AA2-4BAF-8C61-84590B01D601}"/>
  <tableColumns count="5">
    <tableColumn id="1" xr3:uid="{3834169E-C73D-4B89-9605-7859E0440F6D}" name="time"/>
    <tableColumn id="2" xr3:uid="{2858AC38-B2D8-4498-A795-1C0D4E21B299}" name="moment" dataDxfId="477">
      <calculatedColumnFormula>-(Table2244[[#This Row],[time]]-2)*2</calculatedColumnFormula>
    </tableColumn>
    <tableColumn id="3" xr3:uid="{5479EC32-1639-443C-96DF-AA36AA9F6E53}" name="CAREA"/>
    <tableColumn id="4" xr3:uid="{9801B1F8-9BD2-4B3B-98FD-322C7B3F732B}" name="CFNM"/>
    <tableColumn id="5" xr3:uid="{86C54A0C-0C63-4DC2-883E-8548A07CAA6A}" name="CFNM/Total area contact" dataDxfId="476">
      <calculatedColumnFormula>Table2244[[#This Row],[CFNM]]/Table2244[[#This Row],[CAREA]]</calculatedColumnFormula>
    </tableColumn>
  </tableColumns>
  <tableStyleInfo name="TableStyleLight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0" xr:uid="{37554C7F-B72F-40AC-A18C-2B6BBBCA7C3E}" name="Table4261" displayName="Table4261" ref="P91:T112" totalsRowShown="0">
  <autoFilter ref="P91:T112" xr:uid="{37554C7F-B72F-40AC-A18C-2B6BBBCA7C3E}"/>
  <tableColumns count="5">
    <tableColumn id="1" xr3:uid="{6BEF9910-6053-4FD8-A694-15751FB54CDD}" name="time"/>
    <tableColumn id="2" xr3:uid="{6D33DB93-D414-4636-8FC5-08FD1EA09C72}" name="moment" dataDxfId="441">
      <calculatedColumnFormula>(Table4261[[#This Row],[time]]-2)*2</calculatedColumnFormula>
    </tableColumn>
    <tableColumn id="3" xr3:uid="{7898B612-63BE-4428-90E2-DA569BF38281}" name="CAREA"/>
    <tableColumn id="4" xr3:uid="{6F7441C1-D5AD-468E-9ACF-4DD2E50DE075}" name="CFNM"/>
    <tableColumn id="5" xr3:uid="{9CAAEA15-6E89-4148-B2D3-34A179B77DFC}" name="CFNM/Total area contact" dataDxfId="440">
      <calculatedColumnFormula>Table4261[[#This Row],[CFNM]]/Table4261[[#This Row],[CAREA]]</calculatedColumnFormula>
    </tableColumn>
  </tableColumns>
  <tableStyleInfo name="TableStyleLight4" showFirstColumn="0" showLastColumn="0" showRowStripes="1" showColumnStripes="0"/>
</table>
</file>

<file path=xl/tables/table20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0" xr:uid="{3C9E6DEB-1B36-4F3F-B323-E0B130E9737D}" name="Table8442" displayName="Table8442" ref="AJ691:AN712" totalsRowShown="0">
  <autoFilter ref="AJ691:AN712" xr:uid="{3C9E6DEB-1B36-4F3F-B323-E0B130E9737D}"/>
  <tableColumns count="5">
    <tableColumn id="1" xr3:uid="{C22FBBBB-1913-4EC4-BB39-FBB971A125C3}" name="time"/>
    <tableColumn id="2" xr3:uid="{C5761DE7-D731-49A3-A52D-629436796342}" name="moment" dataDxfId="81">
      <calculatedColumnFormula>-(Table8442[[#This Row],[time]]-2)*2</calculatedColumnFormula>
    </tableColumn>
    <tableColumn id="3" xr3:uid="{9E614F59-DF73-49B2-B851-D6ADB343EFF7}" name="CAREA"/>
    <tableColumn id="4" xr3:uid="{CE27040A-D345-47B4-B7F3-C17921F85118}" name="CFNM"/>
    <tableColumn id="5" xr3:uid="{179F9478-CFE1-402A-943A-965F3608D39A}" name="CFNM/Total area contact" dataDxfId="80">
      <calculatedColumnFormula>Table8442[[#This Row],[CFNM]]/Table8442[[#This Row],[CAREA]]</calculatedColumnFormula>
    </tableColumn>
  </tableColumns>
  <tableStyleInfo name="TableStyleLight15" showFirstColumn="0" showLastColumn="0" showRowStripes="1" showColumnStripes="0"/>
</table>
</file>

<file path=xl/tables/table20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1" xr:uid="{06922EA2-5822-45DA-8A22-9C3AD1CE899C}" name="Table110443" displayName="Table110443" ref="A718:E739" totalsRowShown="0">
  <autoFilter ref="A718:E739" xr:uid="{06922EA2-5822-45DA-8A22-9C3AD1CE899C}"/>
  <tableColumns count="5">
    <tableColumn id="1" xr3:uid="{0F332A87-D3AF-457F-8790-EE13604EB0F5}" name="time"/>
    <tableColumn id="2" xr3:uid="{5E32A9D9-D5EE-4DC5-A231-76A5B146CBED}" name="moment" dataDxfId="79">
      <calculatedColumnFormula>(Table110443[[#This Row],[time]]-2)*2</calculatedColumnFormula>
    </tableColumn>
    <tableColumn id="3" xr3:uid="{EC3E9E7F-3671-4970-8F28-A158FA851009}" name="CAREA"/>
    <tableColumn id="4" xr3:uid="{19D5AF64-161E-403D-8E12-FCD2AD7578CD}" name="CFNM"/>
    <tableColumn id="5" xr3:uid="{5D95C8B8-1711-4064-92AB-674088459A49}" name="CFNM/Total area contact" dataDxfId="78">
      <calculatedColumnFormula>Table110443[[#This Row],[CFNM]]/Table110443[[#This Row],[CAREA]]</calculatedColumnFormula>
    </tableColumn>
  </tableColumns>
  <tableStyleInfo name="TableStyleLight1" showFirstColumn="0" showLastColumn="0" showRowStripes="1" showColumnStripes="0"/>
</table>
</file>

<file path=xl/tables/table20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2" xr:uid="{30448988-27F2-47F5-B43D-5A819BBEBF00}" name="Table211444" displayName="Table211444" ref="F718:J739" totalsRowShown="0">
  <autoFilter ref="F718:J739" xr:uid="{30448988-27F2-47F5-B43D-5A819BBEBF00}"/>
  <tableColumns count="5">
    <tableColumn id="1" xr3:uid="{1BDAB291-25DF-48D4-B998-A54783F4E1F5}" name="time"/>
    <tableColumn id="2" xr3:uid="{2B5DE94B-8B04-4E14-8212-F5950CCDC0DF}" name="moment" dataDxfId="77">
      <calculatedColumnFormula>(Table211444[[#This Row],[time]]-2)*2</calculatedColumnFormula>
    </tableColumn>
    <tableColumn id="3" xr3:uid="{F34E07D0-502A-4A6D-AB1C-4EB9EC79D57D}" name="CAREA"/>
    <tableColumn id="4" xr3:uid="{EFC5DB26-6201-4208-B2CC-2AC12B455648}" name="CFNM"/>
    <tableColumn id="5" xr3:uid="{27F9DD54-AF3E-4C0E-BB58-58F2D7C4FCC9}" name="CFNM/Total area contact" dataDxfId="76">
      <calculatedColumnFormula>Table211444[[#This Row],[CFNM]]/Table211444[[#This Row],[CAREA]]</calculatedColumnFormula>
    </tableColumn>
  </tableColumns>
  <tableStyleInfo name="TableStyleLight2" showFirstColumn="0" showLastColumn="0" showRowStripes="1" showColumnStripes="0"/>
</table>
</file>

<file path=xl/tables/table20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3" xr:uid="{BEF5C98A-8AAD-4273-8F7A-F8C3A2A217E7}" name="Table312445" displayName="Table312445" ref="K718:O739" totalsRowShown="0">
  <autoFilter ref="K718:O739" xr:uid="{BEF5C98A-8AAD-4273-8F7A-F8C3A2A217E7}"/>
  <tableColumns count="5">
    <tableColumn id="1" xr3:uid="{BAB94058-6A9E-46B5-A9C4-D8BED579905F}" name="time"/>
    <tableColumn id="2" xr3:uid="{3DA09202-ED57-4ABB-B7CF-F9D3A0B3B426}" name="moment" dataDxfId="75">
      <calculatedColumnFormula>(Table312445[[#This Row],[time]]-2)*2</calculatedColumnFormula>
    </tableColumn>
    <tableColumn id="3" xr3:uid="{671D62E3-A17A-4E8F-8EC2-695AAE75B51F}" name="CAREA"/>
    <tableColumn id="4" xr3:uid="{02662BA7-EB86-48D6-AA7D-C3712CB9830E}" name="CFNM"/>
    <tableColumn id="5" xr3:uid="{5C8B3014-4EB8-4FF1-B4ED-247F95C4B703}" name="CFNM/Total area contact" dataDxfId="74">
      <calculatedColumnFormula>Table312445[[#This Row],[CFNM]]/Table312445[[#This Row],[CAREA]]</calculatedColumnFormula>
    </tableColumn>
  </tableColumns>
  <tableStyleInfo name="TableStyleLight3" showFirstColumn="0" showLastColumn="0" showRowStripes="1" showColumnStripes="0"/>
</table>
</file>

<file path=xl/tables/table20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4" xr:uid="{3EB1B973-2C35-4DD1-B887-82A56D2B4572}" name="Table413446" displayName="Table413446" ref="P718:T739" totalsRowShown="0">
  <autoFilter ref="P718:T739" xr:uid="{3EB1B973-2C35-4DD1-B887-82A56D2B4572}"/>
  <tableColumns count="5">
    <tableColumn id="1" xr3:uid="{BD3BADAE-D75B-4C62-ACDE-2790B7CFA241}" name="time"/>
    <tableColumn id="2" xr3:uid="{63423C9A-32E8-4AF2-AA0B-0AEC5F9DCCE2}" name="moment" dataDxfId="73">
      <calculatedColumnFormula>(Table413446[[#This Row],[time]]-2)*2</calculatedColumnFormula>
    </tableColumn>
    <tableColumn id="3" xr3:uid="{9B70A5EB-3DBA-4545-BF9F-73D7FD2CF0BC}" name="CAREA"/>
    <tableColumn id="4" xr3:uid="{430A76C0-0728-49FD-B906-0EA2EB8E7DCE}" name="CFNM"/>
    <tableColumn id="5" xr3:uid="{3432F1CE-74ED-4F35-B484-C43F9A8E7A4F}" name="CFNM/Total area contact" dataDxfId="72">
      <calculatedColumnFormula>Table413446[[#This Row],[CFNM]]/Table413446[[#This Row],[CAREA]]</calculatedColumnFormula>
    </tableColumn>
  </tableColumns>
  <tableStyleInfo name="TableStyleLight4" showFirstColumn="0" showLastColumn="0" showRowStripes="1" showColumnStripes="0"/>
</table>
</file>

<file path=xl/tables/table20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5" xr:uid="{A781F419-E7A7-43C1-9441-59203BD9BE14}" name="Table514447" displayName="Table514447" ref="U718:Y739" totalsRowShown="0">
  <autoFilter ref="U718:Y739" xr:uid="{A781F419-E7A7-43C1-9441-59203BD9BE14}"/>
  <tableColumns count="5">
    <tableColumn id="1" xr3:uid="{DA7A4280-8860-41A9-95E7-A1CB3002325C}" name="time"/>
    <tableColumn id="2" xr3:uid="{9247854E-BC15-4F65-B454-5E1EF0855B54}" name="moment" dataDxfId="71">
      <calculatedColumnFormula>(Table514447[[#This Row],[time]]-2)*2</calculatedColumnFormula>
    </tableColumn>
    <tableColumn id="3" xr3:uid="{A0FCDDD0-4C44-4AEF-A091-40AD65E5CB97}" name="CAREA"/>
    <tableColumn id="4" xr3:uid="{A3F42DD5-83E1-4338-92C2-F55AAD339D53}" name="CFNM"/>
    <tableColumn id="5" xr3:uid="{89E5BB77-497E-402D-9CFB-83DA1BFC7290}" name="CFNM/Total area contact" dataDxfId="70">
      <calculatedColumnFormula>Table514447[[#This Row],[CFNM]]/Table514447[[#This Row],[CAREA]]</calculatedColumnFormula>
    </tableColumn>
  </tableColumns>
  <tableStyleInfo name="TableStyleLight5" showFirstColumn="0" showLastColumn="0" showRowStripes="1" showColumnStripes="0"/>
</table>
</file>

<file path=xl/tables/table20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6" xr:uid="{60B1BEEE-FF80-4E0E-9C0B-44BA52AECB8C}" name="Table615448" displayName="Table615448" ref="Z718:AD739" totalsRowShown="0">
  <autoFilter ref="Z718:AD739" xr:uid="{60B1BEEE-FF80-4E0E-9C0B-44BA52AECB8C}"/>
  <tableColumns count="5">
    <tableColumn id="1" xr3:uid="{F4C50A9D-BBDF-4B99-B078-1E1903F13789}" name="time"/>
    <tableColumn id="2" xr3:uid="{0E3CA7E5-ACCE-49E7-BFAC-11DD2B6E74DE}" name="moment" dataDxfId="69">
      <calculatedColumnFormula>(Table615448[[#This Row],[time]]-2)*2</calculatedColumnFormula>
    </tableColumn>
    <tableColumn id="3" xr3:uid="{6D88A9B2-073E-4657-BA63-E56DDE197945}" name="CAREA"/>
    <tableColumn id="4" xr3:uid="{87B9FB0E-5AEF-4855-A6EA-2047B57EF7BA}" name="CFNM"/>
    <tableColumn id="5" xr3:uid="{60D23FE3-8666-4C2F-A303-E4EE09F47D14}" name="CFNM/Total area contact" dataDxfId="68">
      <calculatedColumnFormula>Table615448[[#This Row],[CFNM]]/Table615448[[#This Row],[CAREA]]</calculatedColumnFormula>
    </tableColumn>
  </tableColumns>
  <tableStyleInfo name="TableStyleLight6" showFirstColumn="0" showLastColumn="0" showRowStripes="1" showColumnStripes="0"/>
</table>
</file>

<file path=xl/tables/table20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7" xr:uid="{E9979095-EB95-421D-9F37-3B91666DF2FD}" name="Table716449" displayName="Table716449" ref="AE718:AI739" totalsRowShown="0">
  <autoFilter ref="AE718:AI739" xr:uid="{E9979095-EB95-421D-9F37-3B91666DF2FD}"/>
  <tableColumns count="5">
    <tableColumn id="1" xr3:uid="{C272CA4E-7398-4E7F-87A5-0C4438776D88}" name="time"/>
    <tableColumn id="2" xr3:uid="{B54103FB-503C-4018-B8F6-4B0255FB4B41}" name="moment" dataDxfId="67">
      <calculatedColumnFormula>(Table716449[[#This Row],[time]]-2)*2</calculatedColumnFormula>
    </tableColumn>
    <tableColumn id="3" xr3:uid="{3E4276F3-1E6B-4304-B675-DF546B0C5BA8}" name="CAREA"/>
    <tableColumn id="4" xr3:uid="{79F7767F-EC49-4D31-9736-46828F21426C}" name="CFNM"/>
    <tableColumn id="5" xr3:uid="{032489E8-FA8B-4E8C-8AED-2D180362ECBD}" name="CFNM/Total area contact" dataDxfId="66">
      <calculatedColumnFormula>Table716449[[#This Row],[CFNM]]/Table716449[[#This Row],[CAREA]]</calculatedColumnFormula>
    </tableColumn>
  </tableColumns>
  <tableStyleInfo name="TableStyleLight7" showFirstColumn="0" showLastColumn="0" showRowStripes="1" showColumnStripes="0"/>
</table>
</file>

<file path=xl/tables/table20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8" xr:uid="{4D66528E-C78D-41EF-A526-6AECE595068B}" name="Table817450" displayName="Table817450" ref="AJ718:AN739" totalsRowShown="0">
  <autoFilter ref="AJ718:AN739" xr:uid="{4D66528E-C78D-41EF-A526-6AECE595068B}"/>
  <tableColumns count="5">
    <tableColumn id="1" xr3:uid="{DEBBAB15-594A-442D-B15E-355ECB595651}" name="time"/>
    <tableColumn id="2" xr3:uid="{D9BB89CB-6B8B-419F-82A5-FB5E929F4E5E}" name="moment" dataDxfId="65">
      <calculatedColumnFormula>(Table817450[[#This Row],[time]]-2)*2</calculatedColumnFormula>
    </tableColumn>
    <tableColumn id="3" xr3:uid="{9ED5ECBF-EA26-4FD0-A4FE-2C96D5C9C82E}" name="CAREA"/>
    <tableColumn id="4" xr3:uid="{80F55C82-A9AD-4167-B7E8-739CC65B3B3F}" name="CFNM"/>
    <tableColumn id="5" xr3:uid="{1DAF0BEF-A690-45AD-BB35-EB21FF028A7B}" name="CFNM/Total area contact" dataDxfId="64">
      <calculatedColumnFormula>Table817450[[#This Row],[CFNM]]/Table817450[[#This Row],[CAREA]]</calculatedColumnFormula>
    </tableColumn>
  </tableColumns>
  <tableStyleInfo name="TableStyleLight15" showFirstColumn="0" showLastColumn="0" showRowStripes="1" showColumnStripes="0"/>
</table>
</file>

<file path=xl/tables/table20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9" xr:uid="{519E177B-1725-4B8E-9315-03C4AA67A915}" name="Table1451" displayName="Table1451" ref="A748:E769" totalsRowShown="0">
  <autoFilter ref="A748:E769" xr:uid="{519E177B-1725-4B8E-9315-03C4AA67A915}"/>
  <tableColumns count="5">
    <tableColumn id="1" xr3:uid="{DCDAC355-6B81-4319-AFDA-E356F0FD11C3}" name="time"/>
    <tableColumn id="2" xr3:uid="{2771EF54-7EAF-4066-B860-50A0642E51DE}" name="moment" dataDxfId="63">
      <calculatedColumnFormula>-(Table1451[[#This Row],[time]]-2)*2</calculatedColumnFormula>
    </tableColumn>
    <tableColumn id="3" xr3:uid="{48FDB205-D637-497D-867B-8BBB3A013B28}" name="CAREA"/>
    <tableColumn id="4" xr3:uid="{5C0FF8F4-5630-4928-9C49-9CC12375C05F}" name="CFNM"/>
    <tableColumn id="5" xr3:uid="{7B3A9F32-70F0-4CC9-8359-DBC634740804}" name="CFNM/Total area contact" dataDxfId="62">
      <calculatedColumnFormula>Table1451[[#This Row],[CFNM]]/Table1451[[#This Row],[CAREA]]</calculatedColumnFormula>
    </tableColumn>
  </tableColumns>
  <tableStyleInfo name="TableStyleLight1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1" xr:uid="{D90FC46E-24C4-4943-8905-FB6E88AA70DE}" name="Table5262" displayName="Table5262" ref="U91:Y112" totalsRowShown="0">
  <autoFilter ref="U91:Y112" xr:uid="{D90FC46E-24C4-4943-8905-FB6E88AA70DE}"/>
  <tableColumns count="5">
    <tableColumn id="1" xr3:uid="{30CBACD9-4777-4F7E-A70B-266E0A5C1E07}" name="time"/>
    <tableColumn id="2" xr3:uid="{8D6006EF-E6D0-403F-A0E8-6EF8C21A184F}" name="moment" dataDxfId="439">
      <calculatedColumnFormula>(Table5262[[#This Row],[time]]-2)*2</calculatedColumnFormula>
    </tableColumn>
    <tableColumn id="3" xr3:uid="{2AD6AF4A-0B81-421F-A692-0F2A624C9B91}" name="CAREA"/>
    <tableColumn id="4" xr3:uid="{CC11C307-7666-4F1E-8180-348EF9D11252}" name="CFNM"/>
    <tableColumn id="5" xr3:uid="{D57DFA15-78C4-45AB-B6A8-54CECF9FDC2F}" name="CFNM/Total area contact" dataDxfId="438">
      <calculatedColumnFormula>Table5262[[#This Row],[CFNM]]/Table5262[[#This Row],[CAREA]]</calculatedColumnFormula>
    </tableColumn>
  </tableColumns>
  <tableStyleInfo name="TableStyleLight5" showFirstColumn="0" showLastColumn="0" showRowStripes="1" showColumnStripes="0"/>
</table>
</file>

<file path=xl/tables/table2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0" xr:uid="{AD634D98-3963-49E8-B4BE-077B82316B44}" name="Table2452" displayName="Table2452" ref="F748:J769" totalsRowShown="0">
  <autoFilter ref="F748:J769" xr:uid="{AD634D98-3963-49E8-B4BE-077B82316B44}"/>
  <tableColumns count="5">
    <tableColumn id="1" xr3:uid="{5790943C-60F1-4125-A2F4-3D4FD976BDE4}" name="time"/>
    <tableColumn id="2" xr3:uid="{439EFAAD-12D5-4D53-8BDE-5E21081277EE}" name="moment" dataDxfId="61">
      <calculatedColumnFormula>-(Table2452[[#This Row],[time]]-2)*2</calculatedColumnFormula>
    </tableColumn>
    <tableColumn id="3" xr3:uid="{039E72C3-690C-4BE2-A9E6-B49B3AC9D1A3}" name="CAREA"/>
    <tableColumn id="4" xr3:uid="{FAADF55E-A162-41E5-963E-064059BADDB6}" name="CFNM"/>
    <tableColumn id="5" xr3:uid="{68C04DE5-43B3-43A7-8EB2-A14A20AC044C}" name="CFNM/Total area contact" dataDxfId="60">
      <calculatedColumnFormula>Table2452[[#This Row],[CFNM]]/Table2452[[#This Row],[CAREA]]</calculatedColumnFormula>
    </tableColumn>
  </tableColumns>
  <tableStyleInfo name="TableStyleLight2" showFirstColumn="0" showLastColumn="0" showRowStripes="1" showColumnStripes="0"/>
</table>
</file>

<file path=xl/tables/table2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1" xr:uid="{33BF7EC3-3044-48AE-A0EC-634A3F1E4787}" name="Table3453" displayName="Table3453" ref="K748:O769" totalsRowShown="0">
  <autoFilter ref="K748:O769" xr:uid="{33BF7EC3-3044-48AE-A0EC-634A3F1E4787}"/>
  <tableColumns count="5">
    <tableColumn id="1" xr3:uid="{3476B2D7-A252-40F4-9810-43B94B4189E4}" name="time"/>
    <tableColumn id="2" xr3:uid="{F950FAE6-F0A0-4F10-BE63-385B8AAF26DA}" name="moment" dataDxfId="59">
      <calculatedColumnFormula>-(Table3453[[#This Row],[time]]-2)*2</calculatedColumnFormula>
    </tableColumn>
    <tableColumn id="3" xr3:uid="{5EFD1207-CD59-49B7-A139-E83C6D19FEFC}" name="CAREA"/>
    <tableColumn id="4" xr3:uid="{31A06011-D672-4F08-AF12-8CFE1C6DC3DF}" name="CFNM"/>
    <tableColumn id="5" xr3:uid="{38F0FFD8-B6ED-4E95-84F8-3D391B7E3117}" name="CFNM/Total area contact" dataDxfId="58">
      <calculatedColumnFormula>Table3453[[#This Row],[CFNM]]/Table3453[[#This Row],[CAREA]]</calculatedColumnFormula>
    </tableColumn>
  </tableColumns>
  <tableStyleInfo name="TableStyleLight3" showFirstColumn="0" showLastColumn="0" showRowStripes="1" showColumnStripes="0"/>
</table>
</file>

<file path=xl/tables/table2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2" xr:uid="{ED4E24C7-4949-4D08-A131-6AE58A7CA2A8}" name="Table4454" displayName="Table4454" ref="P748:T769" totalsRowShown="0">
  <autoFilter ref="P748:T769" xr:uid="{ED4E24C7-4949-4D08-A131-6AE58A7CA2A8}"/>
  <tableColumns count="5">
    <tableColumn id="1" xr3:uid="{B5DEB4DC-0B1C-4309-86FE-87C91AFD6B79}" name="time"/>
    <tableColumn id="2" xr3:uid="{083F97A7-75E2-47E7-B431-4E693CBB4FD8}" name="moment" dataDxfId="57">
      <calculatedColumnFormula>-(Table4454[[#This Row],[time]]-2)*2</calculatedColumnFormula>
    </tableColumn>
    <tableColumn id="3" xr3:uid="{C231850B-A51C-4EDA-AB3D-8554FA1F0099}" name="CAREA"/>
    <tableColumn id="4" xr3:uid="{DFB30AA7-28FB-453F-9425-800ABA8CE9E5}" name="CFNM"/>
    <tableColumn id="5" xr3:uid="{8D4EC66D-824A-4F27-AEF7-EFEC4A89309C}" name="CFNM/Total area contact" dataDxfId="56">
      <calculatedColumnFormula>Table4454[[#This Row],[CFNM]]/Table4454[[#This Row],[CAREA]]</calculatedColumnFormula>
    </tableColumn>
  </tableColumns>
  <tableStyleInfo name="TableStyleLight4" showFirstColumn="0" showLastColumn="0" showRowStripes="1" showColumnStripes="0"/>
</table>
</file>

<file path=xl/tables/table2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3" xr:uid="{A8889E63-E985-4088-95CB-8F8E4CADB99D}" name="Table5455" displayName="Table5455" ref="U748:Y769" totalsRowShown="0">
  <autoFilter ref="U748:Y769" xr:uid="{A8889E63-E985-4088-95CB-8F8E4CADB99D}"/>
  <tableColumns count="5">
    <tableColumn id="1" xr3:uid="{125F07B6-3CE5-4BE4-BF86-C64E9E774BC1}" name="time"/>
    <tableColumn id="2" xr3:uid="{F1A8634C-A333-478C-9177-690236DFA46D}" name="moment" dataDxfId="55">
      <calculatedColumnFormula>-(Table5455[[#This Row],[time]]-2)*2</calculatedColumnFormula>
    </tableColumn>
    <tableColumn id="3" xr3:uid="{5E56E598-F3D6-4C16-858B-B9B11F96219F}" name="CAREA"/>
    <tableColumn id="4" xr3:uid="{EE523297-1E0B-4602-A699-95810807BF05}" name="CFNM"/>
    <tableColumn id="5" xr3:uid="{B6428D03-4A39-49A8-9BBC-17B2CCFD3E92}" name="CFNM/Total area contact" dataDxfId="54">
      <calculatedColumnFormula>Table5455[[#This Row],[CFNM]]/Table5455[[#This Row],[CAREA]]</calculatedColumnFormula>
    </tableColumn>
  </tableColumns>
  <tableStyleInfo name="TableStyleLight5" showFirstColumn="0" showLastColumn="0" showRowStripes="1" showColumnStripes="0"/>
</table>
</file>

<file path=xl/tables/table2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4" xr:uid="{68C592A2-8D67-46E4-A1CD-C765FB3A297B}" name="Table6456" displayName="Table6456" ref="Z748:AD769" totalsRowShown="0">
  <autoFilter ref="Z748:AD769" xr:uid="{68C592A2-8D67-46E4-A1CD-C765FB3A297B}"/>
  <tableColumns count="5">
    <tableColumn id="1" xr3:uid="{4142BC45-A9DC-459B-B1A7-312D8845F088}" name="time"/>
    <tableColumn id="2" xr3:uid="{EA1CD5D8-8677-4194-BAB6-F1ACDE6DAAED}" name="moment" dataDxfId="53">
      <calculatedColumnFormula>-(Table6456[[#This Row],[time]]-2)*2</calculatedColumnFormula>
    </tableColumn>
    <tableColumn id="3" xr3:uid="{8A0725F2-29DA-4F18-B03E-8967024469AA}" name="CAREA"/>
    <tableColumn id="4" xr3:uid="{8D6154D6-0ED6-4821-88EF-2E33B5AC019F}" name="CFNM"/>
    <tableColumn id="5" xr3:uid="{BB9480E4-A093-4E73-8AB2-5FFBA13B4EE7}" name="CFNM/Total area contact" dataDxfId="52">
      <calculatedColumnFormula>Table6456[[#This Row],[CFNM]]/Table6456[[#This Row],[CAREA]]</calculatedColumnFormula>
    </tableColumn>
  </tableColumns>
  <tableStyleInfo name="TableStyleLight6" showFirstColumn="0" showLastColumn="0" showRowStripes="1" showColumnStripes="0"/>
</table>
</file>

<file path=xl/tables/table2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5" xr:uid="{8756A071-24B4-4503-9B8D-46A8E7749A12}" name="Table7457" displayName="Table7457" ref="AE748:AI769" totalsRowShown="0">
  <autoFilter ref="AE748:AI769" xr:uid="{8756A071-24B4-4503-9B8D-46A8E7749A12}"/>
  <tableColumns count="5">
    <tableColumn id="1" xr3:uid="{2BF3AD4A-33DF-4BCD-9E76-28B2E1D8AB69}" name="time"/>
    <tableColumn id="2" xr3:uid="{C1C191DC-D5A9-44EF-BA5D-BFC9BDB6914A}" name="moment" dataDxfId="51">
      <calculatedColumnFormula>-(Table7457[[#This Row],[time]]-2)*2</calculatedColumnFormula>
    </tableColumn>
    <tableColumn id="3" xr3:uid="{CB26FC3C-E0DD-45DD-8351-328AC5E93AC8}" name="CAREA"/>
    <tableColumn id="4" xr3:uid="{5CA5E0EB-0A12-4F5E-B669-1F7993EED1D0}" name="CFNM"/>
    <tableColumn id="5" xr3:uid="{69198D4D-B4AB-4C68-B352-ADFFC5E1B710}" name="CFNM/Total area contact" dataDxfId="50">
      <calculatedColumnFormula>Table7457[[#This Row],[CFNM]]/Table7457[[#This Row],[CAREA]]</calculatedColumnFormula>
    </tableColumn>
  </tableColumns>
  <tableStyleInfo name="TableStyleLight7" showFirstColumn="0" showLastColumn="0" showRowStripes="1" showColumnStripes="0"/>
</table>
</file>

<file path=xl/tables/table2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6" xr:uid="{82AA8A4A-7C01-485F-A463-7E60E81B160E}" name="Table8458" displayName="Table8458" ref="AJ748:AN769" totalsRowShown="0">
  <autoFilter ref="AJ748:AN769" xr:uid="{82AA8A4A-7C01-485F-A463-7E60E81B160E}"/>
  <tableColumns count="5">
    <tableColumn id="1" xr3:uid="{46204086-5463-4CFE-B322-316155FE463D}" name="time"/>
    <tableColumn id="2" xr3:uid="{9DB05CF9-A122-4C0B-90C5-659817E28472}" name="moment" dataDxfId="49">
      <calculatedColumnFormula>-(Table8458[[#This Row],[time]]-2)*2</calculatedColumnFormula>
    </tableColumn>
    <tableColumn id="3" xr3:uid="{35AB01D8-A84D-41E2-B61D-007874688FDE}" name="CAREA"/>
    <tableColumn id="4" xr3:uid="{528600D2-7C72-46FD-8846-085E6DAD8D0F}" name="CFNM"/>
    <tableColumn id="5" xr3:uid="{F0C2C735-F3BE-4191-BA9E-99B26C1A70E0}" name="CFNM/Total area contact" dataDxfId="48">
      <calculatedColumnFormula>Table8458[[#This Row],[CFNM]]/Table8458[[#This Row],[CAREA]]</calculatedColumnFormula>
    </tableColumn>
  </tableColumns>
  <tableStyleInfo name="TableStyleLight15" showFirstColumn="0" showLastColumn="0" showRowStripes="1" showColumnStripes="0"/>
</table>
</file>

<file path=xl/tables/table2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7" xr:uid="{045EC202-99B7-4D05-AFE9-4DFC5009A892}" name="Table110459" displayName="Table110459" ref="A775:E796" totalsRowShown="0">
  <autoFilter ref="A775:E796" xr:uid="{045EC202-99B7-4D05-AFE9-4DFC5009A892}"/>
  <tableColumns count="5">
    <tableColumn id="1" xr3:uid="{A64250ED-9F8E-4FCB-A33B-5CDA25EE5FC8}" name="time"/>
    <tableColumn id="2" xr3:uid="{7D638893-CB0B-4822-AA5F-AD9A59219A7F}" name="moment" dataDxfId="47">
      <calculatedColumnFormula>(Table110459[[#This Row],[time]]-2)*2</calculatedColumnFormula>
    </tableColumn>
    <tableColumn id="3" xr3:uid="{47F716ED-CAE2-44B1-AAB2-8E0D6276EE42}" name="CAREA"/>
    <tableColumn id="4" xr3:uid="{393054EE-D550-4893-BABC-C4FC3418FA14}" name="CFNM"/>
    <tableColumn id="5" xr3:uid="{E6E679A7-8C35-4430-9D64-AB7F0D1383BA}" name="CFNM/Total area contact" dataDxfId="46">
      <calculatedColumnFormula>Table110459[[#This Row],[CFNM]]/Table110459[[#This Row],[CAREA]]</calculatedColumnFormula>
    </tableColumn>
  </tableColumns>
  <tableStyleInfo name="TableStyleLight1" showFirstColumn="0" showLastColumn="0" showRowStripes="1" showColumnStripes="0"/>
</table>
</file>

<file path=xl/tables/table2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8" xr:uid="{23FB7641-6DEC-40F4-A4F2-813B6635AE40}" name="Table211460" displayName="Table211460" ref="F775:J796" totalsRowShown="0">
  <autoFilter ref="F775:J796" xr:uid="{23FB7641-6DEC-40F4-A4F2-813B6635AE40}"/>
  <tableColumns count="5">
    <tableColumn id="1" xr3:uid="{C938AFAE-E7A0-4FB8-B2C2-86EE3D6BAA28}" name="time"/>
    <tableColumn id="2" xr3:uid="{657FF0E9-655E-44C9-9E76-E0F10EBADC7A}" name="moment" dataDxfId="45">
      <calculatedColumnFormula>(Table211460[[#This Row],[time]]-2)*2</calculatedColumnFormula>
    </tableColumn>
    <tableColumn id="3" xr3:uid="{19CC961B-7B84-443E-95C0-2602B572794F}" name="CAREA"/>
    <tableColumn id="4" xr3:uid="{A836FEBA-67D7-4FC7-B9A1-024511ADF949}" name="CFNM"/>
    <tableColumn id="5" xr3:uid="{CDFA9916-3123-4802-837E-DA2026882DC5}" name="CFNM/Total area contact" dataDxfId="44">
      <calculatedColumnFormula>Table211460[[#This Row],[CFNM]]/Table211460[[#This Row],[CAREA]]</calculatedColumnFormula>
    </tableColumn>
  </tableColumns>
  <tableStyleInfo name="TableStyleLight2" showFirstColumn="0" showLastColumn="0" showRowStripes="1" showColumnStripes="0"/>
</table>
</file>

<file path=xl/tables/table2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9" xr:uid="{4952A4F6-3F97-4106-AD1C-62E987D48698}" name="Table312461" displayName="Table312461" ref="K775:O796" totalsRowShown="0">
  <autoFilter ref="K775:O796" xr:uid="{4952A4F6-3F97-4106-AD1C-62E987D48698}"/>
  <tableColumns count="5">
    <tableColumn id="1" xr3:uid="{5B1CBE55-2D10-4462-B524-32A1B3B15345}" name="time"/>
    <tableColumn id="2" xr3:uid="{576AFF39-AAC1-4003-8BDE-FF290ADDDE6A}" name="moment" dataDxfId="43">
      <calculatedColumnFormula>(Table312461[[#This Row],[time]]-2)*2</calculatedColumnFormula>
    </tableColumn>
    <tableColumn id="3" xr3:uid="{A5A6CB4C-5126-48F7-B6B2-4513837C9128}" name="CAREA"/>
    <tableColumn id="4" xr3:uid="{6ACBEE10-8C09-428D-BB46-D5A8CB9EFB22}" name="CFNM"/>
    <tableColumn id="5" xr3:uid="{DFC3B336-A759-41EE-AF61-FA2B64152AD3}" name="CFNM/Total area contact" dataDxfId="42">
      <calculatedColumnFormula>Table312461[[#This Row],[CFNM]]/Table312461[[#This Row],[CAREA]]</calculatedColumnFormula>
    </tableColumn>
  </tableColumns>
  <tableStyleInfo name="TableStyleLight3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2" xr:uid="{8B4DA5A3-8953-4203-B892-726D1362AE48}" name="Table6263" displayName="Table6263" ref="Z91:AD112" totalsRowShown="0">
  <autoFilter ref="Z91:AD112" xr:uid="{8B4DA5A3-8953-4203-B892-726D1362AE48}"/>
  <tableColumns count="5">
    <tableColumn id="1" xr3:uid="{23AA1847-86EF-4949-8FDD-1F1CD53E7C83}" name="time"/>
    <tableColumn id="2" xr3:uid="{DB93A248-3E1E-41B0-8C18-643191FC97A5}" name="moment" dataDxfId="437">
      <calculatedColumnFormula>(Table6263[[#This Row],[time]]-2)*2</calculatedColumnFormula>
    </tableColumn>
    <tableColumn id="3" xr3:uid="{ADE2BE4B-F71B-4424-93B3-3AC148DAC269}" name="CAREA"/>
    <tableColumn id="4" xr3:uid="{52BC1D8A-A7F9-42A4-AE32-FCF7E3272021}" name="CFNM"/>
    <tableColumn id="5" xr3:uid="{0A02E3C7-E164-4CEE-9884-0BDCCDDF0964}" name="CFNM/Total area contact" dataDxfId="436">
      <calculatedColumnFormula>Table6263[[#This Row],[CFNM]]/Table6263[[#This Row],[CAREA]]</calculatedColumnFormula>
    </tableColumn>
  </tableColumns>
  <tableStyleInfo name="TableStyleLight6" showFirstColumn="0" showLastColumn="0" showRowStripes="1" showColumnStripes="0"/>
</table>
</file>

<file path=xl/tables/table2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60" xr:uid="{6BE37FF1-60C3-4D1A-B740-171C53BD9D83}" name="Table413462" displayName="Table413462" ref="P775:T796" totalsRowShown="0">
  <autoFilter ref="P775:T796" xr:uid="{6BE37FF1-60C3-4D1A-B740-171C53BD9D83}"/>
  <tableColumns count="5">
    <tableColumn id="1" xr3:uid="{31474AD0-5A4C-4569-8F07-A66FC57BBB45}" name="time"/>
    <tableColumn id="2" xr3:uid="{F16809D9-43FB-47CE-93C0-C859ED9205E3}" name="moment" dataDxfId="41">
      <calculatedColumnFormula>(Table413462[[#This Row],[time]]-2)*2</calculatedColumnFormula>
    </tableColumn>
    <tableColumn id="3" xr3:uid="{72B89A01-EFB6-4F19-B83A-A6E62438FBC3}" name="CAREA"/>
    <tableColumn id="4" xr3:uid="{A4B1FCF5-0608-4425-AA44-2465B967CD1E}" name="CFNM"/>
    <tableColumn id="5" xr3:uid="{681BBB4D-019E-4FCF-A747-612D05CAC0EF}" name="CFNM/Total area contact" dataDxfId="40">
      <calculatedColumnFormula>Table413462[[#This Row],[CFNM]]/Table413462[[#This Row],[CAREA]]</calculatedColumnFormula>
    </tableColumn>
  </tableColumns>
  <tableStyleInfo name="TableStyleLight4" showFirstColumn="0" showLastColumn="0" showRowStripes="1" showColumnStripes="0"/>
</table>
</file>

<file path=xl/tables/table2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61" xr:uid="{60AC84FF-82CB-41B8-9E5E-FC03D33D6406}" name="Table514463" displayName="Table514463" ref="U775:Y796" totalsRowShown="0">
  <autoFilter ref="U775:Y796" xr:uid="{60AC84FF-82CB-41B8-9E5E-FC03D33D6406}"/>
  <tableColumns count="5">
    <tableColumn id="1" xr3:uid="{ABCA7971-3BD9-49EE-A3DB-8EAAC6FF8A15}" name="time"/>
    <tableColumn id="2" xr3:uid="{5F6CB799-4DED-41F1-B5F2-9CAE2D9FEA7A}" name="moment" dataDxfId="39">
      <calculatedColumnFormula>(Table514463[[#This Row],[time]]-2)*2</calculatedColumnFormula>
    </tableColumn>
    <tableColumn id="3" xr3:uid="{F986A66E-8224-4B7D-A806-C081EA96290F}" name="CAREA"/>
    <tableColumn id="4" xr3:uid="{4234AF9A-7DC4-4697-AF08-1C37661CD8B6}" name="CFNM"/>
    <tableColumn id="5" xr3:uid="{69A28B44-4B06-41FF-B84C-279068DCCD6D}" name="CFNM/Total area contact" dataDxfId="38">
      <calculatedColumnFormula>Table514463[[#This Row],[CFNM]]/Table514463[[#This Row],[CAREA]]</calculatedColumnFormula>
    </tableColumn>
  </tableColumns>
  <tableStyleInfo name="TableStyleLight5" showFirstColumn="0" showLastColumn="0" showRowStripes="1" showColumnStripes="0"/>
</table>
</file>

<file path=xl/tables/table2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62" xr:uid="{9E001E3C-4D63-4065-9EA2-734FCD17BFA1}" name="Table615464" displayName="Table615464" ref="Z775:AD796" totalsRowShown="0">
  <autoFilter ref="Z775:AD796" xr:uid="{9E001E3C-4D63-4065-9EA2-734FCD17BFA1}"/>
  <tableColumns count="5">
    <tableColumn id="1" xr3:uid="{F7D1A5A2-1EB4-4706-B25F-0402BC3CC8CA}" name="time"/>
    <tableColumn id="2" xr3:uid="{23E5BE1B-76DC-4127-A4B7-6252D01D8E87}" name="moment" dataDxfId="37">
      <calculatedColumnFormula>(Table615464[[#This Row],[time]]-2)*2</calculatedColumnFormula>
    </tableColumn>
    <tableColumn id="3" xr3:uid="{EE089CCA-251B-42E0-936B-04FF1D18F85A}" name="CAREA"/>
    <tableColumn id="4" xr3:uid="{14D0D069-E3BF-4465-8B12-F70DE6D89D81}" name="CFNM"/>
    <tableColumn id="5" xr3:uid="{E4351300-0515-4122-BB55-477FAD67B0AE}" name="CFNM/Total area contact" dataDxfId="36">
      <calculatedColumnFormula>Table615464[[#This Row],[CFNM]]/Table615464[[#This Row],[CAREA]]</calculatedColumnFormula>
    </tableColumn>
  </tableColumns>
  <tableStyleInfo name="TableStyleLight6" showFirstColumn="0" showLastColumn="0" showRowStripes="1" showColumnStripes="0"/>
</table>
</file>

<file path=xl/tables/table2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63" xr:uid="{04AC36BC-470A-4BD0-BE93-219E1D1A3775}" name="Table716465" displayName="Table716465" ref="AE775:AI796" totalsRowShown="0">
  <autoFilter ref="AE775:AI796" xr:uid="{04AC36BC-470A-4BD0-BE93-219E1D1A3775}"/>
  <tableColumns count="5">
    <tableColumn id="1" xr3:uid="{0B890EE7-0654-4E4B-AD36-E89D07EF9D3D}" name="time"/>
    <tableColumn id="2" xr3:uid="{ADD9683F-E4E2-4246-B7C8-5D8B5F98A7DF}" name="moment" dataDxfId="35">
      <calculatedColumnFormula>(Table716465[[#This Row],[time]]-2)*2</calculatedColumnFormula>
    </tableColumn>
    <tableColumn id="3" xr3:uid="{B9F63FDC-503F-40C0-BBBE-B18DBD0E479D}" name="CAREA"/>
    <tableColumn id="4" xr3:uid="{63FEDB84-FE14-47C5-B7E2-DC2F2017A1CE}" name="CFNM"/>
    <tableColumn id="5" xr3:uid="{910440D8-580D-4053-96CE-E8F5A26B5005}" name="CFNM/Total area contact" dataDxfId="34">
      <calculatedColumnFormula>Table716465[[#This Row],[CFNM]]/Table716465[[#This Row],[CAREA]]</calculatedColumnFormula>
    </tableColumn>
  </tableColumns>
  <tableStyleInfo name="TableStyleLight7" showFirstColumn="0" showLastColumn="0" showRowStripes="1" showColumnStripes="0"/>
</table>
</file>

<file path=xl/tables/table2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64" xr:uid="{313060C1-78E4-4188-9D49-7F7C4DA1E33B}" name="Table817466" displayName="Table817466" ref="AJ775:AN796" totalsRowShown="0">
  <autoFilter ref="AJ775:AN796" xr:uid="{313060C1-78E4-4188-9D49-7F7C4DA1E33B}"/>
  <tableColumns count="5">
    <tableColumn id="1" xr3:uid="{12F32511-20F7-4695-B348-2E5BE0282AE3}" name="time"/>
    <tableColumn id="2" xr3:uid="{F3A2FBB6-02DB-4C52-9061-D47209B169BB}" name="moment" dataDxfId="33">
      <calculatedColumnFormula>(Table817466[[#This Row],[time]]-2)*2</calculatedColumnFormula>
    </tableColumn>
    <tableColumn id="3" xr3:uid="{B90EEFC8-9582-47B4-A4D6-856022354D1B}" name="CAREA"/>
    <tableColumn id="4" xr3:uid="{0491374C-84DC-446E-B9BA-086DE1C3CD62}" name="CFNM"/>
    <tableColumn id="5" xr3:uid="{2089E777-E6C4-4636-9309-688CE9F78AB5}" name="CFNM/Total area contact" dataDxfId="32">
      <calculatedColumnFormula>Table817466[[#This Row],[CFNM]]/Table817466[[#This Row],[CAREA]]</calculatedColumnFormula>
    </tableColumn>
  </tableColumns>
  <tableStyleInfo name="TableStyleLight15" showFirstColumn="0" showLastColumn="0" showRowStripes="1" showColumnStripes="0"/>
</table>
</file>

<file path=xl/tables/table2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65" xr:uid="{CF56BA51-72A0-41DE-963A-B359762AB47C}" name="Table1467" displayName="Table1467" ref="A804:E825" totalsRowShown="0">
  <autoFilter ref="A804:E825" xr:uid="{CF56BA51-72A0-41DE-963A-B359762AB47C}"/>
  <tableColumns count="5">
    <tableColumn id="1" xr3:uid="{A21D4213-C17E-4B92-BA1E-5663627BA1CD}" name="time"/>
    <tableColumn id="2" xr3:uid="{C2DF2484-9E06-4F56-8996-2FD1B24DAAF1}" name="moment" dataDxfId="31">
      <calculatedColumnFormula>-(Table1467[[#This Row],[time]]-2)*2</calculatedColumnFormula>
    </tableColumn>
    <tableColumn id="3" xr3:uid="{ACD6BAE6-BF0D-4206-81C4-6A1B806512C0}" name="CAREA"/>
    <tableColumn id="4" xr3:uid="{E5728478-F1FF-4529-8A17-ECA01DDD6B9B}" name="CFNM"/>
    <tableColumn id="5" xr3:uid="{E8F5C2D0-10EE-4577-8B8B-96DE529D19E3}" name="CFNM/Total area contact" dataDxfId="30">
      <calculatedColumnFormula>Table1467[[#This Row],[CFNM]]/Table1467[[#This Row],[CAREA]]</calculatedColumnFormula>
    </tableColumn>
  </tableColumns>
  <tableStyleInfo name="TableStyleLight1" showFirstColumn="0" showLastColumn="0" showRowStripes="1" showColumnStripes="0"/>
</table>
</file>

<file path=xl/tables/table2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66" xr:uid="{D712C9CD-D7DF-43BE-8BF4-D5C2B8B42940}" name="Table2468" displayName="Table2468" ref="F804:J825" totalsRowShown="0">
  <autoFilter ref="F804:J825" xr:uid="{D712C9CD-D7DF-43BE-8BF4-D5C2B8B42940}"/>
  <tableColumns count="5">
    <tableColumn id="1" xr3:uid="{F3B3DBED-410A-4789-9F16-6F5E4BD7C5F2}" name="time"/>
    <tableColumn id="2" xr3:uid="{26A6728C-2090-4CFC-8072-6E406D21493C}" name="moment" dataDxfId="29">
      <calculatedColumnFormula>-(Table2468[[#This Row],[time]]-2)*2</calculatedColumnFormula>
    </tableColumn>
    <tableColumn id="3" xr3:uid="{A16380C6-499A-44E2-88AB-D2394FB4BBAF}" name="CAREA"/>
    <tableColumn id="4" xr3:uid="{D938BA60-2F6E-4D4A-92FE-911C26B2A05B}" name="CFNM"/>
    <tableColumn id="5" xr3:uid="{98F2AA9F-3781-463F-81CC-9424274DD048}" name="CFNM/Total area contact" dataDxfId="28">
      <calculatedColumnFormula>Table2468[[#This Row],[CFNM]]/Table2468[[#This Row],[CAREA]]</calculatedColumnFormula>
    </tableColumn>
  </tableColumns>
  <tableStyleInfo name="TableStyleLight2" showFirstColumn="0" showLastColumn="0" showRowStripes="1" showColumnStripes="0"/>
</table>
</file>

<file path=xl/tables/table2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67" xr:uid="{584F8CC9-DAF6-4B43-91CC-65AF0B8F8AAD}" name="Table3469" displayName="Table3469" ref="K804:O825" totalsRowShown="0">
  <autoFilter ref="K804:O825" xr:uid="{584F8CC9-DAF6-4B43-91CC-65AF0B8F8AAD}"/>
  <tableColumns count="5">
    <tableColumn id="1" xr3:uid="{67082A08-AB20-4463-82AC-F74B8FF14489}" name="time"/>
    <tableColumn id="2" xr3:uid="{2D06F6B1-0549-4EB9-B6A2-AC788B588DE7}" name="moment" dataDxfId="27">
      <calculatedColumnFormula>-(Table3469[[#This Row],[time]]-2)*2</calculatedColumnFormula>
    </tableColumn>
    <tableColumn id="3" xr3:uid="{2CF95DC3-3F7A-4769-8119-1AEBAF7507FA}" name="CAREA"/>
    <tableColumn id="4" xr3:uid="{1E11DD82-85E6-4999-AAF0-BEA1C28639D2}" name="CFNM"/>
    <tableColumn id="5" xr3:uid="{F15980DE-FA5E-4B7D-B256-060EF1FE5BD5}" name="CFNM/Total area contact" dataDxfId="26">
      <calculatedColumnFormula>Table3469[[#This Row],[CFNM]]/Table3469[[#This Row],[CAREA]]</calculatedColumnFormula>
    </tableColumn>
  </tableColumns>
  <tableStyleInfo name="TableStyleLight3" showFirstColumn="0" showLastColumn="0" showRowStripes="1" showColumnStripes="0"/>
</table>
</file>

<file path=xl/tables/table2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68" xr:uid="{F505DD60-4F5C-4B4D-8915-03A8D6E2C7B1}" name="Table4470" displayName="Table4470" ref="P804:T825" totalsRowShown="0">
  <autoFilter ref="P804:T825" xr:uid="{F505DD60-4F5C-4B4D-8915-03A8D6E2C7B1}"/>
  <tableColumns count="5">
    <tableColumn id="1" xr3:uid="{9C48F6FC-CFFC-4B38-9EDC-FAD9B2AE1912}" name="time"/>
    <tableColumn id="2" xr3:uid="{BF09ED1F-311A-4EC5-90DA-E1675C051C5B}" name="moment" dataDxfId="25">
      <calculatedColumnFormula>-(Table4470[[#This Row],[time]]-2)*2</calculatedColumnFormula>
    </tableColumn>
    <tableColumn id="3" xr3:uid="{50AB69B0-31F7-4CFE-A596-E1B9ED3AAE71}" name="CAREA"/>
    <tableColumn id="4" xr3:uid="{BA6679A0-A5C6-45CF-88C4-F2C1474E41E9}" name="CFNM"/>
    <tableColumn id="5" xr3:uid="{6814673A-B548-432B-B774-BED873314E67}" name="CFNM/Total area contact" dataDxfId="24">
      <calculatedColumnFormula>Table4470[[#This Row],[CFNM]]/Table4470[[#This Row],[CAREA]]</calculatedColumnFormula>
    </tableColumn>
  </tableColumns>
  <tableStyleInfo name="TableStyleLight4" showFirstColumn="0" showLastColumn="0" showRowStripes="1" showColumnStripes="0"/>
</table>
</file>

<file path=xl/tables/table2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69" xr:uid="{F3A506A4-60BB-41DB-AC03-86CA9D8C26D9}" name="Table5471" displayName="Table5471" ref="U804:Y825" totalsRowShown="0">
  <autoFilter ref="U804:Y825" xr:uid="{F3A506A4-60BB-41DB-AC03-86CA9D8C26D9}"/>
  <tableColumns count="5">
    <tableColumn id="1" xr3:uid="{FE0D1A8B-A9D9-4EE7-87BF-4930FC8EE7F5}" name="time"/>
    <tableColumn id="2" xr3:uid="{5E822ED7-5625-4C8A-9AA8-93E53F8F6E85}" name="moment" dataDxfId="23">
      <calculatedColumnFormula>-(Table5471[[#This Row],[time]]-2)*2</calculatedColumnFormula>
    </tableColumn>
    <tableColumn id="3" xr3:uid="{7914130A-B603-4CF4-8FCC-16060C13EC93}" name="CAREA"/>
    <tableColumn id="4" xr3:uid="{B916B6FA-3047-40D1-BEA2-5FAFDC58C8B8}" name="CFNM"/>
    <tableColumn id="5" xr3:uid="{575D443F-C53C-4209-850A-067F4286E7C5}" name="CFNM/Total area contact" dataDxfId="22">
      <calculatedColumnFormula>Table5471[[#This Row],[CFNM]]/Table5471[[#This Row],[CAREA]]</calculatedColumnFormula>
    </tableColumn>
  </tableColumns>
  <tableStyleInfo name="TableStyleLight5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3" xr:uid="{1DC831CC-D3CD-4068-BFD9-E429304A85AD}" name="Table7264" displayName="Table7264" ref="AE91:AI112" totalsRowShown="0">
  <autoFilter ref="AE91:AI112" xr:uid="{1DC831CC-D3CD-4068-BFD9-E429304A85AD}"/>
  <tableColumns count="5">
    <tableColumn id="1" xr3:uid="{8BDD1822-06C6-4EFD-BB0E-897E24D00AA7}" name="time"/>
    <tableColumn id="2" xr3:uid="{0B8E8EF2-E07B-464E-9AA9-1C46D6983D3A}" name="moment" dataDxfId="435">
      <calculatedColumnFormula>(Table7264[[#This Row],[time]]-2)*2</calculatedColumnFormula>
    </tableColumn>
    <tableColumn id="3" xr3:uid="{81EF2134-8E8E-4EAD-BF70-13E8990EBB3A}" name="CAREA"/>
    <tableColumn id="4" xr3:uid="{39C9214F-FC88-4948-A72F-9A44228E3D03}" name="CFNM"/>
    <tableColumn id="5" xr3:uid="{74A23984-9420-4C16-A6AA-A86009BB8FCF}" name="CFNM/Total area contact" dataDxfId="434">
      <calculatedColumnFormula>Table7264[[#This Row],[CFNM]]/Table7264[[#This Row],[CAREA]]</calculatedColumnFormula>
    </tableColumn>
  </tableColumns>
  <tableStyleInfo name="TableStyleLight7" showFirstColumn="0" showLastColumn="0" showRowStripes="1" showColumnStripes="0"/>
</table>
</file>

<file path=xl/tables/table2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70" xr:uid="{53B6C81C-C0B1-442E-9780-D2B2792E214D}" name="Table6472" displayName="Table6472" ref="Z804:AD825" totalsRowShown="0">
  <autoFilter ref="Z804:AD825" xr:uid="{53B6C81C-C0B1-442E-9780-D2B2792E214D}"/>
  <tableColumns count="5">
    <tableColumn id="1" xr3:uid="{9433F019-C7B2-4D65-AC28-3095227CB6B7}" name="time"/>
    <tableColumn id="2" xr3:uid="{38EB02BF-9511-4CE3-B799-5E4EB92566EF}" name="moment" dataDxfId="21">
      <calculatedColumnFormula>-(Table6472[[#This Row],[time]]-2)*2</calculatedColumnFormula>
    </tableColumn>
    <tableColumn id="3" xr3:uid="{A915CA8F-8FD9-4FDA-B047-F92FD6D5AF0F}" name="CAREA"/>
    <tableColumn id="4" xr3:uid="{79B09CA5-9468-4647-AE56-2004A6B6F7C5}" name="CFNM"/>
    <tableColumn id="5" xr3:uid="{026951E3-85AC-47C2-B2B7-991D942BA254}" name="CFNM/Total area contact" dataDxfId="20">
      <calculatedColumnFormula>Table6472[[#This Row],[CFNM]]/Table6472[[#This Row],[CAREA]]</calculatedColumnFormula>
    </tableColumn>
  </tableColumns>
  <tableStyleInfo name="TableStyleLight6" showFirstColumn="0" showLastColumn="0" showRowStripes="1" showColumnStripes="0"/>
</table>
</file>

<file path=xl/tables/table2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71" xr:uid="{69321936-EB6A-4A3B-B6A5-9F5D9B817E67}" name="Table7473" displayName="Table7473" ref="AE804:AI825" totalsRowShown="0">
  <autoFilter ref="AE804:AI825" xr:uid="{69321936-EB6A-4A3B-B6A5-9F5D9B817E67}"/>
  <tableColumns count="5">
    <tableColumn id="1" xr3:uid="{0DCCDDA3-6216-4755-9CB5-5A9C28E59937}" name="time"/>
    <tableColumn id="2" xr3:uid="{A86957A4-77F3-4481-BFEF-46653AFA2F5A}" name="moment" dataDxfId="19">
      <calculatedColumnFormula>-(Table7473[[#This Row],[time]]-2)*2</calculatedColumnFormula>
    </tableColumn>
    <tableColumn id="3" xr3:uid="{AAD1F4BB-2FF9-4ACF-ABC3-18340D57E46D}" name="CAREA"/>
    <tableColumn id="4" xr3:uid="{B492AC47-F240-4D0C-B94D-0742BE8696D6}" name="CFNM"/>
    <tableColumn id="5" xr3:uid="{DA25A582-30E2-4048-A6E1-BECBADA879A6}" name="CFNM/Total area contact" dataDxfId="18">
      <calculatedColumnFormula>Table7473[[#This Row],[CFNM]]/Table7473[[#This Row],[CAREA]]</calculatedColumnFormula>
    </tableColumn>
  </tableColumns>
  <tableStyleInfo name="TableStyleLight7" showFirstColumn="0" showLastColumn="0" showRowStripes="1" showColumnStripes="0"/>
</table>
</file>

<file path=xl/tables/table2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72" xr:uid="{D332F3AC-713A-4BEF-BA66-B8F90A3C43A6}" name="Table8474" displayName="Table8474" ref="AJ804:AN825" totalsRowShown="0">
  <autoFilter ref="AJ804:AN825" xr:uid="{D332F3AC-713A-4BEF-BA66-B8F90A3C43A6}"/>
  <tableColumns count="5">
    <tableColumn id="1" xr3:uid="{F12E031B-8739-40D1-9766-2C96036BF6F8}" name="time"/>
    <tableColumn id="2" xr3:uid="{2601BFD9-ACB2-4198-8213-B076AF049CCF}" name="moment" dataDxfId="17">
      <calculatedColumnFormula>-(Table8474[[#This Row],[time]]-2)*2</calculatedColumnFormula>
    </tableColumn>
    <tableColumn id="3" xr3:uid="{B05622C2-B2CD-41DA-9910-A1E089B0E7AF}" name="CAREA"/>
    <tableColumn id="4" xr3:uid="{DDCCF800-3EE3-4ECD-AB89-87E67C5F08F1}" name="CFNM"/>
    <tableColumn id="5" xr3:uid="{DD2C7AD8-3AD0-493D-A713-7EB4BEEF31AC}" name="CFNM/Total area contact" dataDxfId="16">
      <calculatedColumnFormula>Table8474[[#This Row],[CFNM]]/Table8474[[#This Row],[CAREA]]</calculatedColumnFormula>
    </tableColumn>
  </tableColumns>
  <tableStyleInfo name="TableStyleLight15" showFirstColumn="0" showLastColumn="0" showRowStripes="1" showColumnStripes="0"/>
</table>
</file>

<file path=xl/tables/table2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73" xr:uid="{DCA3A437-8537-4E4C-AEE0-57E4DE00F40B}" name="Table110475" displayName="Table110475" ref="A831:E852" totalsRowShown="0">
  <autoFilter ref="A831:E852" xr:uid="{DCA3A437-8537-4E4C-AEE0-57E4DE00F40B}"/>
  <tableColumns count="5">
    <tableColumn id="1" xr3:uid="{5A1B06E9-8183-4065-8D1D-416ACE32252D}" name="time"/>
    <tableColumn id="2" xr3:uid="{85FF4954-ECA6-488F-8AB4-A9D3709F921D}" name="moment" dataDxfId="15">
      <calculatedColumnFormula>(Table110475[[#This Row],[time]]-2)*2</calculatedColumnFormula>
    </tableColumn>
    <tableColumn id="3" xr3:uid="{D0D4007C-2B8B-4EBB-A1D0-E9A6419852E8}" name="CAREA"/>
    <tableColumn id="4" xr3:uid="{AF1B3978-7926-4F7E-B539-D61E817526E7}" name="CFNM"/>
    <tableColumn id="5" xr3:uid="{0ED72550-5BC4-47BE-93D2-143B12331F55}" name="CFNM/Total area contact" dataDxfId="14">
      <calculatedColumnFormula>Table110475[[#This Row],[CFNM]]/Table110475[[#This Row],[CAREA]]</calculatedColumnFormula>
    </tableColumn>
  </tableColumns>
  <tableStyleInfo name="TableStyleLight1" showFirstColumn="0" showLastColumn="0" showRowStripes="1" showColumnStripes="0"/>
</table>
</file>

<file path=xl/tables/table2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74" xr:uid="{E6197E8C-BE19-487F-9239-DB3B7C9FF341}" name="Table211476" displayName="Table211476" ref="F831:J852" totalsRowShown="0">
  <autoFilter ref="F831:J852" xr:uid="{E6197E8C-BE19-487F-9239-DB3B7C9FF341}"/>
  <tableColumns count="5">
    <tableColumn id="1" xr3:uid="{06B733EB-DB43-4359-848D-5DD534BD6617}" name="time"/>
    <tableColumn id="2" xr3:uid="{E5675FB9-2B5D-49F4-AEEF-41E5A262921D}" name="moment" dataDxfId="13">
      <calculatedColumnFormula>(Table211476[[#This Row],[time]]-2)*2</calculatedColumnFormula>
    </tableColumn>
    <tableColumn id="3" xr3:uid="{81316545-4CC8-4549-9797-522F32EAF5C6}" name="CAREA"/>
    <tableColumn id="4" xr3:uid="{DAD2D32E-0501-4EE3-9532-7A02A24D4212}" name="CFNM"/>
    <tableColumn id="5" xr3:uid="{F48699E2-D498-421B-95F3-572FC230ECFF}" name="CFNM/Total area contact" dataDxfId="12">
      <calculatedColumnFormula>Table211476[[#This Row],[CFNM]]/Table211476[[#This Row],[CAREA]]</calculatedColumnFormula>
    </tableColumn>
  </tableColumns>
  <tableStyleInfo name="TableStyleLight2" showFirstColumn="0" showLastColumn="0" showRowStripes="1" showColumnStripes="0"/>
</table>
</file>

<file path=xl/tables/table2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75" xr:uid="{DA2E580E-05C8-443C-875B-977AE3D6279F}" name="Table312477" displayName="Table312477" ref="K831:O852" totalsRowShown="0">
  <autoFilter ref="K831:O852" xr:uid="{DA2E580E-05C8-443C-875B-977AE3D6279F}"/>
  <tableColumns count="5">
    <tableColumn id="1" xr3:uid="{673C1C15-B3A8-4CBD-8327-DCA0AE7D1ED4}" name="time"/>
    <tableColumn id="2" xr3:uid="{2A61563D-C4CE-4FFB-9A57-0FC568BD598B}" name="moment" dataDxfId="11">
      <calculatedColumnFormula>(Table312477[[#This Row],[time]]-2)*2</calculatedColumnFormula>
    </tableColumn>
    <tableColumn id="3" xr3:uid="{9427B5F2-1658-4A0C-B1F0-2C79D5B3BD25}" name="CAREA"/>
    <tableColumn id="4" xr3:uid="{2EF0743C-B0B3-4903-99A9-A969FDCA081F}" name="CFNM"/>
    <tableColumn id="5" xr3:uid="{59733A5E-DC9D-4BC9-8D0D-3B6C1FFEC148}" name="CFNM/Total area contact" dataDxfId="10">
      <calculatedColumnFormula>Table312477[[#This Row],[CFNM]]/Table312477[[#This Row],[CAREA]]</calculatedColumnFormula>
    </tableColumn>
  </tableColumns>
  <tableStyleInfo name="TableStyleLight3" showFirstColumn="0" showLastColumn="0" showRowStripes="1" showColumnStripes="0"/>
</table>
</file>

<file path=xl/tables/table2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76" xr:uid="{0A0A7698-0C69-4DBF-9DEF-3D914F6EFD39}" name="Table413478" displayName="Table413478" ref="P831:T852" totalsRowShown="0">
  <autoFilter ref="P831:T852" xr:uid="{0A0A7698-0C69-4DBF-9DEF-3D914F6EFD39}"/>
  <tableColumns count="5">
    <tableColumn id="1" xr3:uid="{C3433045-CC32-4729-ACE6-593E1B0B32A4}" name="time"/>
    <tableColumn id="2" xr3:uid="{3460BF3E-DB75-4254-82FE-2F8518F40CC2}" name="moment" dataDxfId="9">
      <calculatedColumnFormula>(Table413478[[#This Row],[time]]-2)*2</calculatedColumnFormula>
    </tableColumn>
    <tableColumn id="3" xr3:uid="{C310C046-8D30-4B82-B70E-11F918A25A86}" name="CAREA"/>
    <tableColumn id="4" xr3:uid="{287A7205-10C5-4A3B-B184-B125C0F6E737}" name="CFNM"/>
    <tableColumn id="5" xr3:uid="{8845A51D-4B92-411B-ACD5-C3C5503339DC}" name="CFNM/Total area contact" dataDxfId="8">
      <calculatedColumnFormula>Table413478[[#This Row],[CFNM]]/Table413478[[#This Row],[CAREA]]</calculatedColumnFormula>
    </tableColumn>
  </tableColumns>
  <tableStyleInfo name="TableStyleLight4" showFirstColumn="0" showLastColumn="0" showRowStripes="1" showColumnStripes="0"/>
</table>
</file>

<file path=xl/tables/table2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77" xr:uid="{BDA07D31-2979-4B1E-9F8C-F0E600F31FDD}" name="Table514479" displayName="Table514479" ref="U831:Y852" totalsRowShown="0">
  <autoFilter ref="U831:Y852" xr:uid="{BDA07D31-2979-4B1E-9F8C-F0E600F31FDD}"/>
  <tableColumns count="5">
    <tableColumn id="1" xr3:uid="{4DF6ECEB-CD16-437D-B177-3E5BBAC16474}" name="time"/>
    <tableColumn id="2" xr3:uid="{B465DDD8-A0F1-49E5-B354-577CBF1D11F8}" name="moment" dataDxfId="7">
      <calculatedColumnFormula>(Table514479[[#This Row],[time]]-2)*2</calculatedColumnFormula>
    </tableColumn>
    <tableColumn id="3" xr3:uid="{9866F80F-4785-47B9-9E78-71231D03910C}" name="CAREA"/>
    <tableColumn id="4" xr3:uid="{EC5DCB26-D2F8-4C72-A799-69D6F323D36B}" name="CFNM"/>
    <tableColumn id="5" xr3:uid="{EEEB61F9-B7B1-4635-9059-72E5A6E4F916}" name="CFNM/Total area contact" dataDxfId="6">
      <calculatedColumnFormula>Table514479[[#This Row],[CFNM]]/Table514479[[#This Row],[CAREA]]</calculatedColumnFormula>
    </tableColumn>
  </tableColumns>
  <tableStyleInfo name="TableStyleLight5" showFirstColumn="0" showLastColumn="0" showRowStripes="1" showColumnStripes="0"/>
</table>
</file>

<file path=xl/tables/table2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78" xr:uid="{930B839C-BE8B-41A4-9DEA-62A2ABEFBADB}" name="Table615480" displayName="Table615480" ref="Z831:AD852" totalsRowShown="0">
  <autoFilter ref="Z831:AD852" xr:uid="{930B839C-BE8B-41A4-9DEA-62A2ABEFBADB}"/>
  <tableColumns count="5">
    <tableColumn id="1" xr3:uid="{4754CDDF-BAA3-4F5A-A1A8-E2532C049538}" name="time"/>
    <tableColumn id="2" xr3:uid="{4C468D60-794B-43D2-A33C-E6CB6FC9385D}" name="moment" dataDxfId="5">
      <calculatedColumnFormula>(Table615480[[#This Row],[time]]-2)*2</calculatedColumnFormula>
    </tableColumn>
    <tableColumn id="3" xr3:uid="{FCC6D60D-55FB-4703-A950-66B06C45158D}" name="CAREA"/>
    <tableColumn id="4" xr3:uid="{707360E5-0EA1-4AE5-8F2E-4CAD615127C6}" name="CFNM"/>
    <tableColumn id="5" xr3:uid="{A41BD7CB-5653-41C2-A0CE-3DF3A1B1AFDD}" name="CFNM/Total area contact" dataDxfId="4">
      <calculatedColumnFormula>Table615480[[#This Row],[CFNM]]/Table615480[[#This Row],[CAREA]]</calculatedColumnFormula>
    </tableColumn>
  </tableColumns>
  <tableStyleInfo name="TableStyleLight6" showFirstColumn="0" showLastColumn="0" showRowStripes="1" showColumnStripes="0"/>
</table>
</file>

<file path=xl/tables/table2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79" xr:uid="{97B34AC7-7175-4675-98F3-B2A39BB68867}" name="Table716481" displayName="Table716481" ref="AE831:AI852" totalsRowShown="0">
  <autoFilter ref="AE831:AI852" xr:uid="{97B34AC7-7175-4675-98F3-B2A39BB68867}"/>
  <tableColumns count="5">
    <tableColumn id="1" xr3:uid="{EE9C27D6-8E6F-4FFA-A326-7B5742758ED6}" name="time"/>
    <tableColumn id="2" xr3:uid="{5CD2E9AA-BACB-427E-9D0F-E188A854C738}" name="moment" dataDxfId="3">
      <calculatedColumnFormula>(Table716481[[#This Row],[time]]-2)*2</calculatedColumnFormula>
    </tableColumn>
    <tableColumn id="3" xr3:uid="{9B9037C0-34FA-45ED-88C3-632058BCA02D}" name="CAREA"/>
    <tableColumn id="4" xr3:uid="{64745E55-0996-40EE-8F62-F1FE10DF4CF0}" name="CFNM"/>
    <tableColumn id="5" xr3:uid="{BF637F14-DA05-4C75-81A4-DA0D2574E260}" name="CFNM/Total area contact" dataDxfId="2">
      <calculatedColumnFormula>Table716481[[#This Row],[CFNM]]/Table716481[[#This Row],[CAREA]]</calculatedColumnFormula>
    </tableColumn>
  </tableColumns>
  <tableStyleInfo name="TableStyleLight7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4" xr:uid="{8ED8B0DA-D3B5-4564-B1F1-4265212CBAE2}" name="Table8265" displayName="Table8265" ref="AJ91:AN112" totalsRowShown="0">
  <autoFilter ref="AJ91:AN112" xr:uid="{8ED8B0DA-D3B5-4564-B1F1-4265212CBAE2}"/>
  <tableColumns count="5">
    <tableColumn id="1" xr3:uid="{68158912-E99D-4E95-979D-3932EA109E41}" name="time"/>
    <tableColumn id="2" xr3:uid="{46BD8E4C-CA9B-4210-9441-33B10E936822}" name="moment" dataDxfId="433">
      <calculatedColumnFormula>(Table8265[[#This Row],[time]]-2)*2</calculatedColumnFormula>
    </tableColumn>
    <tableColumn id="3" xr3:uid="{4CC803A8-37A1-493C-A94B-C6FE8C5AB047}" name="CAREA"/>
    <tableColumn id="4" xr3:uid="{B546F5D5-10A9-47A5-B031-9AD0E70BD70F}" name="CFNM"/>
    <tableColumn id="5" xr3:uid="{52D9C818-FCD8-4412-BBA8-4BE03921256C}" name="CFNM/Total area contact" dataDxfId="432">
      <calculatedColumnFormula>Table8265[[#This Row],[CFNM]]/Table8265[[#This Row],[CAREA]]</calculatedColumnFormula>
    </tableColumn>
  </tableColumns>
  <tableStyleInfo name="TableStyleLight15" showFirstColumn="0" showLastColumn="0" showRowStripes="1" showColumnStripes="0"/>
</table>
</file>

<file path=xl/tables/table2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80" xr:uid="{AC26027A-ED9C-4F65-80FB-A34F9EB2DA12}" name="Table817482" displayName="Table817482" ref="AJ831:AN852" totalsRowShown="0">
  <autoFilter ref="AJ831:AN852" xr:uid="{AC26027A-ED9C-4F65-80FB-A34F9EB2DA12}"/>
  <tableColumns count="5">
    <tableColumn id="1" xr3:uid="{91629C73-9E02-49E2-9F1D-14AEA2981C10}" name="time"/>
    <tableColumn id="2" xr3:uid="{455C12ED-A61A-4D1A-A21F-2305FB8132DC}" name="moment" dataDxfId="1">
      <calculatedColumnFormula>(Table817482[[#This Row],[time]]-2)*2</calculatedColumnFormula>
    </tableColumn>
    <tableColumn id="3" xr3:uid="{633CD7F2-ABB9-4E96-8A00-B8E728AD920F}" name="CAREA"/>
    <tableColumn id="4" xr3:uid="{6158EE4A-6368-4FA7-B44E-877AA3665428}" name="CFNM"/>
    <tableColumn id="5" xr3:uid="{DA69E5F9-730B-4AD3-8378-21F8E95C2495}" name="CFNM/Total area contact" dataDxfId="0">
      <calculatedColumnFormula>Table817482[[#This Row],[CFNM]]/Table817482[[#This Row],[CAREA]]</calculatedColumnFormula>
    </tableColumn>
  </tableColumns>
  <tableStyleInfo name="TableStyleLight15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5" xr:uid="{2C3CDF19-818B-4F9C-9FA2-040C5E24DF5B}" name="Table219" displayName="Table219" ref="A64:E85" totalsRowShown="0">
  <autoFilter ref="A64:E85" xr:uid="{2C3CDF19-818B-4F9C-9FA2-040C5E24DF5B}"/>
  <tableColumns count="5">
    <tableColumn id="1" xr3:uid="{5892695F-1F23-4EC4-9CB8-D51D36E3D0E1}" name="time"/>
    <tableColumn id="5" xr3:uid="{E88AA112-0BE5-449A-8D46-29F94CB1D33D}" name="moment" dataDxfId="431">
      <calculatedColumnFormula>-(Table219[[#This Row],[time]]-2)*2</calculatedColumnFormula>
    </tableColumn>
    <tableColumn id="2" xr3:uid="{808DD3D5-E7C3-4521-B431-1D4105045F95}" name="CAREA "/>
    <tableColumn id="3" xr3:uid="{3109F5B5-EC86-4991-807E-FF9B8A5CC6BD}" name="CFNM"/>
    <tableColumn id="4" xr3:uid="{A859399A-33F8-47AF-AF27-AED9EA6DC8D3}" name="CFNM/Total area contact" dataDxfId="430">
      <calculatedColumnFormula>Table219[[#This Row],[CFNM]]/Table219[[#This Row],[CAREA ]]</calculatedColumnFormula>
    </tableColumn>
  </tableColumns>
  <tableStyleInfo name="TableStyleLight1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6" xr:uid="{6BF056E7-E7BE-40BC-B3B8-C8B14B2D41EF}" name="Table320" displayName="Table320" ref="F64:J85" totalsRowShown="0">
  <autoFilter ref="F64:J85" xr:uid="{6BF056E7-E7BE-40BC-B3B8-C8B14B2D41EF}"/>
  <tableColumns count="5">
    <tableColumn id="1" xr3:uid="{74DAE7C1-E1E1-4F9A-8D3F-3DC9CC5E9A84}" name="time"/>
    <tableColumn id="5" xr3:uid="{25803844-AE1E-4A69-A978-EF0D5BF95B8C}" name="moment" dataDxfId="429">
      <calculatedColumnFormula>-(Table320[[#This Row],[time]]-2)*2</calculatedColumnFormula>
    </tableColumn>
    <tableColumn id="2" xr3:uid="{17D0D45A-ADA5-4AE9-BB01-FBD2B46C705E}" name="CAREA "/>
    <tableColumn id="3" xr3:uid="{D33502D4-4E33-4A79-AFD8-F4C1177D9E2A}" name="CFNM"/>
    <tableColumn id="4" xr3:uid="{F90EB95E-19A3-437C-B1B5-F45DE7892264}" name="CFNM/Total area contact" dataDxfId="428">
      <calculatedColumnFormula>Table320[[#This Row],[CFNM]]/Table320[[#This Row],[CAREA ]]</calculatedColumnFormula>
    </tableColumn>
  </tableColumns>
  <tableStyleInfo name="TableStyleLight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7" xr:uid="{33BDCCAD-54BF-40A2-BF15-4AD68F71189B}" name="Table421" displayName="Table421" ref="K64:O85" totalsRowShown="0">
  <autoFilter ref="K64:O85" xr:uid="{33BDCCAD-54BF-40A2-BF15-4AD68F71189B}"/>
  <tableColumns count="5">
    <tableColumn id="1" xr3:uid="{8DC55B71-D8D3-4C05-BCA3-853037F75A4A}" name="time"/>
    <tableColumn id="5" xr3:uid="{25BA4792-E7BB-4535-87BC-39A93C873538}" name="moment" dataDxfId="427">
      <calculatedColumnFormula>-(Table421[[#This Row],[time]]-2)*2</calculatedColumnFormula>
    </tableColumn>
    <tableColumn id="2" xr3:uid="{57134FB1-629C-48BD-B760-D2AC39C5D35A}" name="CAREA"/>
    <tableColumn id="3" xr3:uid="{838DF6E0-8A5B-410A-B74E-FDB8BB5A210B}" name="CFNM"/>
    <tableColumn id="4" xr3:uid="{8784F018-488E-48C1-9401-17A9631BD1E6}" name="CFNM/Total area contact" dataDxfId="426">
      <calculatedColumnFormula>Table421[[#This Row],[CFNM]]/Table421[[#This Row],[CAREA]]</calculatedColumnFormula>
    </tableColumn>
  </tableColumns>
  <tableStyleInfo name="TableStyleLight3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8" xr:uid="{E3EC4B73-CD78-40AA-A60D-AD7614D1A518}" name="Table622" displayName="Table622" ref="U64:Y85" totalsRowShown="0">
  <autoFilter ref="U64:Y85" xr:uid="{E3EC4B73-CD78-40AA-A60D-AD7614D1A518}"/>
  <tableColumns count="5">
    <tableColumn id="1" xr3:uid="{E3391CBE-096A-42B5-857E-D1C9490F2C5A}" name="time"/>
    <tableColumn id="5" xr3:uid="{05C69976-0F1E-4793-9BBE-19189D485DEF}" name="moment" dataDxfId="425">
      <calculatedColumnFormula>-(Table622[[#This Row],[time]]-2)*2</calculatedColumnFormula>
    </tableColumn>
    <tableColumn id="2" xr3:uid="{CDD0F057-6692-43E0-88EA-CAD77B7186E6}" name="CAREA"/>
    <tableColumn id="3" xr3:uid="{E0D156AD-F5B4-4DE0-9EE6-E29EBC854A4D}" name="CFNM"/>
    <tableColumn id="4" xr3:uid="{A86322C3-A9B7-4A1A-9E6A-1754211CBD51}" name="CFNM/Total area contact" dataDxfId="424">
      <calculatedColumnFormula>Table622[[#This Row],[CFNM]]/Table622[[#This Row],[CAREA]]</calculatedColumnFormula>
    </tableColumn>
  </tableColumns>
  <tableStyleInfo name="TableStyleLight5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9" xr:uid="{65D4DC4A-1CC8-4DD3-AB54-5D6B87FC7482}" name="Table723" displayName="Table723" ref="Z64:AD85" totalsRowShown="0">
  <autoFilter ref="Z64:AD85" xr:uid="{65D4DC4A-1CC8-4DD3-AB54-5D6B87FC7482}"/>
  <tableColumns count="5">
    <tableColumn id="1" xr3:uid="{F73C889E-5710-412E-B140-D118CE08F328}" name="time"/>
    <tableColumn id="5" xr3:uid="{6D380877-E4A7-4E13-BBC0-FCABC761FFAE}" name="moment" dataDxfId="423">
      <calculatedColumnFormula>-(Table723[[#This Row],[time]]-2)*2</calculatedColumnFormula>
    </tableColumn>
    <tableColumn id="2" xr3:uid="{C4147F64-E724-4E4A-80F5-D3722E950EF9}" name="CAREA"/>
    <tableColumn id="3" xr3:uid="{C142C18D-2896-4087-A833-A185D83AEB30}" name="CFNM"/>
    <tableColumn id="4" xr3:uid="{5B889F95-257C-4489-8FB1-634DC7558AB6}" name="CFNM/Total area contact" dataDxfId="422">
      <calculatedColumnFormula>Table723[[#This Row],[CFNM]]/Table723[[#This Row],[CAREA]]</calculatedColumnFormula>
    </tableColumn>
  </tableColumns>
  <tableStyleInfo name="TableStyleLight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3" xr:uid="{1527AC21-63A9-465C-9BF3-FD8A38C482B8}" name="Table3245" displayName="Table3245" ref="K7:O28" totalsRowShown="0">
  <autoFilter ref="K7:O28" xr:uid="{1527AC21-63A9-465C-9BF3-FD8A38C482B8}"/>
  <tableColumns count="5">
    <tableColumn id="1" xr3:uid="{66B38283-FFE4-495E-B828-47494FB0EBEE}" name="time"/>
    <tableColumn id="2" xr3:uid="{B5DB13D5-3EF5-431E-BF1C-D4892C0EEAB9}" name="moment" dataDxfId="475">
      <calculatedColumnFormula>-(Table3245[[#This Row],[time]]-2)*2</calculatedColumnFormula>
    </tableColumn>
    <tableColumn id="3" xr3:uid="{EAC5A934-92FF-4DA4-8091-2D755F755F76}" name="CAREA"/>
    <tableColumn id="4" xr3:uid="{5FD65E37-9EC5-456F-9B7C-697B797E3261}" name="CFNM"/>
    <tableColumn id="5" xr3:uid="{FE60ACF0-9A54-4931-945B-88CCED501861}" name="CFNM/Total area contact" dataDxfId="474">
      <calculatedColumnFormula>Table3245[[#This Row],[CFNM]]/Table3245[[#This Row],[CAREA]]</calculatedColumnFormula>
    </tableColumn>
  </tableColumns>
  <tableStyleInfo name="TableStyleLight3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0" xr:uid="{AFABD8E9-7C2F-45B4-ADD1-3E9E6007540C}" name="Table824" displayName="Table824" ref="AE64:AI85" totalsRowShown="0">
  <autoFilter ref="AE64:AI85" xr:uid="{AFABD8E9-7C2F-45B4-ADD1-3E9E6007540C}"/>
  <tableColumns count="5">
    <tableColumn id="1" xr3:uid="{1A516B81-CE00-46C1-89A0-B5D0EACB3B09}" name="time"/>
    <tableColumn id="5" xr3:uid="{2B69D08A-C4DF-4589-B85A-60C18ABD466E}" name="moment" dataDxfId="421">
      <calculatedColumnFormula>-(Table824[[#This Row],[time]]-2)*2</calculatedColumnFormula>
    </tableColumn>
    <tableColumn id="2" xr3:uid="{644A4048-C1AE-49CD-AFAA-4F3D5A3C72F4}" name="CAREA"/>
    <tableColumn id="3" xr3:uid="{BA5F9FFA-7F02-4A6E-BD2B-98ED49978ECD}" name="CFNM"/>
    <tableColumn id="4" xr3:uid="{6A769AF4-A2D3-4985-BD73-8915FC03BBFC}" name="CFNM/Total area contact" dataDxfId="420">
      <calculatedColumnFormula>Table824[[#This Row],[CFNM]]/Table824[[#This Row],[CAREA]]</calculatedColumnFormula>
    </tableColumn>
  </tableColumns>
  <tableStyleInfo name="TableStyleLight7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1" xr:uid="{DE3D10F3-83E5-4EEF-BE46-9730C3A5D1B3}" name="Table925" displayName="Table925" ref="AJ64:AN85" totalsRowShown="0">
  <autoFilter ref="AJ64:AN85" xr:uid="{DE3D10F3-83E5-4EEF-BE46-9730C3A5D1B3}"/>
  <tableColumns count="5">
    <tableColumn id="1" xr3:uid="{B8D1E558-D948-436A-91B5-A4D4E401935F}" name="time"/>
    <tableColumn id="5" xr3:uid="{B98EB8FE-1822-46A2-8A52-4A0369028005}" name="moment" dataDxfId="419">
      <calculatedColumnFormula>-(Table925[[#This Row],[time]]-2)*2</calculatedColumnFormula>
    </tableColumn>
    <tableColumn id="2" xr3:uid="{849EFB3E-668F-45A1-AE4B-733D5B2A2E59}" name="CAREA"/>
    <tableColumn id="3" xr3:uid="{F020455C-5082-4895-B74F-E84ED917C87C}" name="CFNM"/>
    <tableColumn id="4" xr3:uid="{570C7208-2033-4EEA-9195-952E41C816E2}" name="CFNM/Total area contact" dataDxfId="418">
      <calculatedColumnFormula>Table925[[#This Row],[CFNM]]/Table925[[#This Row],[CAREA]]</calculatedColumnFormula>
    </tableColumn>
  </tableColumns>
  <tableStyleInfo name="TableStyleLight15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2" xr:uid="{971D3652-5253-466B-BCC2-C6B7664C7B3F}" name="Table16" displayName="Table16" ref="P64:T85" totalsRowShown="0">
  <autoFilter ref="P64:T85" xr:uid="{971D3652-5253-466B-BCC2-C6B7664C7B3F}"/>
  <tableColumns count="5">
    <tableColumn id="1" xr3:uid="{C62B5857-0F9C-4071-9452-1ADC4722D71F}" name="time"/>
    <tableColumn id="2" xr3:uid="{DBC95843-557B-44FB-8BB2-C66DD8156D4F}" name="moment" dataDxfId="417">
      <calculatedColumnFormula>-(Table16[[#This Row],[time]]-2)*2</calculatedColumnFormula>
    </tableColumn>
    <tableColumn id="3" xr3:uid="{758FEDF5-4BFF-426A-BE42-77FD6DE08CA5}" name="CAREA"/>
    <tableColumn id="4" xr3:uid="{8239B549-27FA-47E2-B2E8-923DBF7A2BCE}" name="CFNM"/>
    <tableColumn id="5" xr3:uid="{F63C551D-06F7-45AD-B2FF-D270AD6D0A93}" name="CFNM/Total area contact" dataDxfId="416">
      <calculatedColumnFormula>Table16[[#This Row],[CFNM]]/Table16[[#This Row],[CAREA]]</calculatedColumnFormula>
    </tableColumn>
  </tableColumns>
  <tableStyleInfo name="TableStyleLight4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3" xr:uid="{BF78F29C-96E1-4C45-A7FB-59E29B4E8BBD}" name="Table1" displayName="Table1" ref="A121:E142" totalsRowShown="0">
  <autoFilter ref="A121:E142" xr:uid="{BF78F29C-96E1-4C45-A7FB-59E29B4E8BBD}"/>
  <tableColumns count="5">
    <tableColumn id="1" xr3:uid="{6A637614-B858-4079-ACEB-13B94319FCFD}" name="time"/>
    <tableColumn id="2" xr3:uid="{B9E04CBB-5965-43A8-81BB-D5BFA55BE350}" name="moment" dataDxfId="415">
      <calculatedColumnFormula>-(Table1[[#This Row],[time]]-2)*2</calculatedColumnFormula>
    </tableColumn>
    <tableColumn id="3" xr3:uid="{1940A6B2-C667-4CEE-BF38-F82627A96752}" name="CAREA"/>
    <tableColumn id="4" xr3:uid="{B237FC0B-067F-4B86-B3F8-11053C8E0BE3}" name="CFNM"/>
    <tableColumn id="5" xr3:uid="{00C41757-EA62-46AB-82DD-6171ABA7283A}" name="CFNM/Total area contact" dataDxfId="414">
      <calculatedColumnFormula>Table1[[#This Row],[CFNM]]/Table1[[#This Row],[CAREA]]</calculatedColumnFormula>
    </tableColumn>
  </tableColumns>
  <tableStyleInfo name="TableStyleLight1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4" xr:uid="{2ADD0CC6-8D2B-4A13-9421-8CD5102FB41B}" name="Table2" displayName="Table2" ref="F121:J142" totalsRowShown="0">
  <autoFilter ref="F121:J142" xr:uid="{2ADD0CC6-8D2B-4A13-9421-8CD5102FB41B}"/>
  <tableColumns count="5">
    <tableColumn id="1" xr3:uid="{5833F104-1E93-47CC-B31C-0868CD95C373}" name="time"/>
    <tableColumn id="2" xr3:uid="{774974DA-8AA7-43C0-AB46-4B8DCFBA17F4}" name="moment" dataDxfId="413">
      <calculatedColumnFormula>-(Table2[[#This Row],[time]]-2)*2</calculatedColumnFormula>
    </tableColumn>
    <tableColumn id="3" xr3:uid="{56902054-AD4C-4157-A34A-D08525461114}" name="CAREA"/>
    <tableColumn id="4" xr3:uid="{FC171507-542A-4F2E-A563-0BFF02CD22B5}" name="CFNM"/>
    <tableColumn id="5" xr3:uid="{105F56FF-37BE-492F-BF4F-395125548601}" name="CFNM/Total area contact" dataDxfId="412">
      <calculatedColumnFormula>Table2[[#This Row],[CFNM]]/Table2[[#This Row],[CAREA]]</calculatedColumnFormula>
    </tableColumn>
  </tableColumns>
  <tableStyleInfo name="TableStyleLight2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5" xr:uid="{D7527835-4C1B-4327-859F-9F31DB9CF2A0}" name="Table3" displayName="Table3" ref="K121:O142" totalsRowShown="0">
  <autoFilter ref="K121:O142" xr:uid="{D7527835-4C1B-4327-859F-9F31DB9CF2A0}"/>
  <tableColumns count="5">
    <tableColumn id="1" xr3:uid="{195331A1-AD98-46B0-9021-D38D54B8B5DE}" name="time"/>
    <tableColumn id="2" xr3:uid="{CD8C63B5-71E2-4D55-A1FE-A6D6B661A2DA}" name="moment" dataDxfId="411">
      <calculatedColumnFormula>-(Table3[[#This Row],[time]]-2)*2</calculatedColumnFormula>
    </tableColumn>
    <tableColumn id="3" xr3:uid="{0B44908D-9E54-462A-B892-DB9CE3FF7C2D}" name="CAREA"/>
    <tableColumn id="4" xr3:uid="{CD5404EC-F7A8-49B5-A99F-6F2AF9B79DB2}" name="CFNM"/>
    <tableColumn id="5" xr3:uid="{5E1DE0D2-61B2-44E7-B4E6-6ABBE2244F03}" name="CFNM/Total area contact" dataDxfId="410">
      <calculatedColumnFormula>Table3[[#This Row],[CFNM]]/Table3[[#This Row],[CAREA]]</calculatedColumnFormula>
    </tableColumn>
  </tableColumns>
  <tableStyleInfo name="TableStyleLight3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6" xr:uid="{8779C04A-A2CD-4AEF-930F-D744921D0B1F}" name="Table4" displayName="Table4" ref="P121:T142" totalsRowShown="0">
  <autoFilter ref="P121:T142" xr:uid="{8779C04A-A2CD-4AEF-930F-D744921D0B1F}"/>
  <tableColumns count="5">
    <tableColumn id="1" xr3:uid="{AC245EDE-B4A7-450B-AE05-633373E9135B}" name="time"/>
    <tableColumn id="2" xr3:uid="{2FE3BA8D-4D7A-4C8E-AEB4-A27E68141597}" name="moment" dataDxfId="409">
      <calculatedColumnFormula>-(Table4[[#This Row],[time]]-2)*2</calculatedColumnFormula>
    </tableColumn>
    <tableColumn id="3" xr3:uid="{9C8AEDED-9750-4F07-8F91-B1D3DA409520}" name="CAREA"/>
    <tableColumn id="4" xr3:uid="{1F8A59AE-6D8D-4302-BB7E-374078F5FCC8}" name="CFNM"/>
    <tableColumn id="5" xr3:uid="{503E04C2-8CF3-42BC-B8C0-6C08D5409D33}" name="CFNM/Total area contact" dataDxfId="408">
      <calculatedColumnFormula>Table4[[#This Row],[CFNM]]/Table4[[#This Row],[CAREA]]</calculatedColumnFormula>
    </tableColumn>
  </tableColumns>
  <tableStyleInfo name="TableStyleLight4" showFirstColumn="0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7" xr:uid="{7EEAD288-A2F3-4EE3-87CC-7E5AC220747B}" name="Table5" displayName="Table5" ref="U121:Y142" totalsRowShown="0">
  <autoFilter ref="U121:Y142" xr:uid="{7EEAD288-A2F3-4EE3-87CC-7E5AC220747B}"/>
  <tableColumns count="5">
    <tableColumn id="1" xr3:uid="{9F1F1BBA-D87C-43C1-8C77-C303B6BF0350}" name="time"/>
    <tableColumn id="2" xr3:uid="{FDFF6A49-5B8D-4EF9-B9F2-14E5B5D87583}" name="moment" dataDxfId="407">
      <calculatedColumnFormula>-(Table5[[#This Row],[time]]-2)*2</calculatedColumnFormula>
    </tableColumn>
    <tableColumn id="3" xr3:uid="{2CE3B750-5D13-4784-9464-3EC5ACA6C2B1}" name="CAREA"/>
    <tableColumn id="4" xr3:uid="{2A9A1681-A429-4EDC-AAB1-7932CBBD8B37}" name="CFNM"/>
    <tableColumn id="5" xr3:uid="{5367BC69-3C3A-47CE-9890-245E80C0165E}" name="CFNM/Total area contact" dataDxfId="406">
      <calculatedColumnFormula>Table5[[#This Row],[CFNM]]/Table5[[#This Row],[CAREA]]</calculatedColumnFormula>
    </tableColumn>
  </tableColumns>
  <tableStyleInfo name="TableStyleLight5" showFirstColumn="0" showLastColumn="0" showRowStripes="1" showColumnStripes="0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8" xr:uid="{398B4CE5-7074-4A6A-904C-4C919FAC4AF9}" name="Table6" displayName="Table6" ref="Z121:AD142" totalsRowShown="0">
  <autoFilter ref="Z121:AD142" xr:uid="{398B4CE5-7074-4A6A-904C-4C919FAC4AF9}"/>
  <tableColumns count="5">
    <tableColumn id="1" xr3:uid="{854475A8-72AA-40ED-A418-181853C5C4D4}" name="time"/>
    <tableColumn id="2" xr3:uid="{A8769077-0A73-44A8-BC6B-76D3FE1905A1}" name="moment" dataDxfId="405">
      <calculatedColumnFormula>-(Table6[[#This Row],[time]]-2)*2</calculatedColumnFormula>
    </tableColumn>
    <tableColumn id="3" xr3:uid="{79E9F0A4-50A4-48C7-9042-43BFAFA9B501}" name="CAREA"/>
    <tableColumn id="4" xr3:uid="{5E190B61-BE55-422D-82EF-9D3F33BA089F}" name="CFNM"/>
    <tableColumn id="5" xr3:uid="{54370EC9-D556-4FC0-9772-5B33EF0E2058}" name="CFNM/Total area contact" dataDxfId="404">
      <calculatedColumnFormula>Table6[[#This Row],[CFNM]]/Table6[[#This Row],[CAREA]]</calculatedColumnFormula>
    </tableColumn>
  </tableColumns>
  <tableStyleInfo name="TableStyleLight6" showFirstColumn="0" showLastColumn="0" showRowStripes="1" showColumnStripes="0"/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9" xr:uid="{0FA01065-0405-4DBA-8CAA-777FBE49D8B0}" name="Table110281" displayName="Table110281" ref="A148:E169" totalsRowShown="0">
  <autoFilter ref="A148:E169" xr:uid="{0FA01065-0405-4DBA-8CAA-777FBE49D8B0}"/>
  <tableColumns count="5">
    <tableColumn id="1" xr3:uid="{E28ECF72-B8F2-4324-B5FD-AC2ED6CD2A67}" name="time"/>
    <tableColumn id="2" xr3:uid="{C2A48408-622F-4175-BF95-F495AFDE7035}" name="moment" dataDxfId="403">
      <calculatedColumnFormula>(Table110281[[#This Row],[time]]-2)*2</calculatedColumnFormula>
    </tableColumn>
    <tableColumn id="3" xr3:uid="{6FAEB3FC-FF18-4B10-87F0-6204EA01727E}" name="CAREA"/>
    <tableColumn id="4" xr3:uid="{20E6E906-8F52-402B-B9A6-9BC21B53E507}" name="CFNM"/>
    <tableColumn id="5" xr3:uid="{1998D9BC-AEFA-4733-8FF7-70687BE6D242}" name="CFNM/Total area contact" dataDxfId="402">
      <calculatedColumnFormula>Table110281[[#This Row],[CFNM]]/Table110281[[#This Row],[CAREA]]</calculatedColumnFormula>
    </tableColumn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4" xr:uid="{5E164F0A-A30A-4003-A09C-DA736078CC2A}" name="Table4246" displayName="Table4246" ref="P7:T28" totalsRowShown="0">
  <autoFilter ref="P7:T28" xr:uid="{5E164F0A-A30A-4003-A09C-DA736078CC2A}"/>
  <tableColumns count="5">
    <tableColumn id="1" xr3:uid="{A3DB6CB6-DEC6-484A-8790-CBBA25E2E309}" name="time"/>
    <tableColumn id="2" xr3:uid="{0CF036F7-A7C0-4E2C-A4D9-A9AD8D422B5E}" name="moment" dataDxfId="473">
      <calculatedColumnFormula>-(Table4246[[#This Row],[time]]-2)*2</calculatedColumnFormula>
    </tableColumn>
    <tableColumn id="3" xr3:uid="{8641805B-B675-4B36-B8CA-44D01F94580B}" name="CAREA"/>
    <tableColumn id="4" xr3:uid="{8253B83E-8ECC-4218-BC38-745934130C2D}" name="CFNM"/>
    <tableColumn id="5" xr3:uid="{949B6882-CA60-459C-9E15-CD206F241FEE}" name="CFNM/Total area contact" dataDxfId="472">
      <calculatedColumnFormula>Table4246[[#This Row],[CFNM]]/Table4246[[#This Row],[CAREA]]</calculatedColumnFormula>
    </tableColumn>
  </tableColumns>
  <tableStyleInfo name="TableStyleLight4" showFirstColumn="0" showLastColumn="0" showRowStripes="1" showColumnStripes="0"/>
</table>
</file>

<file path=xl/tables/table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0" xr:uid="{E27B72FA-FA3E-4681-A0CC-E2B6E7F6BE59}" name="Table211282" displayName="Table211282" ref="F148:J169" totalsRowShown="0">
  <autoFilter ref="F148:J169" xr:uid="{E27B72FA-FA3E-4681-A0CC-E2B6E7F6BE59}"/>
  <tableColumns count="5">
    <tableColumn id="1" xr3:uid="{D61AA172-CF24-4C3F-B8A7-ACEF44B8FD2A}" name="time"/>
    <tableColumn id="2" xr3:uid="{6AC117B5-5F16-439F-AFE5-CCD0E5B743E7}" name="moment" dataDxfId="401">
      <calculatedColumnFormula>(Table211282[[#This Row],[time]]-2)*2</calculatedColumnFormula>
    </tableColumn>
    <tableColumn id="3" xr3:uid="{1B26B7B9-FC13-41F2-A7FF-F4FDB4BF5AC6}" name="CAREA"/>
    <tableColumn id="4" xr3:uid="{FF64992F-6B4A-4A6B-8172-201EDC723CE6}" name="CFNM"/>
    <tableColumn id="5" xr3:uid="{9ABAD7D9-422B-4AD3-8A7D-ADDF3EFD1E74}" name="CFNM/Total area contact" dataDxfId="400">
      <calculatedColumnFormula>Table211282[[#This Row],[CFNM]]/Table211282[[#This Row],[CAREA]]</calculatedColumnFormula>
    </tableColumn>
  </tableColumns>
  <tableStyleInfo name="TableStyleLight2" showFirstColumn="0" showLastColumn="0" showRowStripes="1" showColumnStripes="0"/>
</table>
</file>

<file path=xl/tables/table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1" xr:uid="{D25DF731-BF8C-46A2-BDA4-453822028D5C}" name="Table312283" displayName="Table312283" ref="K148:O169" totalsRowShown="0">
  <autoFilter ref="K148:O169" xr:uid="{D25DF731-BF8C-46A2-BDA4-453822028D5C}"/>
  <tableColumns count="5">
    <tableColumn id="1" xr3:uid="{59564EE3-2191-42A8-A1DA-BCEBECD6C799}" name="time"/>
    <tableColumn id="2" xr3:uid="{CE5DECB3-18CD-4A3C-B050-B8071F8BC26C}" name="moment" dataDxfId="399">
      <calculatedColumnFormula>(Table312283[[#This Row],[time]]-2)*2</calculatedColumnFormula>
    </tableColumn>
    <tableColumn id="3" xr3:uid="{055DB13E-2D3A-4E2B-8D76-239441A5F070}" name="CAREA"/>
    <tableColumn id="4" xr3:uid="{D85DD086-E967-4479-8F79-3B005786A13B}" name="CFNM"/>
    <tableColumn id="5" xr3:uid="{1B73270F-BD54-4389-8F11-C5B744688503}" name="CFNM/Total area contact" dataDxfId="398">
      <calculatedColumnFormula>Table312283[[#This Row],[CFNM]]/Table312283[[#This Row],[CAREA]]</calculatedColumnFormula>
    </tableColumn>
  </tableColumns>
  <tableStyleInfo name="TableStyleLight3" showFirstColumn="0" showLastColumn="0" showRowStripes="1" showColumnStripes="0"/>
</table>
</file>

<file path=xl/tables/table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2" xr:uid="{93224A58-4C90-4CE2-991A-FF0786AF78D3}" name="Table413284" displayName="Table413284" ref="P148:T169" totalsRowShown="0">
  <autoFilter ref="P148:T169" xr:uid="{93224A58-4C90-4CE2-991A-FF0786AF78D3}"/>
  <tableColumns count="5">
    <tableColumn id="1" xr3:uid="{A809B64C-14F6-490B-9249-138768CD766A}" name="time"/>
    <tableColumn id="2" xr3:uid="{0FE5B920-C9FF-4918-ABC5-DE13985D6E09}" name="moment" dataDxfId="397">
      <calculatedColumnFormula>(Table413284[[#This Row],[time]]-2)*2</calculatedColumnFormula>
    </tableColumn>
    <tableColumn id="3" xr3:uid="{2D9B8B7A-8EE5-4F7F-BA7A-ED92D70E422D}" name="CAREA"/>
    <tableColumn id="4" xr3:uid="{6FD046DB-6E66-4166-BA97-D53B4D55B4BC}" name="CFNM"/>
    <tableColumn id="5" xr3:uid="{17F992CF-C1F7-4DE1-9A42-E95056311EE1}" name="CFNM/Total area contact" dataDxfId="396">
      <calculatedColumnFormula>Table413284[[#This Row],[CFNM]]/Table413284[[#This Row],[CAREA]]</calculatedColumnFormula>
    </tableColumn>
  </tableColumns>
  <tableStyleInfo name="TableStyleLight4" showFirstColumn="0" showLastColumn="0" showRowStripes="1" showColumnStripes="0"/>
</table>
</file>

<file path=xl/tables/table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3" xr:uid="{C0EDCA08-8D49-465E-B0BC-ABD03247EAB3}" name="Table514285" displayName="Table514285" ref="U148:Y169" totalsRowShown="0">
  <autoFilter ref="U148:Y169" xr:uid="{C0EDCA08-8D49-465E-B0BC-ABD03247EAB3}"/>
  <tableColumns count="5">
    <tableColumn id="1" xr3:uid="{A13C0D3D-987F-4ACA-8BA1-AE5E08B4B38E}" name="time"/>
    <tableColumn id="2" xr3:uid="{78B0F3F5-23C4-43EB-9892-07882C432792}" name="moment" dataDxfId="395">
      <calculatedColumnFormula>(Table514285[[#This Row],[time]]-2)*2</calculatedColumnFormula>
    </tableColumn>
    <tableColumn id="3" xr3:uid="{011F6216-E44F-44A5-A5C0-0FA55A0837B0}" name="CAREA"/>
    <tableColumn id="4" xr3:uid="{07CCE6A7-6DB0-407F-9F16-366B5FBA7799}" name="CFNM"/>
    <tableColumn id="5" xr3:uid="{AB42BA84-A661-4658-A7A3-2DACF3A675D2}" name="CFNM/Total area contact" dataDxfId="394">
      <calculatedColumnFormula>Table514285[[#This Row],[CFNM]]/Table514285[[#This Row],[CAREA]]</calculatedColumnFormula>
    </tableColumn>
  </tableColumns>
  <tableStyleInfo name="TableStyleLight5" showFirstColumn="0" showLastColumn="0" showRowStripes="1" showColumnStripes="0"/>
</table>
</file>

<file path=xl/tables/table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4" xr:uid="{6057BE29-7C08-409E-8239-4D113703FC77}" name="Table615286" displayName="Table615286" ref="Z148:AD169" totalsRowShown="0">
  <autoFilter ref="Z148:AD169" xr:uid="{6057BE29-7C08-409E-8239-4D113703FC77}"/>
  <tableColumns count="5">
    <tableColumn id="1" xr3:uid="{36337078-9E64-4182-A5C2-D201ECD1B8D3}" name="time"/>
    <tableColumn id="2" xr3:uid="{7E8D1AC9-D6BF-49EF-860B-86F510D5D5ED}" name="moment" dataDxfId="393">
      <calculatedColumnFormula>(Table615286[[#This Row],[time]]-2)*2</calculatedColumnFormula>
    </tableColumn>
    <tableColumn id="3" xr3:uid="{8387DE72-F10D-403F-957B-A505C5BE8CDB}" name="CAREA"/>
    <tableColumn id="4" xr3:uid="{C7CD9F32-E706-46B7-BD8D-C9EE44B2298C}" name="CFNM"/>
    <tableColumn id="5" xr3:uid="{009B3458-274B-4331-A424-DDA933F3E6FD}" name="CFNM/Total area contact" dataDxfId="392">
      <calculatedColumnFormula>Table615286[[#This Row],[CFNM]]/Table615286[[#This Row],[CAREA]]</calculatedColumnFormula>
    </tableColumn>
  </tableColumns>
  <tableStyleInfo name="TableStyleLight6" showFirstColumn="0" showLastColumn="0" showRowStripes="1" showColumnStripes="0"/>
</table>
</file>

<file path=xl/tables/table4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5" xr:uid="{26AB8698-2A1C-428A-A83F-678D0472B753}" name="Table7" displayName="Table7" ref="AE121:AI142" totalsRowShown="0">
  <autoFilter ref="AE121:AI142" xr:uid="{26AB8698-2A1C-428A-A83F-678D0472B753}"/>
  <tableColumns count="5">
    <tableColumn id="1" xr3:uid="{6AB5BFFD-17D4-40F4-875B-FBFFE5AF4946}" name="time"/>
    <tableColumn id="2" xr3:uid="{47ADA097-2A5A-4D9A-B39D-370AD17DAC75}" name="moment" dataDxfId="391">
      <calculatedColumnFormula>-(Table7[[#This Row],[time]]-2)*2</calculatedColumnFormula>
    </tableColumn>
    <tableColumn id="3" xr3:uid="{47DFB697-ADE8-4559-9BE4-0F963EEE35E4}" name="CAREA"/>
    <tableColumn id="4" xr3:uid="{F700F8C6-3D75-4E6E-9CDD-87C6E4AE3F1F}" name="CFNM"/>
    <tableColumn id="5" xr3:uid="{4A9BBE9A-FD41-4FEC-895D-F76147E044AE}" name="CFNM/Total area contact" dataDxfId="390">
      <calculatedColumnFormula>Table7[[#This Row],[CFNM]]/Table7[[#This Row],[CAREA]]</calculatedColumnFormula>
    </tableColumn>
  </tableColumns>
  <tableStyleInfo name="TableStyleLight7" showFirstColumn="0" showLastColumn="0" showRowStripes="1" showColumnStripes="0"/>
</table>
</file>

<file path=xl/tables/table4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6" xr:uid="{04410E33-0148-4231-81EA-C7C2D1249C20}" name="Table818287" displayName="Table818287" ref="AJ121:AN142" totalsRowShown="0">
  <autoFilter ref="AJ121:AN142" xr:uid="{04410E33-0148-4231-81EA-C7C2D1249C20}"/>
  <tableColumns count="5">
    <tableColumn id="1" xr3:uid="{CBB28424-31C9-4B11-955F-BA3376B76120}" name="time"/>
    <tableColumn id="2" xr3:uid="{BE520EE9-1E86-4CF0-903E-791E0B095162}" name="moment" dataDxfId="389">
      <calculatedColumnFormula>-(Table818287[[#This Row],[time]]-2)*2</calculatedColumnFormula>
    </tableColumn>
    <tableColumn id="3" xr3:uid="{F61E7ABC-4E4D-41C6-A84A-F0E08FF131BC}" name="CAREA"/>
    <tableColumn id="4" xr3:uid="{88B13078-E861-48C5-ABAD-5B20FA49B2BE}" name="CFNM"/>
    <tableColumn id="5" xr3:uid="{271312EB-C1A5-4A79-B093-3E8C2A8E947C}" name="CFNM/Total area contact" dataDxfId="388">
      <calculatedColumnFormula>Table818287[[#This Row],[CFNM]]/Table818287[[#This Row],[CAREA]]</calculatedColumnFormula>
    </tableColumn>
  </tableColumns>
  <tableStyleInfo name="TableStyleLight15" showFirstColumn="0" showLastColumn="0" showRowStripes="1" showColumnStripes="0"/>
</table>
</file>

<file path=xl/tables/table4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7" xr:uid="{19823E21-4E7A-4F11-BA9C-7A55FB716D10}" name="Table716289" displayName="Table716289" ref="AE148:AI169" totalsRowShown="0">
  <autoFilter ref="AE148:AI169" xr:uid="{19823E21-4E7A-4F11-BA9C-7A55FB716D10}"/>
  <tableColumns count="5">
    <tableColumn id="1" xr3:uid="{979C455E-84EF-4939-BBAF-5DC5E7B14419}" name="time"/>
    <tableColumn id="2" xr3:uid="{A4A18F75-FB7C-4B9F-AB7F-78CF21A18EA3}" name="moment" dataDxfId="387">
      <calculatedColumnFormula>(Table716289[[#This Row],[time]]-2)*2</calculatedColumnFormula>
    </tableColumn>
    <tableColumn id="3" xr3:uid="{DF32B651-5B8F-4DAB-9990-814B014D3877}" name="CAREA"/>
    <tableColumn id="4" xr3:uid="{1CE6D9B5-FE58-406C-94F2-0C42CAC6A364}" name="CFNM"/>
    <tableColumn id="5" xr3:uid="{B24806F5-ADC1-4835-B152-43BEB70BACA9}" name="CFNM/Total area contact" dataDxfId="386">
      <calculatedColumnFormula>Table716289[[#This Row],[CFNM]]/Table716289[[#This Row],[CAREA]]</calculatedColumnFormula>
    </tableColumn>
  </tableColumns>
  <tableStyleInfo name="TableStyleLight7" showFirstColumn="0" showLastColumn="0" showRowStripes="1" showColumnStripes="0"/>
</table>
</file>

<file path=xl/tables/table4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8" xr:uid="{8DF9857F-C11B-4199-B4E6-6B81A6FB2D6F}" name="Table81719289" displayName="Table81719289" ref="AJ148:AN169" totalsRowShown="0">
  <autoFilter ref="AJ148:AN169" xr:uid="{8DF9857F-C11B-4199-B4E6-6B81A6FB2D6F}"/>
  <tableColumns count="5">
    <tableColumn id="1" xr3:uid="{D1B92B95-A70A-4CFC-9032-B11D7BCF4357}" name="time"/>
    <tableColumn id="2" xr3:uid="{53FB581E-0AC8-4B08-ABCE-A457C7A1AAD5}" name="moment" dataDxfId="385">
      <calculatedColumnFormula>(Table81719289[[#This Row],[time]]-2)*2</calculatedColumnFormula>
    </tableColumn>
    <tableColumn id="3" xr3:uid="{C1A5BF1C-BDA2-446F-B129-5B31456F96C4}" name="CAREA"/>
    <tableColumn id="4" xr3:uid="{E640D2F9-B04A-4EB3-B148-CB493F9A837E}" name="CFNM"/>
    <tableColumn id="5" xr3:uid="{615EC0A0-CD3F-46DC-B68E-EE5A3CF38580}" name="CFNM/Total area contact" dataDxfId="384">
      <calculatedColumnFormula>Table81719289[[#This Row],[CFNM]]/Table81719289[[#This Row],[CAREA]]</calculatedColumnFormula>
    </tableColumn>
  </tableColumns>
  <tableStyleInfo name="TableStyleLight15" showFirstColumn="0" showLastColumn="0" showRowStripes="1" showColumnStripes="0"/>
</table>
</file>

<file path=xl/tables/table4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9" xr:uid="{D99FD3C2-6AEA-4052-B942-98F92104EAC2}" name="Table1291" displayName="Table1291" ref="A178:E199" totalsRowShown="0">
  <autoFilter ref="A178:E199" xr:uid="{D99FD3C2-6AEA-4052-B942-98F92104EAC2}"/>
  <tableColumns count="5">
    <tableColumn id="1" xr3:uid="{31F9A745-AE34-49D2-8939-F7421D264662}" name="time"/>
    <tableColumn id="2" xr3:uid="{A23A5E6B-1DAA-4BBD-8A2E-3CD3FE0C475E}" name="moment" dataDxfId="383">
      <calculatedColumnFormula>-(Table1291[[#This Row],[time]]-2)*2</calculatedColumnFormula>
    </tableColumn>
    <tableColumn id="3" xr3:uid="{691DA0D4-48FA-4479-9940-2A7EE163086E}" name="CAREA"/>
    <tableColumn id="4" xr3:uid="{6D3E876E-3AE7-485A-A3F9-6239549B64CF}" name="CFNM"/>
    <tableColumn id="5" xr3:uid="{A9C45A2B-C1E8-48A3-A0B5-87F113833B5E}" name="CFNM/Total area contact" dataDxfId="382">
      <calculatedColumnFormula>Table1291[[#This Row],[CFNM]]/Table1291[[#This Row],[CAREA]]</calculatedColumnFormula>
    </tableColumn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5" xr:uid="{A34E08E0-F159-4DC8-BD9C-024B22972682}" name="Table5247" displayName="Table5247" ref="U7:Y28" totalsRowShown="0">
  <autoFilter ref="U7:Y28" xr:uid="{A34E08E0-F159-4DC8-BD9C-024B22972682}"/>
  <tableColumns count="5">
    <tableColumn id="1" xr3:uid="{4B4B84D4-31F3-4ECB-A343-C2E50D5EED8F}" name="time"/>
    <tableColumn id="2" xr3:uid="{D54E97FB-33F5-4105-A0BD-026B3303A912}" name="moment" dataDxfId="471">
      <calculatedColumnFormula>-(Table5247[[#This Row],[time]]-2)*2</calculatedColumnFormula>
    </tableColumn>
    <tableColumn id="3" xr3:uid="{CAD3A03D-2AAA-4C05-9D9D-93B4DA838ABA}" name="CAREA"/>
    <tableColumn id="4" xr3:uid="{904037DB-41BF-4320-AD1E-D5A3BB329485}" name="CFNM"/>
    <tableColumn id="5" xr3:uid="{93E8F053-910F-46A1-ADC5-95F5608AA921}" name="CFNM/Total area contact" dataDxfId="470">
      <calculatedColumnFormula>Table5247[[#This Row],[CFNM]]/Table5247[[#This Row],[CAREA]]</calculatedColumnFormula>
    </tableColumn>
  </tableColumns>
  <tableStyleInfo name="TableStyleLight5" showFirstColumn="0" showLastColumn="0" showRowStripes="1" showColumnStripes="0"/>
</table>
</file>

<file path=xl/tables/table5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0" xr:uid="{36A4CB29-75D7-4D8A-9CDD-2A50A1E98691}" name="Table2292" displayName="Table2292" ref="F178:J199" totalsRowShown="0">
  <autoFilter ref="F178:J199" xr:uid="{36A4CB29-75D7-4D8A-9CDD-2A50A1E98691}"/>
  <tableColumns count="5">
    <tableColumn id="1" xr3:uid="{ACAC8984-3047-4583-879C-39251FC4B0E5}" name="time"/>
    <tableColumn id="2" xr3:uid="{115BADA6-E7AA-4620-B1EB-703E65BBE818}" name="moment" dataDxfId="381">
      <calculatedColumnFormula>-(Table2292[[#This Row],[time]]-2)*2</calculatedColumnFormula>
    </tableColumn>
    <tableColumn id="3" xr3:uid="{37D62C76-A9FC-47D2-98C0-49A698668DF2}" name="CAREA"/>
    <tableColumn id="4" xr3:uid="{B7D914B7-3998-442B-8B16-BE7EB279B7C9}" name="CFNM"/>
    <tableColumn id="5" xr3:uid="{15572880-2698-4A57-B1E5-2E5CD293AB49}" name="CFNM/Total area contact" dataDxfId="380">
      <calculatedColumnFormula>Table2292[[#This Row],[CFNM]]/Table2292[[#This Row],[CAREA]]</calculatedColumnFormula>
    </tableColumn>
  </tableColumns>
  <tableStyleInfo name="TableStyleLight2" showFirstColumn="0" showLastColumn="0" showRowStripes="1" showColumnStripes="0"/>
</table>
</file>

<file path=xl/tables/table5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1" xr:uid="{9090F55B-0A24-4542-8DFF-E6178002DF36}" name="Table3293" displayName="Table3293" ref="K178:O199" totalsRowShown="0">
  <autoFilter ref="K178:O199" xr:uid="{9090F55B-0A24-4542-8DFF-E6178002DF36}"/>
  <tableColumns count="5">
    <tableColumn id="1" xr3:uid="{D6A8EE3A-F332-49C2-B02B-09254247A72C}" name="time"/>
    <tableColumn id="2" xr3:uid="{07FA79F7-A9F7-42DD-BF4D-1A5EDE735185}" name="moment" dataDxfId="379">
      <calculatedColumnFormula>-(Table3293[[#This Row],[time]]-2)*2</calculatedColumnFormula>
    </tableColumn>
    <tableColumn id="3" xr3:uid="{D50CED4E-0309-4E53-AAAA-6ED4583FA8AB}" name="CAREA"/>
    <tableColumn id="4" xr3:uid="{44353473-A070-4AA1-BFB6-51FF118E6F57}" name="CFNM"/>
    <tableColumn id="5" xr3:uid="{C3C2718F-7765-49DE-9CEF-5C29713CBBFA}" name="CFNM/Total area contact" dataDxfId="378">
      <calculatedColumnFormula>Table3293[[#This Row],[CFNM]]/Table3293[[#This Row],[CAREA]]</calculatedColumnFormula>
    </tableColumn>
  </tableColumns>
  <tableStyleInfo name="TableStyleLight3" showFirstColumn="0" showLastColumn="0" showRowStripes="1" showColumnStripes="0"/>
</table>
</file>

<file path=xl/tables/table5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2" xr:uid="{F220E7C8-5EB6-46C0-B0D8-5589FE388C2A}" name="Table4294" displayName="Table4294" ref="P178:T199" totalsRowShown="0">
  <autoFilter ref="P178:T199" xr:uid="{F220E7C8-5EB6-46C0-B0D8-5589FE388C2A}"/>
  <tableColumns count="5">
    <tableColumn id="1" xr3:uid="{00C7CABF-E494-4B36-A695-752DEBE42CF7}" name="time"/>
    <tableColumn id="2" xr3:uid="{4EFB7D58-C710-4AA4-A8A8-4F4C738929CF}" name="moment" dataDxfId="377">
      <calculatedColumnFormula>-(Table4294[[#This Row],[time]]-2)*2</calculatedColumnFormula>
    </tableColumn>
    <tableColumn id="3" xr3:uid="{719B00D1-F40D-4476-9995-40B00B69555B}" name="CAREA"/>
    <tableColumn id="4" xr3:uid="{73443DEB-B407-4150-9841-B00F497E338E}" name="CFNM"/>
    <tableColumn id="5" xr3:uid="{6E929FF0-AB85-4E2F-944C-93E4B475E6F8}" name="CFNM/Total area contact" dataDxfId="376">
      <calculatedColumnFormula>Table4294[[#This Row],[CFNM]]/Table4294[[#This Row],[CAREA]]</calculatedColumnFormula>
    </tableColumn>
  </tableColumns>
  <tableStyleInfo name="TableStyleLight4" showFirstColumn="0" showLastColumn="0" showRowStripes="1" showColumnStripes="0"/>
</table>
</file>

<file path=xl/tables/table5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3" xr:uid="{9CA24B39-0707-4D84-B699-C7453F787DD5}" name="Table5295" displayName="Table5295" ref="U178:Y199" totalsRowShown="0">
  <autoFilter ref="U178:Y199" xr:uid="{9CA24B39-0707-4D84-B699-C7453F787DD5}"/>
  <tableColumns count="5">
    <tableColumn id="1" xr3:uid="{BED81F96-6501-4ABC-981A-6A44BF14A8EE}" name="time"/>
    <tableColumn id="2" xr3:uid="{17549494-29A5-4CE9-B134-9AE0BAA431E3}" name="moment" dataDxfId="375">
      <calculatedColumnFormula>-(Table5295[[#This Row],[time]]-2)*2</calculatedColumnFormula>
    </tableColumn>
    <tableColumn id="3" xr3:uid="{2DC11129-F87A-4CD5-9FF4-C4B77FD09279}" name="CAREA"/>
    <tableColumn id="4" xr3:uid="{2D3137D9-72EE-4F24-9474-F9D8E69CEE81}" name="CFNM"/>
    <tableColumn id="5" xr3:uid="{7CD819BE-941E-4F86-8BF8-109B5E1D47E6}" name="CFNM/Total area contact" dataDxfId="374">
      <calculatedColumnFormula>Table5295[[#This Row],[CFNM]]/Table5295[[#This Row],[CAREA]]</calculatedColumnFormula>
    </tableColumn>
  </tableColumns>
  <tableStyleInfo name="TableStyleLight5" showFirstColumn="0" showLastColumn="0" showRowStripes="1" showColumnStripes="0"/>
</table>
</file>

<file path=xl/tables/table5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4" xr:uid="{5E6FBF6C-11A9-4058-AB1F-3E12EEE0E7A6}" name="Table6296" displayName="Table6296" ref="Z178:AD199" totalsRowShown="0">
  <autoFilter ref="Z178:AD199" xr:uid="{5E6FBF6C-11A9-4058-AB1F-3E12EEE0E7A6}"/>
  <tableColumns count="5">
    <tableColumn id="1" xr3:uid="{5C2B8E21-56CB-4930-8BF9-943CB82F2EB4}" name="time"/>
    <tableColumn id="2" xr3:uid="{28AFB0DF-8212-461F-BC2A-5BE267BEEAD0}" name="moment" dataDxfId="373">
      <calculatedColumnFormula>-(Table6296[[#This Row],[time]]-2)*2</calculatedColumnFormula>
    </tableColumn>
    <tableColumn id="3" xr3:uid="{4A74CD8C-FD5C-4FD8-B99B-BCFD0749545E}" name="CAREA"/>
    <tableColumn id="4" xr3:uid="{BD5AABAF-3DAA-4D99-B79E-CFB144B5AEC6}" name="CFNM"/>
    <tableColumn id="5" xr3:uid="{FEC3C22F-AAD1-4B4C-8735-A662F8A6EC78}" name="CFNM/Total area contact" dataDxfId="372">
      <calculatedColumnFormula>Table6296[[#This Row],[CFNM]]/Table6296[[#This Row],[CAREA]]</calculatedColumnFormula>
    </tableColumn>
  </tableColumns>
  <tableStyleInfo name="TableStyleLight6" showFirstColumn="0" showLastColumn="0" showRowStripes="1" showColumnStripes="0"/>
</table>
</file>

<file path=xl/tables/table5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5" xr:uid="{A0B41E9E-2125-4CEF-AF28-A98106A2DBBF}" name="Table7297" displayName="Table7297" ref="AE178:AI199" totalsRowShown="0">
  <autoFilter ref="AE178:AI199" xr:uid="{A0B41E9E-2125-4CEF-AF28-A98106A2DBBF}"/>
  <tableColumns count="5">
    <tableColumn id="1" xr3:uid="{ED75AA43-F464-4F7F-9EE5-E1AAA617286D}" name="time"/>
    <tableColumn id="2" xr3:uid="{5AB59514-8F13-4001-B612-83987098B28F}" name="moment" dataDxfId="371">
      <calculatedColumnFormula>-(Table7297[[#This Row],[time]]-2)*2</calculatedColumnFormula>
    </tableColumn>
    <tableColumn id="3" xr3:uid="{72A43D84-3CBD-4EED-B23B-1A58835CF5BA}" name="CAREA"/>
    <tableColumn id="4" xr3:uid="{AB7007F8-0CD3-438F-989E-815CEC0C8F4D}" name="CFNM"/>
    <tableColumn id="5" xr3:uid="{8EA599E2-D103-4000-89D6-292E778C4ADA}" name="CFNM/Total area contact" dataDxfId="370">
      <calculatedColumnFormula>Table7297[[#This Row],[CFNM]]/Table7297[[#This Row],[CAREA]]</calculatedColumnFormula>
    </tableColumn>
  </tableColumns>
  <tableStyleInfo name="TableStyleLight7" showFirstColumn="0" showLastColumn="0" showRowStripes="1" showColumnStripes="0"/>
</table>
</file>

<file path=xl/tables/table5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6" xr:uid="{D48133E9-5E58-415C-A9F4-D1CBEE6DEBE8}" name="Table8" displayName="Table8" ref="AJ178:AN199" totalsRowShown="0">
  <autoFilter ref="AJ178:AN199" xr:uid="{D48133E9-5E58-415C-A9F4-D1CBEE6DEBE8}"/>
  <tableColumns count="5">
    <tableColumn id="1" xr3:uid="{CAA156CD-7553-4F32-9AD0-3AAC5E01E782}" name="time"/>
    <tableColumn id="2" xr3:uid="{970313BB-2651-4332-A80B-EA6F177279B5}" name="moment" dataDxfId="369">
      <calculatedColumnFormula>-(Table8[[#This Row],[time]]-2)*2</calculatedColumnFormula>
    </tableColumn>
    <tableColumn id="3" xr3:uid="{5297FB2E-B627-4F9E-A4EA-F4F16CAE6B29}" name="CAREA"/>
    <tableColumn id="4" xr3:uid="{DF0A9491-143E-45C0-A848-50C17874D01E}" name="CFNM"/>
    <tableColumn id="5" xr3:uid="{AD07CE90-4F38-49AA-8832-C19979536DD5}" name="CFNM/Total area contact" dataDxfId="368">
      <calculatedColumnFormula>Table8[[#This Row],[CFNM]]/Table8[[#This Row],[CAREA]]</calculatedColumnFormula>
    </tableColumn>
  </tableColumns>
  <tableStyleInfo name="TableStyleLight15" showFirstColumn="0" showLastColumn="0" showRowStripes="1" showColumnStripes="0"/>
</table>
</file>

<file path=xl/tables/table5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7" xr:uid="{D439C443-D8A0-4711-8D86-A03C65E66735}" name="Table110298" displayName="Table110298" ref="A205:E226" totalsRowShown="0">
  <autoFilter ref="A205:E226" xr:uid="{D439C443-D8A0-4711-8D86-A03C65E66735}"/>
  <tableColumns count="5">
    <tableColumn id="1" xr3:uid="{8A20F621-8EC2-40E2-9672-4BC689CA17CE}" name="time"/>
    <tableColumn id="2" xr3:uid="{7CFFBEB3-41E0-418D-90BF-4E97B4AD2B8A}" name="moment" dataDxfId="367">
      <calculatedColumnFormula>(Table110298[[#This Row],[time]]-2)*2</calculatedColumnFormula>
    </tableColumn>
    <tableColumn id="3" xr3:uid="{526EA1A1-9EBB-4373-83B6-96BB9182E0B2}" name="CAREA"/>
    <tableColumn id="4" xr3:uid="{C05C84E4-5E5A-4E02-8B31-8DEB627C5CD9}" name="CFNM"/>
    <tableColumn id="5" xr3:uid="{B6935E40-682B-4219-9C07-2036B7195154}" name="CFNM/Total area contact" dataDxfId="366">
      <calculatedColumnFormula>Table110298[[#This Row],[CFNM]]/Table110298[[#This Row],[CAREA]]</calculatedColumnFormula>
    </tableColumn>
  </tableColumns>
  <tableStyleInfo name="TableStyleLight1" showFirstColumn="0" showLastColumn="0" showRowStripes="1" showColumnStripes="0"/>
</table>
</file>

<file path=xl/tables/table5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8" xr:uid="{D62D9D4A-1C50-41F1-BD8D-66DF5BE9EE27}" name="Table211299" displayName="Table211299" ref="F205:J226" totalsRowShown="0">
  <autoFilter ref="F205:J226" xr:uid="{D62D9D4A-1C50-41F1-BD8D-66DF5BE9EE27}"/>
  <tableColumns count="5">
    <tableColumn id="1" xr3:uid="{6F7EA46B-5F74-489A-8AC1-F31DA2DF89A0}" name="time"/>
    <tableColumn id="2" xr3:uid="{F4037E1E-D55D-46D8-9CA1-BAE11C097324}" name="moment" dataDxfId="365">
      <calculatedColumnFormula>(Table211299[[#This Row],[time]]-2)*2</calculatedColumnFormula>
    </tableColumn>
    <tableColumn id="3" xr3:uid="{555CD748-92D3-41C0-A354-AEA1612BC758}" name="CAREA"/>
    <tableColumn id="4" xr3:uid="{B5F16955-6468-4277-873A-9444FEB60C2F}" name="CFNM"/>
    <tableColumn id="5" xr3:uid="{7E5306AE-9B9D-4A04-9464-3C49B379AC77}" name="CFNM/Total area contact" dataDxfId="364">
      <calculatedColumnFormula>Table211299[[#This Row],[CFNM]]/Table211299[[#This Row],[CAREA]]</calculatedColumnFormula>
    </tableColumn>
  </tableColumns>
  <tableStyleInfo name="TableStyleLight2" showFirstColumn="0" showLastColumn="0" showRowStripes="1" showColumnStripes="0"/>
</table>
</file>

<file path=xl/tables/table5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9" xr:uid="{DEA00FFA-C7E3-4614-B336-3CCA210C67AE}" name="Table312300" displayName="Table312300" ref="K205:O226" totalsRowShown="0">
  <autoFilter ref="K205:O226" xr:uid="{DEA00FFA-C7E3-4614-B336-3CCA210C67AE}"/>
  <tableColumns count="5">
    <tableColumn id="1" xr3:uid="{6B2AB57A-3EF7-40AF-BA31-151F8C6905B3}" name="time"/>
    <tableColumn id="2" xr3:uid="{CF8DDB74-D78B-485B-95BF-F6AA08AF6125}" name="moment" dataDxfId="363">
      <calculatedColumnFormula>(Table312300[[#This Row],[time]]-2)*2</calculatedColumnFormula>
    </tableColumn>
    <tableColumn id="3" xr3:uid="{78099760-A5AF-4D83-922E-CEC67C5258C6}" name="CAREA"/>
    <tableColumn id="4" xr3:uid="{CBE29134-EE46-457C-8299-226943A4F327}" name="CFNM"/>
    <tableColumn id="5" xr3:uid="{AB88DE9B-257D-4D3B-9DC8-B8FA747F72CE}" name="CFNM/Total area contact" dataDxfId="362">
      <calculatedColumnFormula>Table312300[[#This Row],[CFNM]]/Table312300[[#This Row],[CAREA]]</calculatedColumnFormula>
    </tableColumn>
  </tableColumns>
  <tableStyleInfo name="TableStyleLight3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6" xr:uid="{97ADB2D2-2686-4A24-96B4-6A3FB297CB91}" name="Table6248" displayName="Table6248" ref="Z7:AD28" totalsRowShown="0">
  <autoFilter ref="Z7:AD28" xr:uid="{97ADB2D2-2686-4A24-96B4-6A3FB297CB91}"/>
  <tableColumns count="5">
    <tableColumn id="1" xr3:uid="{6B36443E-5925-4065-A107-E69B1B375DFC}" name="time"/>
    <tableColumn id="2" xr3:uid="{62B91702-2E07-41AF-8D49-9CADE94BA707}" name="moment" dataDxfId="469">
      <calculatedColumnFormula>-(Table6248[[#This Row],[time]]-2)*2</calculatedColumnFormula>
    </tableColumn>
    <tableColumn id="3" xr3:uid="{E3D83DD2-2885-4E35-B59C-BC8A9AA116CF}" name="CAREA"/>
    <tableColumn id="4" xr3:uid="{627D71A2-0B83-4513-BDBE-A66F797272B8}" name="CFNM"/>
    <tableColumn id="5" xr3:uid="{196992A0-087D-4F1A-8731-64E4CEAACB2A}" name="CFNM/Total area contact" dataDxfId="468">
      <calculatedColumnFormula>Table6248[[#This Row],[CFNM]]/Table6248[[#This Row],[CAREA]]</calculatedColumnFormula>
    </tableColumn>
  </tableColumns>
  <tableStyleInfo name="TableStyleLight6" showFirstColumn="0" showLastColumn="0" showRowStripes="1" showColumnStripes="0"/>
</table>
</file>

<file path=xl/tables/table6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0" xr:uid="{2DA90897-63C1-444B-A278-980396BB8D84}" name="Table413301" displayName="Table413301" ref="P205:T226" totalsRowShown="0">
  <autoFilter ref="P205:T226" xr:uid="{2DA90897-63C1-444B-A278-980396BB8D84}"/>
  <tableColumns count="5">
    <tableColumn id="1" xr3:uid="{DC3F4927-2A8D-4D03-B882-0E88DD4A8F60}" name="time"/>
    <tableColumn id="2" xr3:uid="{5DF27F51-C073-45B3-96F6-768B693B752F}" name="moment" dataDxfId="361">
      <calculatedColumnFormula>(Table413301[[#This Row],[time]]-2)*2</calculatedColumnFormula>
    </tableColumn>
    <tableColumn id="3" xr3:uid="{6AF43DBF-606C-4505-9270-C91805F71D5D}" name="CAREA"/>
    <tableColumn id="4" xr3:uid="{7D09083E-1B64-4A94-99D9-34B019DE9182}" name="CFNM"/>
    <tableColumn id="5" xr3:uid="{395997BB-F3A8-4DDA-9541-1C26503E6DD6}" name="CFNM/Total area contact" dataDxfId="360">
      <calculatedColumnFormula>Table413301[[#This Row],[CFNM]]/Table413301[[#This Row],[CAREA]]</calculatedColumnFormula>
    </tableColumn>
  </tableColumns>
  <tableStyleInfo name="TableStyleLight4" showFirstColumn="0" showLastColumn="0" showRowStripes="1" showColumnStripes="0"/>
</table>
</file>

<file path=xl/tables/table6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1" xr:uid="{6824671F-5AEB-4F95-9CEA-6DF34B523831}" name="Table514302" displayName="Table514302" ref="U205:Y226" totalsRowShown="0">
  <autoFilter ref="U205:Y226" xr:uid="{6824671F-5AEB-4F95-9CEA-6DF34B523831}"/>
  <tableColumns count="5">
    <tableColumn id="1" xr3:uid="{7EA0A83D-0D1A-4747-89CC-75E8B37F1F14}" name="time"/>
    <tableColumn id="2" xr3:uid="{A1D89514-2F93-416C-960A-4D7FD66F10BE}" name="moment" dataDxfId="359">
      <calculatedColumnFormula>(Table514302[[#This Row],[time]]-2)*2</calculatedColumnFormula>
    </tableColumn>
    <tableColumn id="3" xr3:uid="{B7465261-E73C-46D4-B12B-9CCC303343C4}" name="CAREA"/>
    <tableColumn id="4" xr3:uid="{97EA4F43-F703-4F5E-AE31-896B248C4DF3}" name="CFNM"/>
    <tableColumn id="5" xr3:uid="{1FBC2E21-12EB-4537-922F-E7E6ABE93DFC}" name="CFNM/Total area contact" dataDxfId="358">
      <calculatedColumnFormula>Table514302[[#This Row],[CFNM]]/Table514302[[#This Row],[CAREA]]</calculatedColumnFormula>
    </tableColumn>
  </tableColumns>
  <tableStyleInfo name="TableStyleLight5" showFirstColumn="0" showLastColumn="0" showRowStripes="1" showColumnStripes="0"/>
</table>
</file>

<file path=xl/tables/table6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2" xr:uid="{30B47863-66B9-4496-9367-1740D7F60412}" name="Table615303" displayName="Table615303" ref="Z205:AD226" totalsRowShown="0">
  <autoFilter ref="Z205:AD226" xr:uid="{30B47863-66B9-4496-9367-1740D7F60412}"/>
  <tableColumns count="5">
    <tableColumn id="1" xr3:uid="{2CDBF43A-C50C-4B22-95BA-CF17F2E1C01D}" name="time"/>
    <tableColumn id="2" xr3:uid="{14C28E29-0189-4959-99A6-71ACA1C9DAE7}" name="moment" dataDxfId="357">
      <calculatedColumnFormula>(Table615303[[#This Row],[time]]-2)*2</calculatedColumnFormula>
    </tableColumn>
    <tableColumn id="3" xr3:uid="{E2051226-2BC8-4A6C-A5BB-795B444739F1}" name="CAREA"/>
    <tableColumn id="4" xr3:uid="{D693475F-D33F-482B-A703-87B5055F8609}" name="CFNM"/>
    <tableColumn id="5" xr3:uid="{6A9327F7-3D97-4F78-AF32-478E729C841A}" name="CFNM/Total area contact" dataDxfId="356">
      <calculatedColumnFormula>Table615303[[#This Row],[CFNM]]/Table615303[[#This Row],[CAREA]]</calculatedColumnFormula>
    </tableColumn>
  </tableColumns>
  <tableStyleInfo name="TableStyleLight6" showFirstColumn="0" showLastColumn="0" showRowStripes="1" showColumnStripes="0"/>
</table>
</file>

<file path=xl/tables/table6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3" xr:uid="{5CBB5054-566B-42E1-9975-CB1EA9901AE1}" name="Table716304" displayName="Table716304" ref="AE205:AI226" totalsRowShown="0">
  <autoFilter ref="AE205:AI226" xr:uid="{5CBB5054-566B-42E1-9975-CB1EA9901AE1}"/>
  <tableColumns count="5">
    <tableColumn id="1" xr3:uid="{E4744545-07E6-4AB0-8FC1-42055D7EFF0B}" name="time"/>
    <tableColumn id="2" xr3:uid="{3E46AFAA-06A3-421F-A1DA-E7F5B43DA620}" name="moment" dataDxfId="355">
      <calculatedColumnFormula>(Table716304[[#This Row],[time]]-2)*2</calculatedColumnFormula>
    </tableColumn>
    <tableColumn id="3" xr3:uid="{55040685-6309-45A9-AD33-7BBC08BB29A9}" name="CAREA"/>
    <tableColumn id="4" xr3:uid="{6E900559-DBA4-4E4A-891E-DA66F40DA8E0}" name="CFNM"/>
    <tableColumn id="5" xr3:uid="{E68DADE3-4812-4C15-89C8-D1D37C4AB17C}" name="CFNM/Total area contact" dataDxfId="354">
      <calculatedColumnFormula>Table716304[[#This Row],[CFNM]]/Table716304[[#This Row],[CAREA]]</calculatedColumnFormula>
    </tableColumn>
  </tableColumns>
  <tableStyleInfo name="TableStyleLight7" showFirstColumn="0" showLastColumn="0" showRowStripes="1" showColumnStripes="0"/>
</table>
</file>

<file path=xl/tables/table6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4" xr:uid="{FBA17470-6506-4EF8-90AF-281CB99D44D8}" name="Table817305" displayName="Table817305" ref="AJ205:AN226" totalsRowShown="0">
  <autoFilter ref="AJ205:AN226" xr:uid="{FBA17470-6506-4EF8-90AF-281CB99D44D8}"/>
  <tableColumns count="5">
    <tableColumn id="1" xr3:uid="{7F9074E3-088F-4336-9DFF-98392F76F10B}" name="time"/>
    <tableColumn id="2" xr3:uid="{454B511F-7D31-464C-9E1A-B4388A8FFFF1}" name="moment" dataDxfId="353">
      <calculatedColumnFormula>(Table817305[[#This Row],[time]]-2)*2</calculatedColumnFormula>
    </tableColumn>
    <tableColumn id="3" xr3:uid="{F65C3418-B019-474F-B801-2B193DA6155A}" name="CAREA"/>
    <tableColumn id="4" xr3:uid="{755776D9-59E4-4E29-8F52-A30EBD35813F}" name="CFNM"/>
    <tableColumn id="5" xr3:uid="{31FA7167-C11D-4F14-BA0F-6A459104001E}" name="CFNM/Total area contact" dataDxfId="352">
      <calculatedColumnFormula>Table817305[[#This Row],[CFNM]]/Table817305[[#This Row],[CAREA]]</calculatedColumnFormula>
    </tableColumn>
  </tableColumns>
  <tableStyleInfo name="TableStyleLight15" showFirstColumn="0" showLastColumn="0" showRowStripes="1" showColumnStripes="0"/>
</table>
</file>

<file path=xl/tables/table6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5" xr:uid="{895E75DD-4DEC-46CB-AAFF-E75E37CA200A}" name="Table1307" displayName="Table1307" ref="A235:E256" totalsRowShown="0">
  <autoFilter ref="A235:E256" xr:uid="{895E75DD-4DEC-46CB-AAFF-E75E37CA200A}"/>
  <tableColumns count="5">
    <tableColumn id="1" xr3:uid="{420F9205-6E6E-405E-BFAB-2E0025295637}" name="time"/>
    <tableColumn id="2" xr3:uid="{65E4AC02-95C9-482D-AC8D-F7B26CA67FFE}" name="moment" dataDxfId="351">
      <calculatedColumnFormula>-(Table1307[[#This Row],[time]]-2)*2</calculatedColumnFormula>
    </tableColumn>
    <tableColumn id="3" xr3:uid="{29FEAB6F-FC50-41FB-AF15-BBD4D250D414}" name="CAREA"/>
    <tableColumn id="4" xr3:uid="{53F3209B-30F1-40DB-A1C5-1B143C85F369}" name="CFNM"/>
    <tableColumn id="5" xr3:uid="{68EAB8A4-EF47-4F3A-AC7D-A67F3AC089A4}" name="CFNM/Total area contact" dataDxfId="350">
      <calculatedColumnFormula>Table1307[[#This Row],[CFNM]]/Table1307[[#This Row],[CAREA]]</calculatedColumnFormula>
    </tableColumn>
  </tableColumns>
  <tableStyleInfo name="TableStyleLight1" showFirstColumn="0" showLastColumn="0" showRowStripes="1" showColumnStripes="0"/>
</table>
</file>

<file path=xl/tables/table6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6" xr:uid="{11D7E53B-25D0-4195-9334-7AA2D90E1C82}" name="Table2308" displayName="Table2308" ref="F235:J256" totalsRowShown="0">
  <autoFilter ref="F235:J256" xr:uid="{11D7E53B-25D0-4195-9334-7AA2D90E1C82}"/>
  <tableColumns count="5">
    <tableColumn id="1" xr3:uid="{90F58494-4F23-4781-8880-FED2675051C6}" name="time"/>
    <tableColumn id="2" xr3:uid="{C4FD2091-CCE0-4FE9-8222-A6CAF40BEBAA}" name="moment" dataDxfId="349">
      <calculatedColumnFormula>-(Table2308[[#This Row],[time]]-2)*2</calculatedColumnFormula>
    </tableColumn>
    <tableColumn id="3" xr3:uid="{D246AC48-3822-4318-B914-280FE7E6C3CE}" name="CAREA"/>
    <tableColumn id="4" xr3:uid="{0411BB79-895A-4479-95D8-A681B23C0C4A}" name="CFNM"/>
    <tableColumn id="5" xr3:uid="{1E5F040B-44B8-4DE7-B151-1C48D498E0D1}" name="CFNM/Total area contact" dataDxfId="348">
      <calculatedColumnFormula>Table2308[[#This Row],[CFNM]]/Table2308[[#This Row],[CAREA]]</calculatedColumnFormula>
    </tableColumn>
  </tableColumns>
  <tableStyleInfo name="TableStyleLight2" showFirstColumn="0" showLastColumn="0" showRowStripes="1" showColumnStripes="0"/>
</table>
</file>

<file path=xl/tables/table6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7" xr:uid="{87DA2101-3998-4373-A312-2F655F56F6BC}" name="Table3309" displayName="Table3309" ref="K235:O256" totalsRowShown="0">
  <autoFilter ref="K235:O256" xr:uid="{87DA2101-3998-4373-A312-2F655F56F6BC}"/>
  <tableColumns count="5">
    <tableColumn id="1" xr3:uid="{DB303776-6F9B-4623-9994-0C0AFA17E094}" name="time"/>
    <tableColumn id="2" xr3:uid="{7EC72F6A-0785-443F-B5B3-DD4AAF0711E3}" name="moment" dataDxfId="347">
      <calculatedColumnFormula>-(Table3309[[#This Row],[time]]-2)*2</calculatedColumnFormula>
    </tableColumn>
    <tableColumn id="3" xr3:uid="{79F60B8C-465E-44F0-8EEA-8441332E4901}" name="CAREA"/>
    <tableColumn id="4" xr3:uid="{6243E726-36C3-4E47-B5F4-58D373E90772}" name="CFNM"/>
    <tableColumn id="5" xr3:uid="{D7F36CF2-58DF-4EE4-9D69-7337F6180935}" name="CFNM/Total area contact" dataDxfId="346">
      <calculatedColumnFormula>Table3309[[#This Row],[CFNM]]/Table3309[[#This Row],[CAREA]]</calculatedColumnFormula>
    </tableColumn>
  </tableColumns>
  <tableStyleInfo name="TableStyleLight3" showFirstColumn="0" showLastColumn="0" showRowStripes="1" showColumnStripes="0"/>
</table>
</file>

<file path=xl/tables/table6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8" xr:uid="{10234EB5-F0BC-4CE5-882D-E5D6E51B4679}" name="Table4310" displayName="Table4310" ref="P235:T256" totalsRowShown="0">
  <autoFilter ref="P235:T256" xr:uid="{10234EB5-F0BC-4CE5-882D-E5D6E51B4679}"/>
  <tableColumns count="5">
    <tableColumn id="1" xr3:uid="{AC13BD9E-C73A-4096-B2B4-7758BCA0EEB2}" name="time"/>
    <tableColumn id="2" xr3:uid="{90563C18-1B05-4B85-B33A-BC78EDCBD78E}" name="moment" dataDxfId="345">
      <calculatedColumnFormula>-(Table4310[[#This Row],[time]]-2)*2</calculatedColumnFormula>
    </tableColumn>
    <tableColumn id="3" xr3:uid="{C00CDACE-3FF4-4145-A600-E78F98B3236A}" name="CAREA"/>
    <tableColumn id="4" xr3:uid="{4667994D-F161-4E0D-A029-04445A26D463}" name="CFNM"/>
    <tableColumn id="5" xr3:uid="{73067F47-69B6-4CE5-9E10-4D063829D222}" name="CFNM/Total area contact" dataDxfId="344">
      <calculatedColumnFormula>Table4310[[#This Row],[CFNM]]/Table4310[[#This Row],[CAREA]]</calculatedColumnFormula>
    </tableColumn>
  </tableColumns>
  <tableStyleInfo name="TableStyleLight4" showFirstColumn="0" showLastColumn="0" showRowStripes="1" showColumnStripes="0"/>
</table>
</file>

<file path=xl/tables/table6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9" xr:uid="{BA02C512-69F5-443D-AE97-F24426CC2C11}" name="Table5311" displayName="Table5311" ref="U235:Y256" totalsRowShown="0">
  <autoFilter ref="U235:Y256" xr:uid="{BA02C512-69F5-443D-AE97-F24426CC2C11}"/>
  <tableColumns count="5">
    <tableColumn id="1" xr3:uid="{CBA0BC64-D156-446A-B610-DFE6485B32A0}" name="time"/>
    <tableColumn id="2" xr3:uid="{12577841-3451-49FB-97D6-8966A8234896}" name="moment" dataDxfId="343">
      <calculatedColumnFormula>-(Table5311[[#This Row],[time]]-2)*2</calculatedColumnFormula>
    </tableColumn>
    <tableColumn id="3" xr3:uid="{BC0594A5-89FD-4FCB-93E1-EEFC58338807}" name="CAREA"/>
    <tableColumn id="4" xr3:uid="{C6E2E6FD-47DA-4510-B81F-C095B60089CC}" name="CFNM"/>
    <tableColumn id="5" xr3:uid="{8BD621D7-B00C-4CE1-B2E3-921ADCF9EA9B}" name="CFNM/Total area contact" dataDxfId="342">
      <calculatedColumnFormula>Table5311[[#This Row],[CFNM]]/Table5311[[#This Row],[CAREA]]</calculatedColumnFormula>
    </tableColumn>
  </tableColumns>
  <tableStyleInfo name="TableStyleLight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7" xr:uid="{1BB40F32-E709-4722-9D48-A35F325E27EA}" name="Table7249" displayName="Table7249" ref="AE7:AI28" totalsRowShown="0">
  <autoFilter ref="AE7:AI28" xr:uid="{1BB40F32-E709-4722-9D48-A35F325E27EA}"/>
  <tableColumns count="5">
    <tableColumn id="1" xr3:uid="{1E97CDA6-F1E5-465C-8050-981A830B4DA2}" name="time"/>
    <tableColumn id="2" xr3:uid="{432B1B2B-4DF3-41AC-A18A-BC7B64D0A726}" name="moment" dataDxfId="467">
      <calculatedColumnFormula>-(Table7249[[#This Row],[time]]-2)*2</calculatedColumnFormula>
    </tableColumn>
    <tableColumn id="3" xr3:uid="{0C7C0041-A9A6-4ADC-BF77-6D054C38C7A6}" name="CAREA"/>
    <tableColumn id="4" xr3:uid="{52710AF3-B9C0-4094-B937-280B67326977}" name="CFNM"/>
    <tableColumn id="5" xr3:uid="{86019C46-A33D-4A40-A209-7CD63CABD722}" name="CFNM/Total area contact" dataDxfId="466">
      <calculatedColumnFormula>Table7249[[#This Row],[CFNM]]/Table7249[[#This Row],[CAREA]]</calculatedColumnFormula>
    </tableColumn>
  </tableColumns>
  <tableStyleInfo name="TableStyleLight7" showFirstColumn="0" showLastColumn="0" showRowStripes="1" showColumnStripes="0"/>
</table>
</file>

<file path=xl/tables/table7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0" xr:uid="{D2E6A6B6-CBF5-4DE8-BAFA-2FBAF707C576}" name="Table6312" displayName="Table6312" ref="Z235:AD256" totalsRowShown="0">
  <autoFilter ref="Z235:AD256" xr:uid="{D2E6A6B6-CBF5-4DE8-BAFA-2FBAF707C576}"/>
  <tableColumns count="5">
    <tableColumn id="1" xr3:uid="{3239B6C0-3EAB-4F6E-B734-D0EE41F0731D}" name="time"/>
    <tableColumn id="2" xr3:uid="{AF20A0AB-4C7B-4504-9354-90023AAAF2F6}" name="moment" dataDxfId="341">
      <calculatedColumnFormula>-(Table6312[[#This Row],[time]]-2)*2</calculatedColumnFormula>
    </tableColumn>
    <tableColumn id="3" xr3:uid="{69B0A647-E82D-439F-A4B8-E9A5B9D1ADE3}" name="CAREA"/>
    <tableColumn id="4" xr3:uid="{4AF50F04-7C93-4E38-A9A7-D8B93F3CB166}" name="CFNM"/>
    <tableColumn id="5" xr3:uid="{CC61095A-DC17-4237-B885-5A4474A79630}" name="CFNM/Total area contact" dataDxfId="340">
      <calculatedColumnFormula>Table6312[[#This Row],[CFNM]]/Table6312[[#This Row],[CAREA]]</calculatedColumnFormula>
    </tableColumn>
  </tableColumns>
  <tableStyleInfo name="TableStyleLight6" showFirstColumn="0" showLastColumn="0" showRowStripes="1" showColumnStripes="0"/>
</table>
</file>

<file path=xl/tables/table7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1" xr:uid="{772D39AC-0246-46FD-9CAF-50C206423EB8}" name="Table7313" displayName="Table7313" ref="AE235:AI256" totalsRowShown="0">
  <autoFilter ref="AE235:AI256" xr:uid="{772D39AC-0246-46FD-9CAF-50C206423EB8}"/>
  <tableColumns count="5">
    <tableColumn id="1" xr3:uid="{156690CB-C6FC-4042-A974-ACB7D9B968FF}" name="time"/>
    <tableColumn id="2" xr3:uid="{08BE7882-81F4-45F1-A7A2-739A40C40C28}" name="moment" dataDxfId="339">
      <calculatedColumnFormula>-(Table7313[[#This Row],[time]]-2)*2</calculatedColumnFormula>
    </tableColumn>
    <tableColumn id="3" xr3:uid="{77838985-309D-4DB0-9B8F-C4E668DF2C70}" name="CAREA"/>
    <tableColumn id="4" xr3:uid="{D5E9DABA-E3C5-42A4-8B7C-189749C66D42}" name="CFNM"/>
    <tableColumn id="5" xr3:uid="{1E4B01F6-A112-4997-8A40-CB1B2AEF79E4}" name="CFNM/Total area contact" dataDxfId="338">
      <calculatedColumnFormula>Table7313[[#This Row],[CFNM]]/Table7313[[#This Row],[CAREA]]</calculatedColumnFormula>
    </tableColumn>
  </tableColumns>
  <tableStyleInfo name="TableStyleLight7" showFirstColumn="0" showLastColumn="0" showRowStripes="1" showColumnStripes="0"/>
</table>
</file>

<file path=xl/tables/table7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2" xr:uid="{7503E609-5E46-4848-BAEF-8DEFCB193F97}" name="Table8314" displayName="Table8314" ref="AJ235:AN256" totalsRowShown="0">
  <autoFilter ref="AJ235:AN256" xr:uid="{7503E609-5E46-4848-BAEF-8DEFCB193F97}"/>
  <tableColumns count="5">
    <tableColumn id="1" xr3:uid="{9669C950-F963-4ADB-8C9C-BC6DAF1A2E2A}" name="time"/>
    <tableColumn id="2" xr3:uid="{64F860BC-63FE-42F0-8F15-43385D570BBB}" name="moment" dataDxfId="337">
      <calculatedColumnFormula>-(Table8314[[#This Row],[time]]-2)*2</calculatedColumnFormula>
    </tableColumn>
    <tableColumn id="3" xr3:uid="{86A3F2CD-99EF-48F5-B825-93D3AFF4C08A}" name="CAREA"/>
    <tableColumn id="4" xr3:uid="{AE9942F3-4554-4CCF-9073-F8C0AF57A8D6}" name="CFNM"/>
    <tableColumn id="5" xr3:uid="{6739784F-6D35-402A-998A-584AFD62C045}" name="CFNM/Total area contact" dataDxfId="336">
      <calculatedColumnFormula>Table8314[[#This Row],[CFNM]]/Table8314[[#This Row],[CAREA]]</calculatedColumnFormula>
    </tableColumn>
  </tableColumns>
  <tableStyleInfo name="TableStyleLight15" showFirstColumn="0" showLastColumn="0" showRowStripes="1" showColumnStripes="0"/>
</table>
</file>

<file path=xl/tables/table7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3" xr:uid="{7BEA416E-95AE-4FB9-BAFF-D641FF03D4A9}" name="Table110" displayName="Table110" ref="A262:E283" totalsRowShown="0">
  <autoFilter ref="A262:E283" xr:uid="{7BEA416E-95AE-4FB9-BAFF-D641FF03D4A9}"/>
  <tableColumns count="5">
    <tableColumn id="1" xr3:uid="{944A06B9-0098-4B01-9595-4DE7094D1598}" name="time"/>
    <tableColumn id="2" xr3:uid="{9FD1F67B-6527-4E27-9FF3-76105683926E}" name="moment" dataDxfId="335">
      <calculatedColumnFormula>(Table110[[#This Row],[time]]-2)*2</calculatedColumnFormula>
    </tableColumn>
    <tableColumn id="3" xr3:uid="{B9CAB9B4-471D-4F5E-B5B1-21CC3621862A}" name="CAREA"/>
    <tableColumn id="4" xr3:uid="{5AB00CA6-D8C3-4141-9359-897757D75030}" name="CFNM"/>
    <tableColumn id="5" xr3:uid="{311F5A28-E8E3-4F48-8E57-A860B231AED0}" name="CFNM/Total area contact" dataDxfId="334">
      <calculatedColumnFormula>Table110[[#This Row],[CFNM]]/Table110[[#This Row],[CAREA]]</calculatedColumnFormula>
    </tableColumn>
  </tableColumns>
  <tableStyleInfo name="TableStyleLight1" showFirstColumn="0" showLastColumn="0" showRowStripes="1" showColumnStripes="0"/>
</table>
</file>

<file path=xl/tables/table7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4" xr:uid="{D637A74F-2CCE-4225-BF1B-EE66F315EFF6}" name="Table211" displayName="Table211" ref="F262:J283" totalsRowShown="0">
  <autoFilter ref="F262:J283" xr:uid="{D637A74F-2CCE-4225-BF1B-EE66F315EFF6}"/>
  <tableColumns count="5">
    <tableColumn id="1" xr3:uid="{FF8C6213-0DE5-46EE-998F-EE103B4A8BFA}" name="time"/>
    <tableColumn id="2" xr3:uid="{FB453C21-CF2D-4CFB-A158-438E61CFB58A}" name="moment" dataDxfId="333">
      <calculatedColumnFormula>(Table211[[#This Row],[time]]-2)*2</calculatedColumnFormula>
    </tableColumn>
    <tableColumn id="3" xr3:uid="{66898156-3DCE-4BC8-A597-DF1B83447A49}" name="CAREA"/>
    <tableColumn id="4" xr3:uid="{08A0AE26-6416-4D84-AB0A-952E319031E1}" name="CFNM"/>
    <tableColumn id="5" xr3:uid="{44B8B5A3-F6AF-4EAE-ADE1-4698E33EDD0A}" name="CFNM/Total area contact" dataDxfId="332">
      <calculatedColumnFormula>Table211[[#This Row],[CFNM]]/Table211[[#This Row],[CAREA]]</calculatedColumnFormula>
    </tableColumn>
  </tableColumns>
  <tableStyleInfo name="TableStyleLight2" showFirstColumn="0" showLastColumn="0" showRowStripes="1" showColumnStripes="0"/>
</table>
</file>

<file path=xl/tables/table7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5" xr:uid="{39AF7E22-4277-49A2-A55C-64963ED0BB3F}" name="Table312" displayName="Table312" ref="K262:O283" totalsRowShown="0">
  <autoFilter ref="K262:O283" xr:uid="{39AF7E22-4277-49A2-A55C-64963ED0BB3F}"/>
  <tableColumns count="5">
    <tableColumn id="1" xr3:uid="{AF207CC4-6842-4F8A-B383-72785AC0DBFB}" name="time"/>
    <tableColumn id="2" xr3:uid="{362C4FAC-38F3-4753-90BA-F2F4F7930E0C}" name="moment" dataDxfId="331">
      <calculatedColumnFormula>(Table312[[#This Row],[time]]-2)*2</calculatedColumnFormula>
    </tableColumn>
    <tableColumn id="3" xr3:uid="{FBD48AAE-3C3B-4F12-AC48-E6C1D7E40315}" name="CAREA"/>
    <tableColumn id="4" xr3:uid="{CEE02C54-25F2-47BD-9E79-5361E7C853B0}" name="CFNM"/>
    <tableColumn id="5" xr3:uid="{B34C62FA-8B21-4D25-8B67-86FAFD17BADD}" name="CFNM/Total area contact" dataDxfId="330">
      <calculatedColumnFormula>Table312[[#This Row],[CFNM]]/Table312[[#This Row],[CAREA]]</calculatedColumnFormula>
    </tableColumn>
  </tableColumns>
  <tableStyleInfo name="TableStyleLight3" showFirstColumn="0" showLastColumn="0" showRowStripes="1" showColumnStripes="0"/>
</table>
</file>

<file path=xl/tables/table7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6" xr:uid="{F24407C5-0355-493F-9C84-66F2A1915346}" name="Table413" displayName="Table413" ref="P262:T283" totalsRowShown="0">
  <autoFilter ref="P262:T283" xr:uid="{F24407C5-0355-493F-9C84-66F2A1915346}"/>
  <tableColumns count="5">
    <tableColumn id="1" xr3:uid="{734381C8-2B68-4A56-B1D7-B86690839794}" name="time"/>
    <tableColumn id="2" xr3:uid="{09CCD2EF-3078-4AE6-8BE8-CED768371B05}" name="moment" dataDxfId="329">
      <calculatedColumnFormula>(Table413[[#This Row],[time]]-2)*2</calculatedColumnFormula>
    </tableColumn>
    <tableColumn id="3" xr3:uid="{44ACB15A-0423-4920-9E1C-DCEC0BDC1695}" name="CAREA"/>
    <tableColumn id="4" xr3:uid="{E7B99783-881A-4724-AAD9-39EB1F4E4702}" name="CFNM"/>
    <tableColumn id="5" xr3:uid="{3CF02ADD-87CC-414E-8BD6-66411F4EE7E3}" name="CFNM/Total area contact" dataDxfId="328">
      <calculatedColumnFormula>Table413[[#This Row],[CFNM]]/Table413[[#This Row],[CAREA]]</calculatedColumnFormula>
    </tableColumn>
  </tableColumns>
  <tableStyleInfo name="TableStyleLight4" showFirstColumn="0" showLastColumn="0" showRowStripes="1" showColumnStripes="0"/>
</table>
</file>

<file path=xl/tables/table7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7" xr:uid="{08A46154-0461-4399-84C4-76F756314FFE}" name="Table514" displayName="Table514" ref="U262:Y283" totalsRowShown="0">
  <autoFilter ref="U262:Y283" xr:uid="{08A46154-0461-4399-84C4-76F756314FFE}"/>
  <tableColumns count="5">
    <tableColumn id="1" xr3:uid="{CB60968E-B565-4BE1-B140-B098CB058584}" name="time"/>
    <tableColumn id="2" xr3:uid="{0B66B1B2-40BA-46DD-AEBC-872849B81BA8}" name="moment" dataDxfId="327">
      <calculatedColumnFormula>(Table514[[#This Row],[time]]-2)*2</calculatedColumnFormula>
    </tableColumn>
    <tableColumn id="3" xr3:uid="{B3FF08C5-4810-40F3-AA69-5B5401BFD9C8}" name="CAREA"/>
    <tableColumn id="4" xr3:uid="{A416A4FF-1BC0-48DB-AB31-CFD092D44FA2}" name="CFNM"/>
    <tableColumn id="5" xr3:uid="{0ABA55B1-5E7E-484B-9835-3650CE1296B2}" name="CFNM/Total area contact" dataDxfId="326">
      <calculatedColumnFormula>Table514[[#This Row],[CFNM]]/Table514[[#This Row],[CAREA]]</calculatedColumnFormula>
    </tableColumn>
  </tableColumns>
  <tableStyleInfo name="TableStyleLight5" showFirstColumn="0" showLastColumn="0" showRowStripes="1" showColumnStripes="0"/>
</table>
</file>

<file path=xl/tables/table7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8" xr:uid="{E3CCE0A2-B8DE-496F-9F91-80C4567B631B}" name="Table615" displayName="Table615" ref="Z262:AD283" totalsRowShown="0">
  <autoFilter ref="Z262:AD283" xr:uid="{E3CCE0A2-B8DE-496F-9F91-80C4567B631B}"/>
  <tableColumns count="5">
    <tableColumn id="1" xr3:uid="{D0718048-02D9-4FAD-9E2E-5DC6D17D81C6}" name="time"/>
    <tableColumn id="2" xr3:uid="{40CE2E7F-4DA8-41AC-8246-8F6325101BC5}" name="moment" dataDxfId="325">
      <calculatedColumnFormula>(Table615[[#This Row],[time]]-2)*2</calculatedColumnFormula>
    </tableColumn>
    <tableColumn id="3" xr3:uid="{D73B7F49-3707-4B95-8DC8-A3B75388A00F}" name="CAREA"/>
    <tableColumn id="4" xr3:uid="{D7249053-A443-4712-BD97-274F8350310A}" name="CFNM"/>
    <tableColumn id="5" xr3:uid="{2762B4C3-6CB5-40B9-8024-63FF2598EF90}" name="CFNM/Total area contact" dataDxfId="324">
      <calculatedColumnFormula>Table615[[#This Row],[CFNM]]/Table615[[#This Row],[CAREA]]</calculatedColumnFormula>
    </tableColumn>
  </tableColumns>
  <tableStyleInfo name="TableStyleLight6" showFirstColumn="0" showLastColumn="0" showRowStripes="1" showColumnStripes="0"/>
</table>
</file>

<file path=xl/tables/table7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9" xr:uid="{FF3375FE-FACA-42AA-89D2-793485533EA9}" name="Table716" displayName="Table716" ref="AE262:AI283" totalsRowShown="0">
  <autoFilter ref="AE262:AI283" xr:uid="{FF3375FE-FACA-42AA-89D2-793485533EA9}"/>
  <tableColumns count="5">
    <tableColumn id="1" xr3:uid="{86C15336-A68E-4651-88E1-4E9E3A19BD0D}" name="time"/>
    <tableColumn id="2" xr3:uid="{22DB7A88-FFC2-4017-96AF-581224637E2C}" name="moment" dataDxfId="323">
      <calculatedColumnFormula>(Table716[[#This Row],[time]]-2)*2</calculatedColumnFormula>
    </tableColumn>
    <tableColumn id="3" xr3:uid="{1614E447-E0F0-4F54-92FA-39EA799D04E8}" name="CAREA"/>
    <tableColumn id="4" xr3:uid="{D2473419-8706-4A95-AEFA-045E877172B7}" name="CFNM"/>
    <tableColumn id="5" xr3:uid="{9B79FC5D-80D6-4864-A743-672D5ACF296F}" name="CFNM/Total area contact" dataDxfId="322">
      <calculatedColumnFormula>Table716[[#This Row],[CFNM]]/Table716[[#This Row],[CAREA]]</calculatedColumnFormula>
    </tableColumn>
  </tableColumns>
  <tableStyleInfo name="TableStyleLight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8" xr:uid="{25007EC6-4976-4708-97C1-255467E87CCD}" name="Table8250" displayName="Table8250" ref="AJ7:AN28" totalsRowShown="0">
  <autoFilter ref="AJ7:AN28" xr:uid="{25007EC6-4976-4708-97C1-255467E87CCD}"/>
  <tableColumns count="5">
    <tableColumn id="1" xr3:uid="{CC2E1E67-1923-4034-B14C-3884CAEF6B24}" name="time"/>
    <tableColumn id="2" xr3:uid="{D43C0738-1B27-4D3B-8835-3DAF87F5D6C3}" name="moment" dataDxfId="465">
      <calculatedColumnFormula>-(Table8250[[#This Row],[time]]-2)*2</calculatedColumnFormula>
    </tableColumn>
    <tableColumn id="3" xr3:uid="{1181C80B-D847-47EB-AAE9-537553938086}" name="CAREA"/>
    <tableColumn id="4" xr3:uid="{FFBA5BFC-C022-4FC8-A5FF-7F53FB6A8BBD}" name="CFNM"/>
    <tableColumn id="5" xr3:uid="{B0DF43FC-F851-439A-A63F-5A4C1392B21E}" name="CFNM/Total area contact" dataDxfId="464">
      <calculatedColumnFormula>Table8250[[#This Row],[CFNM]]/Table8250[[#This Row],[CAREA]]</calculatedColumnFormula>
    </tableColumn>
  </tableColumns>
  <tableStyleInfo name="TableStyleLight15" showFirstColumn="0" showLastColumn="0" showRowStripes="1" showColumnStripes="0"/>
</table>
</file>

<file path=xl/tables/table8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0" xr:uid="{3DAD1133-D319-4EE6-B211-5A5F921E1AB3}" name="Table817" displayName="Table817" ref="AJ262:AN283" totalsRowShown="0">
  <autoFilter ref="AJ262:AN283" xr:uid="{3DAD1133-D319-4EE6-B211-5A5F921E1AB3}"/>
  <tableColumns count="5">
    <tableColumn id="1" xr3:uid="{3E8EF176-AAF7-4990-B8ED-444B1F39B79E}" name="time"/>
    <tableColumn id="2" xr3:uid="{932B9C46-691C-4702-B5DB-99631C887C93}" name="moment" dataDxfId="321">
      <calculatedColumnFormula>(Table817[[#This Row],[time]]-2)*2</calculatedColumnFormula>
    </tableColumn>
    <tableColumn id="3" xr3:uid="{E47E3BCD-4C20-47B7-BA00-AF8B5CA304C0}" name="CAREA"/>
    <tableColumn id="4" xr3:uid="{25549A1F-7316-4275-AA7B-543C30188AF5}" name="CFNM"/>
    <tableColumn id="5" xr3:uid="{CA0D6AB8-CEBE-46B2-8F39-1D909450482F}" name="CFNM/Total area contact" dataDxfId="320">
      <calculatedColumnFormula>Table817[[#This Row],[CFNM]]/Table817[[#This Row],[CAREA]]</calculatedColumnFormula>
    </tableColumn>
  </tableColumns>
  <tableStyleInfo name="TableStyleLight15" showFirstColumn="0" showLastColumn="0" showRowStripes="1" showColumnStripes="0"/>
</table>
</file>

<file path=xl/tables/table8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1" xr:uid="{E7C71F36-19F4-4CD3-A0AC-6C9874700F8B}" name="Table1323" displayName="Table1323" ref="A292:E313" totalsRowShown="0">
  <autoFilter ref="A292:E313" xr:uid="{E7C71F36-19F4-4CD3-A0AC-6C9874700F8B}"/>
  <tableColumns count="5">
    <tableColumn id="1" xr3:uid="{0988A6F7-FDD8-44CB-97F1-EB4854C09DEA}" name="time"/>
    <tableColumn id="2" xr3:uid="{D0EE79F1-3EA8-4A20-B859-B07774D5821A}" name="moment" dataDxfId="319">
      <calculatedColumnFormula>-(Table1323[[#This Row],[time]]-2)*2</calculatedColumnFormula>
    </tableColumn>
    <tableColumn id="3" xr3:uid="{E91D7276-2FA7-45A0-9FD8-5F78FBBF8AFB}" name="CAREA"/>
    <tableColumn id="4" xr3:uid="{E0F08AFF-7432-44B4-AA9F-98ADBE34F3E9}" name="CFNM"/>
    <tableColumn id="5" xr3:uid="{14F6C504-4044-47C8-A3EA-126377D2B8E1}" name="CFNM/Total area contact" dataDxfId="318">
      <calculatedColumnFormula>Table1323[[#This Row],[CFNM]]/Table1323[[#This Row],[CAREA]]</calculatedColumnFormula>
    </tableColumn>
  </tableColumns>
  <tableStyleInfo name="TableStyleLight1" showFirstColumn="0" showLastColumn="0" showRowStripes="1" showColumnStripes="0"/>
</table>
</file>

<file path=xl/tables/table8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2" xr:uid="{7CE10611-7283-4589-A139-39D6D99CDEF6}" name="Table2324" displayName="Table2324" ref="F292:J313" totalsRowShown="0">
  <autoFilter ref="F292:J313" xr:uid="{7CE10611-7283-4589-A139-39D6D99CDEF6}"/>
  <tableColumns count="5">
    <tableColumn id="1" xr3:uid="{3D894085-5054-4B1C-A58C-A417F982B078}" name="time"/>
    <tableColumn id="2" xr3:uid="{7FEEA86E-9B68-40A8-A902-2337057F471B}" name="moment" dataDxfId="317">
      <calculatedColumnFormula>-(Table2324[[#This Row],[time]]-2)*2</calculatedColumnFormula>
    </tableColumn>
    <tableColumn id="3" xr3:uid="{CA5EF648-F69B-4E58-870E-3924155B11D8}" name="CAREA"/>
    <tableColumn id="4" xr3:uid="{8A9DD730-644B-4744-B7AF-1A0D8B0FCDDC}" name="CFNM"/>
    <tableColumn id="5" xr3:uid="{C3850B73-737C-48CD-9AB6-F31A516E4FA3}" name="CFNM/Total area contact" dataDxfId="316">
      <calculatedColumnFormula>Table2324[[#This Row],[CFNM]]/Table2324[[#This Row],[CAREA]]</calculatedColumnFormula>
    </tableColumn>
  </tableColumns>
  <tableStyleInfo name="TableStyleLight2" showFirstColumn="0" showLastColumn="0" showRowStripes="1" showColumnStripes="0"/>
</table>
</file>

<file path=xl/tables/table8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3" xr:uid="{D35985D9-28E7-4238-B48B-978D0A6DFD9C}" name="Table3325" displayName="Table3325" ref="K292:O313" totalsRowShown="0">
  <autoFilter ref="K292:O313" xr:uid="{D35985D9-28E7-4238-B48B-978D0A6DFD9C}"/>
  <tableColumns count="5">
    <tableColumn id="1" xr3:uid="{28F03EF6-3435-4262-BD90-7BC6E255C4CB}" name="time"/>
    <tableColumn id="2" xr3:uid="{86840391-44D6-4FCF-B983-188009E54D2D}" name="moment" dataDxfId="315">
      <calculatedColumnFormula>-(Table3325[[#This Row],[time]]-2)*2</calculatedColumnFormula>
    </tableColumn>
    <tableColumn id="3" xr3:uid="{523464AD-3848-4DBA-B2F7-F808CB2F7187}" name="CAREA"/>
    <tableColumn id="4" xr3:uid="{402B0A77-9406-4BF7-A458-1EF89BCA02D5}" name="CFNM"/>
    <tableColumn id="5" xr3:uid="{20279CF5-8FF9-44B9-B9A1-350C5A4A9E24}" name="CFNM/Total area contact" dataDxfId="314">
      <calculatedColumnFormula>Table3325[[#This Row],[CFNM]]/Table3325[[#This Row],[CAREA]]</calculatedColumnFormula>
    </tableColumn>
  </tableColumns>
  <tableStyleInfo name="TableStyleLight3" showFirstColumn="0" showLastColumn="0" showRowStripes="1" showColumnStripes="0"/>
</table>
</file>

<file path=xl/tables/table8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4" xr:uid="{B39CA24D-5F0E-47D4-A596-266BF8F86F96}" name="Table4326" displayName="Table4326" ref="P292:T313" totalsRowShown="0">
  <autoFilter ref="P292:T313" xr:uid="{B39CA24D-5F0E-47D4-A596-266BF8F86F96}"/>
  <tableColumns count="5">
    <tableColumn id="1" xr3:uid="{E98AE9C6-7DBB-41C5-B5E4-87DEB0CBE2B6}" name="time"/>
    <tableColumn id="2" xr3:uid="{6870E641-A62D-4318-82C2-D01EF8D36173}" name="moment" dataDxfId="313">
      <calculatedColumnFormula>-(Table4326[[#This Row],[time]]-2)*2</calculatedColumnFormula>
    </tableColumn>
    <tableColumn id="3" xr3:uid="{BB46534D-B9DB-48D7-81D3-9C0E818B4EF2}" name="CAREA"/>
    <tableColumn id="4" xr3:uid="{3DE3496E-C835-4524-A9A9-BFB338C81A93}" name="CFNM"/>
    <tableColumn id="5" xr3:uid="{ADBBDA80-C453-4655-89F6-F4449B05F1F9}" name="CFNM/Total area contact" dataDxfId="312">
      <calculatedColumnFormula>Table4326[[#This Row],[CFNM]]/Table4326[[#This Row],[CAREA]]</calculatedColumnFormula>
    </tableColumn>
  </tableColumns>
  <tableStyleInfo name="TableStyleLight4" showFirstColumn="0" showLastColumn="0" showRowStripes="1" showColumnStripes="0"/>
</table>
</file>

<file path=xl/tables/table8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5" xr:uid="{A7B884C9-8D41-4412-A0AA-561D23002B88}" name="Table5327" displayName="Table5327" ref="U292:Y313" totalsRowShown="0">
  <autoFilter ref="U292:Y313" xr:uid="{A7B884C9-8D41-4412-A0AA-561D23002B88}"/>
  <tableColumns count="5">
    <tableColumn id="1" xr3:uid="{74ACEE60-F682-414E-B11D-25A7CA52F799}" name="time"/>
    <tableColumn id="2" xr3:uid="{E83C70F8-8A7F-42BA-816A-641CCB13404A}" name="moment" dataDxfId="311">
      <calculatedColumnFormula>-(Table5327[[#This Row],[time]]-2)*2</calculatedColumnFormula>
    </tableColumn>
    <tableColumn id="3" xr3:uid="{95C364C6-EB71-4409-B3AA-0B46D7BCDB4B}" name="CAREA"/>
    <tableColumn id="4" xr3:uid="{098E387E-43BF-46D8-98FB-938E8E19B3E3}" name="CFNM"/>
    <tableColumn id="5" xr3:uid="{63AFCEE6-12DA-4499-BE45-D4ACF955DA82}" name="CFNM/Total area contact" dataDxfId="310">
      <calculatedColumnFormula>Table5327[[#This Row],[CFNM]]/Table5327[[#This Row],[CAREA]]</calculatedColumnFormula>
    </tableColumn>
  </tableColumns>
  <tableStyleInfo name="TableStyleLight5" showFirstColumn="0" showLastColumn="0" showRowStripes="1" showColumnStripes="0"/>
</table>
</file>

<file path=xl/tables/table8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6" xr:uid="{886F87A2-1F53-48DB-9FDA-EA3F9BDFD5E4}" name="Table6328" displayName="Table6328" ref="Z292:AD313" totalsRowShown="0">
  <autoFilter ref="Z292:AD313" xr:uid="{886F87A2-1F53-48DB-9FDA-EA3F9BDFD5E4}"/>
  <tableColumns count="5">
    <tableColumn id="1" xr3:uid="{C5970A2B-1F1F-42CF-849C-0F64C1D3320D}" name="time"/>
    <tableColumn id="2" xr3:uid="{D38E6090-084B-4CA3-9A28-11C299A87FF1}" name="moment" dataDxfId="309">
      <calculatedColumnFormula>-(Table6328[[#This Row],[time]]-2)*2</calculatedColumnFormula>
    </tableColumn>
    <tableColumn id="3" xr3:uid="{510BFDD0-6846-4C4D-95CB-79F8343B1955}" name="CAREA"/>
    <tableColumn id="4" xr3:uid="{B9AF2F7A-F4BA-4084-A8BB-CD9A37D321D5}" name="CFNM"/>
    <tableColumn id="5" xr3:uid="{A960660E-26DA-4BB7-95BD-9D30FB39407B}" name="CFNM/Total area contact" dataDxfId="308">
      <calculatedColumnFormula>Table6328[[#This Row],[CFNM]]/Table6328[[#This Row],[CAREA]]</calculatedColumnFormula>
    </tableColumn>
  </tableColumns>
  <tableStyleInfo name="TableStyleLight6" showFirstColumn="0" showLastColumn="0" showRowStripes="1" showColumnStripes="0"/>
</table>
</file>

<file path=xl/tables/table8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7" xr:uid="{A7D51A53-716E-497B-9BFA-5ACEA7A9636E}" name="Table7329" displayName="Table7329" ref="AE292:AI313" totalsRowShown="0">
  <autoFilter ref="AE292:AI313" xr:uid="{A7D51A53-716E-497B-9BFA-5ACEA7A9636E}"/>
  <tableColumns count="5">
    <tableColumn id="1" xr3:uid="{5A3D06A6-729E-425A-8CEA-E84E9DDF4929}" name="time"/>
    <tableColumn id="2" xr3:uid="{66542453-8551-4779-B18F-584D1F95A071}" name="moment" dataDxfId="307">
      <calculatedColumnFormula>-(Table7329[[#This Row],[time]]-2)*2</calculatedColumnFormula>
    </tableColumn>
    <tableColumn id="3" xr3:uid="{8F7E7751-C2EF-48D3-9AD8-BA58FA68C274}" name="CAREA"/>
    <tableColumn id="4" xr3:uid="{D2213CAB-0DCF-4313-8599-F7F3931EB586}" name="CFNM"/>
    <tableColumn id="5" xr3:uid="{3E34DD6D-4A6E-4FF3-83FA-C7BEF6E2B468}" name="CFNM/Total area contact" dataDxfId="306">
      <calculatedColumnFormula>Table7329[[#This Row],[CFNM]]/Table7329[[#This Row],[CAREA]]</calculatedColumnFormula>
    </tableColumn>
  </tableColumns>
  <tableStyleInfo name="TableStyleLight7" showFirstColumn="0" showLastColumn="0" showRowStripes="1" showColumnStripes="0"/>
</table>
</file>

<file path=xl/tables/table8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8" xr:uid="{59977EA2-E42F-453A-BF5F-3E6709FEB8A3}" name="Table8330" displayName="Table8330" ref="AJ292:AN313" totalsRowShown="0">
  <autoFilter ref="AJ292:AN313" xr:uid="{59977EA2-E42F-453A-BF5F-3E6709FEB8A3}"/>
  <tableColumns count="5">
    <tableColumn id="1" xr3:uid="{C31F0DF2-4658-4E54-8CB3-8B2A9E30B117}" name="time"/>
    <tableColumn id="2" xr3:uid="{5E12F3B9-1647-4009-BD4B-B562661D8CFC}" name="moment" dataDxfId="305">
      <calculatedColumnFormula>-(Table8330[[#This Row],[time]]-2)*2</calculatedColumnFormula>
    </tableColumn>
    <tableColumn id="3" xr3:uid="{E69C2012-A2F0-45E3-AE7D-3F775559126F}" name="CAREA"/>
    <tableColumn id="4" xr3:uid="{4383956A-3A0D-4830-A272-44E883CE5F7B}" name="CFNM"/>
    <tableColumn id="5" xr3:uid="{D4A22F93-62F7-4087-81C7-6D564AB40A97}" name="CFNM/Total area contact" dataDxfId="304">
      <calculatedColumnFormula>Table8330[[#This Row],[CFNM]]/Table8330[[#This Row],[CAREA]]</calculatedColumnFormula>
    </tableColumn>
  </tableColumns>
  <tableStyleInfo name="TableStyleLight15" showFirstColumn="0" showLastColumn="0" showRowStripes="1" showColumnStripes="0"/>
</table>
</file>

<file path=xl/tables/table8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9" xr:uid="{DE3DE07D-B618-4FD9-AF41-00B335D218AD}" name="Table110331" displayName="Table110331" ref="A319:E340" totalsRowShown="0">
  <autoFilter ref="A319:E340" xr:uid="{DE3DE07D-B618-4FD9-AF41-00B335D218AD}"/>
  <tableColumns count="5">
    <tableColumn id="1" xr3:uid="{4E84C67C-A892-46E1-A80A-71D2113F5535}" name="time"/>
    <tableColumn id="2" xr3:uid="{AA222DB9-9A13-45C3-AF6B-FC9AD63CE9E8}" name="moment" dataDxfId="303">
      <calculatedColumnFormula>(Table110331[[#This Row],[time]]-2)*2</calculatedColumnFormula>
    </tableColumn>
    <tableColumn id="3" xr3:uid="{95C2655B-DC64-4122-B3DB-5C82D662886B}" name="CAREA"/>
    <tableColumn id="4" xr3:uid="{C5C3E8D5-BFC3-48B1-B656-B91DAF634AF6}" name="CFNM"/>
    <tableColumn id="5" xr3:uid="{19764972-BEDA-4A06-89DD-11249637203A}" name="CFNM/Total area contact" dataDxfId="302">
      <calculatedColumnFormula>Table110331[[#This Row],[CFNM]]/Table110331[[#This Row],[CAREA]]</calculatedColumnFormula>
    </tableColumn>
  </tableColumns>
  <tableStyleInfo name="TableStyleLight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9" xr:uid="{576BF076-2EE9-4CE6-9154-7218A0625CB5}" name="Table110251" displayName="Table110251" ref="A34:E55" totalsRowShown="0">
  <autoFilter ref="A34:E55" xr:uid="{576BF076-2EE9-4CE6-9154-7218A0625CB5}"/>
  <tableColumns count="5">
    <tableColumn id="1" xr3:uid="{C30A6910-43A3-4D12-B658-5C21667C456A}" name="time"/>
    <tableColumn id="2" xr3:uid="{C366151F-B4EB-43A2-8233-53236333CF20}" name="moment" dataDxfId="463">
      <calculatedColumnFormula>(Table110251[[#This Row],[time]]-2)*2</calculatedColumnFormula>
    </tableColumn>
    <tableColumn id="3" xr3:uid="{64C95E15-E19F-4F62-B6AD-8656926AFBCB}" name="CAREA"/>
    <tableColumn id="4" xr3:uid="{2A146BEE-960E-47BB-ABFB-C54E73E9CD44}" name="CFNM"/>
    <tableColumn id="5" xr3:uid="{13CAB96A-2E44-4857-ACF5-46AA882C2E01}" name="CFNM/Total area contact" dataDxfId="462">
      <calculatedColumnFormula>Table110251[[#This Row],[CFNM]]/Table110251[[#This Row],[CAREA]]</calculatedColumnFormula>
    </tableColumn>
  </tableColumns>
  <tableStyleInfo name="TableStyleLight1" showFirstColumn="0" showLastColumn="0" showRowStripes="1" showColumnStripes="0"/>
</table>
</file>

<file path=xl/tables/table9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0" xr:uid="{DA0838E7-74BE-4E99-B179-F344A7B46304}" name="Table211332" displayName="Table211332" ref="F319:J340" totalsRowShown="0">
  <autoFilter ref="F319:J340" xr:uid="{DA0838E7-74BE-4E99-B179-F344A7B46304}"/>
  <tableColumns count="5">
    <tableColumn id="1" xr3:uid="{F2ECBE39-CD26-42D9-9E0E-E1FAC85D3782}" name="time"/>
    <tableColumn id="2" xr3:uid="{E3ECA802-37C0-4185-8C73-7F92409B23EE}" name="moment" dataDxfId="301">
      <calculatedColumnFormula>(Table211332[[#This Row],[time]]-2)*2</calculatedColumnFormula>
    </tableColumn>
    <tableColumn id="3" xr3:uid="{018AA16D-213D-43B6-99A4-243004629E03}" name="CAREA"/>
    <tableColumn id="4" xr3:uid="{4A7330C1-AB34-49B8-B757-5BB748CBDE55}" name="CFNM"/>
    <tableColumn id="5" xr3:uid="{02D6A99B-9E3D-4B74-AB8A-D12372A6CD83}" name="CFNM/Total area contact" dataDxfId="300">
      <calculatedColumnFormula>Table211332[[#This Row],[CFNM]]/Table211332[[#This Row],[CAREA]]</calculatedColumnFormula>
    </tableColumn>
  </tableColumns>
  <tableStyleInfo name="TableStyleLight2" showFirstColumn="0" showLastColumn="0" showRowStripes="1" showColumnStripes="0"/>
</table>
</file>

<file path=xl/tables/table9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1" xr:uid="{297A53FE-BECF-4612-A003-85830495437C}" name="Table312333" displayName="Table312333" ref="K319:O340" totalsRowShown="0">
  <autoFilter ref="K319:O340" xr:uid="{297A53FE-BECF-4612-A003-85830495437C}"/>
  <tableColumns count="5">
    <tableColumn id="1" xr3:uid="{3C62A09D-0B42-441E-8345-6E048032074C}" name="time"/>
    <tableColumn id="2" xr3:uid="{CA595AAE-6E57-4D2D-99B5-FE0D3AE5A117}" name="moment" dataDxfId="299">
      <calculatedColumnFormula>(Table312333[[#This Row],[time]]-2)*2</calculatedColumnFormula>
    </tableColumn>
    <tableColumn id="3" xr3:uid="{BDF32016-D869-49B2-976F-BE40754007A8}" name="CAREA"/>
    <tableColumn id="4" xr3:uid="{2FC6B0F7-4CAC-4FCD-B4BA-77FC99EA341F}" name="CFNM"/>
    <tableColumn id="5" xr3:uid="{9ECF505D-56BF-4B12-8159-1255B1AD5014}" name="CFNM/Total area contact" dataDxfId="298">
      <calculatedColumnFormula>Table312333[[#This Row],[CFNM]]/Table312333[[#This Row],[CAREA]]</calculatedColumnFormula>
    </tableColumn>
  </tableColumns>
  <tableStyleInfo name="TableStyleLight3" showFirstColumn="0" showLastColumn="0" showRowStripes="1" showColumnStripes="0"/>
</table>
</file>

<file path=xl/tables/table9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2" xr:uid="{6EE4DA9E-01D2-4DAA-ACD5-830963A21BDD}" name="Table413334" displayName="Table413334" ref="P319:T340" totalsRowShown="0">
  <autoFilter ref="P319:T340" xr:uid="{6EE4DA9E-01D2-4DAA-ACD5-830963A21BDD}"/>
  <tableColumns count="5">
    <tableColumn id="1" xr3:uid="{3B0261A3-6C9D-4C26-A38A-B8863D2D2D04}" name="time"/>
    <tableColumn id="2" xr3:uid="{B1B0D875-0A57-42FF-ABF8-0E7F7B4763A4}" name="moment" dataDxfId="297">
      <calculatedColumnFormula>(Table413334[[#This Row],[time]]-2)*2</calculatedColumnFormula>
    </tableColumn>
    <tableColumn id="3" xr3:uid="{C3460DBA-1C0D-4BEF-B667-38EE7FEAD2EE}" name="CAREA"/>
    <tableColumn id="4" xr3:uid="{75240D20-D030-465C-BCC7-948B07007075}" name="CFNM"/>
    <tableColumn id="5" xr3:uid="{08ABA6B3-E63F-446A-A67F-A265C8451C1E}" name="CFNM/Total area contact" dataDxfId="296">
      <calculatedColumnFormula>Table413334[[#This Row],[CFNM]]/Table413334[[#This Row],[CAREA]]</calculatedColumnFormula>
    </tableColumn>
  </tableColumns>
  <tableStyleInfo name="TableStyleLight4" showFirstColumn="0" showLastColumn="0" showRowStripes="1" showColumnStripes="0"/>
</table>
</file>

<file path=xl/tables/table9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3" xr:uid="{ADF54FEC-0EBF-425C-9C64-953373E6B656}" name="Table514335" displayName="Table514335" ref="U319:Y340" totalsRowShown="0">
  <autoFilter ref="U319:Y340" xr:uid="{ADF54FEC-0EBF-425C-9C64-953373E6B656}"/>
  <tableColumns count="5">
    <tableColumn id="1" xr3:uid="{DE82B74B-8100-4604-B472-5C73513AD9B6}" name="time"/>
    <tableColumn id="2" xr3:uid="{424612F9-19B2-4181-A702-F90981897BAC}" name="moment" dataDxfId="295">
      <calculatedColumnFormula>(Table514335[[#This Row],[time]]-2)*2</calculatedColumnFormula>
    </tableColumn>
    <tableColumn id="3" xr3:uid="{3D758565-FBD7-48EA-B293-248094413844}" name="CAREA"/>
    <tableColumn id="4" xr3:uid="{63B4D794-4CAB-4105-93B2-8823504F020F}" name="CFNM"/>
    <tableColumn id="5" xr3:uid="{D5A056C3-7B76-42A3-AB82-818CB2925EAC}" name="CFNM/Total area contact" dataDxfId="294">
      <calculatedColumnFormula>Table514335[[#This Row],[CFNM]]/Table514335[[#This Row],[CAREA]]</calculatedColumnFormula>
    </tableColumn>
  </tableColumns>
  <tableStyleInfo name="TableStyleLight5" showFirstColumn="0" showLastColumn="0" showRowStripes="1" showColumnStripes="0"/>
</table>
</file>

<file path=xl/tables/table9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4" xr:uid="{AFCFD862-CC63-4949-8703-1754CAE489AC}" name="Table615336" displayName="Table615336" ref="Z319:AD340" totalsRowShown="0">
  <autoFilter ref="Z319:AD340" xr:uid="{AFCFD862-CC63-4949-8703-1754CAE489AC}"/>
  <tableColumns count="5">
    <tableColumn id="1" xr3:uid="{908FD8A8-2680-4D55-88DE-6E55C311231B}" name="time"/>
    <tableColumn id="2" xr3:uid="{F90143A4-3CE3-4E0F-AB2C-144FD9A8F1CA}" name="moment" dataDxfId="293">
      <calculatedColumnFormula>(Table615336[[#This Row],[time]]-2)*2</calculatedColumnFormula>
    </tableColumn>
    <tableColumn id="3" xr3:uid="{E8CA233F-55D5-4A71-B1C1-A3BE5329D9FA}" name="CAREA"/>
    <tableColumn id="4" xr3:uid="{8F00C0AD-7945-4674-8A9E-2DC48BAD27E7}" name="CFNM"/>
    <tableColumn id="5" xr3:uid="{2A33422E-FEEB-41D6-AD76-CD92F47DBA73}" name="CFNM/Total area contact" dataDxfId="292">
      <calculatedColumnFormula>Table615336[[#This Row],[CFNM]]/Table615336[[#This Row],[CAREA]]</calculatedColumnFormula>
    </tableColumn>
  </tableColumns>
  <tableStyleInfo name="TableStyleLight6" showFirstColumn="0" showLastColumn="0" showRowStripes="1" showColumnStripes="0"/>
</table>
</file>

<file path=xl/tables/table9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5" xr:uid="{078DC05B-1A6A-4E00-B613-B2492B762FF1}" name="Table716337" displayName="Table716337" ref="AE319:AI340" totalsRowShown="0">
  <autoFilter ref="AE319:AI340" xr:uid="{078DC05B-1A6A-4E00-B613-B2492B762FF1}"/>
  <tableColumns count="5">
    <tableColumn id="1" xr3:uid="{2291A606-08C0-4523-952D-2104F3A87162}" name="time"/>
    <tableColumn id="2" xr3:uid="{EEE678EE-A975-4A32-87C1-61E03E6D2FA7}" name="moment" dataDxfId="291">
      <calculatedColumnFormula>(Table716337[[#This Row],[time]]-2)*2</calculatedColumnFormula>
    </tableColumn>
    <tableColumn id="3" xr3:uid="{724FED48-B5A4-454A-B488-8CA6DFDA185A}" name="CAREA"/>
    <tableColumn id="4" xr3:uid="{182C222F-5C29-4254-B811-B4BB423F5829}" name="CFNM"/>
    <tableColumn id="5" xr3:uid="{00E89545-34C6-4835-BB04-9AB0CCDF7B0D}" name="CFNM/Total area contact" dataDxfId="290">
      <calculatedColumnFormula>Table716337[[#This Row],[CFNM]]/Table716337[[#This Row],[CAREA]]</calculatedColumnFormula>
    </tableColumn>
  </tableColumns>
  <tableStyleInfo name="TableStyleLight7" showFirstColumn="0" showLastColumn="0" showRowStripes="1" showColumnStripes="0"/>
</table>
</file>

<file path=xl/tables/table9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6" xr:uid="{A6AC9054-4374-49EF-8905-CC0A22B33467}" name="Table817338" displayName="Table817338" ref="AJ319:AN340" totalsRowShown="0">
  <autoFilter ref="AJ319:AN340" xr:uid="{A6AC9054-4374-49EF-8905-CC0A22B33467}"/>
  <tableColumns count="5">
    <tableColumn id="1" xr3:uid="{DD8DC9B7-4BFD-4244-9057-33497CD4E513}" name="time"/>
    <tableColumn id="2" xr3:uid="{6248D6A9-B057-4F1E-A87F-65982DABF5AC}" name="moment" dataDxfId="289">
      <calculatedColumnFormula>(Table817338[[#This Row],[time]]-2)*2</calculatedColumnFormula>
    </tableColumn>
    <tableColumn id="3" xr3:uid="{B033ABDC-94C4-4A98-AA11-3092C2532563}" name="CAREA"/>
    <tableColumn id="4" xr3:uid="{9CB40A97-B52F-43C9-8A76-0B494FE1022B}" name="CFNM"/>
    <tableColumn id="5" xr3:uid="{AF4EBC13-8D85-48F7-841A-A2B95690BA76}" name="CFNM/Total area contact" dataDxfId="288">
      <calculatedColumnFormula>Table817338[[#This Row],[CFNM]]/Table817338[[#This Row],[CAREA]]</calculatedColumnFormula>
    </tableColumn>
  </tableColumns>
  <tableStyleInfo name="TableStyleLight15" showFirstColumn="0" showLastColumn="0" showRowStripes="1" showColumnStripes="0"/>
</table>
</file>

<file path=xl/tables/table9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7" xr:uid="{CD958808-6638-4386-B9EC-77B7281AF0D5}" name="Table1339" displayName="Table1339" ref="A349:E370" totalsRowShown="0">
  <autoFilter ref="A349:E370" xr:uid="{CD958808-6638-4386-B9EC-77B7281AF0D5}"/>
  <tableColumns count="5">
    <tableColumn id="1" xr3:uid="{A79E6BCB-930C-4A6A-AB47-C4D59EC30CCA}" name="time"/>
    <tableColumn id="2" xr3:uid="{F4E8AB92-4FB0-4EF9-B53A-BA1EA680EC0E}" name="moment" dataDxfId="287">
      <calculatedColumnFormula>-(Table1339[[#This Row],[time]]-2)*2</calculatedColumnFormula>
    </tableColumn>
    <tableColumn id="3" xr3:uid="{CF5DCE42-A21D-457B-A951-FB391AA0BE81}" name="CAREA"/>
    <tableColumn id="4" xr3:uid="{4040DCE0-AFB9-48A2-A731-40CE38D3BB75}" name="CFNM"/>
    <tableColumn id="5" xr3:uid="{96DCB519-D3EB-4393-A9AC-6B34D66AE895}" name="CFNM/Total area contact" dataDxfId="286">
      <calculatedColumnFormula>Table1339[[#This Row],[CFNM]]/Table1339[[#This Row],[CAREA]]</calculatedColumnFormula>
    </tableColumn>
  </tableColumns>
  <tableStyleInfo name="TableStyleLight1" showFirstColumn="0" showLastColumn="0" showRowStripes="1" showColumnStripes="0"/>
</table>
</file>

<file path=xl/tables/table9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8" xr:uid="{34F6133F-4741-45AE-9EEB-0B141A65D0F4}" name="Table2340" displayName="Table2340" ref="F349:J370" totalsRowShown="0">
  <autoFilter ref="F349:J370" xr:uid="{34F6133F-4741-45AE-9EEB-0B141A65D0F4}"/>
  <tableColumns count="5">
    <tableColumn id="1" xr3:uid="{EE67D224-5FFD-4F4E-9641-751B6726F731}" name="time"/>
    <tableColumn id="2" xr3:uid="{10F24579-077A-4373-AAF5-64092C509F72}" name="moment" dataDxfId="285">
      <calculatedColumnFormula>-(Table2340[[#This Row],[time]]-2)*2</calculatedColumnFormula>
    </tableColumn>
    <tableColumn id="3" xr3:uid="{0DA6E527-EA4D-44B1-9E0E-7F8F0110231E}" name="CAREA"/>
    <tableColumn id="4" xr3:uid="{4CAEA0E7-C8BA-47E4-8379-867C7A1112D8}" name="CFNM"/>
    <tableColumn id="5" xr3:uid="{A8627105-1A06-4814-8D02-9D6F0E8829F2}" name="CFNM/Total area contact" dataDxfId="284">
      <calculatedColumnFormula>Table2340[[#This Row],[CFNM]]/Table2340[[#This Row],[CAREA]]</calculatedColumnFormula>
    </tableColumn>
  </tableColumns>
  <tableStyleInfo name="TableStyleLight2" showFirstColumn="0" showLastColumn="0" showRowStripes="1" showColumnStripes="0"/>
</table>
</file>

<file path=xl/tables/table9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9" xr:uid="{060EC7BC-A90D-4183-A64F-EF515A5DE6FA}" name="Table3341" displayName="Table3341" ref="K349:O370" totalsRowShown="0">
  <autoFilter ref="K349:O370" xr:uid="{060EC7BC-A90D-4183-A64F-EF515A5DE6FA}"/>
  <tableColumns count="5">
    <tableColumn id="1" xr3:uid="{F7A6E5DD-247E-4913-8D3E-97B7E876A5C6}" name="time"/>
    <tableColumn id="2" xr3:uid="{75B3F2DC-4ED6-4973-9779-99A8B55FA9A2}" name="moment" dataDxfId="283">
      <calculatedColumnFormula>-(Table3341[[#This Row],[time]]-2)*2</calculatedColumnFormula>
    </tableColumn>
    <tableColumn id="3" xr3:uid="{42AF294C-4459-4975-8EB2-7B3538A6DF81}" name="CAREA"/>
    <tableColumn id="4" xr3:uid="{1FB59A38-0D9C-4A83-B54B-CBB3997BC8A7}" name="CFNM"/>
    <tableColumn id="5" xr3:uid="{90E721FF-24A4-4850-9C66-B0072A2FE92B}" name="CFNM/Total area contact" dataDxfId="282">
      <calculatedColumnFormula>Table3341[[#This Row],[CFNM]]/Table3341[[#This Row],[CAREA]]</calculatedColumnFormula>
    </tableColumn>
  </tableColumns>
  <tableStyleInfo name="TableStyleLight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table" Target="../tables/table117.xml"/><Relationship Id="rId21" Type="http://schemas.openxmlformats.org/officeDocument/2006/relationships/table" Target="../tables/table21.xml"/><Relationship Id="rId42" Type="http://schemas.openxmlformats.org/officeDocument/2006/relationships/table" Target="../tables/table42.xml"/><Relationship Id="rId63" Type="http://schemas.openxmlformats.org/officeDocument/2006/relationships/table" Target="../tables/table63.xml"/><Relationship Id="rId84" Type="http://schemas.openxmlformats.org/officeDocument/2006/relationships/table" Target="../tables/table84.xml"/><Relationship Id="rId138" Type="http://schemas.openxmlformats.org/officeDocument/2006/relationships/table" Target="../tables/table138.xml"/><Relationship Id="rId159" Type="http://schemas.openxmlformats.org/officeDocument/2006/relationships/table" Target="../tables/table159.xml"/><Relationship Id="rId170" Type="http://schemas.openxmlformats.org/officeDocument/2006/relationships/table" Target="../tables/table170.xml"/><Relationship Id="rId191" Type="http://schemas.openxmlformats.org/officeDocument/2006/relationships/table" Target="../tables/table191.xml"/><Relationship Id="rId205" Type="http://schemas.openxmlformats.org/officeDocument/2006/relationships/table" Target="../tables/table205.xml"/><Relationship Id="rId226" Type="http://schemas.openxmlformats.org/officeDocument/2006/relationships/table" Target="../tables/table226.xml"/><Relationship Id="rId107" Type="http://schemas.openxmlformats.org/officeDocument/2006/relationships/table" Target="../tables/table107.xml"/><Relationship Id="rId11" Type="http://schemas.openxmlformats.org/officeDocument/2006/relationships/table" Target="../tables/table11.xml"/><Relationship Id="rId32" Type="http://schemas.openxmlformats.org/officeDocument/2006/relationships/table" Target="../tables/table32.xml"/><Relationship Id="rId53" Type="http://schemas.openxmlformats.org/officeDocument/2006/relationships/table" Target="../tables/table53.xml"/><Relationship Id="rId74" Type="http://schemas.openxmlformats.org/officeDocument/2006/relationships/table" Target="../tables/table74.xml"/><Relationship Id="rId128" Type="http://schemas.openxmlformats.org/officeDocument/2006/relationships/table" Target="../tables/table128.xml"/><Relationship Id="rId149" Type="http://schemas.openxmlformats.org/officeDocument/2006/relationships/table" Target="../tables/table149.xml"/><Relationship Id="rId5" Type="http://schemas.openxmlformats.org/officeDocument/2006/relationships/table" Target="../tables/table5.xml"/><Relationship Id="rId95" Type="http://schemas.openxmlformats.org/officeDocument/2006/relationships/table" Target="../tables/table95.xml"/><Relationship Id="rId160" Type="http://schemas.openxmlformats.org/officeDocument/2006/relationships/table" Target="../tables/table160.xml"/><Relationship Id="rId181" Type="http://schemas.openxmlformats.org/officeDocument/2006/relationships/table" Target="../tables/table181.xml"/><Relationship Id="rId216" Type="http://schemas.openxmlformats.org/officeDocument/2006/relationships/table" Target="../tables/table216.xml"/><Relationship Id="rId237" Type="http://schemas.openxmlformats.org/officeDocument/2006/relationships/table" Target="../tables/table237.xml"/><Relationship Id="rId22" Type="http://schemas.openxmlformats.org/officeDocument/2006/relationships/table" Target="../tables/table22.xml"/><Relationship Id="rId43" Type="http://schemas.openxmlformats.org/officeDocument/2006/relationships/table" Target="../tables/table43.xml"/><Relationship Id="rId64" Type="http://schemas.openxmlformats.org/officeDocument/2006/relationships/table" Target="../tables/table64.xml"/><Relationship Id="rId118" Type="http://schemas.openxmlformats.org/officeDocument/2006/relationships/table" Target="../tables/table118.xml"/><Relationship Id="rId139" Type="http://schemas.openxmlformats.org/officeDocument/2006/relationships/table" Target="../tables/table139.xml"/><Relationship Id="rId80" Type="http://schemas.openxmlformats.org/officeDocument/2006/relationships/table" Target="../tables/table80.xml"/><Relationship Id="rId85" Type="http://schemas.openxmlformats.org/officeDocument/2006/relationships/table" Target="../tables/table85.xml"/><Relationship Id="rId150" Type="http://schemas.openxmlformats.org/officeDocument/2006/relationships/table" Target="../tables/table150.xml"/><Relationship Id="rId155" Type="http://schemas.openxmlformats.org/officeDocument/2006/relationships/table" Target="../tables/table155.xml"/><Relationship Id="rId171" Type="http://schemas.openxmlformats.org/officeDocument/2006/relationships/table" Target="../tables/table171.xml"/><Relationship Id="rId176" Type="http://schemas.openxmlformats.org/officeDocument/2006/relationships/table" Target="../tables/table176.xml"/><Relationship Id="rId192" Type="http://schemas.openxmlformats.org/officeDocument/2006/relationships/table" Target="../tables/table192.xml"/><Relationship Id="rId197" Type="http://schemas.openxmlformats.org/officeDocument/2006/relationships/table" Target="../tables/table197.xml"/><Relationship Id="rId206" Type="http://schemas.openxmlformats.org/officeDocument/2006/relationships/table" Target="../tables/table206.xml"/><Relationship Id="rId227" Type="http://schemas.openxmlformats.org/officeDocument/2006/relationships/table" Target="../tables/table227.xml"/><Relationship Id="rId201" Type="http://schemas.openxmlformats.org/officeDocument/2006/relationships/table" Target="../tables/table201.xml"/><Relationship Id="rId222" Type="http://schemas.openxmlformats.org/officeDocument/2006/relationships/table" Target="../tables/table222.xml"/><Relationship Id="rId12" Type="http://schemas.openxmlformats.org/officeDocument/2006/relationships/table" Target="../tables/table12.xml"/><Relationship Id="rId17" Type="http://schemas.openxmlformats.org/officeDocument/2006/relationships/table" Target="../tables/table17.xml"/><Relationship Id="rId33" Type="http://schemas.openxmlformats.org/officeDocument/2006/relationships/table" Target="../tables/table33.xml"/><Relationship Id="rId38" Type="http://schemas.openxmlformats.org/officeDocument/2006/relationships/table" Target="../tables/table38.xml"/><Relationship Id="rId59" Type="http://schemas.openxmlformats.org/officeDocument/2006/relationships/table" Target="../tables/table59.xml"/><Relationship Id="rId103" Type="http://schemas.openxmlformats.org/officeDocument/2006/relationships/table" Target="../tables/table103.xml"/><Relationship Id="rId108" Type="http://schemas.openxmlformats.org/officeDocument/2006/relationships/table" Target="../tables/table108.xml"/><Relationship Id="rId124" Type="http://schemas.openxmlformats.org/officeDocument/2006/relationships/table" Target="../tables/table124.xml"/><Relationship Id="rId129" Type="http://schemas.openxmlformats.org/officeDocument/2006/relationships/table" Target="../tables/table129.xml"/><Relationship Id="rId54" Type="http://schemas.openxmlformats.org/officeDocument/2006/relationships/table" Target="../tables/table54.xml"/><Relationship Id="rId70" Type="http://schemas.openxmlformats.org/officeDocument/2006/relationships/table" Target="../tables/table70.xml"/><Relationship Id="rId75" Type="http://schemas.openxmlformats.org/officeDocument/2006/relationships/table" Target="../tables/table75.xml"/><Relationship Id="rId91" Type="http://schemas.openxmlformats.org/officeDocument/2006/relationships/table" Target="../tables/table91.xml"/><Relationship Id="rId96" Type="http://schemas.openxmlformats.org/officeDocument/2006/relationships/table" Target="../tables/table96.xml"/><Relationship Id="rId140" Type="http://schemas.openxmlformats.org/officeDocument/2006/relationships/table" Target="../tables/table140.xml"/><Relationship Id="rId145" Type="http://schemas.openxmlformats.org/officeDocument/2006/relationships/table" Target="../tables/table145.xml"/><Relationship Id="rId161" Type="http://schemas.openxmlformats.org/officeDocument/2006/relationships/table" Target="../tables/table161.xml"/><Relationship Id="rId166" Type="http://schemas.openxmlformats.org/officeDocument/2006/relationships/table" Target="../tables/table166.xml"/><Relationship Id="rId182" Type="http://schemas.openxmlformats.org/officeDocument/2006/relationships/table" Target="../tables/table182.xml"/><Relationship Id="rId187" Type="http://schemas.openxmlformats.org/officeDocument/2006/relationships/table" Target="../tables/table187.xml"/><Relationship Id="rId217" Type="http://schemas.openxmlformats.org/officeDocument/2006/relationships/table" Target="../tables/table217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212" Type="http://schemas.openxmlformats.org/officeDocument/2006/relationships/table" Target="../tables/table212.xml"/><Relationship Id="rId233" Type="http://schemas.openxmlformats.org/officeDocument/2006/relationships/table" Target="../tables/table233.xml"/><Relationship Id="rId238" Type="http://schemas.openxmlformats.org/officeDocument/2006/relationships/table" Target="../tables/table238.xml"/><Relationship Id="rId23" Type="http://schemas.openxmlformats.org/officeDocument/2006/relationships/table" Target="../tables/table23.xml"/><Relationship Id="rId28" Type="http://schemas.openxmlformats.org/officeDocument/2006/relationships/table" Target="../tables/table28.xml"/><Relationship Id="rId49" Type="http://schemas.openxmlformats.org/officeDocument/2006/relationships/table" Target="../tables/table49.xml"/><Relationship Id="rId114" Type="http://schemas.openxmlformats.org/officeDocument/2006/relationships/table" Target="../tables/table114.xml"/><Relationship Id="rId119" Type="http://schemas.openxmlformats.org/officeDocument/2006/relationships/table" Target="../tables/table119.xml"/><Relationship Id="rId44" Type="http://schemas.openxmlformats.org/officeDocument/2006/relationships/table" Target="../tables/table44.xml"/><Relationship Id="rId60" Type="http://schemas.openxmlformats.org/officeDocument/2006/relationships/table" Target="../tables/table60.xml"/><Relationship Id="rId65" Type="http://schemas.openxmlformats.org/officeDocument/2006/relationships/table" Target="../tables/table65.xml"/><Relationship Id="rId81" Type="http://schemas.openxmlformats.org/officeDocument/2006/relationships/table" Target="../tables/table81.xml"/><Relationship Id="rId86" Type="http://schemas.openxmlformats.org/officeDocument/2006/relationships/table" Target="../tables/table86.xml"/><Relationship Id="rId130" Type="http://schemas.openxmlformats.org/officeDocument/2006/relationships/table" Target="../tables/table130.xml"/><Relationship Id="rId135" Type="http://schemas.openxmlformats.org/officeDocument/2006/relationships/table" Target="../tables/table135.xml"/><Relationship Id="rId151" Type="http://schemas.openxmlformats.org/officeDocument/2006/relationships/table" Target="../tables/table151.xml"/><Relationship Id="rId156" Type="http://schemas.openxmlformats.org/officeDocument/2006/relationships/table" Target="../tables/table156.xml"/><Relationship Id="rId177" Type="http://schemas.openxmlformats.org/officeDocument/2006/relationships/table" Target="../tables/table177.xml"/><Relationship Id="rId198" Type="http://schemas.openxmlformats.org/officeDocument/2006/relationships/table" Target="../tables/table198.xml"/><Relationship Id="rId172" Type="http://schemas.openxmlformats.org/officeDocument/2006/relationships/table" Target="../tables/table172.xml"/><Relationship Id="rId193" Type="http://schemas.openxmlformats.org/officeDocument/2006/relationships/table" Target="../tables/table193.xml"/><Relationship Id="rId202" Type="http://schemas.openxmlformats.org/officeDocument/2006/relationships/table" Target="../tables/table202.xml"/><Relationship Id="rId207" Type="http://schemas.openxmlformats.org/officeDocument/2006/relationships/table" Target="../tables/table207.xml"/><Relationship Id="rId223" Type="http://schemas.openxmlformats.org/officeDocument/2006/relationships/table" Target="../tables/table223.xml"/><Relationship Id="rId228" Type="http://schemas.openxmlformats.org/officeDocument/2006/relationships/table" Target="../tables/table228.xml"/><Relationship Id="rId13" Type="http://schemas.openxmlformats.org/officeDocument/2006/relationships/table" Target="../tables/table13.xml"/><Relationship Id="rId18" Type="http://schemas.openxmlformats.org/officeDocument/2006/relationships/table" Target="../tables/table18.xml"/><Relationship Id="rId39" Type="http://schemas.openxmlformats.org/officeDocument/2006/relationships/table" Target="../tables/table39.xml"/><Relationship Id="rId109" Type="http://schemas.openxmlformats.org/officeDocument/2006/relationships/table" Target="../tables/table109.xml"/><Relationship Id="rId34" Type="http://schemas.openxmlformats.org/officeDocument/2006/relationships/table" Target="../tables/table34.xml"/><Relationship Id="rId50" Type="http://schemas.openxmlformats.org/officeDocument/2006/relationships/table" Target="../tables/table50.xml"/><Relationship Id="rId55" Type="http://schemas.openxmlformats.org/officeDocument/2006/relationships/table" Target="../tables/table55.xml"/><Relationship Id="rId76" Type="http://schemas.openxmlformats.org/officeDocument/2006/relationships/table" Target="../tables/table76.xml"/><Relationship Id="rId97" Type="http://schemas.openxmlformats.org/officeDocument/2006/relationships/table" Target="../tables/table97.xml"/><Relationship Id="rId104" Type="http://schemas.openxmlformats.org/officeDocument/2006/relationships/table" Target="../tables/table104.xml"/><Relationship Id="rId120" Type="http://schemas.openxmlformats.org/officeDocument/2006/relationships/table" Target="../tables/table120.xml"/><Relationship Id="rId125" Type="http://schemas.openxmlformats.org/officeDocument/2006/relationships/table" Target="../tables/table125.xml"/><Relationship Id="rId141" Type="http://schemas.openxmlformats.org/officeDocument/2006/relationships/table" Target="../tables/table141.xml"/><Relationship Id="rId146" Type="http://schemas.openxmlformats.org/officeDocument/2006/relationships/table" Target="../tables/table146.xml"/><Relationship Id="rId167" Type="http://schemas.openxmlformats.org/officeDocument/2006/relationships/table" Target="../tables/table167.xml"/><Relationship Id="rId188" Type="http://schemas.openxmlformats.org/officeDocument/2006/relationships/table" Target="../tables/table188.xml"/><Relationship Id="rId7" Type="http://schemas.openxmlformats.org/officeDocument/2006/relationships/table" Target="../tables/table7.xml"/><Relationship Id="rId71" Type="http://schemas.openxmlformats.org/officeDocument/2006/relationships/table" Target="../tables/table71.xml"/><Relationship Id="rId92" Type="http://schemas.openxmlformats.org/officeDocument/2006/relationships/table" Target="../tables/table92.xml"/><Relationship Id="rId162" Type="http://schemas.openxmlformats.org/officeDocument/2006/relationships/table" Target="../tables/table162.xml"/><Relationship Id="rId183" Type="http://schemas.openxmlformats.org/officeDocument/2006/relationships/table" Target="../tables/table183.xml"/><Relationship Id="rId213" Type="http://schemas.openxmlformats.org/officeDocument/2006/relationships/table" Target="../tables/table213.xml"/><Relationship Id="rId218" Type="http://schemas.openxmlformats.org/officeDocument/2006/relationships/table" Target="../tables/table218.xml"/><Relationship Id="rId234" Type="http://schemas.openxmlformats.org/officeDocument/2006/relationships/table" Target="../tables/table234.xml"/><Relationship Id="rId239" Type="http://schemas.openxmlformats.org/officeDocument/2006/relationships/table" Target="../tables/table239.xml"/><Relationship Id="rId2" Type="http://schemas.openxmlformats.org/officeDocument/2006/relationships/table" Target="../tables/table2.xml"/><Relationship Id="rId29" Type="http://schemas.openxmlformats.org/officeDocument/2006/relationships/table" Target="../tables/table29.xml"/><Relationship Id="rId24" Type="http://schemas.openxmlformats.org/officeDocument/2006/relationships/table" Target="../tables/table24.xml"/><Relationship Id="rId40" Type="http://schemas.openxmlformats.org/officeDocument/2006/relationships/table" Target="../tables/table40.xml"/><Relationship Id="rId45" Type="http://schemas.openxmlformats.org/officeDocument/2006/relationships/table" Target="../tables/table45.xml"/><Relationship Id="rId66" Type="http://schemas.openxmlformats.org/officeDocument/2006/relationships/table" Target="../tables/table66.xml"/><Relationship Id="rId87" Type="http://schemas.openxmlformats.org/officeDocument/2006/relationships/table" Target="../tables/table87.xml"/><Relationship Id="rId110" Type="http://schemas.openxmlformats.org/officeDocument/2006/relationships/table" Target="../tables/table110.xml"/><Relationship Id="rId115" Type="http://schemas.openxmlformats.org/officeDocument/2006/relationships/table" Target="../tables/table115.xml"/><Relationship Id="rId131" Type="http://schemas.openxmlformats.org/officeDocument/2006/relationships/table" Target="../tables/table131.xml"/><Relationship Id="rId136" Type="http://schemas.openxmlformats.org/officeDocument/2006/relationships/table" Target="../tables/table136.xml"/><Relationship Id="rId157" Type="http://schemas.openxmlformats.org/officeDocument/2006/relationships/table" Target="../tables/table157.xml"/><Relationship Id="rId178" Type="http://schemas.openxmlformats.org/officeDocument/2006/relationships/table" Target="../tables/table178.xml"/><Relationship Id="rId61" Type="http://schemas.openxmlformats.org/officeDocument/2006/relationships/table" Target="../tables/table61.xml"/><Relationship Id="rId82" Type="http://schemas.openxmlformats.org/officeDocument/2006/relationships/table" Target="../tables/table82.xml"/><Relationship Id="rId152" Type="http://schemas.openxmlformats.org/officeDocument/2006/relationships/table" Target="../tables/table152.xml"/><Relationship Id="rId173" Type="http://schemas.openxmlformats.org/officeDocument/2006/relationships/table" Target="../tables/table173.xml"/><Relationship Id="rId194" Type="http://schemas.openxmlformats.org/officeDocument/2006/relationships/table" Target="../tables/table194.xml"/><Relationship Id="rId199" Type="http://schemas.openxmlformats.org/officeDocument/2006/relationships/table" Target="../tables/table199.xml"/><Relationship Id="rId203" Type="http://schemas.openxmlformats.org/officeDocument/2006/relationships/table" Target="../tables/table203.xml"/><Relationship Id="rId208" Type="http://schemas.openxmlformats.org/officeDocument/2006/relationships/table" Target="../tables/table208.xml"/><Relationship Id="rId229" Type="http://schemas.openxmlformats.org/officeDocument/2006/relationships/table" Target="../tables/table229.xml"/><Relationship Id="rId19" Type="http://schemas.openxmlformats.org/officeDocument/2006/relationships/table" Target="../tables/table19.xml"/><Relationship Id="rId224" Type="http://schemas.openxmlformats.org/officeDocument/2006/relationships/table" Target="../tables/table224.xml"/><Relationship Id="rId240" Type="http://schemas.openxmlformats.org/officeDocument/2006/relationships/table" Target="../tables/table240.xml"/><Relationship Id="rId14" Type="http://schemas.openxmlformats.org/officeDocument/2006/relationships/table" Target="../tables/table14.xml"/><Relationship Id="rId30" Type="http://schemas.openxmlformats.org/officeDocument/2006/relationships/table" Target="../tables/table30.xml"/><Relationship Id="rId35" Type="http://schemas.openxmlformats.org/officeDocument/2006/relationships/table" Target="../tables/table35.xml"/><Relationship Id="rId56" Type="http://schemas.openxmlformats.org/officeDocument/2006/relationships/table" Target="../tables/table56.xml"/><Relationship Id="rId77" Type="http://schemas.openxmlformats.org/officeDocument/2006/relationships/table" Target="../tables/table77.xml"/><Relationship Id="rId100" Type="http://schemas.openxmlformats.org/officeDocument/2006/relationships/table" Target="../tables/table100.xml"/><Relationship Id="rId105" Type="http://schemas.openxmlformats.org/officeDocument/2006/relationships/table" Target="../tables/table105.xml"/><Relationship Id="rId126" Type="http://schemas.openxmlformats.org/officeDocument/2006/relationships/table" Target="../tables/table126.xml"/><Relationship Id="rId147" Type="http://schemas.openxmlformats.org/officeDocument/2006/relationships/table" Target="../tables/table147.xml"/><Relationship Id="rId168" Type="http://schemas.openxmlformats.org/officeDocument/2006/relationships/table" Target="../tables/table168.xml"/><Relationship Id="rId8" Type="http://schemas.openxmlformats.org/officeDocument/2006/relationships/table" Target="../tables/table8.xml"/><Relationship Id="rId51" Type="http://schemas.openxmlformats.org/officeDocument/2006/relationships/table" Target="../tables/table51.xml"/><Relationship Id="rId72" Type="http://schemas.openxmlformats.org/officeDocument/2006/relationships/table" Target="../tables/table72.xml"/><Relationship Id="rId93" Type="http://schemas.openxmlformats.org/officeDocument/2006/relationships/table" Target="../tables/table93.xml"/><Relationship Id="rId98" Type="http://schemas.openxmlformats.org/officeDocument/2006/relationships/table" Target="../tables/table98.xml"/><Relationship Id="rId121" Type="http://schemas.openxmlformats.org/officeDocument/2006/relationships/table" Target="../tables/table121.xml"/><Relationship Id="rId142" Type="http://schemas.openxmlformats.org/officeDocument/2006/relationships/table" Target="../tables/table142.xml"/><Relationship Id="rId163" Type="http://schemas.openxmlformats.org/officeDocument/2006/relationships/table" Target="../tables/table163.xml"/><Relationship Id="rId184" Type="http://schemas.openxmlformats.org/officeDocument/2006/relationships/table" Target="../tables/table184.xml"/><Relationship Id="rId189" Type="http://schemas.openxmlformats.org/officeDocument/2006/relationships/table" Target="../tables/table189.xml"/><Relationship Id="rId219" Type="http://schemas.openxmlformats.org/officeDocument/2006/relationships/table" Target="../tables/table219.xml"/><Relationship Id="rId3" Type="http://schemas.openxmlformats.org/officeDocument/2006/relationships/table" Target="../tables/table3.xml"/><Relationship Id="rId214" Type="http://schemas.openxmlformats.org/officeDocument/2006/relationships/table" Target="../tables/table214.xml"/><Relationship Id="rId230" Type="http://schemas.openxmlformats.org/officeDocument/2006/relationships/table" Target="../tables/table230.xml"/><Relationship Id="rId235" Type="http://schemas.openxmlformats.org/officeDocument/2006/relationships/table" Target="../tables/table235.xml"/><Relationship Id="rId25" Type="http://schemas.openxmlformats.org/officeDocument/2006/relationships/table" Target="../tables/table25.xml"/><Relationship Id="rId46" Type="http://schemas.openxmlformats.org/officeDocument/2006/relationships/table" Target="../tables/table46.xml"/><Relationship Id="rId67" Type="http://schemas.openxmlformats.org/officeDocument/2006/relationships/table" Target="../tables/table67.xml"/><Relationship Id="rId116" Type="http://schemas.openxmlformats.org/officeDocument/2006/relationships/table" Target="../tables/table116.xml"/><Relationship Id="rId137" Type="http://schemas.openxmlformats.org/officeDocument/2006/relationships/table" Target="../tables/table137.xml"/><Relationship Id="rId158" Type="http://schemas.openxmlformats.org/officeDocument/2006/relationships/table" Target="../tables/table158.xml"/><Relationship Id="rId20" Type="http://schemas.openxmlformats.org/officeDocument/2006/relationships/table" Target="../tables/table20.xml"/><Relationship Id="rId41" Type="http://schemas.openxmlformats.org/officeDocument/2006/relationships/table" Target="../tables/table41.xml"/><Relationship Id="rId62" Type="http://schemas.openxmlformats.org/officeDocument/2006/relationships/table" Target="../tables/table62.xml"/><Relationship Id="rId83" Type="http://schemas.openxmlformats.org/officeDocument/2006/relationships/table" Target="../tables/table83.xml"/><Relationship Id="rId88" Type="http://schemas.openxmlformats.org/officeDocument/2006/relationships/table" Target="../tables/table88.xml"/><Relationship Id="rId111" Type="http://schemas.openxmlformats.org/officeDocument/2006/relationships/table" Target="../tables/table111.xml"/><Relationship Id="rId132" Type="http://schemas.openxmlformats.org/officeDocument/2006/relationships/table" Target="../tables/table132.xml"/><Relationship Id="rId153" Type="http://schemas.openxmlformats.org/officeDocument/2006/relationships/table" Target="../tables/table153.xml"/><Relationship Id="rId174" Type="http://schemas.openxmlformats.org/officeDocument/2006/relationships/table" Target="../tables/table174.xml"/><Relationship Id="rId179" Type="http://schemas.openxmlformats.org/officeDocument/2006/relationships/table" Target="../tables/table179.xml"/><Relationship Id="rId195" Type="http://schemas.openxmlformats.org/officeDocument/2006/relationships/table" Target="../tables/table195.xml"/><Relationship Id="rId209" Type="http://schemas.openxmlformats.org/officeDocument/2006/relationships/table" Target="../tables/table209.xml"/><Relationship Id="rId190" Type="http://schemas.openxmlformats.org/officeDocument/2006/relationships/table" Target="../tables/table190.xml"/><Relationship Id="rId204" Type="http://schemas.openxmlformats.org/officeDocument/2006/relationships/table" Target="../tables/table204.xml"/><Relationship Id="rId220" Type="http://schemas.openxmlformats.org/officeDocument/2006/relationships/table" Target="../tables/table220.xml"/><Relationship Id="rId225" Type="http://schemas.openxmlformats.org/officeDocument/2006/relationships/table" Target="../tables/table225.xml"/><Relationship Id="rId15" Type="http://schemas.openxmlformats.org/officeDocument/2006/relationships/table" Target="../tables/table15.xml"/><Relationship Id="rId36" Type="http://schemas.openxmlformats.org/officeDocument/2006/relationships/table" Target="../tables/table36.xml"/><Relationship Id="rId57" Type="http://schemas.openxmlformats.org/officeDocument/2006/relationships/table" Target="../tables/table57.xml"/><Relationship Id="rId106" Type="http://schemas.openxmlformats.org/officeDocument/2006/relationships/table" Target="../tables/table106.xml"/><Relationship Id="rId127" Type="http://schemas.openxmlformats.org/officeDocument/2006/relationships/table" Target="../tables/table127.xml"/><Relationship Id="rId10" Type="http://schemas.openxmlformats.org/officeDocument/2006/relationships/table" Target="../tables/table10.xml"/><Relationship Id="rId31" Type="http://schemas.openxmlformats.org/officeDocument/2006/relationships/table" Target="../tables/table31.xml"/><Relationship Id="rId52" Type="http://schemas.openxmlformats.org/officeDocument/2006/relationships/table" Target="../tables/table52.xml"/><Relationship Id="rId73" Type="http://schemas.openxmlformats.org/officeDocument/2006/relationships/table" Target="../tables/table73.xml"/><Relationship Id="rId78" Type="http://schemas.openxmlformats.org/officeDocument/2006/relationships/table" Target="../tables/table78.xml"/><Relationship Id="rId94" Type="http://schemas.openxmlformats.org/officeDocument/2006/relationships/table" Target="../tables/table94.xml"/><Relationship Id="rId99" Type="http://schemas.openxmlformats.org/officeDocument/2006/relationships/table" Target="../tables/table99.xml"/><Relationship Id="rId101" Type="http://schemas.openxmlformats.org/officeDocument/2006/relationships/table" Target="../tables/table101.xml"/><Relationship Id="rId122" Type="http://schemas.openxmlformats.org/officeDocument/2006/relationships/table" Target="../tables/table122.xml"/><Relationship Id="rId143" Type="http://schemas.openxmlformats.org/officeDocument/2006/relationships/table" Target="../tables/table143.xml"/><Relationship Id="rId148" Type="http://schemas.openxmlformats.org/officeDocument/2006/relationships/table" Target="../tables/table148.xml"/><Relationship Id="rId164" Type="http://schemas.openxmlformats.org/officeDocument/2006/relationships/table" Target="../tables/table164.xml"/><Relationship Id="rId169" Type="http://schemas.openxmlformats.org/officeDocument/2006/relationships/table" Target="../tables/table169.xml"/><Relationship Id="rId185" Type="http://schemas.openxmlformats.org/officeDocument/2006/relationships/table" Target="../tables/table185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Relationship Id="rId180" Type="http://schemas.openxmlformats.org/officeDocument/2006/relationships/table" Target="../tables/table180.xml"/><Relationship Id="rId210" Type="http://schemas.openxmlformats.org/officeDocument/2006/relationships/table" Target="../tables/table210.xml"/><Relationship Id="rId215" Type="http://schemas.openxmlformats.org/officeDocument/2006/relationships/table" Target="../tables/table215.xml"/><Relationship Id="rId236" Type="http://schemas.openxmlformats.org/officeDocument/2006/relationships/table" Target="../tables/table236.xml"/><Relationship Id="rId26" Type="http://schemas.openxmlformats.org/officeDocument/2006/relationships/table" Target="../tables/table26.xml"/><Relationship Id="rId231" Type="http://schemas.openxmlformats.org/officeDocument/2006/relationships/table" Target="../tables/table231.xml"/><Relationship Id="rId47" Type="http://schemas.openxmlformats.org/officeDocument/2006/relationships/table" Target="../tables/table47.xml"/><Relationship Id="rId68" Type="http://schemas.openxmlformats.org/officeDocument/2006/relationships/table" Target="../tables/table68.xml"/><Relationship Id="rId89" Type="http://schemas.openxmlformats.org/officeDocument/2006/relationships/table" Target="../tables/table89.xml"/><Relationship Id="rId112" Type="http://schemas.openxmlformats.org/officeDocument/2006/relationships/table" Target="../tables/table112.xml"/><Relationship Id="rId133" Type="http://schemas.openxmlformats.org/officeDocument/2006/relationships/table" Target="../tables/table133.xml"/><Relationship Id="rId154" Type="http://schemas.openxmlformats.org/officeDocument/2006/relationships/table" Target="../tables/table154.xml"/><Relationship Id="rId175" Type="http://schemas.openxmlformats.org/officeDocument/2006/relationships/table" Target="../tables/table175.xml"/><Relationship Id="rId196" Type="http://schemas.openxmlformats.org/officeDocument/2006/relationships/table" Target="../tables/table196.xml"/><Relationship Id="rId200" Type="http://schemas.openxmlformats.org/officeDocument/2006/relationships/table" Target="../tables/table200.xml"/><Relationship Id="rId16" Type="http://schemas.openxmlformats.org/officeDocument/2006/relationships/table" Target="../tables/table16.xml"/><Relationship Id="rId221" Type="http://schemas.openxmlformats.org/officeDocument/2006/relationships/table" Target="../tables/table221.xml"/><Relationship Id="rId37" Type="http://schemas.openxmlformats.org/officeDocument/2006/relationships/table" Target="../tables/table37.xml"/><Relationship Id="rId58" Type="http://schemas.openxmlformats.org/officeDocument/2006/relationships/table" Target="../tables/table58.xml"/><Relationship Id="rId79" Type="http://schemas.openxmlformats.org/officeDocument/2006/relationships/table" Target="../tables/table79.xml"/><Relationship Id="rId102" Type="http://schemas.openxmlformats.org/officeDocument/2006/relationships/table" Target="../tables/table102.xml"/><Relationship Id="rId123" Type="http://schemas.openxmlformats.org/officeDocument/2006/relationships/table" Target="../tables/table123.xml"/><Relationship Id="rId144" Type="http://schemas.openxmlformats.org/officeDocument/2006/relationships/table" Target="../tables/table144.xml"/><Relationship Id="rId90" Type="http://schemas.openxmlformats.org/officeDocument/2006/relationships/table" Target="../tables/table90.xml"/><Relationship Id="rId165" Type="http://schemas.openxmlformats.org/officeDocument/2006/relationships/table" Target="../tables/table165.xml"/><Relationship Id="rId186" Type="http://schemas.openxmlformats.org/officeDocument/2006/relationships/table" Target="../tables/table186.xml"/><Relationship Id="rId211" Type="http://schemas.openxmlformats.org/officeDocument/2006/relationships/table" Target="../tables/table211.xml"/><Relationship Id="rId232" Type="http://schemas.openxmlformats.org/officeDocument/2006/relationships/table" Target="../tables/table232.xml"/><Relationship Id="rId27" Type="http://schemas.openxmlformats.org/officeDocument/2006/relationships/table" Target="../tables/table27.xml"/><Relationship Id="rId48" Type="http://schemas.openxmlformats.org/officeDocument/2006/relationships/table" Target="../tables/table48.xml"/><Relationship Id="rId69" Type="http://schemas.openxmlformats.org/officeDocument/2006/relationships/table" Target="../tables/table69.xml"/><Relationship Id="rId113" Type="http://schemas.openxmlformats.org/officeDocument/2006/relationships/table" Target="../tables/table113.xml"/><Relationship Id="rId134" Type="http://schemas.openxmlformats.org/officeDocument/2006/relationships/table" Target="../tables/table13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CBE193-D179-4013-8870-32398E3C4315}">
  <dimension ref="A1:AN852"/>
  <sheetViews>
    <sheetView tabSelected="1" topLeftCell="A800" workbookViewId="0">
      <selection activeCell="AJ805" sqref="AJ805:AJ825"/>
    </sheetView>
  </sheetViews>
  <sheetFormatPr defaultRowHeight="15" x14ac:dyDescent="0.25"/>
  <sheetData>
    <row r="1" spans="1:40" x14ac:dyDescent="0.25">
      <c r="A1" s="1" t="s">
        <v>0</v>
      </c>
    </row>
    <row r="2" spans="1:40" x14ac:dyDescent="0.25">
      <c r="A2" t="s">
        <v>33</v>
      </c>
      <c r="F2" t="s">
        <v>1</v>
      </c>
    </row>
    <row r="3" spans="1:40" x14ac:dyDescent="0.25">
      <c r="F3" t="s">
        <v>2</v>
      </c>
      <c r="G3" t="s">
        <v>3</v>
      </c>
    </row>
    <row r="6" spans="1:40" x14ac:dyDescent="0.25">
      <c r="A6" t="s">
        <v>4</v>
      </c>
      <c r="F6" t="s">
        <v>5</v>
      </c>
      <c r="K6" t="s">
        <v>6</v>
      </c>
      <c r="P6" t="s">
        <v>7</v>
      </c>
      <c r="U6" t="s">
        <v>8</v>
      </c>
      <c r="Z6" t="s">
        <v>9</v>
      </c>
      <c r="AE6" t="s">
        <v>10</v>
      </c>
      <c r="AJ6" t="s">
        <v>11</v>
      </c>
    </row>
    <row r="7" spans="1:40" x14ac:dyDescent="0.25">
      <c r="A7" t="s">
        <v>12</v>
      </c>
      <c r="B7" t="s">
        <v>13</v>
      </c>
      <c r="C7" t="s">
        <v>14</v>
      </c>
      <c r="D7" t="s">
        <v>15</v>
      </c>
      <c r="E7" t="s">
        <v>16</v>
      </c>
      <c r="F7" t="s">
        <v>12</v>
      </c>
      <c r="G7" t="s">
        <v>13</v>
      </c>
      <c r="H7" t="s">
        <v>14</v>
      </c>
      <c r="I7" t="s">
        <v>15</v>
      </c>
      <c r="J7" t="s">
        <v>16</v>
      </c>
      <c r="K7" t="s">
        <v>12</v>
      </c>
      <c r="L7" t="s">
        <v>13</v>
      </c>
      <c r="M7" t="s">
        <v>14</v>
      </c>
      <c r="N7" t="s">
        <v>15</v>
      </c>
      <c r="O7" t="s">
        <v>16</v>
      </c>
      <c r="P7" t="s">
        <v>12</v>
      </c>
      <c r="Q7" t="s">
        <v>13</v>
      </c>
      <c r="R7" t="s">
        <v>14</v>
      </c>
      <c r="S7" t="s">
        <v>15</v>
      </c>
      <c r="T7" t="s">
        <v>16</v>
      </c>
      <c r="U7" t="s">
        <v>12</v>
      </c>
      <c r="V7" t="s">
        <v>13</v>
      </c>
      <c r="W7" t="s">
        <v>14</v>
      </c>
      <c r="X7" t="s">
        <v>15</v>
      </c>
      <c r="Y7" t="s">
        <v>16</v>
      </c>
      <c r="Z7" t="s">
        <v>12</v>
      </c>
      <c r="AA7" t="s">
        <v>13</v>
      </c>
      <c r="AB7" t="s">
        <v>14</v>
      </c>
      <c r="AC7" t="s">
        <v>15</v>
      </c>
      <c r="AD7" t="s">
        <v>16</v>
      </c>
      <c r="AE7" t="s">
        <v>12</v>
      </c>
      <c r="AF7" t="s">
        <v>13</v>
      </c>
      <c r="AG7" t="s">
        <v>14</v>
      </c>
      <c r="AH7" t="s">
        <v>15</v>
      </c>
      <c r="AI7" t="s">
        <v>16</v>
      </c>
      <c r="AJ7" t="s">
        <v>12</v>
      </c>
      <c r="AK7" t="s">
        <v>13</v>
      </c>
      <c r="AL7" t="s">
        <v>14</v>
      </c>
      <c r="AM7" t="s">
        <v>15</v>
      </c>
      <c r="AN7" t="s">
        <v>16</v>
      </c>
    </row>
    <row r="8" spans="1:40" x14ac:dyDescent="0.25">
      <c r="A8">
        <v>2</v>
      </c>
      <c r="B8">
        <f>-(Table1243[[#This Row],[time]]-2)*2</f>
        <v>0</v>
      </c>
      <c r="C8">
        <v>91.723799999999997</v>
      </c>
      <c r="D8">
        <v>8.3138100000000001</v>
      </c>
      <c r="E8" s="2">
        <f>Table1243[[#This Row],[CFNM]]/Table1243[[#This Row],[CAREA]]</f>
        <v>9.063961589031419E-2</v>
      </c>
      <c r="F8">
        <v>2</v>
      </c>
      <c r="G8">
        <f>-(Table2244[[#This Row],[time]]-2)*2</f>
        <v>0</v>
      </c>
      <c r="H8">
        <v>94.410399999999996</v>
      </c>
      <c r="I8">
        <v>1.4588099999999999</v>
      </c>
      <c r="J8" s="2">
        <f>Table2244[[#This Row],[CFNM]]/Table2244[[#This Row],[CAREA]]</f>
        <v>1.5451793446484709E-2</v>
      </c>
      <c r="K8">
        <v>2</v>
      </c>
      <c r="L8">
        <f>-(Table3245[[#This Row],[time]]-2)*2</f>
        <v>0</v>
      </c>
      <c r="M8">
        <v>89.358400000000003</v>
      </c>
      <c r="N8">
        <v>1.7889999999999999</v>
      </c>
      <c r="O8">
        <f>Table3245[[#This Row],[CFNM]]/Table3245[[#This Row],[CAREA]]</f>
        <v>2.0020501709967949E-2</v>
      </c>
      <c r="P8">
        <v>2</v>
      </c>
      <c r="Q8">
        <f>-(Table4246[[#This Row],[time]]-2)*2</f>
        <v>0</v>
      </c>
      <c r="R8">
        <v>83.810500000000005</v>
      </c>
      <c r="S8">
        <v>2.8507699999999998</v>
      </c>
      <c r="T8">
        <f>Table4246[[#This Row],[CFNM]]/Table4246[[#This Row],[CAREA]]</f>
        <v>3.4014473126875507E-2</v>
      </c>
      <c r="U8">
        <v>2</v>
      </c>
      <c r="V8">
        <f>-(Table5247[[#This Row],[time]]-2)*2</f>
        <v>0</v>
      </c>
      <c r="W8">
        <v>83.264200000000002</v>
      </c>
      <c r="X8">
        <v>6.3959700000000002</v>
      </c>
      <c r="Y8">
        <f>Table5247[[#This Row],[CFNM]]/Table5247[[#This Row],[CAREA]]</f>
        <v>7.681536602765654E-2</v>
      </c>
      <c r="Z8">
        <v>2</v>
      </c>
      <c r="AA8">
        <f>-(Table6248[[#This Row],[time]]-2)*2</f>
        <v>0</v>
      </c>
      <c r="AB8">
        <v>87.737899999999996</v>
      </c>
      <c r="AC8">
        <v>10.3024</v>
      </c>
      <c r="AD8">
        <f>Table6248[[#This Row],[CFNM]]/Table6248[[#This Row],[CAREA]]</f>
        <v>0.11742245939326107</v>
      </c>
      <c r="AE8">
        <v>2</v>
      </c>
      <c r="AF8">
        <f>-(Table7249[[#This Row],[time]]-2)*2</f>
        <v>0</v>
      </c>
      <c r="AG8">
        <v>78.824299999999994</v>
      </c>
      <c r="AH8">
        <v>18.997399999999999</v>
      </c>
      <c r="AI8">
        <f>Table7249[[#This Row],[CFNM]]/Table7249[[#This Row],[CAREA]]</f>
        <v>0.24100943490776322</v>
      </c>
      <c r="AJ8">
        <v>2</v>
      </c>
      <c r="AK8">
        <f>-(Table8250[[#This Row],[time]]-2)*2</f>
        <v>0</v>
      </c>
      <c r="AL8">
        <v>83.280900000000003</v>
      </c>
      <c r="AM8">
        <v>18.324100000000001</v>
      </c>
      <c r="AN8">
        <f>Table8250[[#This Row],[CFNM]]/Table8250[[#This Row],[CAREA]]</f>
        <v>0.22002764139196385</v>
      </c>
    </row>
    <row r="9" spans="1:40" x14ac:dyDescent="0.25">
      <c r="A9">
        <v>2.0512600000000001</v>
      </c>
      <c r="B9">
        <f>-(Table1243[[#This Row],[time]]-2)*2</f>
        <v>-0.10252000000000017</v>
      </c>
      <c r="C9">
        <v>88.710300000000004</v>
      </c>
      <c r="D9">
        <v>7.9605600000000001</v>
      </c>
      <c r="E9">
        <f>Table1243[[#This Row],[CFNM]]/Table1243[[#This Row],[CAREA]]</f>
        <v>8.9736592030463205E-2</v>
      </c>
      <c r="F9">
        <v>2.0512600000000001</v>
      </c>
      <c r="G9">
        <f>-(Table2244[[#This Row],[time]]-2)*2</f>
        <v>-0.10252000000000017</v>
      </c>
      <c r="H9">
        <v>94.039699999999996</v>
      </c>
      <c r="I9">
        <v>6.1711099999999997</v>
      </c>
      <c r="J9">
        <f>Table2244[[#This Row],[CFNM]]/Table2244[[#This Row],[CAREA]]</f>
        <v>6.5622391394272839E-2</v>
      </c>
      <c r="K9">
        <v>2.0512600000000001</v>
      </c>
      <c r="L9">
        <f>-(Table3245[[#This Row],[time]]-2)*2</f>
        <v>-0.10252000000000017</v>
      </c>
      <c r="M9">
        <v>88.232500000000002</v>
      </c>
      <c r="N9">
        <v>0.243732</v>
      </c>
      <c r="O9">
        <f>Table3245[[#This Row],[CFNM]]/Table3245[[#This Row],[CAREA]]</f>
        <v>2.7623834754767233E-3</v>
      </c>
      <c r="P9">
        <v>2.0512600000000001</v>
      </c>
      <c r="Q9">
        <f>-(Table4246[[#This Row],[time]]-2)*2</f>
        <v>-0.10252000000000017</v>
      </c>
      <c r="R9">
        <v>83.807900000000004</v>
      </c>
      <c r="S9">
        <v>8.2010900000000007</v>
      </c>
      <c r="T9">
        <f>Table4246[[#This Row],[CFNM]]/Table4246[[#This Row],[CAREA]]</f>
        <v>9.7855810729060147E-2</v>
      </c>
      <c r="U9">
        <v>2.0512600000000001</v>
      </c>
      <c r="V9">
        <f>-(Table5247[[#This Row],[time]]-2)*2</f>
        <v>-0.10252000000000017</v>
      </c>
      <c r="W9">
        <v>82.507599999999996</v>
      </c>
      <c r="X9">
        <v>4.2621000000000002</v>
      </c>
      <c r="Y9">
        <f>Table5247[[#This Row],[CFNM]]/Table5247[[#This Row],[CAREA]]</f>
        <v>5.1657059470885114E-2</v>
      </c>
      <c r="Z9">
        <v>2.0512600000000001</v>
      </c>
      <c r="AA9">
        <f>-(Table6248[[#This Row],[time]]-2)*2</f>
        <v>-0.10252000000000017</v>
      </c>
      <c r="AB9">
        <v>86.423500000000004</v>
      </c>
      <c r="AC9">
        <v>13.250999999999999</v>
      </c>
      <c r="AD9">
        <f>Table6248[[#This Row],[CFNM]]/Table6248[[#This Row],[CAREA]]</f>
        <v>0.15332635220744356</v>
      </c>
      <c r="AE9">
        <v>2.0512600000000001</v>
      </c>
      <c r="AF9">
        <f>-(Table7249[[#This Row],[time]]-2)*2</f>
        <v>-0.10252000000000017</v>
      </c>
      <c r="AG9">
        <v>79.314599999999999</v>
      </c>
      <c r="AH9">
        <v>17.523399999999999</v>
      </c>
      <c r="AI9">
        <f>Table7249[[#This Row],[CFNM]]/Table7249[[#This Row],[CAREA]]</f>
        <v>0.22093536372874603</v>
      </c>
      <c r="AJ9">
        <v>2.0512600000000001</v>
      </c>
      <c r="AK9">
        <f>-(Table8250[[#This Row],[time]]-2)*2</f>
        <v>-0.10252000000000017</v>
      </c>
      <c r="AL9">
        <v>83.159199999999998</v>
      </c>
      <c r="AM9">
        <v>21.724299999999999</v>
      </c>
      <c r="AN9">
        <f>Table8250[[#This Row],[CFNM]]/Table8250[[#This Row],[CAREA]]</f>
        <v>0.26123748184205714</v>
      </c>
    </row>
    <row r="10" spans="1:40" x14ac:dyDescent="0.25">
      <c r="A10">
        <v>2.1153300000000002</v>
      </c>
      <c r="B10">
        <f>-(Table1243[[#This Row],[time]]-2)*2</f>
        <v>-0.23066000000000031</v>
      </c>
      <c r="C10">
        <v>86.382499999999993</v>
      </c>
      <c r="D10">
        <v>5.5203800000000003</v>
      </c>
      <c r="E10">
        <f>Table1243[[#This Row],[CFNM]]/Table1243[[#This Row],[CAREA]]</f>
        <v>6.3906231007437864E-2</v>
      </c>
      <c r="F10">
        <v>2.1153300000000002</v>
      </c>
      <c r="G10">
        <f>-(Table2244[[#This Row],[time]]-2)*2</f>
        <v>-0.23066000000000031</v>
      </c>
      <c r="H10">
        <v>92.455299999999994</v>
      </c>
      <c r="I10">
        <v>10.2239</v>
      </c>
      <c r="J10">
        <f>Table2244[[#This Row],[CFNM]]/Table2244[[#This Row],[CAREA]]</f>
        <v>0.11058208669486769</v>
      </c>
      <c r="K10">
        <v>2.1153300000000002</v>
      </c>
      <c r="L10">
        <f>-(Table3245[[#This Row],[time]]-2)*2</f>
        <v>-0.23066000000000031</v>
      </c>
      <c r="M10">
        <v>88.359200000000001</v>
      </c>
      <c r="N10">
        <v>3.8376199999999999E-3</v>
      </c>
      <c r="O10">
        <f>Table3245[[#This Row],[CFNM]]/Table3245[[#This Row],[CAREA]]</f>
        <v>4.3432036505536489E-5</v>
      </c>
      <c r="P10">
        <v>2.1153300000000002</v>
      </c>
      <c r="Q10">
        <f>-(Table4246[[#This Row],[time]]-2)*2</f>
        <v>-0.23066000000000031</v>
      </c>
      <c r="R10">
        <v>81.7089</v>
      </c>
      <c r="S10">
        <v>11.535600000000001</v>
      </c>
      <c r="T10">
        <f>Table4246[[#This Row],[CFNM]]/Table4246[[#This Row],[CAREA]]</f>
        <v>0.14117923506496846</v>
      </c>
      <c r="U10">
        <v>2.1153300000000002</v>
      </c>
      <c r="V10">
        <f>-(Table5247[[#This Row],[time]]-2)*2</f>
        <v>-0.23066000000000031</v>
      </c>
      <c r="W10">
        <v>83.305099999999996</v>
      </c>
      <c r="X10">
        <v>1.1610499999999999</v>
      </c>
      <c r="Y10">
        <f>Table5247[[#This Row],[CFNM]]/Table5247[[#This Row],[CAREA]]</f>
        <v>1.3937321964681634E-2</v>
      </c>
      <c r="Z10">
        <v>2.1153300000000002</v>
      </c>
      <c r="AA10">
        <f>-(Table6248[[#This Row],[time]]-2)*2</f>
        <v>-0.23066000000000031</v>
      </c>
      <c r="AB10">
        <v>84.392899999999997</v>
      </c>
      <c r="AC10">
        <v>12.763500000000001</v>
      </c>
      <c r="AD10">
        <f>Table6248[[#This Row],[CFNM]]/Table6248[[#This Row],[CAREA]]</f>
        <v>0.15123902603181075</v>
      </c>
      <c r="AE10">
        <v>2.1153300000000002</v>
      </c>
      <c r="AF10">
        <f>-(Table7249[[#This Row],[time]]-2)*2</f>
        <v>-0.23066000000000031</v>
      </c>
      <c r="AG10">
        <v>79.813599999999994</v>
      </c>
      <c r="AH10">
        <v>14.8087</v>
      </c>
      <c r="AI10">
        <f>Table7249[[#This Row],[CFNM]]/Table7249[[#This Row],[CAREA]]</f>
        <v>0.18554106067136431</v>
      </c>
      <c r="AJ10">
        <v>2.1153300000000002</v>
      </c>
      <c r="AK10">
        <f>-(Table8250[[#This Row],[time]]-2)*2</f>
        <v>-0.23066000000000031</v>
      </c>
      <c r="AL10">
        <v>82.942999999999998</v>
      </c>
      <c r="AM10">
        <v>24.668099999999999</v>
      </c>
      <c r="AN10">
        <f>Table8250[[#This Row],[CFNM]]/Table8250[[#This Row],[CAREA]]</f>
        <v>0.29741026970329021</v>
      </c>
    </row>
    <row r="11" spans="1:40" x14ac:dyDescent="0.25">
      <c r="A11">
        <v>2.16533</v>
      </c>
      <c r="B11">
        <f>-(Table1243[[#This Row],[time]]-2)*2</f>
        <v>-0.33065999999999995</v>
      </c>
      <c r="C11">
        <v>84.769900000000007</v>
      </c>
      <c r="D11">
        <v>4.3029900000000003</v>
      </c>
      <c r="E11">
        <f>Table1243[[#This Row],[CFNM]]/Table1243[[#This Row],[CAREA]]</f>
        <v>5.0760824302022299E-2</v>
      </c>
      <c r="F11">
        <v>2.16533</v>
      </c>
      <c r="G11">
        <f>-(Table2244[[#This Row],[time]]-2)*2</f>
        <v>-0.33065999999999995</v>
      </c>
      <c r="H11">
        <v>91.271299999999997</v>
      </c>
      <c r="I11">
        <v>13.0976</v>
      </c>
      <c r="J11">
        <f>Table2244[[#This Row],[CFNM]]/Table2244[[#This Row],[CAREA]]</f>
        <v>0.14350184559658952</v>
      </c>
      <c r="K11">
        <v>2.16533</v>
      </c>
      <c r="L11">
        <f>-(Table3245[[#This Row],[time]]-2)*2</f>
        <v>-0.33065999999999995</v>
      </c>
      <c r="M11">
        <v>83.576499999999996</v>
      </c>
      <c r="N11">
        <v>3.1437100000000001E-3</v>
      </c>
      <c r="O11">
        <f>Table3245[[#This Row],[CFNM]]/Table3245[[#This Row],[CAREA]]</f>
        <v>3.7614760129940832E-5</v>
      </c>
      <c r="P11">
        <v>2.16533</v>
      </c>
      <c r="Q11">
        <f>-(Table4246[[#This Row],[time]]-2)*2</f>
        <v>-0.33065999999999995</v>
      </c>
      <c r="R11">
        <v>81.007599999999996</v>
      </c>
      <c r="S11">
        <v>13.9344</v>
      </c>
      <c r="T11">
        <f>Table4246[[#This Row],[CFNM]]/Table4246[[#This Row],[CAREA]]</f>
        <v>0.17201349009228764</v>
      </c>
      <c r="U11">
        <v>2.16533</v>
      </c>
      <c r="V11">
        <f>-(Table5247[[#This Row],[time]]-2)*2</f>
        <v>-0.33065999999999995</v>
      </c>
      <c r="W11">
        <v>82.997299999999996</v>
      </c>
      <c r="X11">
        <v>0.26971800000000001</v>
      </c>
      <c r="Y11">
        <f>Table5247[[#This Row],[CFNM]]/Table5247[[#This Row],[CAREA]]</f>
        <v>3.2497201716200409E-3</v>
      </c>
      <c r="Z11">
        <v>2.16533</v>
      </c>
      <c r="AA11">
        <f>-(Table6248[[#This Row],[time]]-2)*2</f>
        <v>-0.33065999999999995</v>
      </c>
      <c r="AB11">
        <v>84.063299999999998</v>
      </c>
      <c r="AC11">
        <v>13.770200000000001</v>
      </c>
      <c r="AD11">
        <f>Table6248[[#This Row],[CFNM]]/Table6248[[#This Row],[CAREA]]</f>
        <v>0.16380751172033456</v>
      </c>
      <c r="AE11">
        <v>2.16533</v>
      </c>
      <c r="AF11">
        <f>-(Table7249[[#This Row],[time]]-2)*2</f>
        <v>-0.33065999999999995</v>
      </c>
      <c r="AG11">
        <v>80.076999999999998</v>
      </c>
      <c r="AH11">
        <v>13.2212</v>
      </c>
      <c r="AI11">
        <f>Table7249[[#This Row],[CFNM]]/Table7249[[#This Row],[CAREA]]</f>
        <v>0.16510608539280941</v>
      </c>
      <c r="AJ11">
        <v>2.16533</v>
      </c>
      <c r="AK11">
        <f>-(Table8250[[#This Row],[time]]-2)*2</f>
        <v>-0.33065999999999995</v>
      </c>
      <c r="AL11">
        <v>82.894300000000001</v>
      </c>
      <c r="AM11">
        <v>26.742699999999999</v>
      </c>
      <c r="AN11">
        <f>Table8250[[#This Row],[CFNM]]/Table8250[[#This Row],[CAREA]]</f>
        <v>0.32261204932064086</v>
      </c>
    </row>
    <row r="12" spans="1:40" x14ac:dyDescent="0.25">
      <c r="A12">
        <v>2.2246999999999999</v>
      </c>
      <c r="B12">
        <f>-(Table1243[[#This Row],[time]]-2)*2</f>
        <v>-0.4493999999999998</v>
      </c>
      <c r="C12">
        <v>82.418899999999994</v>
      </c>
      <c r="D12">
        <v>3.0833900000000001</v>
      </c>
      <c r="E12">
        <f>Table1243[[#This Row],[CFNM]]/Table1243[[#This Row],[CAREA]]</f>
        <v>3.7411200586273299E-2</v>
      </c>
      <c r="F12">
        <v>2.2246999999999999</v>
      </c>
      <c r="G12">
        <f>-(Table2244[[#This Row],[time]]-2)*2</f>
        <v>-0.4493999999999998</v>
      </c>
      <c r="H12">
        <v>90.197400000000002</v>
      </c>
      <c r="I12">
        <v>16.296900000000001</v>
      </c>
      <c r="J12">
        <f>Table2244[[#This Row],[CFNM]]/Table2244[[#This Row],[CAREA]]</f>
        <v>0.18068037437886236</v>
      </c>
      <c r="K12">
        <v>2.2246999999999999</v>
      </c>
      <c r="L12">
        <f>-(Table3245[[#This Row],[time]]-2)*2</f>
        <v>-0.4493999999999998</v>
      </c>
      <c r="M12">
        <v>77.253799999999998</v>
      </c>
      <c r="N12">
        <v>2.77195E-3</v>
      </c>
      <c r="O12">
        <f>Table3245[[#This Row],[CFNM]]/Table3245[[#This Row],[CAREA]]</f>
        <v>3.5881082872298837E-5</v>
      </c>
      <c r="P12">
        <v>2.2246999999999999</v>
      </c>
      <c r="Q12">
        <f>-(Table4246[[#This Row],[time]]-2)*2</f>
        <v>-0.4493999999999998</v>
      </c>
      <c r="R12">
        <v>80.269800000000004</v>
      </c>
      <c r="S12">
        <v>16.558</v>
      </c>
      <c r="T12">
        <f>Table4246[[#This Row],[CFNM]]/Table4246[[#This Row],[CAREA]]</f>
        <v>0.20627932298323901</v>
      </c>
      <c r="U12">
        <v>2.2246999999999999</v>
      </c>
      <c r="V12">
        <f>-(Table5247[[#This Row],[time]]-2)*2</f>
        <v>-0.4493999999999998</v>
      </c>
      <c r="W12">
        <v>82.8977</v>
      </c>
      <c r="X12">
        <v>4.9251900000000003E-3</v>
      </c>
      <c r="Y12">
        <f>Table5247[[#This Row],[CFNM]]/Table5247[[#This Row],[CAREA]]</f>
        <v>5.9412866701971225E-5</v>
      </c>
      <c r="Z12">
        <v>2.2246999999999999</v>
      </c>
      <c r="AA12">
        <f>-(Table6248[[#This Row],[time]]-2)*2</f>
        <v>-0.4493999999999998</v>
      </c>
      <c r="AB12">
        <v>83.352500000000006</v>
      </c>
      <c r="AC12">
        <v>15.767799999999999</v>
      </c>
      <c r="AD12">
        <f>Table6248[[#This Row],[CFNM]]/Table6248[[#This Row],[CAREA]]</f>
        <v>0.18917009087909778</v>
      </c>
      <c r="AE12">
        <v>2.2246999999999999</v>
      </c>
      <c r="AF12">
        <f>-(Table7249[[#This Row],[time]]-2)*2</f>
        <v>-0.4493999999999998</v>
      </c>
      <c r="AG12">
        <v>80.131399999999999</v>
      </c>
      <c r="AH12">
        <v>11.666600000000001</v>
      </c>
      <c r="AI12">
        <f>Table7249[[#This Row],[CFNM]]/Table7249[[#This Row],[CAREA]]</f>
        <v>0.1455933629014344</v>
      </c>
      <c r="AJ12">
        <v>2.2246999999999999</v>
      </c>
      <c r="AK12">
        <f>-(Table8250[[#This Row],[time]]-2)*2</f>
        <v>-0.4493999999999998</v>
      </c>
      <c r="AL12">
        <v>82.784099999999995</v>
      </c>
      <c r="AM12">
        <v>29.0428</v>
      </c>
      <c r="AN12">
        <f>Table8250[[#This Row],[CFNM]]/Table8250[[#This Row],[CAREA]]</f>
        <v>0.35082582283312858</v>
      </c>
    </row>
    <row r="13" spans="1:40" x14ac:dyDescent="0.25">
      <c r="A13">
        <v>2.2668900000000001</v>
      </c>
      <c r="B13">
        <f>-(Table1243[[#This Row],[time]]-2)*2</f>
        <v>-0.53378000000000014</v>
      </c>
      <c r="C13">
        <v>79.508799999999994</v>
      </c>
      <c r="D13">
        <v>2.2006899999999998</v>
      </c>
      <c r="E13">
        <f>Table1243[[#This Row],[CFNM]]/Table1243[[#This Row],[CAREA]]</f>
        <v>2.7678571428571427E-2</v>
      </c>
      <c r="F13">
        <v>2.2668900000000001</v>
      </c>
      <c r="G13">
        <f>-(Table2244[[#This Row],[time]]-2)*2</f>
        <v>-0.53378000000000014</v>
      </c>
      <c r="H13">
        <v>89.138599999999997</v>
      </c>
      <c r="I13">
        <v>18.918900000000001</v>
      </c>
      <c r="J13">
        <f>Table2244[[#This Row],[CFNM]]/Table2244[[#This Row],[CAREA]]</f>
        <v>0.2122413858866978</v>
      </c>
      <c r="K13">
        <v>2.2668900000000001</v>
      </c>
      <c r="L13">
        <f>-(Table3245[[#This Row],[time]]-2)*2</f>
        <v>-0.53378000000000014</v>
      </c>
      <c r="M13">
        <v>75.421899999999994</v>
      </c>
      <c r="N13">
        <v>2.4903500000000001E-3</v>
      </c>
      <c r="O13">
        <f>Table3245[[#This Row],[CFNM]]/Table3245[[#This Row],[CAREA]]</f>
        <v>3.3018924211667966E-5</v>
      </c>
      <c r="P13">
        <v>2.2668900000000001</v>
      </c>
      <c r="Q13">
        <f>-(Table4246[[#This Row],[time]]-2)*2</f>
        <v>-0.53378000000000014</v>
      </c>
      <c r="R13">
        <v>79.617500000000007</v>
      </c>
      <c r="S13">
        <v>18.712499999999999</v>
      </c>
      <c r="T13">
        <f>Table4246[[#This Row],[CFNM]]/Table4246[[#This Row],[CAREA]]</f>
        <v>0.23502998712594589</v>
      </c>
      <c r="U13">
        <v>2.2668900000000001</v>
      </c>
      <c r="V13">
        <f>-(Table5247[[#This Row],[time]]-2)*2</f>
        <v>-0.53378000000000014</v>
      </c>
      <c r="W13">
        <v>82.912899999999993</v>
      </c>
      <c r="X13">
        <v>4.6686599999999998E-3</v>
      </c>
      <c r="Y13">
        <f>Table5247[[#This Row],[CFNM]]/Table5247[[#This Row],[CAREA]]</f>
        <v>5.6308005147570525E-5</v>
      </c>
      <c r="Z13">
        <v>2.2668900000000001</v>
      </c>
      <c r="AA13">
        <f>-(Table6248[[#This Row],[time]]-2)*2</f>
        <v>-0.53378000000000014</v>
      </c>
      <c r="AB13">
        <v>82.2881</v>
      </c>
      <c r="AC13">
        <v>17.854900000000001</v>
      </c>
      <c r="AD13">
        <f>Table6248[[#This Row],[CFNM]]/Table6248[[#This Row],[CAREA]]</f>
        <v>0.21698034102136277</v>
      </c>
      <c r="AE13">
        <v>2.2668900000000001</v>
      </c>
      <c r="AF13">
        <f>-(Table7249[[#This Row],[time]]-2)*2</f>
        <v>-0.53378000000000014</v>
      </c>
      <c r="AG13">
        <v>79.887200000000007</v>
      </c>
      <c r="AH13">
        <v>10.5267</v>
      </c>
      <c r="AI13">
        <f>Table7249[[#This Row],[CFNM]]/Table7249[[#This Row],[CAREA]]</f>
        <v>0.13176954505853253</v>
      </c>
      <c r="AJ13">
        <v>2.2668900000000001</v>
      </c>
      <c r="AK13">
        <f>-(Table8250[[#This Row],[time]]-2)*2</f>
        <v>-0.53378000000000014</v>
      </c>
      <c r="AL13">
        <v>82.813199999999995</v>
      </c>
      <c r="AM13">
        <v>31.007300000000001</v>
      </c>
      <c r="AN13">
        <f>Table8250[[#This Row],[CFNM]]/Table8250[[#This Row],[CAREA]]</f>
        <v>0.3744246086372704</v>
      </c>
    </row>
    <row r="14" spans="1:40" x14ac:dyDescent="0.25">
      <c r="A14">
        <v>2.3262700000000001</v>
      </c>
      <c r="B14">
        <f>-(Table1243[[#This Row],[time]]-2)*2</f>
        <v>-0.65254000000000012</v>
      </c>
      <c r="C14">
        <v>77.412899999999993</v>
      </c>
      <c r="D14">
        <v>1.3748899999999999</v>
      </c>
      <c r="E14">
        <f>Table1243[[#This Row],[CFNM]]/Table1243[[#This Row],[CAREA]]</f>
        <v>1.7760476613070949E-2</v>
      </c>
      <c r="F14">
        <v>2.3262700000000001</v>
      </c>
      <c r="G14">
        <f>-(Table2244[[#This Row],[time]]-2)*2</f>
        <v>-0.65254000000000012</v>
      </c>
      <c r="H14">
        <v>88.040899999999993</v>
      </c>
      <c r="I14">
        <v>21.590199999999999</v>
      </c>
      <c r="J14">
        <f>Table2244[[#This Row],[CFNM]]/Table2244[[#This Row],[CAREA]]</f>
        <v>0.24522920597131562</v>
      </c>
      <c r="K14">
        <v>2.3262700000000001</v>
      </c>
      <c r="L14">
        <f>-(Table3245[[#This Row],[time]]-2)*2</f>
        <v>-0.65254000000000012</v>
      </c>
      <c r="M14">
        <v>71.437899999999999</v>
      </c>
      <c r="N14">
        <v>2.2119700000000002E-3</v>
      </c>
      <c r="O14">
        <f>Table3245[[#This Row],[CFNM]]/Table3245[[#This Row],[CAREA]]</f>
        <v>3.0963536162177225E-5</v>
      </c>
      <c r="P14">
        <v>2.3262700000000001</v>
      </c>
      <c r="Q14">
        <f>-(Table4246[[#This Row],[time]]-2)*2</f>
        <v>-0.65254000000000012</v>
      </c>
      <c r="R14">
        <v>79.118300000000005</v>
      </c>
      <c r="S14">
        <v>20.945699999999999</v>
      </c>
      <c r="T14">
        <f>Table4246[[#This Row],[CFNM]]/Table4246[[#This Row],[CAREA]]</f>
        <v>0.26473900475616891</v>
      </c>
      <c r="U14">
        <v>2.3262700000000001</v>
      </c>
      <c r="V14">
        <f>-(Table5247[[#This Row],[time]]-2)*2</f>
        <v>-0.65254000000000012</v>
      </c>
      <c r="W14">
        <v>82.743799999999993</v>
      </c>
      <c r="X14">
        <v>4.4834599999999999E-3</v>
      </c>
      <c r="Y14">
        <f>Table5247[[#This Row],[CFNM]]/Table5247[[#This Row],[CAREA]]</f>
        <v>5.4184845269373662E-5</v>
      </c>
      <c r="Z14">
        <v>2.3262700000000001</v>
      </c>
      <c r="AA14">
        <f>-(Table6248[[#This Row],[time]]-2)*2</f>
        <v>-0.65254000000000012</v>
      </c>
      <c r="AB14">
        <v>81.633799999999994</v>
      </c>
      <c r="AC14">
        <v>20.2361</v>
      </c>
      <c r="AD14">
        <f>Table6248[[#This Row],[CFNM]]/Table6248[[#This Row],[CAREA]]</f>
        <v>0.24788874216317264</v>
      </c>
      <c r="AE14">
        <v>2.3262700000000001</v>
      </c>
      <c r="AF14">
        <f>-(Table7249[[#This Row],[time]]-2)*2</f>
        <v>-0.65254000000000012</v>
      </c>
      <c r="AG14">
        <v>79.471199999999996</v>
      </c>
      <c r="AH14">
        <v>9.3607499999999995</v>
      </c>
      <c r="AI14">
        <f>Table7249[[#This Row],[CFNM]]/Table7249[[#This Row],[CAREA]]</f>
        <v>0.11778795337178752</v>
      </c>
      <c r="AJ14">
        <v>2.3262700000000001</v>
      </c>
      <c r="AK14">
        <f>-(Table8250[[#This Row],[time]]-2)*2</f>
        <v>-0.65254000000000012</v>
      </c>
      <c r="AL14">
        <v>82.837400000000002</v>
      </c>
      <c r="AM14">
        <v>33.087200000000003</v>
      </c>
      <c r="AN14">
        <f>Table8250[[#This Row],[CFNM]]/Table8250[[#This Row],[CAREA]]</f>
        <v>0.3994234488286692</v>
      </c>
    </row>
    <row r="15" spans="1:40" x14ac:dyDescent="0.25">
      <c r="A15">
        <v>2.3684599999999998</v>
      </c>
      <c r="B15">
        <f>-(Table1243[[#This Row],[time]]-2)*2</f>
        <v>-0.73691999999999958</v>
      </c>
      <c r="C15">
        <v>75.830600000000004</v>
      </c>
      <c r="D15">
        <v>0.72292500000000004</v>
      </c>
      <c r="E15">
        <f>Table1243[[#This Row],[CFNM]]/Table1243[[#This Row],[CAREA]]</f>
        <v>9.5334205452680051E-3</v>
      </c>
      <c r="F15">
        <v>2.3684599999999998</v>
      </c>
      <c r="G15">
        <f>-(Table2244[[#This Row],[time]]-2)*2</f>
        <v>-0.73691999999999958</v>
      </c>
      <c r="H15">
        <v>86.949700000000007</v>
      </c>
      <c r="I15">
        <v>24.320699999999999</v>
      </c>
      <c r="J15">
        <f>Table2244[[#This Row],[CFNM]]/Table2244[[#This Row],[CAREA]]</f>
        <v>0.27970999324897033</v>
      </c>
      <c r="K15">
        <v>2.3684599999999998</v>
      </c>
      <c r="L15">
        <f>-(Table3245[[#This Row],[time]]-2)*2</f>
        <v>-0.73691999999999958</v>
      </c>
      <c r="M15">
        <v>70.195499999999996</v>
      </c>
      <c r="N15">
        <v>1.9500400000000001E-3</v>
      </c>
      <c r="O15">
        <f>Table3245[[#This Row],[CFNM]]/Table3245[[#This Row],[CAREA]]</f>
        <v>2.7780128355806288E-5</v>
      </c>
      <c r="P15">
        <v>2.3684599999999998</v>
      </c>
      <c r="Q15">
        <f>-(Table4246[[#This Row],[time]]-2)*2</f>
        <v>-0.73691999999999958</v>
      </c>
      <c r="R15">
        <v>78.435199999999995</v>
      </c>
      <c r="S15">
        <v>23.370100000000001</v>
      </c>
      <c r="T15">
        <f>Table4246[[#This Row],[CFNM]]/Table4246[[#This Row],[CAREA]]</f>
        <v>0.29795423483334016</v>
      </c>
      <c r="U15">
        <v>2.3684599999999998</v>
      </c>
      <c r="V15">
        <f>-(Table5247[[#This Row],[time]]-2)*2</f>
        <v>-0.73691999999999958</v>
      </c>
      <c r="W15">
        <v>83.391900000000007</v>
      </c>
      <c r="X15">
        <v>4.3125799999999999E-3</v>
      </c>
      <c r="Y15">
        <f>Table5247[[#This Row],[CFNM]]/Table5247[[#This Row],[CAREA]]</f>
        <v>5.1714614968600064E-5</v>
      </c>
      <c r="Z15">
        <v>2.3684599999999998</v>
      </c>
      <c r="AA15">
        <f>-(Table6248[[#This Row],[time]]-2)*2</f>
        <v>-0.73691999999999958</v>
      </c>
      <c r="AB15">
        <v>80.716300000000004</v>
      </c>
      <c r="AC15">
        <v>22.821000000000002</v>
      </c>
      <c r="AD15">
        <f>Table6248[[#This Row],[CFNM]]/Table6248[[#This Row],[CAREA]]</f>
        <v>0.28273099733263296</v>
      </c>
      <c r="AE15">
        <v>2.3684599999999998</v>
      </c>
      <c r="AF15">
        <f>-(Table7249[[#This Row],[time]]-2)*2</f>
        <v>-0.73691999999999958</v>
      </c>
      <c r="AG15">
        <v>78.861599999999996</v>
      </c>
      <c r="AH15">
        <v>8.2409300000000005</v>
      </c>
      <c r="AI15">
        <f>Table7249[[#This Row],[CFNM]]/Table7249[[#This Row],[CAREA]]</f>
        <v>0.10449864065654262</v>
      </c>
      <c r="AJ15">
        <v>2.3684599999999998</v>
      </c>
      <c r="AK15">
        <f>-(Table8250[[#This Row],[time]]-2)*2</f>
        <v>-0.73691999999999958</v>
      </c>
      <c r="AL15">
        <v>83.033600000000007</v>
      </c>
      <c r="AM15">
        <v>35.368600000000001</v>
      </c>
      <c r="AN15">
        <f>Table8250[[#This Row],[CFNM]]/Table8250[[#This Row],[CAREA]]</f>
        <v>0.42595527593648835</v>
      </c>
    </row>
    <row r="16" spans="1:40" x14ac:dyDescent="0.25">
      <c r="A16">
        <v>2.4278300000000002</v>
      </c>
      <c r="B16">
        <f>-(Table1243[[#This Row],[time]]-2)*2</f>
        <v>-0.85566000000000031</v>
      </c>
      <c r="C16">
        <v>73.501999999999995</v>
      </c>
      <c r="D16">
        <v>8.2897999999999999E-2</v>
      </c>
      <c r="E16">
        <f>Table1243[[#This Row],[CFNM]]/Table1243[[#This Row],[CAREA]]</f>
        <v>1.1278332562379256E-3</v>
      </c>
      <c r="F16">
        <v>2.4278300000000002</v>
      </c>
      <c r="G16">
        <f>-(Table2244[[#This Row],[time]]-2)*2</f>
        <v>-0.85566000000000031</v>
      </c>
      <c r="H16">
        <v>85.370500000000007</v>
      </c>
      <c r="I16">
        <v>27.9298</v>
      </c>
      <c r="J16">
        <f>Table2244[[#This Row],[CFNM]]/Table2244[[#This Row],[CAREA]]</f>
        <v>0.3271598502995765</v>
      </c>
      <c r="K16">
        <v>2.4278300000000002</v>
      </c>
      <c r="L16">
        <f>-(Table3245[[#This Row],[time]]-2)*2</f>
        <v>-0.85566000000000031</v>
      </c>
      <c r="M16">
        <v>65.088200000000001</v>
      </c>
      <c r="N16">
        <v>1.63456E-3</v>
      </c>
      <c r="O16">
        <f>Table3245[[#This Row],[CFNM]]/Table3245[[#This Row],[CAREA]]</f>
        <v>2.5113000513149847E-5</v>
      </c>
      <c r="P16">
        <v>2.4278300000000002</v>
      </c>
      <c r="Q16">
        <f>-(Table4246[[#This Row],[time]]-2)*2</f>
        <v>-0.85566000000000031</v>
      </c>
      <c r="R16">
        <v>77.603200000000001</v>
      </c>
      <c r="S16">
        <v>26.846900000000002</v>
      </c>
      <c r="T16">
        <f>Table4246[[#This Row],[CFNM]]/Table4246[[#This Row],[CAREA]]</f>
        <v>0.34595094016741579</v>
      </c>
      <c r="U16">
        <v>2.4278300000000002</v>
      </c>
      <c r="V16">
        <f>-(Table5247[[#This Row],[time]]-2)*2</f>
        <v>-0.85566000000000031</v>
      </c>
      <c r="W16">
        <v>83.044600000000003</v>
      </c>
      <c r="X16">
        <v>4.0515300000000002E-3</v>
      </c>
      <c r="Y16">
        <f>Table5247[[#This Row],[CFNM]]/Table5247[[#This Row],[CAREA]]</f>
        <v>4.8787398578595116E-5</v>
      </c>
      <c r="Z16">
        <v>2.4278300000000002</v>
      </c>
      <c r="AA16">
        <f>-(Table6248[[#This Row],[time]]-2)*2</f>
        <v>-0.85566000000000031</v>
      </c>
      <c r="AB16">
        <v>78.992699999999999</v>
      </c>
      <c r="AC16">
        <v>26.363700000000001</v>
      </c>
      <c r="AD16">
        <f>Table6248[[#This Row],[CFNM]]/Table6248[[#This Row],[CAREA]]</f>
        <v>0.33374856157594313</v>
      </c>
      <c r="AE16">
        <v>2.4278300000000002</v>
      </c>
      <c r="AF16">
        <f>-(Table7249[[#This Row],[time]]-2)*2</f>
        <v>-0.85566000000000031</v>
      </c>
      <c r="AG16">
        <v>77.590199999999996</v>
      </c>
      <c r="AH16">
        <v>6.7629700000000001</v>
      </c>
      <c r="AI16">
        <f>Table7249[[#This Row],[CFNM]]/Table7249[[#This Row],[CAREA]]</f>
        <v>8.7162682916141473E-2</v>
      </c>
      <c r="AJ16">
        <v>2.4278300000000002</v>
      </c>
      <c r="AK16">
        <f>-(Table8250[[#This Row],[time]]-2)*2</f>
        <v>-0.85566000000000031</v>
      </c>
      <c r="AL16">
        <v>83.165300000000002</v>
      </c>
      <c r="AM16">
        <v>38.621200000000002</v>
      </c>
      <c r="AN16">
        <f>Table8250[[#This Row],[CFNM]]/Table8250[[#This Row],[CAREA]]</f>
        <v>0.46439079760428931</v>
      </c>
    </row>
    <row r="17" spans="1:40" x14ac:dyDescent="0.25">
      <c r="A17">
        <v>2.4542000000000002</v>
      </c>
      <c r="B17">
        <f>-(Table1243[[#This Row],[time]]-2)*2</f>
        <v>-0.90840000000000032</v>
      </c>
      <c r="C17">
        <v>72.391199999999998</v>
      </c>
      <c r="D17">
        <v>2.9091099999999999E-3</v>
      </c>
      <c r="E17">
        <f>Table1243[[#This Row],[CFNM]]/Table1243[[#This Row],[CAREA]]</f>
        <v>4.0185961829614648E-5</v>
      </c>
      <c r="F17">
        <v>2.4542000000000002</v>
      </c>
      <c r="G17">
        <f>-(Table2244[[#This Row],[time]]-2)*2</f>
        <v>-0.90840000000000032</v>
      </c>
      <c r="H17">
        <v>84.683400000000006</v>
      </c>
      <c r="I17">
        <v>29.582000000000001</v>
      </c>
      <c r="J17">
        <f>Table2244[[#This Row],[CFNM]]/Table2244[[#This Row],[CAREA]]</f>
        <v>0.3493246610315599</v>
      </c>
      <c r="K17">
        <v>2.4542000000000002</v>
      </c>
      <c r="L17">
        <f>-(Table3245[[#This Row],[time]]-2)*2</f>
        <v>-0.90840000000000032</v>
      </c>
      <c r="M17">
        <v>62.860100000000003</v>
      </c>
      <c r="N17">
        <v>1.5024000000000001E-3</v>
      </c>
      <c r="O17">
        <f>Table3245[[#This Row],[CFNM]]/Table3245[[#This Row],[CAREA]]</f>
        <v>2.3900693762816158E-5</v>
      </c>
      <c r="P17">
        <v>2.4542000000000002</v>
      </c>
      <c r="Q17">
        <f>-(Table4246[[#This Row],[time]]-2)*2</f>
        <v>-0.90840000000000032</v>
      </c>
      <c r="R17">
        <v>77.116299999999995</v>
      </c>
      <c r="S17">
        <v>28.560099999999998</v>
      </c>
      <c r="T17">
        <f>Table4246[[#This Row],[CFNM]]/Table4246[[#This Row],[CAREA]]</f>
        <v>0.37035101528470638</v>
      </c>
      <c r="U17">
        <v>2.4542000000000002</v>
      </c>
      <c r="V17">
        <f>-(Table5247[[#This Row],[time]]-2)*2</f>
        <v>-0.90840000000000032</v>
      </c>
      <c r="W17">
        <v>82.796700000000001</v>
      </c>
      <c r="X17">
        <v>3.9103300000000001E-3</v>
      </c>
      <c r="Y17">
        <f>Table5247[[#This Row],[CFNM]]/Table5247[[#This Row],[CAREA]]</f>
        <v>4.7228090008418208E-5</v>
      </c>
      <c r="Z17">
        <v>2.4542000000000002</v>
      </c>
      <c r="AA17">
        <f>-(Table6248[[#This Row],[time]]-2)*2</f>
        <v>-0.90840000000000032</v>
      </c>
      <c r="AB17">
        <v>78.342799999999997</v>
      </c>
      <c r="AC17">
        <v>28.107299999999999</v>
      </c>
      <c r="AD17">
        <f>Table6248[[#This Row],[CFNM]]/Table6248[[#This Row],[CAREA]]</f>
        <v>0.35877323761724117</v>
      </c>
      <c r="AE17">
        <v>2.4542000000000002</v>
      </c>
      <c r="AF17">
        <f>-(Table7249[[#This Row],[time]]-2)*2</f>
        <v>-0.90840000000000032</v>
      </c>
      <c r="AG17">
        <v>77.028000000000006</v>
      </c>
      <c r="AH17">
        <v>6.0701099999999997</v>
      </c>
      <c r="AI17">
        <f>Table7249[[#This Row],[CFNM]]/Table7249[[#This Row],[CAREA]]</f>
        <v>7.8803941423897794E-2</v>
      </c>
      <c r="AJ17">
        <v>2.4542000000000002</v>
      </c>
      <c r="AK17">
        <f>-(Table8250[[#This Row],[time]]-2)*2</f>
        <v>-0.90840000000000032</v>
      </c>
      <c r="AL17">
        <v>83.022300000000001</v>
      </c>
      <c r="AM17">
        <v>40.278300000000002</v>
      </c>
      <c r="AN17">
        <f>Table8250[[#This Row],[CFNM]]/Table8250[[#This Row],[CAREA]]</f>
        <v>0.48515037526062277</v>
      </c>
    </row>
    <row r="18" spans="1:40" x14ac:dyDescent="0.25">
      <c r="A18">
        <v>2.5061499999999999</v>
      </c>
      <c r="B18">
        <f>-(Table1243[[#This Row],[time]]-2)*2</f>
        <v>-1.0122999999999998</v>
      </c>
      <c r="C18">
        <v>69.757999999999996</v>
      </c>
      <c r="D18">
        <v>2.4738799999999999E-3</v>
      </c>
      <c r="E18">
        <f>Table1243[[#This Row],[CFNM]]/Table1243[[#This Row],[CAREA]]</f>
        <v>3.5463746093638005E-5</v>
      </c>
      <c r="F18">
        <v>2.5061499999999999</v>
      </c>
      <c r="G18">
        <f>-(Table2244[[#This Row],[time]]-2)*2</f>
        <v>-1.0122999999999998</v>
      </c>
      <c r="H18">
        <v>83.754400000000004</v>
      </c>
      <c r="I18">
        <v>31.831199999999999</v>
      </c>
      <c r="J18">
        <f>Table2244[[#This Row],[CFNM]]/Table2244[[#This Row],[CAREA]]</f>
        <v>0.38005406283132587</v>
      </c>
      <c r="K18">
        <v>2.5061499999999999</v>
      </c>
      <c r="L18">
        <f>-(Table3245[[#This Row],[time]]-2)*2</f>
        <v>-1.0122999999999998</v>
      </c>
      <c r="M18">
        <v>60.918399999999998</v>
      </c>
      <c r="N18">
        <v>1.3251999999999999E-3</v>
      </c>
      <c r="O18">
        <f>Table3245[[#This Row],[CFNM]]/Table3245[[#This Row],[CAREA]]</f>
        <v>2.1753690182276619E-5</v>
      </c>
      <c r="P18">
        <v>2.5061499999999999</v>
      </c>
      <c r="Q18">
        <f>-(Table4246[[#This Row],[time]]-2)*2</f>
        <v>-1.0122999999999998</v>
      </c>
      <c r="R18">
        <v>76.380600000000001</v>
      </c>
      <c r="S18">
        <v>30.913</v>
      </c>
      <c r="T18">
        <f>Table4246[[#This Row],[CFNM]]/Table4246[[#This Row],[CAREA]]</f>
        <v>0.40472318887256714</v>
      </c>
      <c r="U18">
        <v>2.5061499999999999</v>
      </c>
      <c r="V18">
        <f>-(Table5247[[#This Row],[time]]-2)*2</f>
        <v>-1.0122999999999998</v>
      </c>
      <c r="W18">
        <v>82.421199999999999</v>
      </c>
      <c r="X18">
        <v>3.7032300000000001E-3</v>
      </c>
      <c r="Y18">
        <f>Table5247[[#This Row],[CFNM]]/Table5247[[#This Row],[CAREA]]</f>
        <v>4.4930551848310875E-5</v>
      </c>
      <c r="Z18">
        <v>2.5061499999999999</v>
      </c>
      <c r="AA18">
        <f>-(Table6248[[#This Row],[time]]-2)*2</f>
        <v>-1.0122999999999998</v>
      </c>
      <c r="AB18">
        <v>77.346699999999998</v>
      </c>
      <c r="AC18">
        <v>30.5458</v>
      </c>
      <c r="AD18">
        <f>Table6248[[#This Row],[CFNM]]/Table6248[[#This Row],[CAREA]]</f>
        <v>0.39492053313198883</v>
      </c>
      <c r="AE18">
        <v>2.5061499999999999</v>
      </c>
      <c r="AF18">
        <f>-(Table7249[[#This Row],[time]]-2)*2</f>
        <v>-1.0122999999999998</v>
      </c>
      <c r="AG18">
        <v>76.251000000000005</v>
      </c>
      <c r="AH18">
        <v>5.17971</v>
      </c>
      <c r="AI18">
        <f>Table7249[[#This Row],[CFNM]]/Table7249[[#This Row],[CAREA]]</f>
        <v>6.7929732069087617E-2</v>
      </c>
      <c r="AJ18">
        <v>2.5061499999999999</v>
      </c>
      <c r="AK18">
        <f>-(Table8250[[#This Row],[time]]-2)*2</f>
        <v>-1.0122999999999998</v>
      </c>
      <c r="AL18">
        <v>83.1066</v>
      </c>
      <c r="AM18">
        <v>42.605400000000003</v>
      </c>
      <c r="AN18">
        <f>Table8250[[#This Row],[CFNM]]/Table8250[[#This Row],[CAREA]]</f>
        <v>0.5126596443603757</v>
      </c>
    </row>
    <row r="19" spans="1:40" x14ac:dyDescent="0.25">
      <c r="A19">
        <v>2.5507599999999999</v>
      </c>
      <c r="B19">
        <f>-(Table1243[[#This Row],[time]]-2)*2</f>
        <v>-1.1015199999999998</v>
      </c>
      <c r="C19">
        <v>67.746799999999993</v>
      </c>
      <c r="D19">
        <v>2.29999E-3</v>
      </c>
      <c r="E19">
        <f>Table1243[[#This Row],[CFNM]]/Table1243[[#This Row],[CAREA]]</f>
        <v>3.3949795414691174E-5</v>
      </c>
      <c r="F19">
        <v>2.5507599999999999</v>
      </c>
      <c r="G19">
        <f>-(Table2244[[#This Row],[time]]-2)*2</f>
        <v>-1.1015199999999998</v>
      </c>
      <c r="H19">
        <v>82.997699999999995</v>
      </c>
      <c r="I19">
        <v>33.770000000000003</v>
      </c>
      <c r="J19">
        <f>Table2244[[#This Row],[CFNM]]/Table2244[[#This Row],[CAREA]]</f>
        <v>0.40687874483268821</v>
      </c>
      <c r="K19">
        <v>2.5507599999999999</v>
      </c>
      <c r="L19">
        <f>-(Table3245[[#This Row],[time]]-2)*2</f>
        <v>-1.1015199999999998</v>
      </c>
      <c r="M19">
        <v>57.372300000000003</v>
      </c>
      <c r="N19">
        <v>1.1863399999999999E-3</v>
      </c>
      <c r="O19">
        <f>Table3245[[#This Row],[CFNM]]/Table3245[[#This Row],[CAREA]]</f>
        <v>2.0677922969795527E-5</v>
      </c>
      <c r="P19">
        <v>2.5507599999999999</v>
      </c>
      <c r="Q19">
        <f>-(Table4246[[#This Row],[time]]-2)*2</f>
        <v>-1.1015199999999998</v>
      </c>
      <c r="R19">
        <v>75.717799999999997</v>
      </c>
      <c r="S19">
        <v>32.965600000000002</v>
      </c>
      <c r="T19">
        <f>Table4246[[#This Row],[CFNM]]/Table4246[[#This Row],[CAREA]]</f>
        <v>0.4353745090322223</v>
      </c>
      <c r="U19">
        <v>2.5507599999999999</v>
      </c>
      <c r="V19">
        <f>-(Table5247[[#This Row],[time]]-2)*2</f>
        <v>-1.1015199999999998</v>
      </c>
      <c r="W19">
        <v>81.9268</v>
      </c>
      <c r="X19">
        <v>3.5257499999999998E-3</v>
      </c>
      <c r="Y19">
        <f>Table5247[[#This Row],[CFNM]]/Table5247[[#This Row],[CAREA]]</f>
        <v>4.3035368157916578E-5</v>
      </c>
      <c r="Z19">
        <v>2.5507599999999999</v>
      </c>
      <c r="AA19">
        <f>-(Table6248[[#This Row],[time]]-2)*2</f>
        <v>-1.1015199999999998</v>
      </c>
      <c r="AB19">
        <v>76.748999999999995</v>
      </c>
      <c r="AC19">
        <v>32.655500000000004</v>
      </c>
      <c r="AD19">
        <f>Table6248[[#This Row],[CFNM]]/Table6248[[#This Row],[CAREA]]</f>
        <v>0.42548437113187149</v>
      </c>
      <c r="AE19">
        <v>2.5507599999999999</v>
      </c>
      <c r="AF19">
        <f>-(Table7249[[#This Row],[time]]-2)*2</f>
        <v>-1.1015199999999998</v>
      </c>
      <c r="AG19">
        <v>75.591200000000001</v>
      </c>
      <c r="AH19">
        <v>4.4484700000000004</v>
      </c>
      <c r="AI19">
        <f>Table7249[[#This Row],[CFNM]]/Table7249[[#This Row],[CAREA]]</f>
        <v>5.8849045920689187E-2</v>
      </c>
      <c r="AJ19">
        <v>2.5507599999999999</v>
      </c>
      <c r="AK19">
        <f>-(Table8250[[#This Row],[time]]-2)*2</f>
        <v>-1.1015199999999998</v>
      </c>
      <c r="AL19">
        <v>83.116500000000002</v>
      </c>
      <c r="AM19">
        <v>44.696399999999997</v>
      </c>
      <c r="AN19">
        <f>Table8250[[#This Row],[CFNM]]/Table8250[[#This Row],[CAREA]]</f>
        <v>0.53775604121925247</v>
      </c>
    </row>
    <row r="20" spans="1:40" x14ac:dyDescent="0.25">
      <c r="A20">
        <v>2.60453</v>
      </c>
      <c r="B20">
        <f>-(Table1243[[#This Row],[time]]-2)*2</f>
        <v>-1.20906</v>
      </c>
      <c r="C20">
        <v>65.611099999999993</v>
      </c>
      <c r="D20">
        <v>2.0873900000000002E-3</v>
      </c>
      <c r="E20">
        <f>Table1243[[#This Row],[CFNM]]/Table1243[[#This Row],[CAREA]]</f>
        <v>3.1814586251411732E-5</v>
      </c>
      <c r="F20">
        <v>2.60453</v>
      </c>
      <c r="G20">
        <f>-(Table2244[[#This Row],[time]]-2)*2</f>
        <v>-1.20906</v>
      </c>
      <c r="H20">
        <v>82.033900000000003</v>
      </c>
      <c r="I20">
        <v>36.049999999999997</v>
      </c>
      <c r="J20">
        <f>Table2244[[#This Row],[CFNM]]/Table2244[[#This Row],[CAREA]]</f>
        <v>0.43945247025924644</v>
      </c>
      <c r="K20">
        <v>2.60453</v>
      </c>
      <c r="L20">
        <f>-(Table3245[[#This Row],[time]]-2)*2</f>
        <v>-1.20906</v>
      </c>
      <c r="M20">
        <v>56.420400000000001</v>
      </c>
      <c r="N20">
        <v>1.03085E-3</v>
      </c>
      <c r="O20">
        <f>Table3245[[#This Row],[CFNM]]/Table3245[[#This Row],[CAREA]]</f>
        <v>1.8270873655628107E-5</v>
      </c>
      <c r="P20">
        <v>2.60453</v>
      </c>
      <c r="Q20">
        <f>-(Table4246[[#This Row],[time]]-2)*2</f>
        <v>-1.20906</v>
      </c>
      <c r="R20">
        <v>74.921899999999994</v>
      </c>
      <c r="S20">
        <v>35.465400000000002</v>
      </c>
      <c r="T20">
        <f>Table4246[[#This Row],[CFNM]]/Table4246[[#This Row],[CAREA]]</f>
        <v>0.47336493068114938</v>
      </c>
      <c r="U20">
        <v>2.60453</v>
      </c>
      <c r="V20">
        <f>-(Table5247[[#This Row],[time]]-2)*2</f>
        <v>-1.20906</v>
      </c>
      <c r="W20">
        <v>81.239999999999995</v>
      </c>
      <c r="X20">
        <v>3.3125899999999998E-3</v>
      </c>
      <c r="Y20">
        <f>Table5247[[#This Row],[CFNM]]/Table5247[[#This Row],[CAREA]]</f>
        <v>4.0775356967011324E-5</v>
      </c>
      <c r="Z20">
        <v>2.60453</v>
      </c>
      <c r="AA20">
        <f>-(Table6248[[#This Row],[time]]-2)*2</f>
        <v>-1.20906</v>
      </c>
      <c r="AB20">
        <v>75.653099999999995</v>
      </c>
      <c r="AC20">
        <v>35.1952</v>
      </c>
      <c r="AD20">
        <f>Table6248[[#This Row],[CFNM]]/Table6248[[#This Row],[CAREA]]</f>
        <v>0.46521821313336797</v>
      </c>
      <c r="AE20">
        <v>2.60453</v>
      </c>
      <c r="AF20">
        <f>-(Table7249[[#This Row],[time]]-2)*2</f>
        <v>-1.20906</v>
      </c>
      <c r="AG20">
        <v>74.674499999999995</v>
      </c>
      <c r="AH20">
        <v>3.6371600000000002</v>
      </c>
      <c r="AI20">
        <f>Table7249[[#This Row],[CFNM]]/Table7249[[#This Row],[CAREA]]</f>
        <v>4.8706854414827021E-2</v>
      </c>
      <c r="AJ20">
        <v>2.60453</v>
      </c>
      <c r="AK20">
        <f>-(Table8250[[#This Row],[time]]-2)*2</f>
        <v>-1.20906</v>
      </c>
      <c r="AL20">
        <v>82.410600000000002</v>
      </c>
      <c r="AM20">
        <v>47.2791</v>
      </c>
      <c r="AN20">
        <f>Table8250[[#This Row],[CFNM]]/Table8250[[#This Row],[CAREA]]</f>
        <v>0.57370168400666899</v>
      </c>
    </row>
    <row r="21" spans="1:40" x14ac:dyDescent="0.25">
      <c r="A21">
        <v>2.65273</v>
      </c>
      <c r="B21">
        <f>-(Table1243[[#This Row],[time]]-2)*2</f>
        <v>-1.3054600000000001</v>
      </c>
      <c r="C21">
        <v>62.667000000000002</v>
      </c>
      <c r="D21">
        <v>1.93768E-3</v>
      </c>
      <c r="E21">
        <f>Table1243[[#This Row],[CFNM]]/Table1243[[#This Row],[CAREA]]</f>
        <v>3.0920261062441157E-5</v>
      </c>
      <c r="F21">
        <v>2.65273</v>
      </c>
      <c r="G21">
        <f>-(Table2244[[#This Row],[time]]-2)*2</f>
        <v>-1.3054600000000001</v>
      </c>
      <c r="H21">
        <v>81.379300000000001</v>
      </c>
      <c r="I21">
        <v>37.596600000000002</v>
      </c>
      <c r="J21">
        <f>Table2244[[#This Row],[CFNM]]/Table2244[[#This Row],[CAREA]]</f>
        <v>0.46199217737188697</v>
      </c>
      <c r="K21">
        <v>2.65273</v>
      </c>
      <c r="L21">
        <f>-(Table3245[[#This Row],[time]]-2)*2</f>
        <v>-1.3054600000000001</v>
      </c>
      <c r="M21">
        <v>51.997399999999999</v>
      </c>
      <c r="N21">
        <v>9.2724099999999998E-4</v>
      </c>
      <c r="O21">
        <f>Table3245[[#This Row],[CFNM]]/Table3245[[#This Row],[CAREA]]</f>
        <v>1.7832449314773431E-5</v>
      </c>
      <c r="P21">
        <v>2.65273</v>
      </c>
      <c r="Q21">
        <f>-(Table4246[[#This Row],[time]]-2)*2</f>
        <v>-1.3054600000000001</v>
      </c>
      <c r="R21">
        <v>74.333399999999997</v>
      </c>
      <c r="S21">
        <v>37.190199999999997</v>
      </c>
      <c r="T21">
        <f>Table4246[[#This Row],[CFNM]]/Table4246[[#This Row],[CAREA]]</f>
        <v>0.50031614321422135</v>
      </c>
      <c r="U21">
        <v>2.65273</v>
      </c>
      <c r="V21">
        <f>-(Table5247[[#This Row],[time]]-2)*2</f>
        <v>-1.3054600000000001</v>
      </c>
      <c r="W21">
        <v>80.456699999999998</v>
      </c>
      <c r="X21">
        <v>3.1648499999999999E-3</v>
      </c>
      <c r="Y21">
        <f>Table5247[[#This Row],[CFNM]]/Table5247[[#This Row],[CAREA]]</f>
        <v>3.933606523757499E-5</v>
      </c>
      <c r="Z21">
        <v>2.65273</v>
      </c>
      <c r="AA21">
        <f>-(Table6248[[#This Row],[time]]-2)*2</f>
        <v>-1.3054600000000001</v>
      </c>
      <c r="AB21">
        <v>74.489000000000004</v>
      </c>
      <c r="AC21">
        <v>36.980800000000002</v>
      </c>
      <c r="AD21">
        <f>Table6248[[#This Row],[CFNM]]/Table6248[[#This Row],[CAREA]]</f>
        <v>0.49645987998227925</v>
      </c>
      <c r="AE21">
        <v>2.65273</v>
      </c>
      <c r="AF21">
        <f>-(Table7249[[#This Row],[time]]-2)*2</f>
        <v>-1.3054600000000001</v>
      </c>
      <c r="AG21">
        <v>74.087599999999995</v>
      </c>
      <c r="AH21">
        <v>3.0888499999999999</v>
      </c>
      <c r="AI21">
        <f>Table7249[[#This Row],[CFNM]]/Table7249[[#This Row],[CAREA]]</f>
        <v>4.1691862065986754E-2</v>
      </c>
      <c r="AJ21">
        <v>2.65273</v>
      </c>
      <c r="AK21">
        <f>-(Table8250[[#This Row],[time]]-2)*2</f>
        <v>-1.3054600000000001</v>
      </c>
      <c r="AL21">
        <v>82.287499999999994</v>
      </c>
      <c r="AM21">
        <v>49.054600000000001</v>
      </c>
      <c r="AN21">
        <f>Table8250[[#This Row],[CFNM]]/Table8250[[#This Row],[CAREA]]</f>
        <v>0.5961367157830777</v>
      </c>
    </row>
    <row r="22" spans="1:40" x14ac:dyDescent="0.25">
      <c r="A22">
        <v>2.7006199999999998</v>
      </c>
      <c r="B22">
        <f>-(Table1243[[#This Row],[time]]-2)*2</f>
        <v>-1.4012399999999996</v>
      </c>
      <c r="C22">
        <v>60.2059</v>
      </c>
      <c r="D22">
        <v>1.7909600000000001E-3</v>
      </c>
      <c r="E22">
        <f>Table1243[[#This Row],[CFNM]]/Table1243[[#This Row],[CAREA]]</f>
        <v>2.9747250684733556E-5</v>
      </c>
      <c r="F22">
        <v>2.7006199999999998</v>
      </c>
      <c r="G22">
        <f>-(Table2244[[#This Row],[time]]-2)*2</f>
        <v>-1.4012399999999996</v>
      </c>
      <c r="H22">
        <v>80.768500000000003</v>
      </c>
      <c r="I22">
        <v>39.108499999999999</v>
      </c>
      <c r="J22">
        <f>Table2244[[#This Row],[CFNM]]/Table2244[[#This Row],[CAREA]]</f>
        <v>0.48420485709156413</v>
      </c>
      <c r="K22">
        <v>2.7006199999999998</v>
      </c>
      <c r="L22">
        <f>-(Table3245[[#This Row],[time]]-2)*2</f>
        <v>-1.4012399999999996</v>
      </c>
      <c r="M22">
        <v>50.151299999999999</v>
      </c>
      <c r="N22">
        <v>8.2853400000000002E-4</v>
      </c>
      <c r="O22">
        <f>Table3245[[#This Row],[CFNM]]/Table3245[[#This Row],[CAREA]]</f>
        <v>1.6520688396910948E-5</v>
      </c>
      <c r="P22">
        <v>2.7006199999999998</v>
      </c>
      <c r="Q22">
        <f>-(Table4246[[#This Row],[time]]-2)*2</f>
        <v>-1.4012399999999996</v>
      </c>
      <c r="R22">
        <v>73.749899999999997</v>
      </c>
      <c r="S22">
        <v>38.846200000000003</v>
      </c>
      <c r="T22">
        <f>Table4246[[#This Row],[CFNM]]/Table4246[[#This Row],[CAREA]]</f>
        <v>0.52672884980183032</v>
      </c>
      <c r="U22">
        <v>2.7006199999999998</v>
      </c>
      <c r="V22">
        <f>-(Table5247[[#This Row],[time]]-2)*2</f>
        <v>-1.4012399999999996</v>
      </c>
      <c r="W22">
        <v>80.129599999999996</v>
      </c>
      <c r="X22">
        <v>3.0152299999999998E-3</v>
      </c>
      <c r="Y22">
        <f>Table5247[[#This Row],[CFNM]]/Table5247[[#This Row],[CAREA]]</f>
        <v>3.7629415347137639E-5</v>
      </c>
      <c r="Z22">
        <v>2.7006199999999998</v>
      </c>
      <c r="AA22">
        <f>-(Table6248[[#This Row],[time]]-2)*2</f>
        <v>-1.4012399999999996</v>
      </c>
      <c r="AB22">
        <v>73.939800000000005</v>
      </c>
      <c r="AC22">
        <v>38.732300000000002</v>
      </c>
      <c r="AD22">
        <f>Table6248[[#This Row],[CFNM]]/Table6248[[#This Row],[CAREA]]</f>
        <v>0.5238356068044544</v>
      </c>
      <c r="AE22">
        <v>2.7006199999999998</v>
      </c>
      <c r="AF22">
        <f>-(Table7249[[#This Row],[time]]-2)*2</f>
        <v>-1.4012399999999996</v>
      </c>
      <c r="AG22">
        <v>73.551500000000004</v>
      </c>
      <c r="AH22">
        <v>2.54901</v>
      </c>
      <c r="AI22">
        <f>Table7249[[#This Row],[CFNM]]/Table7249[[#This Row],[CAREA]]</f>
        <v>3.4656125299959893E-2</v>
      </c>
      <c r="AJ22">
        <v>2.7006199999999998</v>
      </c>
      <c r="AK22">
        <f>-(Table8250[[#This Row],[time]]-2)*2</f>
        <v>-1.4012399999999996</v>
      </c>
      <c r="AL22">
        <v>82.164699999999996</v>
      </c>
      <c r="AM22">
        <v>50.795099999999998</v>
      </c>
      <c r="AN22">
        <f>Table8250[[#This Row],[CFNM]]/Table8250[[#This Row],[CAREA]]</f>
        <v>0.61821074013536226</v>
      </c>
    </row>
    <row r="23" spans="1:40" x14ac:dyDescent="0.25">
      <c r="A23">
        <v>2.75176</v>
      </c>
      <c r="B23">
        <f>-(Table1243[[#This Row],[time]]-2)*2</f>
        <v>-1.50352</v>
      </c>
      <c r="C23">
        <v>55.223100000000002</v>
      </c>
      <c r="D23">
        <v>1.52053E-3</v>
      </c>
      <c r="E23">
        <f>Table1243[[#This Row],[CFNM]]/Table1243[[#This Row],[CAREA]]</f>
        <v>2.7534310822825954E-5</v>
      </c>
      <c r="F23">
        <v>2.75176</v>
      </c>
      <c r="G23">
        <f>-(Table2244[[#This Row],[time]]-2)*2</f>
        <v>-1.50352</v>
      </c>
      <c r="H23">
        <v>79.572500000000005</v>
      </c>
      <c r="I23">
        <v>42.043300000000002</v>
      </c>
      <c r="J23">
        <f>Table2244[[#This Row],[CFNM]]/Table2244[[#This Row],[CAREA]]</f>
        <v>0.52836469885953063</v>
      </c>
      <c r="K23">
        <v>2.75176</v>
      </c>
      <c r="L23">
        <f>-(Table3245[[#This Row],[time]]-2)*2</f>
        <v>-1.50352</v>
      </c>
      <c r="M23">
        <v>46.3566</v>
      </c>
      <c r="N23">
        <v>6.3767399999999997E-4</v>
      </c>
      <c r="O23">
        <f>Table3245[[#This Row],[CFNM]]/Table3245[[#This Row],[CAREA]]</f>
        <v>1.3755840592278121E-5</v>
      </c>
      <c r="P23">
        <v>2.75176</v>
      </c>
      <c r="Q23">
        <f>-(Table4246[[#This Row],[time]]-2)*2</f>
        <v>-1.50352</v>
      </c>
      <c r="R23">
        <v>72.614400000000003</v>
      </c>
      <c r="S23">
        <v>42.0381</v>
      </c>
      <c r="T23">
        <f>Table4246[[#This Row],[CFNM]]/Table4246[[#This Row],[CAREA]]</f>
        <v>0.57892236250661022</v>
      </c>
      <c r="U23">
        <v>2.75176</v>
      </c>
      <c r="V23">
        <f>-(Table5247[[#This Row],[time]]-2)*2</f>
        <v>-1.50352</v>
      </c>
      <c r="W23">
        <v>79.323099999999997</v>
      </c>
      <c r="X23">
        <v>2.7098000000000001E-3</v>
      </c>
      <c r="Y23">
        <f>Table5247[[#This Row],[CFNM]]/Table5247[[#This Row],[CAREA]]</f>
        <v>3.4161549409944901E-5</v>
      </c>
      <c r="Z23">
        <v>2.75176</v>
      </c>
      <c r="AA23">
        <f>-(Table6248[[#This Row],[time]]-2)*2</f>
        <v>-1.50352</v>
      </c>
      <c r="AB23">
        <v>72.467600000000004</v>
      </c>
      <c r="AC23">
        <v>42.234699999999997</v>
      </c>
      <c r="AD23">
        <f>Table6248[[#This Row],[CFNM]]/Table6248[[#This Row],[CAREA]]</f>
        <v>0.58280804111078599</v>
      </c>
      <c r="AE23">
        <v>2.75176</v>
      </c>
      <c r="AF23">
        <f>-(Table7249[[#This Row],[time]]-2)*2</f>
        <v>-1.50352</v>
      </c>
      <c r="AG23">
        <v>72.496200000000002</v>
      </c>
      <c r="AH23">
        <v>1.74848</v>
      </c>
      <c r="AI23">
        <f>Table7249[[#This Row],[CFNM]]/Table7249[[#This Row],[CAREA]]</f>
        <v>2.4118229645140023E-2</v>
      </c>
      <c r="AJ23">
        <v>2.75176</v>
      </c>
      <c r="AK23">
        <f>-(Table8250[[#This Row],[time]]-2)*2</f>
        <v>-1.50352</v>
      </c>
      <c r="AL23">
        <v>82.103800000000007</v>
      </c>
      <c r="AM23">
        <v>54.141800000000003</v>
      </c>
      <c r="AN23">
        <f>Table8250[[#This Row],[CFNM]]/Table8250[[#This Row],[CAREA]]</f>
        <v>0.65943111037491564</v>
      </c>
    </row>
    <row r="24" spans="1:40" x14ac:dyDescent="0.25">
      <c r="A24">
        <v>2.80444</v>
      </c>
      <c r="B24">
        <f>-(Table1243[[#This Row],[time]]-2)*2</f>
        <v>-1.6088800000000001</v>
      </c>
      <c r="C24">
        <v>51.540700000000001</v>
      </c>
      <c r="D24">
        <v>1.3946099999999999E-3</v>
      </c>
      <c r="E24">
        <f>Table1243[[#This Row],[CFNM]]/Table1243[[#This Row],[CAREA]]</f>
        <v>2.7058421790934154E-5</v>
      </c>
      <c r="F24">
        <v>2.80444</v>
      </c>
      <c r="G24">
        <f>-(Table2244[[#This Row],[time]]-2)*2</f>
        <v>-1.6088800000000001</v>
      </c>
      <c r="H24">
        <v>78.970699999999994</v>
      </c>
      <c r="I24">
        <v>43.486499999999999</v>
      </c>
      <c r="J24">
        <f>Table2244[[#This Row],[CFNM]]/Table2244[[#This Row],[CAREA]]</f>
        <v>0.55066625976469763</v>
      </c>
      <c r="K24">
        <v>2.80444</v>
      </c>
      <c r="L24">
        <f>-(Table3245[[#This Row],[time]]-2)*2</f>
        <v>-1.6088800000000001</v>
      </c>
      <c r="M24">
        <v>41.682899999999997</v>
      </c>
      <c r="N24">
        <v>5.5659100000000005E-4</v>
      </c>
      <c r="O24">
        <f>Table3245[[#This Row],[CFNM]]/Table3245[[#This Row],[CAREA]]</f>
        <v>1.3352981678338122E-5</v>
      </c>
      <c r="P24">
        <v>2.80444</v>
      </c>
      <c r="Q24">
        <f>-(Table4246[[#This Row],[time]]-2)*2</f>
        <v>-1.6088800000000001</v>
      </c>
      <c r="R24">
        <v>72.073599999999999</v>
      </c>
      <c r="S24">
        <v>43.552900000000001</v>
      </c>
      <c r="T24">
        <f>Table4246[[#This Row],[CFNM]]/Table4246[[#This Row],[CAREA]]</f>
        <v>0.60428367668605432</v>
      </c>
      <c r="U24">
        <v>2.80444</v>
      </c>
      <c r="V24">
        <f>-(Table5247[[#This Row],[time]]-2)*2</f>
        <v>-1.6088800000000001</v>
      </c>
      <c r="W24">
        <v>78.845399999999998</v>
      </c>
      <c r="X24">
        <v>2.5509700000000001E-3</v>
      </c>
      <c r="Y24">
        <f>Table5247[[#This Row],[CFNM]]/Table5247[[#This Row],[CAREA]]</f>
        <v>3.2354075190182309E-5</v>
      </c>
      <c r="Z24">
        <v>2.80444</v>
      </c>
      <c r="AA24">
        <f>-(Table6248[[#This Row],[time]]-2)*2</f>
        <v>-1.6088800000000001</v>
      </c>
      <c r="AB24">
        <v>72.0946</v>
      </c>
      <c r="AC24">
        <v>43.9771</v>
      </c>
      <c r="AD24">
        <f>Table6248[[#This Row],[CFNM]]/Table6248[[#This Row],[CAREA]]</f>
        <v>0.60999159437738748</v>
      </c>
      <c r="AE24">
        <v>2.80444</v>
      </c>
      <c r="AF24">
        <f>-(Table7249[[#This Row],[time]]-2)*2</f>
        <v>-1.6088800000000001</v>
      </c>
      <c r="AG24">
        <v>72.019800000000004</v>
      </c>
      <c r="AH24">
        <v>1.4156500000000001</v>
      </c>
      <c r="AI24">
        <f>Table7249[[#This Row],[CFNM]]/Table7249[[#This Row],[CAREA]]</f>
        <v>1.9656400045543032E-2</v>
      </c>
      <c r="AJ24">
        <v>2.80444</v>
      </c>
      <c r="AK24">
        <f>-(Table8250[[#This Row],[time]]-2)*2</f>
        <v>-1.6088800000000001</v>
      </c>
      <c r="AL24">
        <v>81.880099999999999</v>
      </c>
      <c r="AM24">
        <v>55.769300000000001</v>
      </c>
      <c r="AN24">
        <f>Table8250[[#This Row],[CFNM]]/Table8250[[#This Row],[CAREA]]</f>
        <v>0.68110932937307112</v>
      </c>
    </row>
    <row r="25" spans="1:40" x14ac:dyDescent="0.25">
      <c r="A25">
        <v>2.8583699999999999</v>
      </c>
      <c r="B25">
        <f>-(Table1243[[#This Row],[time]]-2)*2</f>
        <v>-1.7167399999999997</v>
      </c>
      <c r="C25">
        <v>48.771599999999999</v>
      </c>
      <c r="D25">
        <v>1.2729799999999999E-3</v>
      </c>
      <c r="E25">
        <f>Table1243[[#This Row],[CFNM]]/Table1243[[#This Row],[CAREA]]</f>
        <v>2.6100845574063592E-5</v>
      </c>
      <c r="F25">
        <v>2.8583699999999999</v>
      </c>
      <c r="G25">
        <f>-(Table2244[[#This Row],[time]]-2)*2</f>
        <v>-1.7167399999999997</v>
      </c>
      <c r="H25">
        <v>78.393699999999995</v>
      </c>
      <c r="I25">
        <v>44.918300000000002</v>
      </c>
      <c r="J25">
        <f>Table2244[[#This Row],[CFNM]]/Table2244[[#This Row],[CAREA]]</f>
        <v>0.57298354332044543</v>
      </c>
      <c r="K25">
        <v>2.8583699999999999</v>
      </c>
      <c r="L25">
        <f>-(Table3245[[#This Row],[time]]-2)*2</f>
        <v>-1.7167399999999997</v>
      </c>
      <c r="M25">
        <v>37.502099999999999</v>
      </c>
      <c r="N25">
        <v>4.81108E-4</v>
      </c>
      <c r="O25">
        <f>Table3245[[#This Row],[CFNM]]/Table3245[[#This Row],[CAREA]]</f>
        <v>1.282882825228454E-5</v>
      </c>
      <c r="P25">
        <v>2.8583699999999999</v>
      </c>
      <c r="Q25">
        <f>-(Table4246[[#This Row],[time]]-2)*2</f>
        <v>-1.7167399999999997</v>
      </c>
      <c r="R25">
        <v>71.500399999999999</v>
      </c>
      <c r="S25">
        <v>45.028300000000002</v>
      </c>
      <c r="T25">
        <f>Table4246[[#This Row],[CFNM]]/Table4246[[#This Row],[CAREA]]</f>
        <v>0.62976291041728438</v>
      </c>
      <c r="U25">
        <v>2.8583699999999999</v>
      </c>
      <c r="V25">
        <f>-(Table5247[[#This Row],[time]]-2)*2</f>
        <v>-1.7167399999999997</v>
      </c>
      <c r="W25">
        <v>77.884399999999999</v>
      </c>
      <c r="X25">
        <v>2.3979499999999998E-3</v>
      </c>
      <c r="Y25">
        <f>Table5247[[#This Row],[CFNM]]/Table5247[[#This Row],[CAREA]]</f>
        <v>3.0788578970885053E-5</v>
      </c>
      <c r="Z25">
        <v>2.8583699999999999</v>
      </c>
      <c r="AA25">
        <f>-(Table6248[[#This Row],[time]]-2)*2</f>
        <v>-1.7167399999999997</v>
      </c>
      <c r="AB25">
        <v>71.0244</v>
      </c>
      <c r="AC25">
        <v>45.694899999999997</v>
      </c>
      <c r="AD25">
        <f>Table6248[[#This Row],[CFNM]]/Table6248[[#This Row],[CAREA]]</f>
        <v>0.64336903937238465</v>
      </c>
      <c r="AE25">
        <v>2.8583699999999999</v>
      </c>
      <c r="AF25">
        <f>-(Table7249[[#This Row],[time]]-2)*2</f>
        <v>-1.7167399999999997</v>
      </c>
      <c r="AG25">
        <v>71.568899999999999</v>
      </c>
      <c r="AH25">
        <v>1.0926199999999999</v>
      </c>
      <c r="AI25">
        <f>Table7249[[#This Row],[CFNM]]/Table7249[[#This Row],[CAREA]]</f>
        <v>1.5266687066588978E-2</v>
      </c>
      <c r="AJ25">
        <v>2.8583699999999999</v>
      </c>
      <c r="AK25">
        <f>-(Table8250[[#This Row],[time]]-2)*2</f>
        <v>-1.7167399999999997</v>
      </c>
      <c r="AL25">
        <v>81.957099999999997</v>
      </c>
      <c r="AM25">
        <v>57.369100000000003</v>
      </c>
      <c r="AN25">
        <f>Table8250[[#This Row],[CFNM]]/Table8250[[#This Row],[CAREA]]</f>
        <v>0.69998938469028316</v>
      </c>
    </row>
    <row r="26" spans="1:40" x14ac:dyDescent="0.25">
      <c r="A26">
        <v>2.9134199999999999</v>
      </c>
      <c r="B26">
        <f>-(Table1243[[#This Row],[time]]-2)*2</f>
        <v>-1.8268399999999998</v>
      </c>
      <c r="C26">
        <v>44.392899999999997</v>
      </c>
      <c r="D26">
        <v>1.17377E-3</v>
      </c>
      <c r="E26">
        <f>Table1243[[#This Row],[CFNM]]/Table1243[[#This Row],[CAREA]]</f>
        <v>2.6440489357532399E-5</v>
      </c>
      <c r="F26">
        <v>2.9134199999999999</v>
      </c>
      <c r="G26">
        <f>-(Table2244[[#This Row],[time]]-2)*2</f>
        <v>-1.8268399999999998</v>
      </c>
      <c r="H26">
        <v>77.858400000000003</v>
      </c>
      <c r="I26">
        <v>46.16</v>
      </c>
      <c r="J26">
        <f>Table2244[[#This Row],[CFNM]]/Table2244[[#This Row],[CAREA]]</f>
        <v>0.59287116097941894</v>
      </c>
      <c r="K26">
        <v>2.9134199999999999</v>
      </c>
      <c r="L26">
        <f>-(Table3245[[#This Row],[time]]-2)*2</f>
        <v>-1.8268399999999998</v>
      </c>
      <c r="M26">
        <v>36.3626</v>
      </c>
      <c r="N26">
        <v>4.20577E-4</v>
      </c>
      <c r="O26">
        <f>Table3245[[#This Row],[CFNM]]/Table3245[[#This Row],[CAREA]]</f>
        <v>1.1566197136618393E-5</v>
      </c>
      <c r="P26">
        <v>2.9134199999999999</v>
      </c>
      <c r="Q26">
        <f>-(Table4246[[#This Row],[time]]-2)*2</f>
        <v>-1.8268399999999998</v>
      </c>
      <c r="R26">
        <v>71.050700000000006</v>
      </c>
      <c r="S26">
        <v>46.292400000000001</v>
      </c>
      <c r="T26">
        <f>Table4246[[#This Row],[CFNM]]/Table4246[[#This Row],[CAREA]]</f>
        <v>0.65154037891252303</v>
      </c>
      <c r="U26">
        <v>2.9134199999999999</v>
      </c>
      <c r="V26">
        <f>-(Table5247[[#This Row],[time]]-2)*2</f>
        <v>-1.8268399999999998</v>
      </c>
      <c r="W26">
        <v>76.696399999999997</v>
      </c>
      <c r="X26">
        <v>2.2650499999999998E-3</v>
      </c>
      <c r="Y26">
        <f>Table5247[[#This Row],[CFNM]]/Table5247[[#This Row],[CAREA]]</f>
        <v>2.953267689226613E-5</v>
      </c>
      <c r="Z26">
        <v>2.9134199999999999</v>
      </c>
      <c r="AA26">
        <f>-(Table6248[[#This Row],[time]]-2)*2</f>
        <v>-1.8268399999999998</v>
      </c>
      <c r="AB26">
        <v>70.459100000000007</v>
      </c>
      <c r="AC26">
        <v>47.192100000000003</v>
      </c>
      <c r="AD26">
        <f>Table6248[[#This Row],[CFNM]]/Table6248[[#This Row],[CAREA]]</f>
        <v>0.66978005679890884</v>
      </c>
      <c r="AE26">
        <v>2.9134199999999999</v>
      </c>
      <c r="AF26">
        <f>-(Table7249[[#This Row],[time]]-2)*2</f>
        <v>-1.8268399999999998</v>
      </c>
      <c r="AG26">
        <v>71.212199999999996</v>
      </c>
      <c r="AH26">
        <v>0.83916000000000002</v>
      </c>
      <c r="AI26">
        <f>Table7249[[#This Row],[CFNM]]/Table7249[[#This Row],[CAREA]]</f>
        <v>1.1783935898624113E-2</v>
      </c>
      <c r="AJ26">
        <v>2.9134199999999999</v>
      </c>
      <c r="AK26">
        <f>-(Table8250[[#This Row],[time]]-2)*2</f>
        <v>-1.8268399999999998</v>
      </c>
      <c r="AL26">
        <v>81.981499999999997</v>
      </c>
      <c r="AM26">
        <v>58.742800000000003</v>
      </c>
      <c r="AN26">
        <f>Table8250[[#This Row],[CFNM]]/Table8250[[#This Row],[CAREA]]</f>
        <v>0.71653726755426539</v>
      </c>
    </row>
    <row r="27" spans="1:40" x14ac:dyDescent="0.25">
      <c r="A27">
        <v>2.9619599999999999</v>
      </c>
      <c r="B27">
        <f>-(Table1243[[#This Row],[time]]-2)*2</f>
        <v>-1.9239199999999999</v>
      </c>
      <c r="C27">
        <v>38.001100000000001</v>
      </c>
      <c r="D27">
        <v>1.03101E-3</v>
      </c>
      <c r="E27">
        <f>Table1243[[#This Row],[CFNM]]/Table1243[[#This Row],[CAREA]]</f>
        <v>2.7131056732568267E-5</v>
      </c>
      <c r="F27">
        <v>2.9619599999999999</v>
      </c>
      <c r="G27">
        <f>-(Table2244[[#This Row],[time]]-2)*2</f>
        <v>-1.9239199999999999</v>
      </c>
      <c r="H27">
        <v>76.9649</v>
      </c>
      <c r="I27">
        <v>48.104399999999998</v>
      </c>
      <c r="J27">
        <f>Table2244[[#This Row],[CFNM]]/Table2244[[#This Row],[CAREA]]</f>
        <v>0.62501737805155333</v>
      </c>
      <c r="K27">
        <v>2.9619599999999999</v>
      </c>
      <c r="L27">
        <f>-(Table3245[[#This Row],[time]]-2)*2</f>
        <v>-1.9239199999999999</v>
      </c>
      <c r="M27">
        <v>33.069099999999999</v>
      </c>
      <c r="N27">
        <v>3.2558700000000001E-4</v>
      </c>
      <c r="O27">
        <f>Table3245[[#This Row],[CFNM]]/Table3245[[#This Row],[CAREA]]</f>
        <v>9.8456565192279213E-6</v>
      </c>
      <c r="P27">
        <v>2.9619599999999999</v>
      </c>
      <c r="Q27">
        <f>-(Table4246[[#This Row],[time]]-2)*2</f>
        <v>-1.9239199999999999</v>
      </c>
      <c r="R27">
        <v>70.356200000000001</v>
      </c>
      <c r="S27">
        <v>48.2637</v>
      </c>
      <c r="T27">
        <f>Table4246[[#This Row],[CFNM]]/Table4246[[#This Row],[CAREA]]</f>
        <v>0.68599071581466875</v>
      </c>
      <c r="U27">
        <v>2.9619599999999999</v>
      </c>
      <c r="V27">
        <f>-(Table5247[[#This Row],[time]]-2)*2</f>
        <v>-1.9239199999999999</v>
      </c>
      <c r="W27">
        <v>74.453800000000001</v>
      </c>
      <c r="X27">
        <v>2.05601E-3</v>
      </c>
      <c r="Y27">
        <f>Table5247[[#This Row],[CFNM]]/Table5247[[#This Row],[CAREA]]</f>
        <v>2.7614574407216287E-5</v>
      </c>
      <c r="Z27">
        <v>2.9619599999999999</v>
      </c>
      <c r="AA27">
        <f>-(Table6248[[#This Row],[time]]-2)*2</f>
        <v>-1.9239199999999999</v>
      </c>
      <c r="AB27">
        <v>69.891800000000003</v>
      </c>
      <c r="AC27">
        <v>49.612900000000003</v>
      </c>
      <c r="AD27">
        <f>Table6248[[#This Row],[CFNM]]/Table6248[[#This Row],[CAREA]]</f>
        <v>0.70985294412220035</v>
      </c>
      <c r="AE27">
        <v>2.9619599999999999</v>
      </c>
      <c r="AF27">
        <f>-(Table7249[[#This Row],[time]]-2)*2</f>
        <v>-1.9239199999999999</v>
      </c>
      <c r="AG27">
        <v>70.58</v>
      </c>
      <c r="AH27">
        <v>0.51105299999999998</v>
      </c>
      <c r="AI27">
        <f>Table7249[[#This Row],[CFNM]]/Table7249[[#This Row],[CAREA]]</f>
        <v>7.2407622555964862E-3</v>
      </c>
      <c r="AJ27">
        <v>2.9619599999999999</v>
      </c>
      <c r="AK27">
        <f>-(Table8250[[#This Row],[time]]-2)*2</f>
        <v>-1.9239199999999999</v>
      </c>
      <c r="AL27">
        <v>82.042699999999996</v>
      </c>
      <c r="AM27">
        <v>60.889499999999998</v>
      </c>
      <c r="AN27">
        <f>Table8250[[#This Row],[CFNM]]/Table8250[[#This Row],[CAREA]]</f>
        <v>0.7421684074268643</v>
      </c>
    </row>
    <row r="28" spans="1:40" x14ac:dyDescent="0.25">
      <c r="A28">
        <v>3</v>
      </c>
      <c r="B28">
        <f>-(Table1243[[#This Row],[time]]-2)*2</f>
        <v>-2</v>
      </c>
      <c r="C28">
        <v>34.392600000000002</v>
      </c>
      <c r="D28">
        <v>9.6765100000000004E-4</v>
      </c>
      <c r="E28">
        <f>Table1243[[#This Row],[CFNM]]/Table1243[[#This Row],[CAREA]]</f>
        <v>2.8135441926460925E-5</v>
      </c>
      <c r="F28">
        <v>3</v>
      </c>
      <c r="G28">
        <f>-(Table2244[[#This Row],[time]]-2)*2</f>
        <v>-2</v>
      </c>
      <c r="H28">
        <v>76.537099999999995</v>
      </c>
      <c r="I28">
        <v>49.072899999999997</v>
      </c>
      <c r="J28">
        <f>Table2244[[#This Row],[CFNM]]/Table2244[[#This Row],[CAREA]]</f>
        <v>0.6411648729831676</v>
      </c>
      <c r="K28">
        <v>3</v>
      </c>
      <c r="L28">
        <f>-(Table3245[[#This Row],[time]]-2)*2</f>
        <v>-2</v>
      </c>
      <c r="M28">
        <v>30.401</v>
      </c>
      <c r="N28">
        <v>2.8095000000000003E-4</v>
      </c>
      <c r="O28">
        <f>Table3245[[#This Row],[CFNM]]/Table3245[[#This Row],[CAREA]]</f>
        <v>9.2414723199894755E-6</v>
      </c>
      <c r="P28">
        <v>3</v>
      </c>
      <c r="Q28">
        <f>-(Table4246[[#This Row],[time]]-2)*2</f>
        <v>-2</v>
      </c>
      <c r="R28">
        <v>69.997699999999995</v>
      </c>
      <c r="S28">
        <v>49.283700000000003</v>
      </c>
      <c r="T28">
        <f>Table4246[[#This Row],[CFNM]]/Table4246[[#This Row],[CAREA]]</f>
        <v>0.70407599106827801</v>
      </c>
      <c r="U28">
        <v>3</v>
      </c>
      <c r="V28">
        <f>-(Table5247[[#This Row],[time]]-2)*2</f>
        <v>-2</v>
      </c>
      <c r="W28">
        <v>74.243399999999994</v>
      </c>
      <c r="X28">
        <v>1.95188E-3</v>
      </c>
      <c r="Y28">
        <f>Table5247[[#This Row],[CFNM]]/Table5247[[#This Row],[CAREA]]</f>
        <v>2.6290283041994306E-5</v>
      </c>
      <c r="Z28">
        <v>3</v>
      </c>
      <c r="AA28">
        <f>-(Table6248[[#This Row],[time]]-2)*2</f>
        <v>-2</v>
      </c>
      <c r="AB28">
        <v>69.252399999999994</v>
      </c>
      <c r="AC28">
        <v>50.852899999999998</v>
      </c>
      <c r="AD28">
        <f>Table6248[[#This Row],[CFNM]]/Table6248[[#This Row],[CAREA]]</f>
        <v>0.73431245704120007</v>
      </c>
      <c r="AE28">
        <v>3</v>
      </c>
      <c r="AF28">
        <f>-(Table7249[[#This Row],[time]]-2)*2</f>
        <v>-2</v>
      </c>
      <c r="AG28">
        <v>70.261899999999997</v>
      </c>
      <c r="AH28">
        <v>0.40638600000000002</v>
      </c>
      <c r="AI28">
        <f>Table7249[[#This Row],[CFNM]]/Table7249[[#This Row],[CAREA]]</f>
        <v>5.7838743330311309E-3</v>
      </c>
      <c r="AJ28">
        <v>3</v>
      </c>
      <c r="AK28">
        <f>-(Table8250[[#This Row],[time]]-2)*2</f>
        <v>-2</v>
      </c>
      <c r="AL28">
        <v>82.035799999999995</v>
      </c>
      <c r="AM28">
        <v>61.950699999999998</v>
      </c>
      <c r="AN28">
        <f>Table8250[[#This Row],[CFNM]]/Table8250[[#This Row],[CAREA]]</f>
        <v>0.7551666467566599</v>
      </c>
    </row>
    <row r="30" spans="1:40" x14ac:dyDescent="0.25">
      <c r="A30" t="s">
        <v>34</v>
      </c>
      <c r="E30" t="s">
        <v>1</v>
      </c>
    </row>
    <row r="31" spans="1:40" x14ac:dyDescent="0.25">
      <c r="A31" t="s">
        <v>35</v>
      </c>
      <c r="E31" t="s">
        <v>2</v>
      </c>
      <c r="F31" t="s">
        <v>3</v>
      </c>
    </row>
    <row r="33" spans="1:40" x14ac:dyDescent="0.25">
      <c r="A33" t="s">
        <v>4</v>
      </c>
      <c r="F33" t="s">
        <v>5</v>
      </c>
      <c r="K33" t="s">
        <v>6</v>
      </c>
      <c r="P33" t="s">
        <v>7</v>
      </c>
      <c r="U33" t="s">
        <v>8</v>
      </c>
      <c r="Z33" t="s">
        <v>9</v>
      </c>
      <c r="AE33" t="s">
        <v>10</v>
      </c>
      <c r="AJ33" t="s">
        <v>11</v>
      </c>
    </row>
    <row r="34" spans="1:40" x14ac:dyDescent="0.25">
      <c r="A34" t="s">
        <v>12</v>
      </c>
      <c r="B34" t="s">
        <v>13</v>
      </c>
      <c r="C34" t="s">
        <v>14</v>
      </c>
      <c r="D34" t="s">
        <v>15</v>
      </c>
      <c r="E34" t="s">
        <v>16</v>
      </c>
      <c r="F34" t="s">
        <v>12</v>
      </c>
      <c r="G34" t="s">
        <v>13</v>
      </c>
      <c r="H34" t="s">
        <v>14</v>
      </c>
      <c r="I34" t="s">
        <v>15</v>
      </c>
      <c r="J34" t="s">
        <v>16</v>
      </c>
      <c r="K34" t="s">
        <v>12</v>
      </c>
      <c r="L34" t="s">
        <v>13</v>
      </c>
      <c r="M34" t="s">
        <v>14</v>
      </c>
      <c r="N34" t="s">
        <v>15</v>
      </c>
      <c r="O34" t="s">
        <v>16</v>
      </c>
      <c r="P34" t="s">
        <v>12</v>
      </c>
      <c r="Q34" t="s">
        <v>13</v>
      </c>
      <c r="R34" t="s">
        <v>14</v>
      </c>
      <c r="S34" t="s">
        <v>15</v>
      </c>
      <c r="T34" t="s">
        <v>16</v>
      </c>
      <c r="U34" t="s">
        <v>12</v>
      </c>
      <c r="V34" t="s">
        <v>13</v>
      </c>
      <c r="W34" t="s">
        <v>14</v>
      </c>
      <c r="X34" t="s">
        <v>15</v>
      </c>
      <c r="Y34" t="s">
        <v>16</v>
      </c>
      <c r="Z34" t="s">
        <v>12</v>
      </c>
      <c r="AA34" t="s">
        <v>13</v>
      </c>
      <c r="AB34" t="s">
        <v>14</v>
      </c>
      <c r="AC34" t="s">
        <v>15</v>
      </c>
      <c r="AD34" t="s">
        <v>16</v>
      </c>
      <c r="AE34" t="s">
        <v>12</v>
      </c>
      <c r="AF34" t="s">
        <v>13</v>
      </c>
      <c r="AG34" t="s">
        <v>14</v>
      </c>
      <c r="AH34" t="s">
        <v>15</v>
      </c>
      <c r="AI34" t="s">
        <v>16</v>
      </c>
      <c r="AJ34" t="s">
        <v>12</v>
      </c>
      <c r="AK34" t="s">
        <v>13</v>
      </c>
      <c r="AL34" t="s">
        <v>14</v>
      </c>
      <c r="AM34" t="s">
        <v>15</v>
      </c>
      <c r="AN34" t="s">
        <v>16</v>
      </c>
    </row>
    <row r="35" spans="1:40" x14ac:dyDescent="0.25">
      <c r="A35">
        <v>2</v>
      </c>
      <c r="B35">
        <f>(Table110251[[#This Row],[time]]-2)*2</f>
        <v>0</v>
      </c>
      <c r="C35">
        <v>91.723799999999997</v>
      </c>
      <c r="D35">
        <v>8.3138100000000001</v>
      </c>
      <c r="E35" s="2">
        <f>Table110251[[#This Row],[CFNM]]/Table110251[[#This Row],[CAREA]]</f>
        <v>9.063961589031419E-2</v>
      </c>
      <c r="F35">
        <v>2</v>
      </c>
      <c r="G35">
        <f>(Table211252[[#This Row],[time]]-2)*2</f>
        <v>0</v>
      </c>
      <c r="H35">
        <v>94.410399999999996</v>
      </c>
      <c r="I35">
        <v>1.4588099999999999</v>
      </c>
      <c r="J35" s="2">
        <f>Table211252[[#This Row],[CFNM]]/Table211252[[#This Row],[CAREA]]</f>
        <v>1.5451793446484709E-2</v>
      </c>
      <c r="K35">
        <v>2</v>
      </c>
      <c r="L35">
        <f>(Table312253[[#This Row],[time]]-2)*2</f>
        <v>0</v>
      </c>
      <c r="M35">
        <v>89.358400000000003</v>
      </c>
      <c r="N35">
        <v>1.7889999999999999</v>
      </c>
      <c r="O35">
        <f>Table312253[[#This Row],[CFNM]]/Table312253[[#This Row],[CAREA]]</f>
        <v>2.0020501709967949E-2</v>
      </c>
      <c r="P35">
        <v>2</v>
      </c>
      <c r="Q35">
        <f>(Table413254[[#This Row],[time]]-2)*2</f>
        <v>0</v>
      </c>
      <c r="R35">
        <v>83.810500000000005</v>
      </c>
      <c r="S35">
        <v>2.8507699999999998</v>
      </c>
      <c r="T35">
        <f>Table413254[[#This Row],[CFNM]]/Table413254[[#This Row],[CAREA]]</f>
        <v>3.4014473126875507E-2</v>
      </c>
      <c r="U35">
        <v>2</v>
      </c>
      <c r="V35">
        <f>(Table514255[[#This Row],[time]]-2)*2</f>
        <v>0</v>
      </c>
      <c r="W35">
        <v>83.264200000000002</v>
      </c>
      <c r="X35">
        <v>6.3959700000000002</v>
      </c>
      <c r="Y35">
        <f>Table514255[[#This Row],[CFNM]]/Table514255[[#This Row],[CAREA]]</f>
        <v>7.681536602765654E-2</v>
      </c>
      <c r="Z35">
        <v>2</v>
      </c>
      <c r="AA35">
        <f>(Table615256[[#This Row],[time]]-2)*2</f>
        <v>0</v>
      </c>
      <c r="AB35">
        <v>87.737899999999996</v>
      </c>
      <c r="AC35">
        <v>10.3024</v>
      </c>
      <c r="AD35">
        <f>Table615256[[#This Row],[CFNM]]/Table615256[[#This Row],[CAREA]]</f>
        <v>0.11742245939326107</v>
      </c>
      <c r="AE35">
        <v>2</v>
      </c>
      <c r="AF35">
        <f>(Table716257[[#This Row],[time]]-2)*2</f>
        <v>0</v>
      </c>
      <c r="AG35">
        <v>78.824299999999994</v>
      </c>
      <c r="AH35">
        <v>18.997399999999999</v>
      </c>
      <c r="AI35">
        <f>Table716257[[#This Row],[CFNM]]/Table716257[[#This Row],[CAREA]]</f>
        <v>0.24100943490776322</v>
      </c>
      <c r="AJ35">
        <v>2</v>
      </c>
      <c r="AK35">
        <f>(Table817258[[#This Row],[time]]-2)*2</f>
        <v>0</v>
      </c>
      <c r="AL35">
        <v>83.280900000000003</v>
      </c>
      <c r="AM35">
        <v>18.324100000000001</v>
      </c>
      <c r="AN35">
        <f>Table817258[[#This Row],[CFNM]]/Table817258[[#This Row],[CAREA]]</f>
        <v>0.22002764139196385</v>
      </c>
    </row>
    <row r="36" spans="1:40" x14ac:dyDescent="0.25">
      <c r="A36">
        <v>2.0512600000000001</v>
      </c>
      <c r="B36">
        <f>(Table110251[[#This Row],[time]]-2)*2</f>
        <v>0.10252000000000017</v>
      </c>
      <c r="C36">
        <v>91.872699999999995</v>
      </c>
      <c r="D36">
        <v>12.219099999999999</v>
      </c>
      <c r="E36">
        <f>Table110251[[#This Row],[CFNM]]/Table110251[[#This Row],[CAREA]]</f>
        <v>0.13300033633495043</v>
      </c>
      <c r="F36">
        <v>2.0512600000000001</v>
      </c>
      <c r="G36">
        <f>(Table211252[[#This Row],[time]]-2)*2</f>
        <v>0.10252000000000017</v>
      </c>
      <c r="H36">
        <v>94.724000000000004</v>
      </c>
      <c r="I36">
        <v>1.76065</v>
      </c>
      <c r="J36">
        <f>Table211252[[#This Row],[CFNM]]/Table211252[[#This Row],[CAREA]]</f>
        <v>1.8587158481483044E-2</v>
      </c>
      <c r="K36">
        <v>2.0512600000000001</v>
      </c>
      <c r="L36">
        <f>(Table312253[[#This Row],[time]]-2)*2</f>
        <v>0.10252000000000017</v>
      </c>
      <c r="M36">
        <v>89.322900000000004</v>
      </c>
      <c r="N36">
        <v>5.8650399999999996</v>
      </c>
      <c r="O36">
        <f>Table312253[[#This Row],[CFNM]]/Table312253[[#This Row],[CAREA]]</f>
        <v>6.5661101464462079E-2</v>
      </c>
      <c r="P36">
        <v>2.0512600000000001</v>
      </c>
      <c r="Q36">
        <f>(Table413254[[#This Row],[time]]-2)*2</f>
        <v>0.10252000000000017</v>
      </c>
      <c r="R36">
        <v>86.195899999999995</v>
      </c>
      <c r="S36">
        <v>3.7677399999999999</v>
      </c>
      <c r="T36">
        <f>Table413254[[#This Row],[CFNM]]/Table413254[[#This Row],[CAREA]]</f>
        <v>4.3711359821058775E-2</v>
      </c>
      <c r="U36">
        <v>2.0512600000000001</v>
      </c>
      <c r="V36">
        <f>(Table514255[[#This Row],[time]]-2)*2</f>
        <v>0.10252000000000017</v>
      </c>
      <c r="W36">
        <v>83.119799999999998</v>
      </c>
      <c r="X36">
        <v>11.450699999999999</v>
      </c>
      <c r="Y36">
        <f>Table514255[[#This Row],[CFNM]]/Table514255[[#This Row],[CAREA]]</f>
        <v>0.13776139981087537</v>
      </c>
      <c r="Z36">
        <v>2.0512600000000001</v>
      </c>
      <c r="AA36">
        <f>(Table615256[[#This Row],[time]]-2)*2</f>
        <v>0.10252000000000017</v>
      </c>
      <c r="AB36">
        <v>88.707400000000007</v>
      </c>
      <c r="AC36">
        <v>14.555199999999999</v>
      </c>
      <c r="AD36">
        <f>Table615256[[#This Row],[CFNM]]/Table615256[[#This Row],[CAREA]]</f>
        <v>0.16408101240708214</v>
      </c>
      <c r="AE36">
        <v>2.0512600000000001</v>
      </c>
      <c r="AF36">
        <f>(Table716257[[#This Row],[time]]-2)*2</f>
        <v>0.10252000000000017</v>
      </c>
      <c r="AG36">
        <v>78.704700000000003</v>
      </c>
      <c r="AH36">
        <v>22.084099999999999</v>
      </c>
      <c r="AI36">
        <f>Table716257[[#This Row],[CFNM]]/Table716257[[#This Row],[CAREA]]</f>
        <v>0.28059442447528543</v>
      </c>
      <c r="AJ36">
        <v>2.0512600000000001</v>
      </c>
      <c r="AK36">
        <f>(Table817258[[#This Row],[time]]-2)*2</f>
        <v>0.10252000000000017</v>
      </c>
      <c r="AL36">
        <v>83.275899999999993</v>
      </c>
      <c r="AM36">
        <v>17.607199999999999</v>
      </c>
      <c r="AN36">
        <f>Table817258[[#This Row],[CFNM]]/Table817258[[#This Row],[CAREA]]</f>
        <v>0.21143211901642611</v>
      </c>
    </row>
    <row r="37" spans="1:40" x14ac:dyDescent="0.25">
      <c r="A37">
        <v>2.1153300000000002</v>
      </c>
      <c r="B37">
        <f>(Table110251[[#This Row],[time]]-2)*2</f>
        <v>0.23066000000000031</v>
      </c>
      <c r="C37">
        <v>91.271199999999993</v>
      </c>
      <c r="D37">
        <v>14.406599999999999</v>
      </c>
      <c r="E37">
        <f>Table110251[[#This Row],[CFNM]]/Table110251[[#This Row],[CAREA]]</f>
        <v>0.15784387627203325</v>
      </c>
      <c r="F37">
        <v>2.1153300000000002</v>
      </c>
      <c r="G37">
        <f>(Table211252[[#This Row],[time]]-2)*2</f>
        <v>0.23066000000000031</v>
      </c>
      <c r="H37">
        <v>94.331800000000001</v>
      </c>
      <c r="I37">
        <v>0.220551</v>
      </c>
      <c r="J37">
        <f>Table211252[[#This Row],[CFNM]]/Table211252[[#This Row],[CAREA]]</f>
        <v>2.3380344698182374E-3</v>
      </c>
      <c r="K37">
        <v>2.1153300000000002</v>
      </c>
      <c r="L37">
        <f>(Table312253[[#This Row],[time]]-2)*2</f>
        <v>0.23066000000000031</v>
      </c>
      <c r="M37">
        <v>87.927199999999999</v>
      </c>
      <c r="N37">
        <v>8.9919100000000007</v>
      </c>
      <c r="O37">
        <f>Table312253[[#This Row],[CFNM]]/Table312253[[#This Row],[CAREA]]</f>
        <v>0.10226539682828523</v>
      </c>
      <c r="P37">
        <v>2.1153300000000002</v>
      </c>
      <c r="Q37">
        <f>(Table413254[[#This Row],[time]]-2)*2</f>
        <v>0.23066000000000031</v>
      </c>
      <c r="R37">
        <v>87.133899999999997</v>
      </c>
      <c r="S37">
        <v>2.1278800000000002</v>
      </c>
      <c r="T37">
        <f>Table413254[[#This Row],[CFNM]]/Table413254[[#This Row],[CAREA]]</f>
        <v>2.4420805220471027E-2</v>
      </c>
      <c r="U37">
        <v>2.1153300000000002</v>
      </c>
      <c r="V37">
        <f>(Table514255[[#This Row],[time]]-2)*2</f>
        <v>0.23066000000000031</v>
      </c>
      <c r="W37">
        <v>82.683999999999997</v>
      </c>
      <c r="X37">
        <v>13.654299999999999</v>
      </c>
      <c r="Y37">
        <f>Table514255[[#This Row],[CFNM]]/Table514255[[#This Row],[CAREA]]</f>
        <v>0.16513835808620772</v>
      </c>
      <c r="Z37">
        <v>2.1153300000000002</v>
      </c>
      <c r="AA37">
        <f>(Table615256[[#This Row],[time]]-2)*2</f>
        <v>0.23066000000000031</v>
      </c>
      <c r="AB37">
        <v>88.6601</v>
      </c>
      <c r="AC37">
        <v>14.932700000000001</v>
      </c>
      <c r="AD37">
        <f>Table615256[[#This Row],[CFNM]]/Table615256[[#This Row],[CAREA]]</f>
        <v>0.16842638345772226</v>
      </c>
      <c r="AE37">
        <v>2.1153300000000002</v>
      </c>
      <c r="AF37">
        <f>(Table716257[[#This Row],[time]]-2)*2</f>
        <v>0.23066000000000031</v>
      </c>
      <c r="AG37">
        <v>78.431299999999993</v>
      </c>
      <c r="AH37">
        <v>24.738600000000002</v>
      </c>
      <c r="AI37">
        <f>Table716257[[#This Row],[CFNM]]/Table716257[[#This Row],[CAREA]]</f>
        <v>0.31541744176113368</v>
      </c>
      <c r="AJ37">
        <v>2.1153300000000002</v>
      </c>
      <c r="AK37">
        <f>(Table817258[[#This Row],[time]]-2)*2</f>
        <v>0.23066000000000031</v>
      </c>
      <c r="AL37">
        <v>83.220600000000005</v>
      </c>
      <c r="AM37">
        <v>16.322399999999998</v>
      </c>
      <c r="AN37">
        <f>Table817258[[#This Row],[CFNM]]/Table817258[[#This Row],[CAREA]]</f>
        <v>0.19613413025140405</v>
      </c>
    </row>
    <row r="38" spans="1:40" x14ac:dyDescent="0.25">
      <c r="A38">
        <v>2.16533</v>
      </c>
      <c r="B38">
        <f>(Table110251[[#This Row],[time]]-2)*2</f>
        <v>0.33065999999999995</v>
      </c>
      <c r="C38">
        <v>90.306899999999999</v>
      </c>
      <c r="D38">
        <v>16.403500000000001</v>
      </c>
      <c r="E38">
        <f>Table110251[[#This Row],[CFNM]]/Table110251[[#This Row],[CAREA]]</f>
        <v>0.18164171287022365</v>
      </c>
      <c r="F38">
        <v>2.16533</v>
      </c>
      <c r="G38">
        <f>(Table211252[[#This Row],[time]]-2)*2</f>
        <v>0.33065999999999995</v>
      </c>
      <c r="H38">
        <v>92.799099999999996</v>
      </c>
      <c r="I38">
        <v>4.8247100000000003E-3</v>
      </c>
      <c r="J38">
        <f>Table211252[[#This Row],[CFNM]]/Table211252[[#This Row],[CAREA]]</f>
        <v>5.1990913704982059E-5</v>
      </c>
      <c r="K38">
        <v>2.16533</v>
      </c>
      <c r="L38">
        <f>(Table312253[[#This Row],[time]]-2)*2</f>
        <v>0.33065999999999995</v>
      </c>
      <c r="M38">
        <v>86.9649</v>
      </c>
      <c r="N38">
        <v>12.3827</v>
      </c>
      <c r="O38">
        <f>Table312253[[#This Row],[CFNM]]/Table312253[[#This Row],[CAREA]]</f>
        <v>0.14238733098066</v>
      </c>
      <c r="P38">
        <v>2.16533</v>
      </c>
      <c r="Q38">
        <f>(Table413254[[#This Row],[time]]-2)*2</f>
        <v>0.33065999999999995</v>
      </c>
      <c r="R38">
        <v>88.395700000000005</v>
      </c>
      <c r="S38">
        <v>0.62097999999999998</v>
      </c>
      <c r="T38">
        <f>Table413254[[#This Row],[CFNM]]/Table413254[[#This Row],[CAREA]]</f>
        <v>7.0250023473992507E-3</v>
      </c>
      <c r="U38">
        <v>2.16533</v>
      </c>
      <c r="V38">
        <f>(Table514255[[#This Row],[time]]-2)*2</f>
        <v>0.33065999999999995</v>
      </c>
      <c r="W38">
        <v>81.000500000000002</v>
      </c>
      <c r="X38">
        <v>16.194400000000002</v>
      </c>
      <c r="Y38">
        <f>Table514255[[#This Row],[CFNM]]/Table514255[[#This Row],[CAREA]]</f>
        <v>0.19992963006401196</v>
      </c>
      <c r="Z38">
        <v>2.16533</v>
      </c>
      <c r="AA38">
        <f>(Table615256[[#This Row],[time]]-2)*2</f>
        <v>0.33065999999999995</v>
      </c>
      <c r="AB38">
        <v>89.1845</v>
      </c>
      <c r="AC38">
        <v>14.6288</v>
      </c>
      <c r="AD38">
        <f>Table615256[[#This Row],[CFNM]]/Table615256[[#This Row],[CAREA]]</f>
        <v>0.16402850271067282</v>
      </c>
      <c r="AE38">
        <v>2.16533</v>
      </c>
      <c r="AF38">
        <f>(Table716257[[#This Row],[time]]-2)*2</f>
        <v>0.33065999999999995</v>
      </c>
      <c r="AG38">
        <v>77.848200000000006</v>
      </c>
      <c r="AH38">
        <v>27.691600000000001</v>
      </c>
      <c r="AI38">
        <f>Table716257[[#This Row],[CFNM]]/Table716257[[#This Row],[CAREA]]</f>
        <v>0.35571278462443573</v>
      </c>
      <c r="AJ38">
        <v>2.16533</v>
      </c>
      <c r="AK38">
        <f>(Table817258[[#This Row],[time]]-2)*2</f>
        <v>0.33065999999999995</v>
      </c>
      <c r="AL38">
        <v>83.114900000000006</v>
      </c>
      <c r="AM38">
        <v>15.065</v>
      </c>
      <c r="AN38">
        <f>Table817258[[#This Row],[CFNM]]/Table817258[[#This Row],[CAREA]]</f>
        <v>0.18125510588354193</v>
      </c>
    </row>
    <row r="39" spans="1:40" x14ac:dyDescent="0.25">
      <c r="A39">
        <v>2.2246999999999999</v>
      </c>
      <c r="B39">
        <f>(Table110251[[#This Row],[time]]-2)*2</f>
        <v>0.4493999999999998</v>
      </c>
      <c r="C39">
        <v>89.141099999999994</v>
      </c>
      <c r="D39">
        <v>18.137899999999998</v>
      </c>
      <c r="E39">
        <f>Table110251[[#This Row],[CFNM]]/Table110251[[#This Row],[CAREA]]</f>
        <v>0.20347404283770337</v>
      </c>
      <c r="F39">
        <v>2.2246999999999999</v>
      </c>
      <c r="G39">
        <f>(Table211252[[#This Row],[time]]-2)*2</f>
        <v>0.4493999999999998</v>
      </c>
      <c r="H39">
        <v>92.272999999999996</v>
      </c>
      <c r="I39">
        <v>3.9217899999999997E-3</v>
      </c>
      <c r="J39">
        <f>Table211252[[#This Row],[CFNM]]/Table211252[[#This Row],[CAREA]]</f>
        <v>4.2502032013698483E-5</v>
      </c>
      <c r="K39">
        <v>2.2246999999999999</v>
      </c>
      <c r="L39">
        <f>(Table312253[[#This Row],[time]]-2)*2</f>
        <v>0.4493999999999998</v>
      </c>
      <c r="M39">
        <v>85.816800000000001</v>
      </c>
      <c r="N39">
        <v>15.8042</v>
      </c>
      <c r="O39">
        <f>Table312253[[#This Row],[CFNM]]/Table312253[[#This Row],[CAREA]]</f>
        <v>0.18416207549104605</v>
      </c>
      <c r="P39">
        <v>2.2246999999999999</v>
      </c>
      <c r="Q39">
        <f>(Table413254[[#This Row],[time]]-2)*2</f>
        <v>0.4493999999999998</v>
      </c>
      <c r="R39">
        <v>88.412499999999994</v>
      </c>
      <c r="S39">
        <v>5.00761E-3</v>
      </c>
      <c r="T39">
        <f>Table413254[[#This Row],[CFNM]]/Table413254[[#This Row],[CAREA]]</f>
        <v>5.6639163014279658E-5</v>
      </c>
      <c r="U39">
        <v>2.2246999999999999</v>
      </c>
      <c r="V39">
        <f>(Table514255[[#This Row],[time]]-2)*2</f>
        <v>0.4493999999999998</v>
      </c>
      <c r="W39">
        <v>77.465699999999998</v>
      </c>
      <c r="X39">
        <v>18.873899999999999</v>
      </c>
      <c r="Y39">
        <f>Table514255[[#This Row],[CFNM]]/Table514255[[#This Row],[CAREA]]</f>
        <v>0.24364202479290833</v>
      </c>
      <c r="Z39">
        <v>2.2246999999999999</v>
      </c>
      <c r="AA39">
        <f>(Table615256[[#This Row],[time]]-2)*2</f>
        <v>0.4493999999999998</v>
      </c>
      <c r="AB39">
        <v>91.72</v>
      </c>
      <c r="AC39">
        <v>13.726699999999999</v>
      </c>
      <c r="AD39">
        <f>Table615256[[#This Row],[CFNM]]/Table615256[[#This Row],[CAREA]]</f>
        <v>0.14965874400348889</v>
      </c>
      <c r="AE39">
        <v>2.2246999999999999</v>
      </c>
      <c r="AF39">
        <f>(Table716257[[#This Row],[time]]-2)*2</f>
        <v>0.4493999999999998</v>
      </c>
      <c r="AG39">
        <v>77.647900000000007</v>
      </c>
      <c r="AH39">
        <v>30.296600000000002</v>
      </c>
      <c r="AI39">
        <f>Table716257[[#This Row],[CFNM]]/Table716257[[#This Row],[CAREA]]</f>
        <v>0.39017925790652419</v>
      </c>
      <c r="AJ39">
        <v>2.2246999999999999</v>
      </c>
      <c r="AK39">
        <f>(Table817258[[#This Row],[time]]-2)*2</f>
        <v>0.4493999999999998</v>
      </c>
      <c r="AL39">
        <v>82.7376</v>
      </c>
      <c r="AM39">
        <v>14.139900000000001</v>
      </c>
      <c r="AN39">
        <f>Table817258[[#This Row],[CFNM]]/Table817258[[#This Row],[CAREA]]</f>
        <v>0.17090053373556885</v>
      </c>
    </row>
    <row r="40" spans="1:40" x14ac:dyDescent="0.25">
      <c r="A40">
        <v>2.2668900000000001</v>
      </c>
      <c r="B40">
        <f>(Table110251[[#This Row],[time]]-2)*2</f>
        <v>0.53378000000000014</v>
      </c>
      <c r="C40">
        <v>87.763499999999993</v>
      </c>
      <c r="D40">
        <v>20.986799999999999</v>
      </c>
      <c r="E40">
        <f>Table110251[[#This Row],[CFNM]]/Table110251[[#This Row],[CAREA]]</f>
        <v>0.23912902288536808</v>
      </c>
      <c r="F40">
        <v>2.2668900000000001</v>
      </c>
      <c r="G40">
        <f>(Table211252[[#This Row],[time]]-2)*2</f>
        <v>0.53378000000000014</v>
      </c>
      <c r="H40">
        <v>88.333799999999997</v>
      </c>
      <c r="I40">
        <v>3.0508000000000002E-3</v>
      </c>
      <c r="J40">
        <f>Table211252[[#This Row],[CFNM]]/Table211252[[#This Row],[CAREA]]</f>
        <v>3.4537176030013433E-5</v>
      </c>
      <c r="K40">
        <v>2.2668900000000001</v>
      </c>
      <c r="L40">
        <f>(Table312253[[#This Row],[time]]-2)*2</f>
        <v>0.53378000000000014</v>
      </c>
      <c r="M40">
        <v>84.426699999999997</v>
      </c>
      <c r="N40">
        <v>19.297499999999999</v>
      </c>
      <c r="O40">
        <f>Table312253[[#This Row],[CFNM]]/Table312253[[#This Row],[CAREA]]</f>
        <v>0.22857105631275415</v>
      </c>
      <c r="P40">
        <v>2.2668900000000001</v>
      </c>
      <c r="Q40">
        <f>(Table413254[[#This Row],[time]]-2)*2</f>
        <v>0.53378000000000014</v>
      </c>
      <c r="R40">
        <v>88.232100000000003</v>
      </c>
      <c r="S40">
        <v>4.0398600000000002E-3</v>
      </c>
      <c r="T40">
        <f>Table413254[[#This Row],[CFNM]]/Table413254[[#This Row],[CAREA]]</f>
        <v>4.578673747989677E-5</v>
      </c>
      <c r="U40">
        <v>2.2668900000000001</v>
      </c>
      <c r="V40">
        <f>(Table514255[[#This Row],[time]]-2)*2</f>
        <v>0.53378000000000014</v>
      </c>
      <c r="W40">
        <v>75.049899999999994</v>
      </c>
      <c r="X40">
        <v>21.893999999999998</v>
      </c>
      <c r="Y40">
        <f>Table514255[[#This Row],[CFNM]]/Table514255[[#This Row],[CAREA]]</f>
        <v>0.29172590503118589</v>
      </c>
      <c r="Z40">
        <v>2.2668900000000001</v>
      </c>
      <c r="AA40">
        <f>(Table615256[[#This Row],[time]]-2)*2</f>
        <v>0.53378000000000014</v>
      </c>
      <c r="AB40">
        <v>91.350999999999999</v>
      </c>
      <c r="AC40">
        <v>12.5091</v>
      </c>
      <c r="AD40">
        <f>Table615256[[#This Row],[CFNM]]/Table615256[[#This Row],[CAREA]]</f>
        <v>0.1369344615822487</v>
      </c>
      <c r="AE40">
        <v>2.2668900000000001</v>
      </c>
      <c r="AF40">
        <f>(Table716257[[#This Row],[time]]-2)*2</f>
        <v>0.53378000000000014</v>
      </c>
      <c r="AG40">
        <v>77.756600000000006</v>
      </c>
      <c r="AH40">
        <v>33.366999999999997</v>
      </c>
      <c r="AI40">
        <f>Table716257[[#This Row],[CFNM]]/Table716257[[#This Row],[CAREA]]</f>
        <v>0.42912112926748336</v>
      </c>
      <c r="AJ40">
        <v>2.2668900000000001</v>
      </c>
      <c r="AK40">
        <f>(Table817258[[#This Row],[time]]-2)*2</f>
        <v>0.53378000000000014</v>
      </c>
      <c r="AL40">
        <v>82.100800000000007</v>
      </c>
      <c r="AM40">
        <v>13.2654</v>
      </c>
      <c r="AN40">
        <f>Table817258[[#This Row],[CFNM]]/Table817258[[#This Row],[CAREA]]</f>
        <v>0.16157455225771244</v>
      </c>
    </row>
    <row r="41" spans="1:40" x14ac:dyDescent="0.25">
      <c r="A41">
        <v>2.3262700000000001</v>
      </c>
      <c r="B41">
        <f>(Table110251[[#This Row],[time]]-2)*2</f>
        <v>0.65254000000000012</v>
      </c>
      <c r="C41">
        <v>85.266099999999994</v>
      </c>
      <c r="D41">
        <v>24.567299999999999</v>
      </c>
      <c r="E41">
        <f>Table110251[[#This Row],[CFNM]]/Table110251[[#This Row],[CAREA]]</f>
        <v>0.28812505790695248</v>
      </c>
      <c r="F41">
        <v>2.3262700000000001</v>
      </c>
      <c r="G41">
        <f>(Table211252[[#This Row],[time]]-2)*2</f>
        <v>0.65254000000000012</v>
      </c>
      <c r="H41">
        <v>86.025099999999995</v>
      </c>
      <c r="I41">
        <v>2.53513E-3</v>
      </c>
      <c r="J41">
        <f>Table211252[[#This Row],[CFNM]]/Table211252[[#This Row],[CAREA]]</f>
        <v>2.9469654786800598E-5</v>
      </c>
      <c r="K41">
        <v>2.3262700000000001</v>
      </c>
      <c r="L41">
        <f>(Table312253[[#This Row],[time]]-2)*2</f>
        <v>0.65254000000000012</v>
      </c>
      <c r="M41">
        <v>83.333600000000004</v>
      </c>
      <c r="N41">
        <v>22.357800000000001</v>
      </c>
      <c r="O41">
        <f>Table312253[[#This Row],[CFNM]]/Table312253[[#This Row],[CAREA]]</f>
        <v>0.26829274146322729</v>
      </c>
      <c r="P41">
        <v>2.3262700000000001</v>
      </c>
      <c r="Q41">
        <f>(Table413254[[#This Row],[time]]-2)*2</f>
        <v>0.65254000000000012</v>
      </c>
      <c r="R41">
        <v>87.099800000000002</v>
      </c>
      <c r="S41">
        <v>3.2076100000000001E-3</v>
      </c>
      <c r="T41">
        <f>Table413254[[#This Row],[CFNM]]/Table413254[[#This Row],[CAREA]]</f>
        <v>3.682683542327307E-5</v>
      </c>
      <c r="U41">
        <v>2.3262700000000001</v>
      </c>
      <c r="V41">
        <f>(Table514255[[#This Row],[time]]-2)*2</f>
        <v>0.65254000000000012</v>
      </c>
      <c r="W41">
        <v>73.504800000000003</v>
      </c>
      <c r="X41">
        <v>24.806999999999999</v>
      </c>
      <c r="Y41">
        <f>Table514255[[#This Row],[CFNM]]/Table514255[[#This Row],[CAREA]]</f>
        <v>0.33748816403826687</v>
      </c>
      <c r="Z41">
        <v>2.3262700000000001</v>
      </c>
      <c r="AA41">
        <f>(Table615256[[#This Row],[time]]-2)*2</f>
        <v>0.65254000000000012</v>
      </c>
      <c r="AB41">
        <v>92.365700000000004</v>
      </c>
      <c r="AC41">
        <v>11.585599999999999</v>
      </c>
      <c r="AD41">
        <f>Table615256[[#This Row],[CFNM]]/Table615256[[#This Row],[CAREA]]</f>
        <v>0.12543184320586537</v>
      </c>
      <c r="AE41">
        <v>2.3262700000000001</v>
      </c>
      <c r="AF41">
        <f>(Table716257[[#This Row],[time]]-2)*2</f>
        <v>0.65254000000000012</v>
      </c>
      <c r="AG41">
        <v>77.778800000000004</v>
      </c>
      <c r="AH41">
        <v>36.523400000000002</v>
      </c>
      <c r="AI41">
        <f>Table716257[[#This Row],[CFNM]]/Table716257[[#This Row],[CAREA]]</f>
        <v>0.46958039980045979</v>
      </c>
      <c r="AJ41">
        <v>2.3262700000000001</v>
      </c>
      <c r="AK41">
        <f>(Table817258[[#This Row],[time]]-2)*2</f>
        <v>0.65254000000000012</v>
      </c>
      <c r="AL41">
        <v>81.465000000000003</v>
      </c>
      <c r="AM41">
        <v>12.524800000000001</v>
      </c>
      <c r="AN41">
        <f>Table817258[[#This Row],[CFNM]]/Table817258[[#This Row],[CAREA]]</f>
        <v>0.15374455287546798</v>
      </c>
    </row>
    <row r="42" spans="1:40" x14ac:dyDescent="0.25">
      <c r="A42">
        <v>2.3684599999999998</v>
      </c>
      <c r="B42">
        <f>(Table110251[[#This Row],[time]]-2)*2</f>
        <v>0.73691999999999958</v>
      </c>
      <c r="C42">
        <v>83.3613</v>
      </c>
      <c r="D42">
        <v>28.317799999999998</v>
      </c>
      <c r="E42">
        <f>Table110251[[#This Row],[CFNM]]/Table110251[[#This Row],[CAREA]]</f>
        <v>0.33969959681530876</v>
      </c>
      <c r="F42">
        <v>2.3684599999999998</v>
      </c>
      <c r="G42">
        <f>(Table211252[[#This Row],[time]]-2)*2</f>
        <v>0.73691999999999958</v>
      </c>
      <c r="H42">
        <v>79.573800000000006</v>
      </c>
      <c r="I42">
        <v>2.1168099999999998E-3</v>
      </c>
      <c r="J42">
        <f>Table211252[[#This Row],[CFNM]]/Table211252[[#This Row],[CAREA]]</f>
        <v>2.6601846336356938E-5</v>
      </c>
      <c r="K42">
        <v>2.3684599999999998</v>
      </c>
      <c r="L42">
        <f>(Table312253[[#This Row],[time]]-2)*2</f>
        <v>0.73691999999999958</v>
      </c>
      <c r="M42">
        <v>82.221900000000005</v>
      </c>
      <c r="N42">
        <v>25.168900000000001</v>
      </c>
      <c r="O42">
        <f>Table312253[[#This Row],[CFNM]]/Table312253[[#This Row],[CAREA]]</f>
        <v>0.30610944286133013</v>
      </c>
      <c r="P42">
        <v>2.3684599999999998</v>
      </c>
      <c r="Q42">
        <f>(Table413254[[#This Row],[time]]-2)*2</f>
        <v>0.73691999999999958</v>
      </c>
      <c r="R42">
        <v>84.804100000000005</v>
      </c>
      <c r="S42">
        <v>2.7890300000000001E-3</v>
      </c>
      <c r="T42">
        <f>Table413254[[#This Row],[CFNM]]/Table413254[[#This Row],[CAREA]]</f>
        <v>3.2887914617335717E-5</v>
      </c>
      <c r="U42">
        <v>2.3684599999999998</v>
      </c>
      <c r="V42">
        <f>(Table514255[[#This Row],[time]]-2)*2</f>
        <v>0.73691999999999958</v>
      </c>
      <c r="W42">
        <v>70.862700000000004</v>
      </c>
      <c r="X42">
        <v>27.9389</v>
      </c>
      <c r="Y42">
        <f>Table514255[[#This Row],[CFNM]]/Table514255[[#This Row],[CAREA]]</f>
        <v>0.39426807050817991</v>
      </c>
      <c r="Z42">
        <v>2.3684599999999998</v>
      </c>
      <c r="AA42">
        <f>(Table615256[[#This Row],[time]]-2)*2</f>
        <v>0.73691999999999958</v>
      </c>
      <c r="AB42">
        <v>92.555999999999997</v>
      </c>
      <c r="AC42">
        <v>10.853400000000001</v>
      </c>
      <c r="AD42">
        <f>Table615256[[#This Row],[CFNM]]/Table615256[[#This Row],[CAREA]]</f>
        <v>0.11726306236224557</v>
      </c>
      <c r="AE42">
        <v>2.3684599999999998</v>
      </c>
      <c r="AF42">
        <f>(Table716257[[#This Row],[time]]-2)*2</f>
        <v>0.73691999999999958</v>
      </c>
      <c r="AG42">
        <v>77.693100000000001</v>
      </c>
      <c r="AH42">
        <v>39.976199999999999</v>
      </c>
      <c r="AI42">
        <f>Table716257[[#This Row],[CFNM]]/Table716257[[#This Row],[CAREA]]</f>
        <v>0.51453990122674986</v>
      </c>
      <c r="AJ42">
        <v>2.3684599999999998</v>
      </c>
      <c r="AK42">
        <f>(Table817258[[#This Row],[time]]-2)*2</f>
        <v>0.73691999999999958</v>
      </c>
      <c r="AL42">
        <v>80.92</v>
      </c>
      <c r="AM42">
        <v>11.7683</v>
      </c>
      <c r="AN42">
        <f>Table817258[[#This Row],[CFNM]]/Table817258[[#This Row],[CAREA]]</f>
        <v>0.14543129016312406</v>
      </c>
    </row>
    <row r="43" spans="1:40" x14ac:dyDescent="0.25">
      <c r="A43">
        <v>2.4278300000000002</v>
      </c>
      <c r="B43">
        <f>(Table110251[[#This Row],[time]]-2)*2</f>
        <v>0.85566000000000031</v>
      </c>
      <c r="C43">
        <v>82.257199999999997</v>
      </c>
      <c r="D43">
        <v>30.444099999999999</v>
      </c>
      <c r="E43">
        <f>Table110251[[#This Row],[CFNM]]/Table110251[[#This Row],[CAREA]]</f>
        <v>0.37010863486722134</v>
      </c>
      <c r="F43">
        <v>2.4278300000000002</v>
      </c>
      <c r="G43">
        <f>(Table211252[[#This Row],[time]]-2)*2</f>
        <v>0.85566000000000031</v>
      </c>
      <c r="H43">
        <v>76.5398</v>
      </c>
      <c r="I43">
        <v>1.9325900000000001E-3</v>
      </c>
      <c r="J43">
        <f>Table211252[[#This Row],[CFNM]]/Table211252[[#This Row],[CAREA]]</f>
        <v>2.5249478049328586E-5</v>
      </c>
      <c r="K43">
        <v>2.4278300000000002</v>
      </c>
      <c r="L43">
        <f>(Table312253[[#This Row],[time]]-2)*2</f>
        <v>0.85566000000000031</v>
      </c>
      <c r="M43">
        <v>81.520499999999998</v>
      </c>
      <c r="N43">
        <v>26.624199999999998</v>
      </c>
      <c r="O43">
        <f>Table312253[[#This Row],[CFNM]]/Table312253[[#This Row],[CAREA]]</f>
        <v>0.32659515091296054</v>
      </c>
      <c r="P43">
        <v>2.4278300000000002</v>
      </c>
      <c r="Q43">
        <f>(Table413254[[#This Row],[time]]-2)*2</f>
        <v>0.85566000000000031</v>
      </c>
      <c r="R43">
        <v>84.965699999999998</v>
      </c>
      <c r="S43">
        <v>2.5794199999999998E-3</v>
      </c>
      <c r="T43">
        <f>Table413254[[#This Row],[CFNM]]/Table413254[[#This Row],[CAREA]]</f>
        <v>3.0358368141497097E-5</v>
      </c>
      <c r="U43">
        <v>2.4278300000000002</v>
      </c>
      <c r="V43">
        <f>(Table514255[[#This Row],[time]]-2)*2</f>
        <v>0.85566000000000031</v>
      </c>
      <c r="W43">
        <v>69.669300000000007</v>
      </c>
      <c r="X43">
        <v>29.737500000000001</v>
      </c>
      <c r="Y43">
        <f>Table514255[[#This Row],[CFNM]]/Table514255[[#This Row],[CAREA]]</f>
        <v>0.42683793292023886</v>
      </c>
      <c r="Z43">
        <v>2.4278300000000002</v>
      </c>
      <c r="AA43">
        <f>(Table615256[[#This Row],[time]]-2)*2</f>
        <v>0.85566000000000031</v>
      </c>
      <c r="AB43">
        <v>92.575000000000003</v>
      </c>
      <c r="AC43">
        <v>10.5197</v>
      </c>
      <c r="AD43">
        <f>Table615256[[#This Row],[CFNM]]/Table615256[[#This Row],[CAREA]]</f>
        <v>0.11363435052660005</v>
      </c>
      <c r="AE43">
        <v>2.4278300000000002</v>
      </c>
      <c r="AF43">
        <f>(Table716257[[#This Row],[time]]-2)*2</f>
        <v>0.85566000000000031</v>
      </c>
      <c r="AG43">
        <v>77.5946</v>
      </c>
      <c r="AH43">
        <v>41.969799999999999</v>
      </c>
      <c r="AI43">
        <f>Table716257[[#This Row],[CFNM]]/Table716257[[#This Row],[CAREA]]</f>
        <v>0.54088557708912732</v>
      </c>
      <c r="AJ43">
        <v>2.4278300000000002</v>
      </c>
      <c r="AK43">
        <f>(Table817258[[#This Row],[time]]-2)*2</f>
        <v>0.85566000000000031</v>
      </c>
      <c r="AL43">
        <v>80.587999999999994</v>
      </c>
      <c r="AM43">
        <v>11.324999999999999</v>
      </c>
      <c r="AN43">
        <f>Table817258[[#This Row],[CFNM]]/Table817258[[#This Row],[CAREA]]</f>
        <v>0.14052960738571499</v>
      </c>
    </row>
    <row r="44" spans="1:40" x14ac:dyDescent="0.25">
      <c r="A44">
        <v>2.4542000000000002</v>
      </c>
      <c r="B44">
        <f>(Table110251[[#This Row],[time]]-2)*2</f>
        <v>0.90840000000000032</v>
      </c>
      <c r="C44">
        <v>79.818600000000004</v>
      </c>
      <c r="D44">
        <v>33.846899999999998</v>
      </c>
      <c r="E44">
        <f>Table110251[[#This Row],[CFNM]]/Table110251[[#This Row],[CAREA]]</f>
        <v>0.42404777833737994</v>
      </c>
      <c r="F44">
        <v>2.4542000000000002</v>
      </c>
      <c r="G44">
        <f>(Table211252[[#This Row],[time]]-2)*2</f>
        <v>0.90840000000000032</v>
      </c>
      <c r="H44">
        <v>69.202299999999994</v>
      </c>
      <c r="I44">
        <v>1.6455199999999999E-3</v>
      </c>
      <c r="J44">
        <f>Table211252[[#This Row],[CFNM]]/Table211252[[#This Row],[CAREA]]</f>
        <v>2.3778400428887482E-5</v>
      </c>
      <c r="K44">
        <v>2.4542000000000002</v>
      </c>
      <c r="L44">
        <f>(Table312253[[#This Row],[time]]-2)*2</f>
        <v>0.90840000000000032</v>
      </c>
      <c r="M44">
        <v>80.503100000000003</v>
      </c>
      <c r="N44">
        <v>28.974299999999999</v>
      </c>
      <c r="O44">
        <f>Table312253[[#This Row],[CFNM]]/Table312253[[#This Row],[CAREA]]</f>
        <v>0.35991533245303597</v>
      </c>
      <c r="P44">
        <v>2.4542000000000002</v>
      </c>
      <c r="Q44">
        <f>(Table413254[[#This Row],[time]]-2)*2</f>
        <v>0.90840000000000032</v>
      </c>
      <c r="R44">
        <v>82.759600000000006</v>
      </c>
      <c r="S44">
        <v>2.2864399999999998E-3</v>
      </c>
      <c r="T44">
        <f>Table413254[[#This Row],[CFNM]]/Table413254[[#This Row],[CAREA]]</f>
        <v>2.762748974137139E-5</v>
      </c>
      <c r="U44">
        <v>2.4542000000000002</v>
      </c>
      <c r="V44">
        <f>(Table514255[[#This Row],[time]]-2)*2</f>
        <v>0.90840000000000032</v>
      </c>
      <c r="W44">
        <v>68.6477</v>
      </c>
      <c r="X44">
        <v>32.7438</v>
      </c>
      <c r="Y44">
        <f>Table514255[[#This Row],[CFNM]]/Table514255[[#This Row],[CAREA]]</f>
        <v>0.47698320555532087</v>
      </c>
      <c r="Z44">
        <v>2.4542000000000002</v>
      </c>
      <c r="AA44">
        <f>(Table615256[[#This Row],[time]]-2)*2</f>
        <v>0.90840000000000032</v>
      </c>
      <c r="AB44">
        <v>92.7821</v>
      </c>
      <c r="AC44">
        <v>9.9435699999999994</v>
      </c>
      <c r="AD44">
        <f>Table615256[[#This Row],[CFNM]]/Table615256[[#This Row],[CAREA]]</f>
        <v>0.10717121082622617</v>
      </c>
      <c r="AE44">
        <v>2.4542000000000002</v>
      </c>
      <c r="AF44">
        <f>(Table716257[[#This Row],[time]]-2)*2</f>
        <v>0.90840000000000032</v>
      </c>
      <c r="AG44">
        <v>77.373999999999995</v>
      </c>
      <c r="AH44">
        <v>45.3322</v>
      </c>
      <c r="AI44">
        <f>Table716257[[#This Row],[CFNM]]/Table716257[[#This Row],[CAREA]]</f>
        <v>0.58588414712952674</v>
      </c>
      <c r="AJ44">
        <v>2.4542000000000002</v>
      </c>
      <c r="AK44">
        <f>(Table817258[[#This Row],[time]]-2)*2</f>
        <v>0.90840000000000032</v>
      </c>
      <c r="AL44">
        <v>80.029700000000005</v>
      </c>
      <c r="AM44">
        <v>10.667199999999999</v>
      </c>
      <c r="AN44">
        <f>Table817258[[#This Row],[CFNM]]/Table817258[[#This Row],[CAREA]]</f>
        <v>0.1332905158959736</v>
      </c>
    </row>
    <row r="45" spans="1:40" x14ac:dyDescent="0.25">
      <c r="A45">
        <v>2.5061499999999999</v>
      </c>
      <c r="B45">
        <f>(Table110251[[#This Row],[time]]-2)*2</f>
        <v>1.0122999999999998</v>
      </c>
      <c r="C45">
        <v>78.2256</v>
      </c>
      <c r="D45">
        <v>36.379100000000001</v>
      </c>
      <c r="E45">
        <f>Table110251[[#This Row],[CFNM]]/Table110251[[#This Row],[CAREA]]</f>
        <v>0.4650536397291935</v>
      </c>
      <c r="F45">
        <v>2.5061499999999999</v>
      </c>
      <c r="G45">
        <f>(Table211252[[#This Row],[time]]-2)*2</f>
        <v>1.0122999999999998</v>
      </c>
      <c r="H45">
        <v>64.387200000000007</v>
      </c>
      <c r="I45">
        <v>1.4348099999999999E-3</v>
      </c>
      <c r="J45">
        <f>Table211252[[#This Row],[CFNM]]/Table211252[[#This Row],[CAREA]]</f>
        <v>2.2284087520500964E-5</v>
      </c>
      <c r="K45">
        <v>2.5061499999999999</v>
      </c>
      <c r="L45">
        <f>(Table312253[[#This Row],[time]]-2)*2</f>
        <v>1.0122999999999998</v>
      </c>
      <c r="M45">
        <v>79.759100000000004</v>
      </c>
      <c r="N45">
        <v>30.802</v>
      </c>
      <c r="O45">
        <f>Table312253[[#This Row],[CFNM]]/Table312253[[#This Row],[CAREA]]</f>
        <v>0.38618790833898575</v>
      </c>
      <c r="P45">
        <v>2.5061499999999999</v>
      </c>
      <c r="Q45">
        <f>(Table413254[[#This Row],[time]]-2)*2</f>
        <v>1.0122999999999998</v>
      </c>
      <c r="R45">
        <v>81.352099999999993</v>
      </c>
      <c r="S45">
        <v>2.0500900000000001E-3</v>
      </c>
      <c r="T45">
        <f>Table413254[[#This Row],[CFNM]]/Table413254[[#This Row],[CAREA]]</f>
        <v>2.5200209951556262E-5</v>
      </c>
      <c r="U45">
        <v>2.5061499999999999</v>
      </c>
      <c r="V45">
        <f>(Table514255[[#This Row],[time]]-2)*2</f>
        <v>1.0122999999999998</v>
      </c>
      <c r="W45">
        <v>67.491799999999998</v>
      </c>
      <c r="X45">
        <v>35.072499999999998</v>
      </c>
      <c r="Y45">
        <f>Table514255[[#This Row],[CFNM]]/Table514255[[#This Row],[CAREA]]</f>
        <v>0.51965572113945691</v>
      </c>
      <c r="Z45">
        <v>2.5061499999999999</v>
      </c>
      <c r="AA45">
        <f>(Table615256[[#This Row],[time]]-2)*2</f>
        <v>1.0122999999999998</v>
      </c>
      <c r="AB45">
        <v>92.039199999999994</v>
      </c>
      <c r="AC45">
        <v>9.3886000000000003</v>
      </c>
      <c r="AD45">
        <f>Table615256[[#This Row],[CFNM]]/Table615256[[#This Row],[CAREA]]</f>
        <v>0.10200653634538329</v>
      </c>
      <c r="AE45">
        <v>2.5061499999999999</v>
      </c>
      <c r="AF45">
        <f>(Table716257[[#This Row],[time]]-2)*2</f>
        <v>1.0122999999999998</v>
      </c>
      <c r="AG45">
        <v>77.370800000000003</v>
      </c>
      <c r="AH45">
        <v>48.090600000000002</v>
      </c>
      <c r="AI45">
        <f>Table716257[[#This Row],[CFNM]]/Table716257[[#This Row],[CAREA]]</f>
        <v>0.62156007175833783</v>
      </c>
      <c r="AJ45">
        <v>2.5061499999999999</v>
      </c>
      <c r="AK45">
        <f>(Table817258[[#This Row],[time]]-2)*2</f>
        <v>1.0122999999999998</v>
      </c>
      <c r="AL45">
        <v>79.537199999999999</v>
      </c>
      <c r="AM45">
        <v>10.168900000000001</v>
      </c>
      <c r="AN45">
        <f>Table817258[[#This Row],[CFNM]]/Table817258[[#This Row],[CAREA]]</f>
        <v>0.12785086726714043</v>
      </c>
    </row>
    <row r="46" spans="1:40" x14ac:dyDescent="0.25">
      <c r="A46">
        <v>2.5507599999999999</v>
      </c>
      <c r="B46">
        <f>(Table110251[[#This Row],[time]]-2)*2</f>
        <v>1.1015199999999998</v>
      </c>
      <c r="C46">
        <v>77.447299999999998</v>
      </c>
      <c r="D46">
        <v>37.8277</v>
      </c>
      <c r="E46">
        <f>Table110251[[#This Row],[CFNM]]/Table110251[[#This Row],[CAREA]]</f>
        <v>0.48843148825072019</v>
      </c>
      <c r="F46">
        <v>2.5507599999999999</v>
      </c>
      <c r="G46">
        <f>(Table211252[[#This Row],[time]]-2)*2</f>
        <v>1.1015199999999998</v>
      </c>
      <c r="H46">
        <v>61.2</v>
      </c>
      <c r="I46">
        <v>1.3146799999999999E-3</v>
      </c>
      <c r="J46">
        <f>Table211252[[#This Row],[CFNM]]/Table211252[[#This Row],[CAREA]]</f>
        <v>2.1481699346405225E-5</v>
      </c>
      <c r="K46">
        <v>2.5507599999999999</v>
      </c>
      <c r="L46">
        <f>(Table312253[[#This Row],[time]]-2)*2</f>
        <v>1.1015199999999998</v>
      </c>
      <c r="M46">
        <v>79.4542</v>
      </c>
      <c r="N46">
        <v>31.934100000000001</v>
      </c>
      <c r="O46">
        <f>Table312253[[#This Row],[CFNM]]/Table312253[[#This Row],[CAREA]]</f>
        <v>0.40191833786005021</v>
      </c>
      <c r="P46">
        <v>2.5507599999999999</v>
      </c>
      <c r="Q46">
        <f>(Table413254[[#This Row],[time]]-2)*2</f>
        <v>1.1015199999999998</v>
      </c>
      <c r="R46">
        <v>80.837000000000003</v>
      </c>
      <c r="S46">
        <v>1.9111499999999999E-3</v>
      </c>
      <c r="T46">
        <f>Table413254[[#This Row],[CFNM]]/Table413254[[#This Row],[CAREA]]</f>
        <v>2.3642020361962962E-5</v>
      </c>
      <c r="U46">
        <v>2.5507599999999999</v>
      </c>
      <c r="V46">
        <f>(Table514255[[#This Row],[time]]-2)*2</f>
        <v>1.1015199999999998</v>
      </c>
      <c r="W46">
        <v>66.920400000000001</v>
      </c>
      <c r="X46">
        <v>36.520400000000002</v>
      </c>
      <c r="Y46">
        <f>Table514255[[#This Row],[CFNM]]/Table514255[[#This Row],[CAREA]]</f>
        <v>0.54572895559500545</v>
      </c>
      <c r="Z46">
        <v>2.5507599999999999</v>
      </c>
      <c r="AA46">
        <f>(Table615256[[#This Row],[time]]-2)*2</f>
        <v>1.1015199999999998</v>
      </c>
      <c r="AB46">
        <v>92.305899999999994</v>
      </c>
      <c r="AC46">
        <v>8.9944000000000006</v>
      </c>
      <c r="AD46">
        <f>Table615256[[#This Row],[CFNM]]/Table615256[[#This Row],[CAREA]]</f>
        <v>9.7441225317124916E-2</v>
      </c>
      <c r="AE46">
        <v>2.5507599999999999</v>
      </c>
      <c r="AF46">
        <f>(Table716257[[#This Row],[time]]-2)*2</f>
        <v>1.1015199999999998</v>
      </c>
      <c r="AG46">
        <v>77.377899999999997</v>
      </c>
      <c r="AH46">
        <v>49.796999999999997</v>
      </c>
      <c r="AI46">
        <f>Table716257[[#This Row],[CFNM]]/Table716257[[#This Row],[CAREA]]</f>
        <v>0.64355584734142435</v>
      </c>
      <c r="AJ46">
        <v>2.5507599999999999</v>
      </c>
      <c r="AK46">
        <f>(Table817258[[#This Row],[time]]-2)*2</f>
        <v>1.1015199999999998</v>
      </c>
      <c r="AL46">
        <v>79.206500000000005</v>
      </c>
      <c r="AM46">
        <v>9.8139299999999992</v>
      </c>
      <c r="AN46">
        <f>Table817258[[#This Row],[CFNM]]/Table817258[[#This Row],[CAREA]]</f>
        <v>0.12390308876165464</v>
      </c>
    </row>
    <row r="47" spans="1:40" x14ac:dyDescent="0.25">
      <c r="A47">
        <v>2.60453</v>
      </c>
      <c r="B47">
        <f>(Table110251[[#This Row],[time]]-2)*2</f>
        <v>1.20906</v>
      </c>
      <c r="C47">
        <v>76.586399999999998</v>
      </c>
      <c r="D47">
        <v>39.717599999999997</v>
      </c>
      <c r="E47">
        <f>Table110251[[#This Row],[CFNM]]/Table110251[[#This Row],[CAREA]]</f>
        <v>0.51859860236282163</v>
      </c>
      <c r="F47">
        <v>2.60453</v>
      </c>
      <c r="G47">
        <f>(Table211252[[#This Row],[time]]-2)*2</f>
        <v>1.20906</v>
      </c>
      <c r="H47">
        <v>59.092300000000002</v>
      </c>
      <c r="I47">
        <v>1.1603799999999999E-3</v>
      </c>
      <c r="J47">
        <f>Table211252[[#This Row],[CFNM]]/Table211252[[#This Row],[CAREA]]</f>
        <v>1.963673778140299E-5</v>
      </c>
      <c r="K47">
        <v>2.60453</v>
      </c>
      <c r="L47">
        <f>(Table312253[[#This Row],[time]]-2)*2</f>
        <v>1.20906</v>
      </c>
      <c r="M47">
        <v>78.979299999999995</v>
      </c>
      <c r="N47">
        <v>33.453400000000002</v>
      </c>
      <c r="O47">
        <f>Table312253[[#This Row],[CFNM]]/Table312253[[#This Row],[CAREA]]</f>
        <v>0.42357174601446207</v>
      </c>
      <c r="P47">
        <v>2.60453</v>
      </c>
      <c r="Q47">
        <f>(Table413254[[#This Row],[time]]-2)*2</f>
        <v>1.20906</v>
      </c>
      <c r="R47">
        <v>78.002700000000004</v>
      </c>
      <c r="S47">
        <v>1.7336599999999999E-3</v>
      </c>
      <c r="T47">
        <f>Table413254[[#This Row],[CFNM]]/Table413254[[#This Row],[CAREA]]</f>
        <v>2.2225640907301925E-5</v>
      </c>
      <c r="U47">
        <v>2.60453</v>
      </c>
      <c r="V47">
        <f>(Table514255[[#This Row],[time]]-2)*2</f>
        <v>1.20906</v>
      </c>
      <c r="W47">
        <v>66.067300000000003</v>
      </c>
      <c r="X47">
        <v>38.539700000000003</v>
      </c>
      <c r="Y47">
        <f>Table514255[[#This Row],[CFNM]]/Table514255[[#This Row],[CAREA]]</f>
        <v>0.58334001843574657</v>
      </c>
      <c r="Z47">
        <v>2.60453</v>
      </c>
      <c r="AA47">
        <f>(Table615256[[#This Row],[time]]-2)*2</f>
        <v>1.20906</v>
      </c>
      <c r="AB47">
        <v>91.904300000000006</v>
      </c>
      <c r="AC47">
        <v>8.4621099999999991</v>
      </c>
      <c r="AD47">
        <f>Table615256[[#This Row],[CFNM]]/Table615256[[#This Row],[CAREA]]</f>
        <v>9.2075234782268062E-2</v>
      </c>
      <c r="AE47">
        <v>2.60453</v>
      </c>
      <c r="AF47">
        <f>(Table716257[[#This Row],[time]]-2)*2</f>
        <v>1.20906</v>
      </c>
      <c r="AG47">
        <v>77.270700000000005</v>
      </c>
      <c r="AH47">
        <v>52.206000000000003</v>
      </c>
      <c r="AI47">
        <f>Table716257[[#This Row],[CFNM]]/Table716257[[#This Row],[CAREA]]</f>
        <v>0.67562478403845183</v>
      </c>
      <c r="AJ47">
        <v>2.60453</v>
      </c>
      <c r="AK47">
        <f>(Table817258[[#This Row],[time]]-2)*2</f>
        <v>1.20906</v>
      </c>
      <c r="AL47">
        <v>78.601399999999998</v>
      </c>
      <c r="AM47">
        <v>9.2803900000000006</v>
      </c>
      <c r="AN47">
        <f>Table817258[[#This Row],[CFNM]]/Table817258[[#This Row],[CAREA]]</f>
        <v>0.11806901658240185</v>
      </c>
    </row>
    <row r="48" spans="1:40" x14ac:dyDescent="0.25">
      <c r="A48">
        <v>2.65273</v>
      </c>
      <c r="B48">
        <f>(Table110251[[#This Row],[time]]-2)*2</f>
        <v>1.3054600000000001</v>
      </c>
      <c r="C48">
        <v>75.828599999999994</v>
      </c>
      <c r="D48">
        <v>41.590600000000002</v>
      </c>
      <c r="E48">
        <f>Table110251[[#This Row],[CFNM]]/Table110251[[#This Row],[CAREA]]</f>
        <v>0.54848170742965063</v>
      </c>
      <c r="F48">
        <v>2.65273</v>
      </c>
      <c r="G48">
        <f>(Table211252[[#This Row],[time]]-2)*2</f>
        <v>1.3054600000000001</v>
      </c>
      <c r="H48">
        <v>53.175899999999999</v>
      </c>
      <c r="I48">
        <v>1.0122E-3</v>
      </c>
      <c r="J48">
        <f>Table211252[[#This Row],[CFNM]]/Table211252[[#This Row],[CAREA]]</f>
        <v>1.9034938759851739E-5</v>
      </c>
      <c r="K48">
        <v>2.65273</v>
      </c>
      <c r="L48">
        <f>(Table312253[[#This Row],[time]]-2)*2</f>
        <v>1.3054600000000001</v>
      </c>
      <c r="M48">
        <v>78.537700000000001</v>
      </c>
      <c r="N48">
        <v>34.984299999999998</v>
      </c>
      <c r="O48">
        <f>Table312253[[#This Row],[CFNM]]/Table312253[[#This Row],[CAREA]]</f>
        <v>0.44544594506841934</v>
      </c>
      <c r="P48">
        <v>2.65273</v>
      </c>
      <c r="Q48">
        <f>(Table413254[[#This Row],[time]]-2)*2</f>
        <v>1.3054600000000001</v>
      </c>
      <c r="R48">
        <v>72.550399999999996</v>
      </c>
      <c r="S48">
        <v>1.5569E-3</v>
      </c>
      <c r="T48">
        <f>Table413254[[#This Row],[CFNM]]/Table413254[[#This Row],[CAREA]]</f>
        <v>2.1459564661256174E-5</v>
      </c>
      <c r="U48">
        <v>2.65273</v>
      </c>
      <c r="V48">
        <f>(Table514255[[#This Row],[time]]-2)*2</f>
        <v>1.3054600000000001</v>
      </c>
      <c r="W48">
        <v>64.179299999999998</v>
      </c>
      <c r="X48">
        <v>40.623899999999999</v>
      </c>
      <c r="Y48">
        <f>Table514255[[#This Row],[CFNM]]/Table514255[[#This Row],[CAREA]]</f>
        <v>0.63297511814557028</v>
      </c>
      <c r="Z48">
        <v>2.65273</v>
      </c>
      <c r="AA48">
        <f>(Table615256[[#This Row],[time]]-2)*2</f>
        <v>1.3054600000000001</v>
      </c>
      <c r="AB48">
        <v>90.971900000000005</v>
      </c>
      <c r="AC48">
        <v>7.7858999999999998</v>
      </c>
      <c r="AD48">
        <f>Table615256[[#This Row],[CFNM]]/Table615256[[#This Row],[CAREA]]</f>
        <v>8.5585768792341366E-2</v>
      </c>
      <c r="AE48">
        <v>2.65273</v>
      </c>
      <c r="AF48">
        <f>(Table716257[[#This Row],[time]]-2)*2</f>
        <v>1.3054600000000001</v>
      </c>
      <c r="AG48">
        <v>77.035600000000002</v>
      </c>
      <c r="AH48">
        <v>54.709800000000001</v>
      </c>
      <c r="AI48">
        <f>Table716257[[#This Row],[CFNM]]/Table716257[[#This Row],[CAREA]]</f>
        <v>0.71018853620923317</v>
      </c>
      <c r="AJ48">
        <v>2.65273</v>
      </c>
      <c r="AK48">
        <f>(Table817258[[#This Row],[time]]-2)*2</f>
        <v>1.3054600000000001</v>
      </c>
      <c r="AL48">
        <v>77.952200000000005</v>
      </c>
      <c r="AM48">
        <v>8.6642399999999995</v>
      </c>
      <c r="AN48">
        <f>Table817258[[#This Row],[CFNM]]/Table817258[[#This Row],[CAREA]]</f>
        <v>0.11114811384412497</v>
      </c>
    </row>
    <row r="49" spans="1:40" x14ac:dyDescent="0.25">
      <c r="A49">
        <v>2.7006199999999998</v>
      </c>
      <c r="B49">
        <f>(Table110251[[#This Row],[time]]-2)*2</f>
        <v>1.4012399999999996</v>
      </c>
      <c r="C49">
        <v>74.6691</v>
      </c>
      <c r="D49">
        <v>43.451799999999999</v>
      </c>
      <c r="E49">
        <f>Table110251[[#This Row],[CFNM]]/Table110251[[#This Row],[CAREA]]</f>
        <v>0.58192478548690152</v>
      </c>
      <c r="F49">
        <v>2.7006199999999998</v>
      </c>
      <c r="G49">
        <f>(Table211252[[#This Row],[time]]-2)*2</f>
        <v>1.4012399999999996</v>
      </c>
      <c r="H49">
        <v>50.169899999999998</v>
      </c>
      <c r="I49">
        <v>8.7487399999999999E-4</v>
      </c>
      <c r="J49">
        <f>Table211252[[#This Row],[CFNM]]/Table211252[[#This Row],[CAREA]]</f>
        <v>1.7438224911749874E-5</v>
      </c>
      <c r="K49">
        <v>2.7006199999999998</v>
      </c>
      <c r="L49">
        <f>(Table312253[[#This Row],[time]]-2)*2</f>
        <v>1.4012399999999996</v>
      </c>
      <c r="M49">
        <v>78.111000000000004</v>
      </c>
      <c r="N49">
        <v>36.459099999999999</v>
      </c>
      <c r="O49">
        <f>Table312253[[#This Row],[CFNM]]/Table312253[[#This Row],[CAREA]]</f>
        <v>0.46676012341411577</v>
      </c>
      <c r="P49">
        <v>2.7006199999999998</v>
      </c>
      <c r="Q49">
        <f>(Table413254[[#This Row],[time]]-2)*2</f>
        <v>1.4012399999999996</v>
      </c>
      <c r="R49">
        <v>66.054000000000002</v>
      </c>
      <c r="S49">
        <v>1.3928300000000001E-3</v>
      </c>
      <c r="T49">
        <f>Table413254[[#This Row],[CFNM]]/Table413254[[#This Row],[CAREA]]</f>
        <v>2.1086232476458654E-5</v>
      </c>
      <c r="U49">
        <v>2.7006199999999998</v>
      </c>
      <c r="V49">
        <f>(Table514255[[#This Row],[time]]-2)*2</f>
        <v>1.4012399999999996</v>
      </c>
      <c r="W49">
        <v>63.367199999999997</v>
      </c>
      <c r="X49">
        <v>42.745399999999997</v>
      </c>
      <c r="Y49">
        <f>Table514255[[#This Row],[CFNM]]/Table514255[[#This Row],[CAREA]]</f>
        <v>0.6745666527793559</v>
      </c>
      <c r="Z49">
        <v>2.7006199999999998</v>
      </c>
      <c r="AA49">
        <f>(Table615256[[#This Row],[time]]-2)*2</f>
        <v>1.4012399999999996</v>
      </c>
      <c r="AB49">
        <v>90.852800000000002</v>
      </c>
      <c r="AC49">
        <v>7.08683</v>
      </c>
      <c r="AD49">
        <f>Table615256[[#This Row],[CFNM]]/Table615256[[#This Row],[CAREA]]</f>
        <v>7.8003429723684903E-2</v>
      </c>
      <c r="AE49">
        <v>2.7006199999999998</v>
      </c>
      <c r="AF49">
        <f>(Table716257[[#This Row],[time]]-2)*2</f>
        <v>1.4012399999999996</v>
      </c>
      <c r="AG49">
        <v>76.353999999999999</v>
      </c>
      <c r="AH49">
        <v>57.142499999999998</v>
      </c>
      <c r="AI49">
        <f>Table716257[[#This Row],[CFNM]]/Table716257[[#This Row],[CAREA]]</f>
        <v>0.74838908243183067</v>
      </c>
      <c r="AJ49">
        <v>2.7006199999999998</v>
      </c>
      <c r="AK49">
        <f>(Table817258[[#This Row],[time]]-2)*2</f>
        <v>1.4012399999999996</v>
      </c>
      <c r="AL49">
        <v>77.337599999999995</v>
      </c>
      <c r="AM49">
        <v>7.9886100000000004</v>
      </c>
      <c r="AN49">
        <f>Table817258[[#This Row],[CFNM]]/Table817258[[#This Row],[CAREA]]</f>
        <v>0.10329529232869912</v>
      </c>
    </row>
    <row r="50" spans="1:40" x14ac:dyDescent="0.25">
      <c r="A50">
        <v>2.75176</v>
      </c>
      <c r="B50">
        <f>(Table110251[[#This Row],[time]]-2)*2</f>
        <v>1.50352</v>
      </c>
      <c r="C50">
        <v>72.469399999999993</v>
      </c>
      <c r="D50">
        <v>45.4557</v>
      </c>
      <c r="E50">
        <f>Table110251[[#This Row],[CFNM]]/Table110251[[#This Row],[CAREA]]</f>
        <v>0.62723991091412379</v>
      </c>
      <c r="F50">
        <v>2.75176</v>
      </c>
      <c r="G50">
        <f>(Table211252[[#This Row],[time]]-2)*2</f>
        <v>1.50352</v>
      </c>
      <c r="H50">
        <v>44.106900000000003</v>
      </c>
      <c r="I50">
        <v>7.2792600000000005E-4</v>
      </c>
      <c r="J50">
        <f>Table211252[[#This Row],[CFNM]]/Table211252[[#This Row],[CAREA]]</f>
        <v>1.6503676295545594E-5</v>
      </c>
      <c r="K50">
        <v>2.75176</v>
      </c>
      <c r="L50">
        <f>(Table312253[[#This Row],[time]]-2)*2</f>
        <v>1.50352</v>
      </c>
      <c r="M50">
        <v>77.6541</v>
      </c>
      <c r="N50">
        <v>38.1036</v>
      </c>
      <c r="O50">
        <f>Table312253[[#This Row],[CFNM]]/Table312253[[#This Row],[CAREA]]</f>
        <v>0.49068368572940774</v>
      </c>
      <c r="P50">
        <v>2.75176</v>
      </c>
      <c r="Q50">
        <f>(Table413254[[#This Row],[time]]-2)*2</f>
        <v>1.50352</v>
      </c>
      <c r="R50">
        <v>62.5197</v>
      </c>
      <c r="S50">
        <v>1.2241699999999999E-3</v>
      </c>
      <c r="T50">
        <f>Table413254[[#This Row],[CFNM]]/Table413254[[#This Row],[CAREA]]</f>
        <v>1.9580548211203828E-5</v>
      </c>
      <c r="U50">
        <v>2.75176</v>
      </c>
      <c r="V50">
        <f>(Table514255[[#This Row],[time]]-2)*2</f>
        <v>1.50352</v>
      </c>
      <c r="W50">
        <v>62.136200000000002</v>
      </c>
      <c r="X50">
        <v>45.124400000000001</v>
      </c>
      <c r="Y50">
        <f>Table514255[[#This Row],[CFNM]]/Table514255[[#This Row],[CAREA]]</f>
        <v>0.72621756721524655</v>
      </c>
      <c r="Z50">
        <v>2.75176</v>
      </c>
      <c r="AA50">
        <f>(Table615256[[#This Row],[time]]-2)*2</f>
        <v>1.50352</v>
      </c>
      <c r="AB50">
        <v>90.403000000000006</v>
      </c>
      <c r="AC50">
        <v>6.3469499999999996</v>
      </c>
      <c r="AD50">
        <f>Table615256[[#This Row],[CFNM]]/Table615256[[#This Row],[CAREA]]</f>
        <v>7.0207294005729892E-2</v>
      </c>
      <c r="AE50">
        <v>2.75176</v>
      </c>
      <c r="AF50">
        <f>(Table716257[[#This Row],[time]]-2)*2</f>
        <v>1.50352</v>
      </c>
      <c r="AG50">
        <v>76.024500000000003</v>
      </c>
      <c r="AH50">
        <v>59.797899999999998</v>
      </c>
      <c r="AI50">
        <f>Table716257[[#This Row],[CFNM]]/Table716257[[#This Row],[CAREA]]</f>
        <v>0.7865609112851778</v>
      </c>
      <c r="AJ50">
        <v>2.75176</v>
      </c>
      <c r="AK50">
        <f>(Table817258[[#This Row],[time]]-2)*2</f>
        <v>1.50352</v>
      </c>
      <c r="AL50">
        <v>76.792100000000005</v>
      </c>
      <c r="AM50">
        <v>7.2704800000000001</v>
      </c>
      <c r="AN50">
        <f>Table817258[[#This Row],[CFNM]]/Table817258[[#This Row],[CAREA]]</f>
        <v>9.4677447289499825E-2</v>
      </c>
    </row>
    <row r="51" spans="1:40" x14ac:dyDescent="0.25">
      <c r="A51">
        <v>2.80444</v>
      </c>
      <c r="B51">
        <f>(Table110251[[#This Row],[time]]-2)*2</f>
        <v>1.6088800000000001</v>
      </c>
      <c r="C51">
        <v>72.039100000000005</v>
      </c>
      <c r="D51">
        <v>46.636299999999999</v>
      </c>
      <c r="E51">
        <f>Table110251[[#This Row],[CFNM]]/Table110251[[#This Row],[CAREA]]</f>
        <v>0.64737482839180382</v>
      </c>
      <c r="F51">
        <v>2.80444</v>
      </c>
      <c r="G51">
        <f>(Table211252[[#This Row],[time]]-2)*2</f>
        <v>1.6088800000000001</v>
      </c>
      <c r="H51">
        <v>42.040999999999997</v>
      </c>
      <c r="I51">
        <v>6.44149E-4</v>
      </c>
      <c r="J51">
        <f>Table211252[[#This Row],[CFNM]]/Table211252[[#This Row],[CAREA]]</f>
        <v>1.5321923836255086E-5</v>
      </c>
      <c r="K51">
        <v>2.80444</v>
      </c>
      <c r="L51">
        <f>(Table312253[[#This Row],[time]]-2)*2</f>
        <v>1.6088800000000001</v>
      </c>
      <c r="M51">
        <v>77.3262</v>
      </c>
      <c r="N51">
        <v>39.1526</v>
      </c>
      <c r="O51">
        <f>Table312253[[#This Row],[CFNM]]/Table312253[[#This Row],[CAREA]]</f>
        <v>0.5063303252972472</v>
      </c>
      <c r="P51">
        <v>2.80444</v>
      </c>
      <c r="Q51">
        <f>(Table413254[[#This Row],[time]]-2)*2</f>
        <v>1.6088800000000001</v>
      </c>
      <c r="R51">
        <v>58.283099999999997</v>
      </c>
      <c r="S51">
        <v>1.1280699999999999E-3</v>
      </c>
      <c r="T51">
        <f>Table413254[[#This Row],[CFNM]]/Table413254[[#This Row],[CAREA]]</f>
        <v>1.935501028600057E-5</v>
      </c>
      <c r="U51">
        <v>2.80444</v>
      </c>
      <c r="V51">
        <f>(Table514255[[#This Row],[time]]-2)*2</f>
        <v>1.6088800000000001</v>
      </c>
      <c r="W51">
        <v>61.697899999999997</v>
      </c>
      <c r="X51">
        <v>46.589599999999997</v>
      </c>
      <c r="Y51">
        <f>Table514255[[#This Row],[CFNM]]/Table514255[[#This Row],[CAREA]]</f>
        <v>0.75512456663841065</v>
      </c>
      <c r="Z51">
        <v>2.80444</v>
      </c>
      <c r="AA51">
        <f>(Table615256[[#This Row],[time]]-2)*2</f>
        <v>1.6088800000000001</v>
      </c>
      <c r="AB51">
        <v>90.021000000000001</v>
      </c>
      <c r="AC51">
        <v>5.8986299999999998</v>
      </c>
      <c r="AD51">
        <f>Table615256[[#This Row],[CFNM]]/Table615256[[#This Row],[CAREA]]</f>
        <v>6.552504415636351E-2</v>
      </c>
      <c r="AE51">
        <v>2.80444</v>
      </c>
      <c r="AF51">
        <f>(Table716257[[#This Row],[time]]-2)*2</f>
        <v>1.6088800000000001</v>
      </c>
      <c r="AG51">
        <v>75.8001</v>
      </c>
      <c r="AH51">
        <v>61.427999999999997</v>
      </c>
      <c r="AI51">
        <f>Table716257[[#This Row],[CFNM]]/Table716257[[#This Row],[CAREA]]</f>
        <v>0.81039470924180834</v>
      </c>
      <c r="AJ51">
        <v>2.80444</v>
      </c>
      <c r="AK51">
        <f>(Table817258[[#This Row],[time]]-2)*2</f>
        <v>1.6088800000000001</v>
      </c>
      <c r="AL51">
        <v>76.383600000000001</v>
      </c>
      <c r="AM51">
        <v>6.8309600000000001</v>
      </c>
      <c r="AN51">
        <f>Table817258[[#This Row],[CFNM]]/Table817258[[#This Row],[CAREA]]</f>
        <v>8.9429668148660185E-2</v>
      </c>
    </row>
    <row r="52" spans="1:40" x14ac:dyDescent="0.25">
      <c r="A52">
        <v>2.8583699999999999</v>
      </c>
      <c r="B52">
        <f>(Table110251[[#This Row],[time]]-2)*2</f>
        <v>1.7167399999999997</v>
      </c>
      <c r="C52">
        <v>70.866600000000005</v>
      </c>
      <c r="D52">
        <v>48.847099999999998</v>
      </c>
      <c r="E52">
        <f>Table110251[[#This Row],[CFNM]]/Table110251[[#This Row],[CAREA]]</f>
        <v>0.68928239819604709</v>
      </c>
      <c r="F52">
        <v>2.8583699999999999</v>
      </c>
      <c r="G52">
        <f>(Table211252[[#This Row],[time]]-2)*2</f>
        <v>1.7167399999999997</v>
      </c>
      <c r="H52">
        <v>36.027299999999997</v>
      </c>
      <c r="I52">
        <v>4.88789E-4</v>
      </c>
      <c r="J52">
        <f>Table211252[[#This Row],[CFNM]]/Table211252[[#This Row],[CAREA]]</f>
        <v>1.356718377452654E-5</v>
      </c>
      <c r="K52">
        <v>2.8583699999999999</v>
      </c>
      <c r="L52">
        <f>(Table312253[[#This Row],[time]]-2)*2</f>
        <v>1.7167399999999997</v>
      </c>
      <c r="M52">
        <v>76.778999999999996</v>
      </c>
      <c r="N52">
        <v>41.1999</v>
      </c>
      <c r="O52">
        <f>Table312253[[#This Row],[CFNM]]/Table312253[[#This Row],[CAREA]]</f>
        <v>0.53660375884030787</v>
      </c>
      <c r="P52">
        <v>2.8583699999999999</v>
      </c>
      <c r="Q52">
        <f>(Table413254[[#This Row],[time]]-2)*2</f>
        <v>1.7167399999999997</v>
      </c>
      <c r="R52">
        <v>48.191299999999998</v>
      </c>
      <c r="S52">
        <v>9.7200699999999999E-4</v>
      </c>
      <c r="T52">
        <f>Table413254[[#This Row],[CFNM]]/Table413254[[#This Row],[CAREA]]</f>
        <v>2.0169760931952447E-5</v>
      </c>
      <c r="U52">
        <v>2.8583699999999999</v>
      </c>
      <c r="V52">
        <f>(Table514255[[#This Row],[time]]-2)*2</f>
        <v>1.7167399999999997</v>
      </c>
      <c r="W52">
        <v>60.770299999999999</v>
      </c>
      <c r="X52">
        <v>49.454300000000003</v>
      </c>
      <c r="Y52">
        <f>Table514255[[#This Row],[CFNM]]/Table514255[[#This Row],[CAREA]]</f>
        <v>0.81379061811444087</v>
      </c>
      <c r="Z52">
        <v>2.8583699999999999</v>
      </c>
      <c r="AA52">
        <f>(Table615256[[#This Row],[time]]-2)*2</f>
        <v>1.7167399999999997</v>
      </c>
      <c r="AB52">
        <v>89.221999999999994</v>
      </c>
      <c r="AC52">
        <v>5.0861400000000003</v>
      </c>
      <c r="AD52">
        <f>Table615256[[#This Row],[CFNM]]/Table615256[[#This Row],[CAREA]]</f>
        <v>5.7005447087041319E-2</v>
      </c>
      <c r="AE52">
        <v>2.8583699999999999</v>
      </c>
      <c r="AF52">
        <f>(Table716257[[#This Row],[time]]-2)*2</f>
        <v>1.7167399999999997</v>
      </c>
      <c r="AG52">
        <v>74.9392</v>
      </c>
      <c r="AH52">
        <v>64.537599999999998</v>
      </c>
      <c r="AI52">
        <f>Table716257[[#This Row],[CFNM]]/Table716257[[#This Row],[CAREA]]</f>
        <v>0.86119947904434524</v>
      </c>
      <c r="AJ52">
        <v>2.8583699999999999</v>
      </c>
      <c r="AK52">
        <f>(Table817258[[#This Row],[time]]-2)*2</f>
        <v>1.7167399999999997</v>
      </c>
      <c r="AL52">
        <v>75.591999999999999</v>
      </c>
      <c r="AM52">
        <v>5.9787800000000004</v>
      </c>
      <c r="AN52">
        <f>Table817258[[#This Row],[CFNM]]/Table817258[[#This Row],[CAREA]]</f>
        <v>7.9092761138744846E-2</v>
      </c>
    </row>
    <row r="53" spans="1:40" x14ac:dyDescent="0.25">
      <c r="A53">
        <v>2.9134199999999999</v>
      </c>
      <c r="B53">
        <f>(Table110251[[#This Row],[time]]-2)*2</f>
        <v>1.8268399999999998</v>
      </c>
      <c r="C53">
        <v>70.213700000000003</v>
      </c>
      <c r="D53">
        <v>50.356400000000001</v>
      </c>
      <c r="E53">
        <f>Table110251[[#This Row],[CFNM]]/Table110251[[#This Row],[CAREA]]</f>
        <v>0.7171876713518871</v>
      </c>
      <c r="F53">
        <v>2.9134199999999999</v>
      </c>
      <c r="G53">
        <f>(Table211252[[#This Row],[time]]-2)*2</f>
        <v>1.8268399999999998</v>
      </c>
      <c r="H53">
        <v>30.433599999999998</v>
      </c>
      <c r="I53">
        <v>3.99923E-4</v>
      </c>
      <c r="J53">
        <f>Table211252[[#This Row],[CFNM]]/Table211252[[#This Row],[CAREA]]</f>
        <v>1.3140837758267178E-5</v>
      </c>
      <c r="K53">
        <v>2.9134199999999999</v>
      </c>
      <c r="L53">
        <f>(Table312253[[#This Row],[time]]-2)*2</f>
        <v>1.8268399999999998</v>
      </c>
      <c r="M53">
        <v>76.334500000000006</v>
      </c>
      <c r="N53">
        <v>42.641199999999998</v>
      </c>
      <c r="O53">
        <f>Table312253[[#This Row],[CFNM]]/Table312253[[#This Row],[CAREA]]</f>
        <v>0.5586098029069424</v>
      </c>
      <c r="P53">
        <v>2.9134199999999999</v>
      </c>
      <c r="Q53">
        <f>(Table413254[[#This Row],[time]]-2)*2</f>
        <v>1.8268399999999998</v>
      </c>
      <c r="R53">
        <v>44.987699999999997</v>
      </c>
      <c r="S53">
        <v>8.7393400000000004E-4</v>
      </c>
      <c r="T53">
        <f>Table413254[[#This Row],[CFNM]]/Table413254[[#This Row],[CAREA]]</f>
        <v>1.9426065346750336E-5</v>
      </c>
      <c r="U53">
        <v>2.9134199999999999</v>
      </c>
      <c r="V53">
        <f>(Table514255[[#This Row],[time]]-2)*2</f>
        <v>1.8268399999999998</v>
      </c>
      <c r="W53">
        <v>60.141300000000001</v>
      </c>
      <c r="X53">
        <v>51.488500000000002</v>
      </c>
      <c r="Y53">
        <f>Table514255[[#This Row],[CFNM]]/Table514255[[#This Row],[CAREA]]</f>
        <v>0.85612549113504366</v>
      </c>
      <c r="Z53">
        <v>2.9134199999999999</v>
      </c>
      <c r="AA53">
        <f>(Table615256[[#This Row],[time]]-2)*2</f>
        <v>1.8268399999999998</v>
      </c>
      <c r="AB53">
        <v>88.402799999999999</v>
      </c>
      <c r="AC53">
        <v>4.58643</v>
      </c>
      <c r="AD53">
        <f>Table615256[[#This Row],[CFNM]]/Table615256[[#This Row],[CAREA]]</f>
        <v>5.1881049016546985E-2</v>
      </c>
      <c r="AE53">
        <v>2.9134199999999999</v>
      </c>
      <c r="AF53">
        <f>(Table716257[[#This Row],[time]]-2)*2</f>
        <v>1.8268399999999998</v>
      </c>
      <c r="AG53">
        <v>74.527000000000001</v>
      </c>
      <c r="AH53">
        <v>66.648099999999999</v>
      </c>
      <c r="AI53">
        <f>Table716257[[#This Row],[CFNM]]/Table716257[[#This Row],[CAREA]]</f>
        <v>0.89428126719175594</v>
      </c>
      <c r="AJ53">
        <v>2.9134199999999999</v>
      </c>
      <c r="AK53">
        <f>(Table817258[[#This Row],[time]]-2)*2</f>
        <v>1.8268399999999998</v>
      </c>
      <c r="AL53">
        <v>74.973299999999995</v>
      </c>
      <c r="AM53">
        <v>5.4010300000000004</v>
      </c>
      <c r="AN53">
        <f>Table817258[[#This Row],[CFNM]]/Table817258[[#This Row],[CAREA]]</f>
        <v>7.203937935238279E-2</v>
      </c>
    </row>
    <row r="54" spans="1:40" x14ac:dyDescent="0.25">
      <c r="A54">
        <v>2.9619599999999999</v>
      </c>
      <c r="B54">
        <f>(Table110251[[#This Row],[time]]-2)*2</f>
        <v>1.9239199999999999</v>
      </c>
      <c r="C54">
        <v>69.529700000000005</v>
      </c>
      <c r="D54">
        <v>51.4495</v>
      </c>
      <c r="E54">
        <f>Table110251[[#This Row],[CFNM]]/Table110251[[#This Row],[CAREA]]</f>
        <v>0.73996436055383519</v>
      </c>
      <c r="F54">
        <v>2.9619599999999999</v>
      </c>
      <c r="G54">
        <f>(Table211252[[#This Row],[time]]-2)*2</f>
        <v>1.9239199999999999</v>
      </c>
      <c r="H54">
        <v>25.953600000000002</v>
      </c>
      <c r="I54">
        <v>3.4611700000000001E-4</v>
      </c>
      <c r="J54">
        <f>Table211252[[#This Row],[CFNM]]/Table211252[[#This Row],[CAREA]]</f>
        <v>1.3335991924049072E-5</v>
      </c>
      <c r="K54">
        <v>2.9619599999999999</v>
      </c>
      <c r="L54">
        <f>(Table312253[[#This Row],[time]]-2)*2</f>
        <v>1.9239199999999999</v>
      </c>
      <c r="M54">
        <v>76.075500000000005</v>
      </c>
      <c r="N54">
        <v>43.627299999999998</v>
      </c>
      <c r="O54">
        <f>Table312253[[#This Row],[CFNM]]/Table312253[[#This Row],[CAREA]]</f>
        <v>0.57347372018586795</v>
      </c>
      <c r="P54">
        <v>2.9619599999999999</v>
      </c>
      <c r="Q54">
        <f>(Table413254[[#This Row],[time]]-2)*2</f>
        <v>1.9239199999999999</v>
      </c>
      <c r="R54">
        <v>42.439900000000002</v>
      </c>
      <c r="S54">
        <v>8.1055099999999996E-4</v>
      </c>
      <c r="T54">
        <f>Table413254[[#This Row],[CFNM]]/Table413254[[#This Row],[CAREA]]</f>
        <v>1.9098796180009846E-5</v>
      </c>
      <c r="U54">
        <v>2.9619599999999999</v>
      </c>
      <c r="V54">
        <f>(Table514255[[#This Row],[time]]-2)*2</f>
        <v>1.9239199999999999</v>
      </c>
      <c r="W54">
        <v>59.7074</v>
      </c>
      <c r="X54">
        <v>52.884999999999998</v>
      </c>
      <c r="Y54">
        <f>Table514255[[#This Row],[CFNM]]/Table514255[[#This Row],[CAREA]]</f>
        <v>0.88573610641227052</v>
      </c>
      <c r="Z54">
        <v>2.9619599999999999</v>
      </c>
      <c r="AA54">
        <f>(Table615256[[#This Row],[time]]-2)*2</f>
        <v>1.9239199999999999</v>
      </c>
      <c r="AB54">
        <v>88.421999999999997</v>
      </c>
      <c r="AC54">
        <v>4.2662000000000004</v>
      </c>
      <c r="AD54">
        <f>Table615256[[#This Row],[CFNM]]/Table615256[[#This Row],[CAREA]]</f>
        <v>4.8248173531474071E-2</v>
      </c>
      <c r="AE54">
        <v>2.9619599999999999</v>
      </c>
      <c r="AF54">
        <f>(Table716257[[#This Row],[time]]-2)*2</f>
        <v>1.9239199999999999</v>
      </c>
      <c r="AG54">
        <v>74.199700000000007</v>
      </c>
      <c r="AH54">
        <v>68.097200000000001</v>
      </c>
      <c r="AI54">
        <f>Table716257[[#This Row],[CFNM]]/Table716257[[#This Row],[CAREA]]</f>
        <v>0.9177557321660329</v>
      </c>
      <c r="AJ54">
        <v>2.9619599999999999</v>
      </c>
      <c r="AK54">
        <f>(Table817258[[#This Row],[time]]-2)*2</f>
        <v>1.9239199999999999</v>
      </c>
      <c r="AL54">
        <v>74.531800000000004</v>
      </c>
      <c r="AM54">
        <v>4.9770300000000001</v>
      </c>
      <c r="AN54">
        <f>Table817258[[#This Row],[CFNM]]/Table817258[[#This Row],[CAREA]]</f>
        <v>6.6777268226448305E-2</v>
      </c>
    </row>
    <row r="55" spans="1:40" x14ac:dyDescent="0.25">
      <c r="A55">
        <v>3</v>
      </c>
      <c r="B55">
        <f>(Table110251[[#This Row],[time]]-2)*2</f>
        <v>2</v>
      </c>
      <c r="C55">
        <v>68.998500000000007</v>
      </c>
      <c r="D55">
        <v>52.873399999999997</v>
      </c>
      <c r="E55">
        <f>Table110251[[#This Row],[CFNM]]/Table110251[[#This Row],[CAREA]]</f>
        <v>0.76629781806850861</v>
      </c>
      <c r="F55">
        <v>3</v>
      </c>
      <c r="G55">
        <f>(Table211252[[#This Row],[time]]-2)*2</f>
        <v>2</v>
      </c>
      <c r="H55">
        <v>24.1267</v>
      </c>
      <c r="I55">
        <v>2.9040899999999999E-4</v>
      </c>
      <c r="J55">
        <f>Table211252[[#This Row],[CFNM]]/Table211252[[#This Row],[CAREA]]</f>
        <v>1.2036830565307316E-5</v>
      </c>
      <c r="K55">
        <v>3</v>
      </c>
      <c r="L55">
        <f>(Table312253[[#This Row],[time]]-2)*2</f>
        <v>2</v>
      </c>
      <c r="M55">
        <v>75.840999999999994</v>
      </c>
      <c r="N55">
        <v>44.819000000000003</v>
      </c>
      <c r="O55">
        <f>Table312253[[#This Row],[CFNM]]/Table312253[[#This Row],[CAREA]]</f>
        <v>0.59096003480966763</v>
      </c>
      <c r="P55">
        <v>3</v>
      </c>
      <c r="Q55">
        <f>(Table413254[[#This Row],[time]]-2)*2</f>
        <v>2</v>
      </c>
      <c r="R55">
        <v>38.174199999999999</v>
      </c>
      <c r="S55">
        <v>7.3267600000000003E-4</v>
      </c>
      <c r="T55">
        <f>Table413254[[#This Row],[CFNM]]/Table413254[[#This Row],[CAREA]]</f>
        <v>1.9192962786384524E-5</v>
      </c>
      <c r="U55">
        <v>3</v>
      </c>
      <c r="V55">
        <f>(Table514255[[#This Row],[time]]-2)*2</f>
        <v>2</v>
      </c>
      <c r="W55">
        <v>59.145499999999998</v>
      </c>
      <c r="X55">
        <v>54.603900000000003</v>
      </c>
      <c r="Y55">
        <f>Table514255[[#This Row],[CFNM]]/Table514255[[#This Row],[CAREA]]</f>
        <v>0.9232130931347271</v>
      </c>
      <c r="Z55">
        <v>3</v>
      </c>
      <c r="AA55">
        <f>(Table615256[[#This Row],[time]]-2)*2</f>
        <v>2</v>
      </c>
      <c r="AB55">
        <v>88.087400000000002</v>
      </c>
      <c r="AC55">
        <v>3.8541300000000001</v>
      </c>
      <c r="AD55">
        <f>Table615256[[#This Row],[CFNM]]/Table615256[[#This Row],[CAREA]]</f>
        <v>4.3753476660680191E-2</v>
      </c>
      <c r="AE55">
        <v>3</v>
      </c>
      <c r="AF55">
        <f>(Table716257[[#This Row],[time]]-2)*2</f>
        <v>2</v>
      </c>
      <c r="AG55">
        <v>73.815100000000001</v>
      </c>
      <c r="AH55">
        <v>69.885000000000005</v>
      </c>
      <c r="AI55">
        <f>Table716257[[#This Row],[CFNM]]/Table716257[[#This Row],[CAREA]]</f>
        <v>0.94675750625549515</v>
      </c>
      <c r="AJ55">
        <v>3</v>
      </c>
      <c r="AK55">
        <f>(Table817258[[#This Row],[time]]-2)*2</f>
        <v>2</v>
      </c>
      <c r="AL55">
        <v>74.098699999999994</v>
      </c>
      <c r="AM55">
        <v>4.4363400000000004</v>
      </c>
      <c r="AN55">
        <f>Table817258[[#This Row],[CFNM]]/Table817258[[#This Row],[CAREA]]</f>
        <v>5.9870685990442485E-2</v>
      </c>
    </row>
    <row r="58" spans="1:40" x14ac:dyDescent="0.25">
      <c r="A58" s="1" t="s">
        <v>17</v>
      </c>
    </row>
    <row r="59" spans="1:40" x14ac:dyDescent="0.25">
      <c r="A59" t="s">
        <v>36</v>
      </c>
      <c r="E59" t="s">
        <v>1</v>
      </c>
    </row>
    <row r="60" spans="1:40" x14ac:dyDescent="0.25">
      <c r="A60" t="s">
        <v>37</v>
      </c>
      <c r="E60" t="s">
        <v>2</v>
      </c>
      <c r="F60" t="s">
        <v>3</v>
      </c>
    </row>
    <row r="61" spans="1:40" x14ac:dyDescent="0.25">
      <c r="E61" t="s">
        <v>18</v>
      </c>
    </row>
    <row r="63" spans="1:40" x14ac:dyDescent="0.25">
      <c r="A63" t="s">
        <v>4</v>
      </c>
      <c r="F63" t="s">
        <v>5</v>
      </c>
      <c r="K63" t="s">
        <v>6</v>
      </c>
      <c r="P63" t="s">
        <v>7</v>
      </c>
      <c r="U63" t="s">
        <v>8</v>
      </c>
      <c r="Z63" t="s">
        <v>9</v>
      </c>
      <c r="AE63" t="s">
        <v>10</v>
      </c>
      <c r="AJ63" t="s">
        <v>11</v>
      </c>
    </row>
    <row r="64" spans="1:40" x14ac:dyDescent="0.25">
      <c r="A64" t="s">
        <v>12</v>
      </c>
      <c r="B64" t="s">
        <v>13</v>
      </c>
      <c r="C64" t="s">
        <v>19</v>
      </c>
      <c r="D64" t="s">
        <v>15</v>
      </c>
      <c r="E64" s="2" t="s">
        <v>16</v>
      </c>
      <c r="F64" t="s">
        <v>12</v>
      </c>
      <c r="G64" t="s">
        <v>13</v>
      </c>
      <c r="H64" t="s">
        <v>19</v>
      </c>
      <c r="I64" t="s">
        <v>15</v>
      </c>
      <c r="J64" s="2" t="s">
        <v>16</v>
      </c>
      <c r="K64" t="s">
        <v>12</v>
      </c>
      <c r="L64" t="s">
        <v>13</v>
      </c>
      <c r="M64" t="s">
        <v>14</v>
      </c>
      <c r="N64" t="s">
        <v>15</v>
      </c>
      <c r="O64" t="s">
        <v>16</v>
      </c>
      <c r="P64" t="s">
        <v>12</v>
      </c>
      <c r="Q64" t="s">
        <v>13</v>
      </c>
      <c r="R64" t="s">
        <v>14</v>
      </c>
      <c r="S64" t="s">
        <v>15</v>
      </c>
      <c r="T64" t="s">
        <v>16</v>
      </c>
      <c r="U64" t="s">
        <v>12</v>
      </c>
      <c r="V64" t="s">
        <v>13</v>
      </c>
      <c r="W64" t="s">
        <v>14</v>
      </c>
      <c r="X64" t="s">
        <v>15</v>
      </c>
      <c r="Y64" t="s">
        <v>16</v>
      </c>
      <c r="Z64" t="s">
        <v>12</v>
      </c>
      <c r="AA64" t="s">
        <v>13</v>
      </c>
      <c r="AB64" t="s">
        <v>14</v>
      </c>
      <c r="AC64" t="s">
        <v>15</v>
      </c>
      <c r="AD64" t="s">
        <v>16</v>
      </c>
      <c r="AE64" t="s">
        <v>12</v>
      </c>
      <c r="AF64" t="s">
        <v>13</v>
      </c>
      <c r="AG64" t="s">
        <v>14</v>
      </c>
      <c r="AH64" t="s">
        <v>15</v>
      </c>
      <c r="AI64" t="s">
        <v>16</v>
      </c>
      <c r="AJ64" t="s">
        <v>12</v>
      </c>
      <c r="AK64" t="s">
        <v>13</v>
      </c>
      <c r="AL64" t="s">
        <v>14</v>
      </c>
      <c r="AM64" t="s">
        <v>15</v>
      </c>
      <c r="AN64" t="s">
        <v>16</v>
      </c>
    </row>
    <row r="65" spans="1:40" x14ac:dyDescent="0.25">
      <c r="A65">
        <v>2</v>
      </c>
      <c r="B65">
        <f>-(Table219[[#This Row],[time]]-2)*2</f>
        <v>0</v>
      </c>
      <c r="C65">
        <v>91.921300000000002</v>
      </c>
      <c r="D65">
        <v>9.3756500000000003</v>
      </c>
      <c r="E65">
        <f>Table219[[#This Row],[CFNM]]/Table219[[#This Row],[CAREA ]]</f>
        <v>0.10199649047609205</v>
      </c>
      <c r="F65">
        <v>2</v>
      </c>
      <c r="G65">
        <f>-(Table320[[#This Row],[time]]-2)*2</f>
        <v>0</v>
      </c>
      <c r="H65">
        <v>94.718199999999996</v>
      </c>
      <c r="I65">
        <v>2.8455900000000001</v>
      </c>
      <c r="J65" s="2">
        <f>Table320[[#This Row],[CFNM]]/Table320[[#This Row],[CAREA ]]</f>
        <v>3.0042695068107292E-2</v>
      </c>
      <c r="K65">
        <v>2</v>
      </c>
      <c r="L65">
        <f>-(Table421[[#This Row],[time]]-2)*2</f>
        <v>0</v>
      </c>
      <c r="M65">
        <v>89.822999999999993</v>
      </c>
      <c r="N65">
        <v>2.7683800000000001</v>
      </c>
      <c r="O65">
        <f>Table421[[#This Row],[CFNM]]/Table421[[#This Row],[CAREA]]</f>
        <v>3.0820391213831649E-2</v>
      </c>
      <c r="P65">
        <v>2</v>
      </c>
      <c r="Q65">
        <f>-(Table16[[#This Row],[time]]-2)*2</f>
        <v>0</v>
      </c>
      <c r="R65">
        <v>84.903199999999998</v>
      </c>
      <c r="S65">
        <v>4.4528400000000001</v>
      </c>
      <c r="T65">
        <f>Table16[[#This Row],[CFNM]]/Table16[[#This Row],[CAREA]]</f>
        <v>5.2446079770844915E-2</v>
      </c>
      <c r="U65">
        <v>2</v>
      </c>
      <c r="V65">
        <f>-(Table622[[#This Row],[time]]-2)*2</f>
        <v>0</v>
      </c>
      <c r="W65">
        <v>83.020300000000006</v>
      </c>
      <c r="X65">
        <v>8.6436100000000007</v>
      </c>
      <c r="Y65">
        <f>Table622[[#This Row],[CFNM]]/Table622[[#This Row],[CAREA]]</f>
        <v>0.10411441538997089</v>
      </c>
      <c r="Z65">
        <v>2</v>
      </c>
      <c r="AA65">
        <f>-(Table723[[#This Row],[time]]-2)*2</f>
        <v>0</v>
      </c>
      <c r="AB65">
        <v>88.872600000000006</v>
      </c>
      <c r="AC65">
        <v>13.6356</v>
      </c>
      <c r="AD65">
        <f>Table723[[#This Row],[CFNM]]/Table723[[#This Row],[CAREA]]</f>
        <v>0.1534286157938442</v>
      </c>
      <c r="AE65">
        <v>2</v>
      </c>
      <c r="AF65">
        <f>-(Table824[[#This Row],[time]]-2)*2</f>
        <v>0</v>
      </c>
      <c r="AG65">
        <v>78.913399999999996</v>
      </c>
      <c r="AH65">
        <v>19.2013</v>
      </c>
      <c r="AI65">
        <f>Table824[[#This Row],[CFNM]]/Table824[[#This Row],[CAREA]]</f>
        <v>0.24332115965095916</v>
      </c>
      <c r="AJ65">
        <v>2</v>
      </c>
      <c r="AK65">
        <f>-(Table925[[#This Row],[time]]-2)*2</f>
        <v>0</v>
      </c>
      <c r="AL65">
        <v>83.194400000000002</v>
      </c>
      <c r="AM65">
        <v>18.7179</v>
      </c>
      <c r="AN65">
        <f>Table925[[#This Row],[CFNM]]/Table925[[#This Row],[CAREA]]</f>
        <v>0.22498990316655929</v>
      </c>
    </row>
    <row r="66" spans="1:40" x14ac:dyDescent="0.25">
      <c r="A66">
        <v>2.0512600000000001</v>
      </c>
      <c r="B66">
        <f>-(Table219[[#This Row],[time]]-2)*2</f>
        <v>-0.10252000000000017</v>
      </c>
      <c r="C66">
        <v>88.766800000000003</v>
      </c>
      <c r="D66">
        <v>7.8788200000000002</v>
      </c>
      <c r="E66">
        <f>Table219[[#This Row],[CFNM]]/Table219[[#This Row],[CAREA ]]</f>
        <v>8.8758634985152102E-2</v>
      </c>
      <c r="F66">
        <v>2.0512600000000001</v>
      </c>
      <c r="G66">
        <f>-(Table320[[#This Row],[time]]-2)*2</f>
        <v>-0.10252000000000017</v>
      </c>
      <c r="H66">
        <v>94.141499999999994</v>
      </c>
      <c r="I66">
        <v>6.3465800000000003</v>
      </c>
      <c r="J66" s="2">
        <f>Table320[[#This Row],[CFNM]]/Table320[[#This Row],[CAREA ]]</f>
        <v>6.7415326928081679E-2</v>
      </c>
      <c r="K66">
        <v>2.0512600000000001</v>
      </c>
      <c r="L66">
        <f>-(Table421[[#This Row],[time]]-2)*2</f>
        <v>-0.10252000000000017</v>
      </c>
      <c r="M66">
        <v>88.453599999999994</v>
      </c>
      <c r="N66">
        <v>0.257656</v>
      </c>
      <c r="O66">
        <f>Table421[[#This Row],[CFNM]]/Table421[[#This Row],[CAREA]]</f>
        <v>2.9128944440927223E-3</v>
      </c>
      <c r="P66">
        <v>2.0512600000000001</v>
      </c>
      <c r="Q66">
        <f>-(Table16[[#This Row],[time]]-2)*2</f>
        <v>-0.10252000000000017</v>
      </c>
      <c r="R66">
        <v>83.962900000000005</v>
      </c>
      <c r="S66">
        <v>8.46523</v>
      </c>
      <c r="T66">
        <f>Table16[[#This Row],[CFNM]]/Table16[[#This Row],[CAREA]]</f>
        <v>0.10082107692802415</v>
      </c>
      <c r="U66">
        <v>2.0512600000000001</v>
      </c>
      <c r="V66">
        <f>-(Table622[[#This Row],[time]]-2)*2</f>
        <v>-0.10252000000000017</v>
      </c>
      <c r="W66">
        <v>82.436000000000007</v>
      </c>
      <c r="X66">
        <v>4.5449099999999998</v>
      </c>
      <c r="Y66">
        <f>Table622[[#This Row],[CFNM]]/Table622[[#This Row],[CAREA]]</f>
        <v>5.5132587704400986E-2</v>
      </c>
      <c r="Z66">
        <v>2.0512600000000001</v>
      </c>
      <c r="AA66">
        <f>-(Table723[[#This Row],[time]]-2)*2</f>
        <v>-0.10252000000000017</v>
      </c>
      <c r="AB66">
        <v>86.537499999999994</v>
      </c>
      <c r="AC66">
        <v>13.7751</v>
      </c>
      <c r="AD66">
        <f>Table723[[#This Row],[CFNM]]/Table723[[#This Row],[CAREA]]</f>
        <v>0.1591807020078001</v>
      </c>
      <c r="AE66">
        <v>2.0512600000000001</v>
      </c>
      <c r="AF66">
        <f>-(Table824[[#This Row],[time]]-2)*2</f>
        <v>-0.10252000000000017</v>
      </c>
      <c r="AG66">
        <v>79.345500000000001</v>
      </c>
      <c r="AH66">
        <v>17.384599999999999</v>
      </c>
      <c r="AI66">
        <f>Table824[[#This Row],[CFNM]]/Table824[[#This Row],[CAREA]]</f>
        <v>0.2191000119729537</v>
      </c>
      <c r="AJ66">
        <v>2.0512600000000001</v>
      </c>
      <c r="AK66">
        <f>-(Table925[[#This Row],[time]]-2)*2</f>
        <v>-0.10252000000000017</v>
      </c>
      <c r="AL66">
        <v>83.1434</v>
      </c>
      <c r="AM66">
        <v>21.7898</v>
      </c>
      <c r="AN66">
        <f>Table925[[#This Row],[CFNM]]/Table925[[#This Row],[CAREA]]</f>
        <v>0.26207492116030856</v>
      </c>
    </row>
    <row r="67" spans="1:40" x14ac:dyDescent="0.25">
      <c r="A67">
        <v>2.1153300000000002</v>
      </c>
      <c r="B67">
        <f>-(Table219[[#This Row],[time]]-2)*2</f>
        <v>-0.23066000000000031</v>
      </c>
      <c r="C67">
        <v>86.217699999999994</v>
      </c>
      <c r="D67">
        <v>5.9873900000000004</v>
      </c>
      <c r="E67">
        <f>Table219[[#This Row],[CFNM]]/Table219[[#This Row],[CAREA ]]</f>
        <v>6.9445021149949493E-2</v>
      </c>
      <c r="F67">
        <v>2.1153300000000002</v>
      </c>
      <c r="G67">
        <f>-(Table320[[#This Row],[time]]-2)*2</f>
        <v>-0.23066000000000031</v>
      </c>
      <c r="H67">
        <v>92.884600000000006</v>
      </c>
      <c r="I67">
        <v>9.3747100000000003</v>
      </c>
      <c r="J67" s="2">
        <f>Table320[[#This Row],[CFNM]]/Table320[[#This Row],[CAREA ]]</f>
        <v>0.1009285715823721</v>
      </c>
      <c r="K67">
        <v>2.1153300000000002</v>
      </c>
      <c r="L67">
        <f>-(Table421[[#This Row],[time]]-2)*2</f>
        <v>-0.23066000000000031</v>
      </c>
      <c r="M67">
        <v>88.434799999999996</v>
      </c>
      <c r="N67">
        <v>4.0996899999999996E-3</v>
      </c>
      <c r="O67">
        <f>Table421[[#This Row],[CFNM]]/Table421[[#This Row],[CAREA]]</f>
        <v>4.6358334049491829E-5</v>
      </c>
      <c r="P67">
        <v>2.1153300000000002</v>
      </c>
      <c r="Q67">
        <f>-(Table16[[#This Row],[time]]-2)*2</f>
        <v>-0.23066000000000031</v>
      </c>
      <c r="R67">
        <v>82.012200000000007</v>
      </c>
      <c r="S67">
        <v>10.830500000000001</v>
      </c>
      <c r="T67">
        <f>Table16[[#This Row],[CFNM]]/Table16[[#This Row],[CAREA]]</f>
        <v>0.13205962039794078</v>
      </c>
      <c r="U67">
        <v>2.1153300000000002</v>
      </c>
      <c r="V67">
        <f>-(Table622[[#This Row],[time]]-2)*2</f>
        <v>-0.23066000000000031</v>
      </c>
      <c r="W67">
        <v>82.651499999999999</v>
      </c>
      <c r="X67">
        <v>1.74712</v>
      </c>
      <c r="Y67">
        <f>Table622[[#This Row],[CFNM]]/Table622[[#This Row],[CAREA]]</f>
        <v>2.1138394342510421E-2</v>
      </c>
      <c r="Z67">
        <v>2.1153300000000002</v>
      </c>
      <c r="AA67">
        <f>-(Table723[[#This Row],[time]]-2)*2</f>
        <v>-0.23066000000000031</v>
      </c>
      <c r="AB67">
        <v>84.292599999999993</v>
      </c>
      <c r="AC67">
        <v>12.809699999999999</v>
      </c>
      <c r="AD67">
        <f>Table723[[#This Row],[CFNM]]/Table723[[#This Row],[CAREA]]</f>
        <v>0.15196707658798045</v>
      </c>
      <c r="AE67">
        <v>2.1153300000000002</v>
      </c>
      <c r="AF67">
        <f>-(Table824[[#This Row],[time]]-2)*2</f>
        <v>-0.23066000000000031</v>
      </c>
      <c r="AG67">
        <v>79.700699999999998</v>
      </c>
      <c r="AH67">
        <v>15.310600000000001</v>
      </c>
      <c r="AI67">
        <f>Table824[[#This Row],[CFNM]]/Table824[[#This Row],[CAREA]]</f>
        <v>0.19210119860929706</v>
      </c>
      <c r="AJ67">
        <v>2.1153300000000002</v>
      </c>
      <c r="AK67">
        <f>-(Table925[[#This Row],[time]]-2)*2</f>
        <v>-0.23066000000000031</v>
      </c>
      <c r="AL67">
        <v>83.017200000000003</v>
      </c>
      <c r="AM67">
        <v>24.045100000000001</v>
      </c>
      <c r="AN67">
        <f>Table925[[#This Row],[CFNM]]/Table925[[#This Row],[CAREA]]</f>
        <v>0.28963997822138066</v>
      </c>
    </row>
    <row r="68" spans="1:40" x14ac:dyDescent="0.25">
      <c r="A68">
        <v>2.1747100000000001</v>
      </c>
      <c r="B68">
        <f>-(Table219[[#This Row],[time]]-2)*2</f>
        <v>-0.34942000000000029</v>
      </c>
      <c r="C68">
        <v>83.566199999999995</v>
      </c>
      <c r="D68">
        <v>4.06881</v>
      </c>
      <c r="E68">
        <f>Table219[[#This Row],[CFNM]]/Table219[[#This Row],[CAREA ]]</f>
        <v>4.8689661609598145E-2</v>
      </c>
      <c r="F68">
        <v>2.1747100000000001</v>
      </c>
      <c r="G68">
        <f>-(Table320[[#This Row],[time]]-2)*2</f>
        <v>-0.34942000000000029</v>
      </c>
      <c r="H68">
        <v>91.168599999999998</v>
      </c>
      <c r="I68">
        <v>13.692399999999999</v>
      </c>
      <c r="J68" s="2">
        <f>Table320[[#This Row],[CFNM]]/Table320[[#This Row],[CAREA ]]</f>
        <v>0.15018767426504301</v>
      </c>
      <c r="K68">
        <v>2.1747100000000001</v>
      </c>
      <c r="L68">
        <f>-(Table421[[#This Row],[time]]-2)*2</f>
        <v>-0.34942000000000029</v>
      </c>
      <c r="M68">
        <v>82.368099999999998</v>
      </c>
      <c r="N68">
        <v>3.0642999999999998E-3</v>
      </c>
      <c r="O68">
        <f>Table421[[#This Row],[CFNM]]/Table421[[#This Row],[CAREA]]</f>
        <v>3.7202509223837868E-5</v>
      </c>
      <c r="P68">
        <v>2.1747100000000001</v>
      </c>
      <c r="Q68">
        <f>-(Table16[[#This Row],[time]]-2)*2</f>
        <v>-0.34942000000000029</v>
      </c>
      <c r="R68">
        <v>80.891099999999994</v>
      </c>
      <c r="S68">
        <v>14.4596</v>
      </c>
      <c r="T68">
        <f>Table16[[#This Row],[CFNM]]/Table16[[#This Row],[CAREA]]</f>
        <v>0.17875390494133472</v>
      </c>
      <c r="U68">
        <v>2.1747100000000001</v>
      </c>
      <c r="V68">
        <f>-(Table622[[#This Row],[time]]-2)*2</f>
        <v>-0.34942000000000029</v>
      </c>
      <c r="W68">
        <v>82.967399999999998</v>
      </c>
      <c r="X68">
        <v>0.15024399999999999</v>
      </c>
      <c r="Y68">
        <f>Table622[[#This Row],[CFNM]]/Table622[[#This Row],[CAREA]]</f>
        <v>1.8108799359748528E-3</v>
      </c>
      <c r="Z68">
        <v>2.1747100000000001</v>
      </c>
      <c r="AA68">
        <f>-(Table723[[#This Row],[time]]-2)*2</f>
        <v>-0.34942000000000029</v>
      </c>
      <c r="AB68">
        <v>84.032799999999995</v>
      </c>
      <c r="AC68">
        <v>14.0671</v>
      </c>
      <c r="AD68">
        <f>Table723[[#This Row],[CFNM]]/Table723[[#This Row],[CAREA]]</f>
        <v>0.16740011043306902</v>
      </c>
      <c r="AE68">
        <v>2.1747100000000001</v>
      </c>
      <c r="AF68">
        <f>-(Table824[[#This Row],[time]]-2)*2</f>
        <v>-0.34942000000000029</v>
      </c>
      <c r="AG68">
        <v>80.113699999999994</v>
      </c>
      <c r="AH68">
        <v>12.8962</v>
      </c>
      <c r="AI68">
        <f>Table824[[#This Row],[CFNM]]/Table824[[#This Row],[CAREA]]</f>
        <v>0.16097371610598438</v>
      </c>
      <c r="AJ68">
        <v>2.1747100000000001</v>
      </c>
      <c r="AK68">
        <f>-(Table925[[#This Row],[time]]-2)*2</f>
        <v>-0.34942000000000029</v>
      </c>
      <c r="AL68">
        <v>82.875</v>
      </c>
      <c r="AM68">
        <v>27.189399999999999</v>
      </c>
      <c r="AN68">
        <f>Table925[[#This Row],[CFNM]]/Table925[[#This Row],[CAREA]]</f>
        <v>0.32807722473604828</v>
      </c>
    </row>
    <row r="69" spans="1:40" x14ac:dyDescent="0.25">
      <c r="A69">
        <v>2.20404</v>
      </c>
      <c r="B69">
        <f>-(Table219[[#This Row],[time]]-2)*2</f>
        <v>-0.40808</v>
      </c>
      <c r="C69">
        <v>82.509600000000006</v>
      </c>
      <c r="D69">
        <v>3.3281200000000002</v>
      </c>
      <c r="E69">
        <f>Table219[[#This Row],[CFNM]]/Table219[[#This Row],[CAREA ]]</f>
        <v>4.033615482319633E-2</v>
      </c>
      <c r="F69">
        <v>2.20404</v>
      </c>
      <c r="G69">
        <f>-(Table320[[#This Row],[time]]-2)*2</f>
        <v>-0.40808</v>
      </c>
      <c r="H69">
        <v>90.496399999999994</v>
      </c>
      <c r="I69">
        <v>15.639900000000001</v>
      </c>
      <c r="J69" s="2">
        <f>Table320[[#This Row],[CFNM]]/Table320[[#This Row],[CAREA ]]</f>
        <v>0.17282344933058114</v>
      </c>
      <c r="K69">
        <v>2.20404</v>
      </c>
      <c r="L69">
        <f>-(Table421[[#This Row],[time]]-2)*2</f>
        <v>-0.40808</v>
      </c>
      <c r="M69">
        <v>78.697999999999993</v>
      </c>
      <c r="N69">
        <v>2.8374099999999998E-3</v>
      </c>
      <c r="O69">
        <f>Table421[[#This Row],[CFNM]]/Table421[[#This Row],[CAREA]]</f>
        <v>3.6054410531398512E-5</v>
      </c>
      <c r="P69">
        <v>2.20404</v>
      </c>
      <c r="Q69">
        <f>-(Table16[[#This Row],[time]]-2)*2</f>
        <v>-0.40808</v>
      </c>
      <c r="R69">
        <v>80.444199999999995</v>
      </c>
      <c r="S69">
        <v>16.032900000000001</v>
      </c>
      <c r="T69">
        <f>Table16[[#This Row],[CFNM]]/Table16[[#This Row],[CAREA]]</f>
        <v>0.1993046111466085</v>
      </c>
      <c r="U69">
        <v>2.20404</v>
      </c>
      <c r="V69">
        <f>-(Table622[[#This Row],[time]]-2)*2</f>
        <v>-0.40808</v>
      </c>
      <c r="W69">
        <v>82.909599999999998</v>
      </c>
      <c r="X69">
        <v>5.1114100000000003E-3</v>
      </c>
      <c r="Y69">
        <f>Table622[[#This Row],[CFNM]]/Table622[[#This Row],[CAREA]]</f>
        <v>6.1650399953684505E-5</v>
      </c>
      <c r="Z69">
        <v>2.20404</v>
      </c>
      <c r="AA69">
        <f>-(Table723[[#This Row],[time]]-2)*2</f>
        <v>-0.40808</v>
      </c>
      <c r="AB69">
        <v>83.457300000000004</v>
      </c>
      <c r="AC69">
        <v>15.2896</v>
      </c>
      <c r="AD69">
        <f>Table723[[#This Row],[CFNM]]/Table723[[#This Row],[CAREA]]</f>
        <v>0.18320266771151233</v>
      </c>
      <c r="AE69">
        <v>2.20404</v>
      </c>
      <c r="AF69">
        <f>-(Table824[[#This Row],[time]]-2)*2</f>
        <v>-0.40808</v>
      </c>
      <c r="AG69">
        <v>80.159599999999998</v>
      </c>
      <c r="AH69">
        <v>11.965299999999999</v>
      </c>
      <c r="AI69">
        <f>Table824[[#This Row],[CFNM]]/Table824[[#This Row],[CAREA]]</f>
        <v>0.14926845942345021</v>
      </c>
      <c r="AJ69">
        <v>2.20404</v>
      </c>
      <c r="AK69">
        <f>-(Table925[[#This Row],[time]]-2)*2</f>
        <v>-0.40808</v>
      </c>
      <c r="AL69">
        <v>82.804699999999997</v>
      </c>
      <c r="AM69">
        <v>28.572800000000001</v>
      </c>
      <c r="AN69">
        <f>Table925[[#This Row],[CFNM]]/Table925[[#This Row],[CAREA]]</f>
        <v>0.3450625387206282</v>
      </c>
    </row>
    <row r="70" spans="1:40" x14ac:dyDescent="0.25">
      <c r="A70">
        <v>2.2512099999999999</v>
      </c>
      <c r="B70">
        <f>-(Table219[[#This Row],[time]]-2)*2</f>
        <v>-0.50241999999999987</v>
      </c>
      <c r="C70">
        <v>78.525099999999995</v>
      </c>
      <c r="D70">
        <v>1.9087499999999999</v>
      </c>
      <c r="E70">
        <f>Table219[[#This Row],[CFNM]]/Table219[[#This Row],[CAREA ]]</f>
        <v>2.4307514412589097E-2</v>
      </c>
      <c r="F70">
        <v>2.2512099999999999</v>
      </c>
      <c r="G70">
        <f>-(Table320[[#This Row],[time]]-2)*2</f>
        <v>-0.50241999999999987</v>
      </c>
      <c r="H70">
        <v>88.848200000000006</v>
      </c>
      <c r="I70">
        <v>19.818100000000001</v>
      </c>
      <c r="J70" s="2">
        <f>Table320[[#This Row],[CFNM]]/Table320[[#This Row],[CAREA ]]</f>
        <v>0.22305572875983981</v>
      </c>
      <c r="K70">
        <v>2.2512099999999999</v>
      </c>
      <c r="L70">
        <f>-(Table421[[#This Row],[time]]-2)*2</f>
        <v>-0.50241999999999987</v>
      </c>
      <c r="M70">
        <v>74.449600000000004</v>
      </c>
      <c r="N70">
        <v>2.3900000000000002E-3</v>
      </c>
      <c r="O70">
        <f>Table421[[#This Row],[CFNM]]/Table421[[#This Row],[CAREA]]</f>
        <v>3.2102254411037801E-5</v>
      </c>
      <c r="P70">
        <v>2.2512099999999999</v>
      </c>
      <c r="Q70">
        <f>-(Table16[[#This Row],[time]]-2)*2</f>
        <v>-0.50241999999999987</v>
      </c>
      <c r="R70">
        <v>79.448400000000007</v>
      </c>
      <c r="S70">
        <v>19.453299999999999</v>
      </c>
      <c r="T70">
        <f>Table16[[#This Row],[CFNM]]/Table16[[#This Row],[CAREA]]</f>
        <v>0.24485452192869833</v>
      </c>
      <c r="U70">
        <v>2.2512099999999999</v>
      </c>
      <c r="V70">
        <f>-(Table622[[#This Row],[time]]-2)*2</f>
        <v>-0.50241999999999987</v>
      </c>
      <c r="W70">
        <v>82.862499999999997</v>
      </c>
      <c r="X70">
        <v>4.59897E-3</v>
      </c>
      <c r="Y70">
        <f>Table622[[#This Row],[CFNM]]/Table622[[#This Row],[CAREA]]</f>
        <v>5.5501221903756224E-5</v>
      </c>
      <c r="Z70">
        <v>2.2512099999999999</v>
      </c>
      <c r="AA70">
        <f>-(Table723[[#This Row],[time]]-2)*2</f>
        <v>-0.50241999999999987</v>
      </c>
      <c r="AB70">
        <v>82.050799999999995</v>
      </c>
      <c r="AC70">
        <v>18.662500000000001</v>
      </c>
      <c r="AD70">
        <f>Table723[[#This Row],[CFNM]]/Table723[[#This Row],[CAREA]]</f>
        <v>0.22745055502201078</v>
      </c>
      <c r="AE70">
        <v>2.2512099999999999</v>
      </c>
      <c r="AF70">
        <f>-(Table824[[#This Row],[time]]-2)*2</f>
        <v>-0.50241999999999987</v>
      </c>
      <c r="AG70">
        <v>79.765199999999993</v>
      </c>
      <c r="AH70">
        <v>10.1257</v>
      </c>
      <c r="AI70">
        <f>Table824[[#This Row],[CFNM]]/Table824[[#This Row],[CAREA]]</f>
        <v>0.12694383014146521</v>
      </c>
      <c r="AJ70">
        <v>2.2512099999999999</v>
      </c>
      <c r="AK70">
        <f>-(Table925[[#This Row],[time]]-2)*2</f>
        <v>-0.50241999999999987</v>
      </c>
      <c r="AL70">
        <v>82.837199999999996</v>
      </c>
      <c r="AM70">
        <v>31.698599999999999</v>
      </c>
      <c r="AN70">
        <f>Table925[[#This Row],[CFNM]]/Table925[[#This Row],[CAREA]]</f>
        <v>0.38266141298836753</v>
      </c>
    </row>
    <row r="71" spans="1:40" x14ac:dyDescent="0.25">
      <c r="A71">
        <v>2.3028900000000001</v>
      </c>
      <c r="B71">
        <f>-(Table219[[#This Row],[time]]-2)*2</f>
        <v>-0.60578000000000021</v>
      </c>
      <c r="C71">
        <v>76.600499999999997</v>
      </c>
      <c r="D71">
        <v>1.2536700000000001</v>
      </c>
      <c r="E71">
        <f>Table219[[#This Row],[CFNM]]/Table219[[#This Row],[CAREA ]]</f>
        <v>1.6366342256251592E-2</v>
      </c>
      <c r="F71">
        <v>2.3028900000000001</v>
      </c>
      <c r="G71">
        <f>-(Table320[[#This Row],[time]]-2)*2</f>
        <v>-0.60578000000000021</v>
      </c>
      <c r="H71">
        <v>87.934799999999996</v>
      </c>
      <c r="I71">
        <v>22.046800000000001</v>
      </c>
      <c r="J71" s="2">
        <f>Table320[[#This Row],[CFNM]]/Table320[[#This Row],[CAREA ]]</f>
        <v>0.25071757711395265</v>
      </c>
      <c r="K71">
        <v>2.3028900000000001</v>
      </c>
      <c r="L71">
        <f>-(Table421[[#This Row],[time]]-2)*2</f>
        <v>-0.60578000000000021</v>
      </c>
      <c r="M71">
        <v>71.237300000000005</v>
      </c>
      <c r="N71">
        <v>2.1613000000000001E-3</v>
      </c>
      <c r="O71">
        <f>Table421[[#This Row],[CFNM]]/Table421[[#This Row],[CAREA]]</f>
        <v>3.0339442960359248E-5</v>
      </c>
      <c r="P71">
        <v>2.3028900000000001</v>
      </c>
      <c r="Q71">
        <f>-(Table16[[#This Row],[time]]-2)*2</f>
        <v>-0.60578000000000021</v>
      </c>
      <c r="R71">
        <v>79.056899999999999</v>
      </c>
      <c r="S71">
        <v>21.340199999999999</v>
      </c>
      <c r="T71">
        <f>Table16[[#This Row],[CFNM]]/Table16[[#This Row],[CAREA]]</f>
        <v>0.26993469260747638</v>
      </c>
      <c r="U71">
        <v>2.3028900000000001</v>
      </c>
      <c r="V71">
        <f>-(Table622[[#This Row],[time]]-2)*2</f>
        <v>-0.60578000000000021</v>
      </c>
      <c r="W71">
        <v>82.741699999999994</v>
      </c>
      <c r="X71">
        <v>4.4584999999999998E-3</v>
      </c>
      <c r="Y71">
        <f>Table622[[#This Row],[CFNM]]/Table622[[#This Row],[CAREA]]</f>
        <v>5.3884558813754128E-5</v>
      </c>
      <c r="Z71">
        <v>2.3028900000000001</v>
      </c>
      <c r="AA71">
        <f>-(Table723[[#This Row],[time]]-2)*2</f>
        <v>-0.60578000000000021</v>
      </c>
      <c r="AB71">
        <v>81.526899999999998</v>
      </c>
      <c r="AC71">
        <v>20.733899999999998</v>
      </c>
      <c r="AD71">
        <f>Table723[[#This Row],[CFNM]]/Table723[[#This Row],[CAREA]]</f>
        <v>0.25431973986500161</v>
      </c>
      <c r="AE71">
        <v>2.3028900000000001</v>
      </c>
      <c r="AF71">
        <f>-(Table824[[#This Row],[time]]-2)*2</f>
        <v>-0.60578000000000021</v>
      </c>
      <c r="AG71">
        <v>79.395899999999997</v>
      </c>
      <c r="AH71">
        <v>9.1637900000000005</v>
      </c>
      <c r="AI71">
        <f>Table824[[#This Row],[CFNM]]/Table824[[#This Row],[CAREA]]</f>
        <v>0.11541893221186486</v>
      </c>
      <c r="AJ71">
        <v>2.3028900000000001</v>
      </c>
      <c r="AK71">
        <f>-(Table925[[#This Row],[time]]-2)*2</f>
        <v>-0.60578000000000021</v>
      </c>
      <c r="AL71">
        <v>82.864400000000003</v>
      </c>
      <c r="AM71">
        <v>33.447099999999999</v>
      </c>
      <c r="AN71">
        <f>Table925[[#This Row],[CFNM]]/Table925[[#This Row],[CAREA]]</f>
        <v>0.40363654355790901</v>
      </c>
    </row>
    <row r="72" spans="1:40" x14ac:dyDescent="0.25">
      <c r="A72">
        <v>2.3528600000000002</v>
      </c>
      <c r="B72">
        <f>-(Table219[[#This Row],[time]]-2)*2</f>
        <v>-0.70572000000000035</v>
      </c>
      <c r="C72">
        <v>76.287400000000005</v>
      </c>
      <c r="D72">
        <v>0.51440699999999995</v>
      </c>
      <c r="E72">
        <f>Table219[[#This Row],[CFNM]]/Table219[[#This Row],[CAREA ]]</f>
        <v>6.74301391841903E-3</v>
      </c>
      <c r="F72">
        <v>2.3528600000000002</v>
      </c>
      <c r="G72">
        <f>-(Table320[[#This Row],[time]]-2)*2</f>
        <v>-0.70572000000000035</v>
      </c>
      <c r="H72">
        <v>86.602000000000004</v>
      </c>
      <c r="I72">
        <v>25.2334</v>
      </c>
      <c r="J72" s="2">
        <f>Table320[[#This Row],[CFNM]]/Table320[[#This Row],[CAREA ]]</f>
        <v>0.29137202374079119</v>
      </c>
      <c r="K72">
        <v>2.3528600000000002</v>
      </c>
      <c r="L72">
        <f>-(Table421[[#This Row],[time]]-2)*2</f>
        <v>-0.70572000000000035</v>
      </c>
      <c r="M72">
        <v>69.453299999999999</v>
      </c>
      <c r="N72">
        <v>1.85367E-3</v>
      </c>
      <c r="O72">
        <f>Table421[[#This Row],[CFNM]]/Table421[[#This Row],[CAREA]]</f>
        <v>2.668944456202945E-5</v>
      </c>
      <c r="P72">
        <v>2.3528600000000002</v>
      </c>
      <c r="Q72">
        <f>-(Table16[[#This Row],[time]]-2)*2</f>
        <v>-0.70572000000000035</v>
      </c>
      <c r="R72">
        <v>78.313199999999995</v>
      </c>
      <c r="S72">
        <v>24.261900000000001</v>
      </c>
      <c r="T72">
        <f>Table16[[#This Row],[CFNM]]/Table16[[#This Row],[CAREA]]</f>
        <v>0.30980600971483735</v>
      </c>
      <c r="U72">
        <v>2.3528600000000002</v>
      </c>
      <c r="V72">
        <f>-(Table622[[#This Row],[time]]-2)*2</f>
        <v>-0.70572000000000035</v>
      </c>
      <c r="W72">
        <v>83.340699999999998</v>
      </c>
      <c r="X72">
        <v>4.2671599999999999E-3</v>
      </c>
      <c r="Y72">
        <f>Table622[[#This Row],[CFNM]]/Table622[[#This Row],[CAREA]]</f>
        <v>5.1201393796788364E-5</v>
      </c>
      <c r="Z72">
        <v>2.3528600000000002</v>
      </c>
      <c r="AA72">
        <f>-(Table723[[#This Row],[time]]-2)*2</f>
        <v>-0.70572000000000035</v>
      </c>
      <c r="AB72">
        <v>79.837199999999996</v>
      </c>
      <c r="AC72">
        <v>23.840800000000002</v>
      </c>
      <c r="AD72">
        <f>Table723[[#This Row],[CFNM]]/Table723[[#This Row],[CAREA]]</f>
        <v>0.29861768699303087</v>
      </c>
      <c r="AE72">
        <v>2.3528600000000002</v>
      </c>
      <c r="AF72">
        <f>-(Table824[[#This Row],[time]]-2)*2</f>
        <v>-0.70572000000000035</v>
      </c>
      <c r="AG72">
        <v>78.556899999999999</v>
      </c>
      <c r="AH72">
        <v>7.8557899999999998</v>
      </c>
      <c r="AI72">
        <f>Table824[[#This Row],[CFNM]]/Table824[[#This Row],[CAREA]]</f>
        <v>0.1000012729626551</v>
      </c>
      <c r="AJ72">
        <v>2.3528600000000002</v>
      </c>
      <c r="AK72">
        <f>-(Table925[[#This Row],[time]]-2)*2</f>
        <v>-0.70572000000000035</v>
      </c>
      <c r="AL72">
        <v>83.033100000000005</v>
      </c>
      <c r="AM72">
        <v>36.1584</v>
      </c>
      <c r="AN72">
        <f>Table925[[#This Row],[CFNM]]/Table925[[#This Row],[CAREA]]</f>
        <v>0.43546971027216858</v>
      </c>
    </row>
    <row r="73" spans="1:40" x14ac:dyDescent="0.25">
      <c r="A73">
        <v>2.4111699999999998</v>
      </c>
      <c r="B73">
        <f>-(Table219[[#This Row],[time]]-2)*2</f>
        <v>-0.82233999999999963</v>
      </c>
      <c r="C73">
        <v>73.855400000000003</v>
      </c>
      <c r="D73">
        <v>0.167014</v>
      </c>
      <c r="E73">
        <f>Table219[[#This Row],[CFNM]]/Table219[[#This Row],[CAREA ]]</f>
        <v>2.261364774952136E-3</v>
      </c>
      <c r="F73">
        <v>2.4111699999999998</v>
      </c>
      <c r="G73">
        <f>-(Table320[[#This Row],[time]]-2)*2</f>
        <v>-0.82233999999999963</v>
      </c>
      <c r="H73">
        <v>85.746099999999998</v>
      </c>
      <c r="I73">
        <v>27.260999999999999</v>
      </c>
      <c r="J73" s="2">
        <f>Table320[[#This Row],[CFNM]]/Table320[[#This Row],[CAREA ]]</f>
        <v>0.31792699609661546</v>
      </c>
      <c r="K73">
        <v>2.4111699999999998</v>
      </c>
      <c r="L73">
        <f>-(Table421[[#This Row],[time]]-2)*2</f>
        <v>-0.82233999999999963</v>
      </c>
      <c r="M73">
        <v>67.001099999999994</v>
      </c>
      <c r="N73">
        <v>1.68626E-3</v>
      </c>
      <c r="O73">
        <f>Table421[[#This Row],[CFNM]]/Table421[[#This Row],[CAREA]]</f>
        <v>2.5167646501326101E-5</v>
      </c>
      <c r="P73">
        <v>2.4111699999999998</v>
      </c>
      <c r="Q73">
        <f>-(Table16[[#This Row],[time]]-2)*2</f>
        <v>-0.82233999999999963</v>
      </c>
      <c r="R73">
        <v>77.7958</v>
      </c>
      <c r="S73">
        <v>26.1829</v>
      </c>
      <c r="T73">
        <f>Table16[[#This Row],[CFNM]]/Table16[[#This Row],[CAREA]]</f>
        <v>0.33655930011645874</v>
      </c>
      <c r="U73">
        <v>2.4111699999999998</v>
      </c>
      <c r="V73">
        <f>-(Table622[[#This Row],[time]]-2)*2</f>
        <v>-0.82233999999999963</v>
      </c>
      <c r="W73">
        <v>83.156000000000006</v>
      </c>
      <c r="X73">
        <v>4.1271800000000003E-3</v>
      </c>
      <c r="Y73">
        <f>Table622[[#This Row],[CFNM]]/Table622[[#This Row],[CAREA]]</f>
        <v>4.9631776420222229E-5</v>
      </c>
      <c r="Z73">
        <v>2.4111699999999998</v>
      </c>
      <c r="AA73">
        <f>-(Table723[[#This Row],[time]]-2)*2</f>
        <v>-0.82233999999999963</v>
      </c>
      <c r="AB73">
        <v>79.239099999999993</v>
      </c>
      <c r="AC73">
        <v>25.8567</v>
      </c>
      <c r="AD73">
        <f>Table723[[#This Row],[CFNM]]/Table723[[#This Row],[CAREA]]</f>
        <v>0.32631238870709034</v>
      </c>
      <c r="AE73">
        <v>2.4111699999999998</v>
      </c>
      <c r="AF73">
        <f>-(Table824[[#This Row],[time]]-2)*2</f>
        <v>-0.82233999999999963</v>
      </c>
      <c r="AG73">
        <v>77.843000000000004</v>
      </c>
      <c r="AH73">
        <v>7.0263499999999999</v>
      </c>
      <c r="AI73">
        <f>Table824[[#This Row],[CFNM]]/Table824[[#This Row],[CAREA]]</f>
        <v>9.0263093662885541E-2</v>
      </c>
      <c r="AJ73">
        <v>2.4111699999999998</v>
      </c>
      <c r="AK73">
        <f>-(Table925[[#This Row],[time]]-2)*2</f>
        <v>-0.82233999999999963</v>
      </c>
      <c r="AL73">
        <v>83.115399999999994</v>
      </c>
      <c r="AM73">
        <v>37.972499999999997</v>
      </c>
      <c r="AN73">
        <f>Table925[[#This Row],[CFNM]]/Table925[[#This Row],[CAREA]]</f>
        <v>0.45686479280614661</v>
      </c>
    </row>
    <row r="74" spans="1:40" x14ac:dyDescent="0.25">
      <c r="A74">
        <v>2.4602499999999998</v>
      </c>
      <c r="B74">
        <f>-(Table219[[#This Row],[time]]-2)*2</f>
        <v>-0.92049999999999965</v>
      </c>
      <c r="C74">
        <v>72.549599999999998</v>
      </c>
      <c r="D74">
        <v>3.0902199999999999E-3</v>
      </c>
      <c r="E74">
        <f>Table219[[#This Row],[CFNM]]/Table219[[#This Row],[CAREA ]]</f>
        <v>4.2594583567655779E-5</v>
      </c>
      <c r="F74">
        <v>2.4602499999999998</v>
      </c>
      <c r="G74">
        <f>-(Table320[[#This Row],[time]]-2)*2</f>
        <v>-0.92049999999999965</v>
      </c>
      <c r="H74">
        <v>84.881399999999999</v>
      </c>
      <c r="I74">
        <v>29.191700000000001</v>
      </c>
      <c r="J74" s="2">
        <f>Table320[[#This Row],[CFNM]]/Table320[[#This Row],[CAREA ]]</f>
        <v>0.34391162256984453</v>
      </c>
      <c r="K74">
        <v>2.4602499999999998</v>
      </c>
      <c r="L74">
        <f>-(Table421[[#This Row],[time]]-2)*2</f>
        <v>-0.92049999999999965</v>
      </c>
      <c r="M74">
        <v>62.889699999999998</v>
      </c>
      <c r="N74">
        <v>1.5301900000000001E-3</v>
      </c>
      <c r="O74">
        <f>Table421[[#This Row],[CFNM]]/Table421[[#This Row],[CAREA]]</f>
        <v>2.4331329295576224E-5</v>
      </c>
      <c r="P74">
        <v>2.4602499999999998</v>
      </c>
      <c r="Q74">
        <f>-(Table16[[#This Row],[time]]-2)*2</f>
        <v>-0.92049999999999965</v>
      </c>
      <c r="R74">
        <v>77.268799999999999</v>
      </c>
      <c r="S74">
        <v>28.137899999999998</v>
      </c>
      <c r="T74">
        <f>Table16[[#This Row],[CFNM]]/Table16[[#This Row],[CAREA]]</f>
        <v>0.36415603710682704</v>
      </c>
      <c r="U74">
        <v>2.4602499999999998</v>
      </c>
      <c r="V74">
        <f>-(Table622[[#This Row],[time]]-2)*2</f>
        <v>-0.92049999999999965</v>
      </c>
      <c r="W74">
        <v>82.869900000000001</v>
      </c>
      <c r="X74">
        <v>3.9740799999999996E-3</v>
      </c>
      <c r="Y74">
        <f>Table622[[#This Row],[CFNM]]/Table622[[#This Row],[CAREA]]</f>
        <v>4.7955650966152961E-5</v>
      </c>
      <c r="Z74">
        <v>2.4602499999999998</v>
      </c>
      <c r="AA74">
        <f>-(Table723[[#This Row],[time]]-2)*2</f>
        <v>-0.92049999999999965</v>
      </c>
      <c r="AB74">
        <v>78.445800000000006</v>
      </c>
      <c r="AC74">
        <v>27.871099999999998</v>
      </c>
      <c r="AD74">
        <f>Table723[[#This Row],[CFNM]]/Table723[[#This Row],[CAREA]]</f>
        <v>0.35529116918942755</v>
      </c>
      <c r="AE74">
        <v>2.4602499999999998</v>
      </c>
      <c r="AF74">
        <f>-(Table824[[#This Row],[time]]-2)*2</f>
        <v>-0.92049999999999965</v>
      </c>
      <c r="AG74">
        <v>77.161799999999999</v>
      </c>
      <c r="AH74">
        <v>6.2376199999999997</v>
      </c>
      <c r="AI74">
        <f>Table824[[#This Row],[CFNM]]/Table824[[#This Row],[CAREA]]</f>
        <v>8.0838186771174339E-2</v>
      </c>
      <c r="AJ74">
        <v>2.4602499999999998</v>
      </c>
      <c r="AK74">
        <f>-(Table925[[#This Row],[time]]-2)*2</f>
        <v>-0.92049999999999965</v>
      </c>
      <c r="AL74">
        <v>83</v>
      </c>
      <c r="AM74">
        <v>39.856299999999997</v>
      </c>
      <c r="AN74">
        <f>Table925[[#This Row],[CFNM]]/Table925[[#This Row],[CAREA]]</f>
        <v>0.48019638554216865</v>
      </c>
    </row>
    <row r="75" spans="1:40" x14ac:dyDescent="0.25">
      <c r="A75">
        <v>2.51267</v>
      </c>
      <c r="B75">
        <f>-(Table219[[#This Row],[time]]-2)*2</f>
        <v>-1.0253399999999999</v>
      </c>
      <c r="C75">
        <v>70.091099999999997</v>
      </c>
      <c r="D75">
        <v>2.5086399999999999E-3</v>
      </c>
      <c r="E75">
        <f>Table219[[#This Row],[CFNM]]/Table219[[#This Row],[CAREA ]]</f>
        <v>3.5791134680437318E-5</v>
      </c>
      <c r="F75">
        <v>2.51267</v>
      </c>
      <c r="G75">
        <f>-(Table320[[#This Row],[time]]-2)*2</f>
        <v>-1.0253399999999999</v>
      </c>
      <c r="H75">
        <v>83.981499999999997</v>
      </c>
      <c r="I75">
        <v>31.388999999999999</v>
      </c>
      <c r="J75" s="2">
        <f>Table320[[#This Row],[CFNM]]/Table320[[#This Row],[CAREA ]]</f>
        <v>0.37376088781457822</v>
      </c>
      <c r="K75">
        <v>2.51267</v>
      </c>
      <c r="L75">
        <f>-(Table421[[#This Row],[time]]-2)*2</f>
        <v>-1.0253399999999999</v>
      </c>
      <c r="M75">
        <v>61.375799999999998</v>
      </c>
      <c r="N75">
        <v>1.3576899999999999E-3</v>
      </c>
      <c r="O75">
        <f>Table421[[#This Row],[CFNM]]/Table421[[#This Row],[CAREA]]</f>
        <v>2.2120933657891219E-5</v>
      </c>
      <c r="P75">
        <v>2.51267</v>
      </c>
      <c r="Q75">
        <f>-(Table16[[#This Row],[time]]-2)*2</f>
        <v>-1.0253399999999999</v>
      </c>
      <c r="R75">
        <v>76.553100000000001</v>
      </c>
      <c r="S75">
        <v>30.439399999999999</v>
      </c>
      <c r="T75">
        <f>Table16[[#This Row],[CFNM]]/Table16[[#This Row],[CAREA]]</f>
        <v>0.3976246553046186</v>
      </c>
      <c r="U75">
        <v>2.51267</v>
      </c>
      <c r="V75">
        <f>-(Table622[[#This Row],[time]]-2)*2</f>
        <v>-1.0253399999999999</v>
      </c>
      <c r="W75">
        <v>82.532600000000002</v>
      </c>
      <c r="X75">
        <v>3.78137E-3</v>
      </c>
      <c r="Y75">
        <f>Table622[[#This Row],[CFNM]]/Table622[[#This Row],[CAREA]]</f>
        <v>4.5816683346944117E-5</v>
      </c>
      <c r="Z75">
        <v>2.51267</v>
      </c>
      <c r="AA75">
        <f>-(Table723[[#This Row],[time]]-2)*2</f>
        <v>-1.0253399999999999</v>
      </c>
      <c r="AB75">
        <v>77.446299999999994</v>
      </c>
      <c r="AC75">
        <v>30.299399999999999</v>
      </c>
      <c r="AD75">
        <f>Table723[[#This Row],[CFNM]]/Table723[[#This Row],[CAREA]]</f>
        <v>0.39123108528102701</v>
      </c>
      <c r="AE75">
        <v>2.51267</v>
      </c>
      <c r="AF75">
        <f>-(Table824[[#This Row],[time]]-2)*2</f>
        <v>-1.0253399999999999</v>
      </c>
      <c r="AG75">
        <v>76.424199999999999</v>
      </c>
      <c r="AH75">
        <v>5.3571799999999996</v>
      </c>
      <c r="AI75">
        <f>Table824[[#This Row],[CFNM]]/Table824[[#This Row],[CAREA]]</f>
        <v>7.009795326611204E-2</v>
      </c>
      <c r="AJ75">
        <v>2.51267</v>
      </c>
      <c r="AK75">
        <f>-(Table925[[#This Row],[time]]-2)*2</f>
        <v>-1.0253399999999999</v>
      </c>
      <c r="AL75">
        <v>83.0946</v>
      </c>
      <c r="AM75">
        <v>42.121299999999998</v>
      </c>
      <c r="AN75">
        <f>Table925[[#This Row],[CFNM]]/Table925[[#This Row],[CAREA]]</f>
        <v>0.50690778943517389</v>
      </c>
    </row>
    <row r="76" spans="1:40" x14ac:dyDescent="0.25">
      <c r="A76">
        <v>2.5564</v>
      </c>
      <c r="B76">
        <f>-(Table219[[#This Row],[time]]-2)*2</f>
        <v>-1.1128</v>
      </c>
      <c r="C76">
        <v>67.325699999999998</v>
      </c>
      <c r="D76">
        <v>2.2639499999999998E-3</v>
      </c>
      <c r="E76">
        <f>Table219[[#This Row],[CFNM]]/Table219[[#This Row],[CAREA ]]</f>
        <v>3.3626831952731274E-5</v>
      </c>
      <c r="F76">
        <v>2.5564</v>
      </c>
      <c r="G76">
        <f>-(Table320[[#This Row],[time]]-2)*2</f>
        <v>-1.1128</v>
      </c>
      <c r="H76">
        <v>82.895399999999995</v>
      </c>
      <c r="I76">
        <v>34.128399999999999</v>
      </c>
      <c r="J76" s="2">
        <f>Table320[[#This Row],[CFNM]]/Table320[[#This Row],[CAREA ]]</f>
        <v>0.41170438890457134</v>
      </c>
      <c r="K76">
        <v>2.5564</v>
      </c>
      <c r="L76">
        <f>-(Table421[[#This Row],[time]]-2)*2</f>
        <v>-1.1128</v>
      </c>
      <c r="M76">
        <v>57.36</v>
      </c>
      <c r="N76">
        <v>1.1608499999999999E-3</v>
      </c>
      <c r="O76">
        <f>Table421[[#This Row],[CFNM]]/Table421[[#This Row],[CAREA]]</f>
        <v>2.0237970711297069E-5</v>
      </c>
      <c r="P76">
        <v>2.5564</v>
      </c>
      <c r="Q76">
        <f>-(Table16[[#This Row],[time]]-2)*2</f>
        <v>-1.1128</v>
      </c>
      <c r="R76">
        <v>75.621499999999997</v>
      </c>
      <c r="S76">
        <v>33.336300000000001</v>
      </c>
      <c r="T76">
        <f>Table16[[#This Row],[CFNM]]/Table16[[#This Row],[CAREA]]</f>
        <v>0.44083098060736697</v>
      </c>
      <c r="U76">
        <v>2.5564</v>
      </c>
      <c r="V76">
        <f>-(Table622[[#This Row],[time]]-2)*2</f>
        <v>-1.1128</v>
      </c>
      <c r="W76">
        <v>81.852500000000006</v>
      </c>
      <c r="X76">
        <v>3.5393099999999999E-3</v>
      </c>
      <c r="Y76">
        <f>Table622[[#This Row],[CFNM]]/Table622[[#This Row],[CAREA]]</f>
        <v>4.3240096515072843E-5</v>
      </c>
      <c r="Z76">
        <v>2.5564</v>
      </c>
      <c r="AA76">
        <f>-(Table723[[#This Row],[time]]-2)*2</f>
        <v>-1.1128</v>
      </c>
      <c r="AB76">
        <v>76.585599999999999</v>
      </c>
      <c r="AC76">
        <v>33.326500000000003</v>
      </c>
      <c r="AD76">
        <f>Table723[[#This Row],[CFNM]]/Table723[[#This Row],[CAREA]]</f>
        <v>0.43515360589980367</v>
      </c>
      <c r="AE76">
        <v>2.5564</v>
      </c>
      <c r="AF76">
        <f>-(Table824[[#This Row],[time]]-2)*2</f>
        <v>-1.1128</v>
      </c>
      <c r="AG76">
        <v>75.470399999999998</v>
      </c>
      <c r="AH76">
        <v>4.3125999999999998</v>
      </c>
      <c r="AI76">
        <f>Table824[[#This Row],[CFNM]]/Table824[[#This Row],[CAREA]]</f>
        <v>5.7142932858445163E-2</v>
      </c>
      <c r="AJ76">
        <v>2.5564</v>
      </c>
      <c r="AK76">
        <f>-(Table925[[#This Row],[time]]-2)*2</f>
        <v>-1.1128</v>
      </c>
      <c r="AL76">
        <v>83.105199999999996</v>
      </c>
      <c r="AM76">
        <v>45.061100000000003</v>
      </c>
      <c r="AN76">
        <f>Table925[[#This Row],[CFNM]]/Table925[[#This Row],[CAREA]]</f>
        <v>0.54221757483286248</v>
      </c>
    </row>
    <row r="77" spans="1:40" x14ac:dyDescent="0.25">
      <c r="A77">
        <v>2.6033400000000002</v>
      </c>
      <c r="B77">
        <f>-(Table219[[#This Row],[time]]-2)*2</f>
        <v>-1.2066800000000004</v>
      </c>
      <c r="C77">
        <v>64.508200000000002</v>
      </c>
      <c r="D77">
        <v>2.06047E-3</v>
      </c>
      <c r="E77">
        <f>Table219[[#This Row],[CFNM]]/Table219[[#This Row],[CAREA ]]</f>
        <v>3.1941210574779637E-5</v>
      </c>
      <c r="F77">
        <v>2.6033400000000002</v>
      </c>
      <c r="G77">
        <f>-(Table320[[#This Row],[time]]-2)*2</f>
        <v>-1.2066800000000004</v>
      </c>
      <c r="H77">
        <v>81.966999999999999</v>
      </c>
      <c r="I77">
        <v>36.307600000000001</v>
      </c>
      <c r="J77" s="2">
        <f>Table320[[#This Row],[CFNM]]/Table320[[#This Row],[CAREA ]]</f>
        <v>0.44295387168006639</v>
      </c>
      <c r="K77">
        <v>2.6033400000000002</v>
      </c>
      <c r="L77">
        <f>-(Table421[[#This Row],[time]]-2)*2</f>
        <v>-1.2066800000000004</v>
      </c>
      <c r="M77">
        <v>55.695999999999998</v>
      </c>
      <c r="N77">
        <v>1.0128800000000001E-3</v>
      </c>
      <c r="O77">
        <f>Table421[[#This Row],[CFNM]]/Table421[[#This Row],[CAREA]]</f>
        <v>1.8185866130422293E-5</v>
      </c>
      <c r="P77">
        <v>2.6033400000000002</v>
      </c>
      <c r="Q77">
        <f>-(Table16[[#This Row],[time]]-2)*2</f>
        <v>-1.2066800000000004</v>
      </c>
      <c r="R77">
        <v>74.855099999999993</v>
      </c>
      <c r="S77">
        <v>35.734000000000002</v>
      </c>
      <c r="T77">
        <f>Table16[[#This Row],[CFNM]]/Table16[[#This Row],[CAREA]]</f>
        <v>0.47737562303704095</v>
      </c>
      <c r="U77">
        <v>2.6033400000000002</v>
      </c>
      <c r="V77">
        <f>-(Table622[[#This Row],[time]]-2)*2</f>
        <v>-1.2066800000000004</v>
      </c>
      <c r="W77">
        <v>81.188199999999995</v>
      </c>
      <c r="X77">
        <v>3.3439300000000002E-3</v>
      </c>
      <c r="Y77">
        <f>Table622[[#This Row],[CFNM]]/Table622[[#This Row],[CAREA]]</f>
        <v>4.1187389300415584E-5</v>
      </c>
      <c r="Z77">
        <v>2.6033400000000002</v>
      </c>
      <c r="AA77">
        <f>-(Table723[[#This Row],[time]]-2)*2</f>
        <v>-1.2066800000000004</v>
      </c>
      <c r="AB77">
        <v>74.901200000000003</v>
      </c>
      <c r="AC77">
        <v>35.811700000000002</v>
      </c>
      <c r="AD77">
        <f>Table723[[#This Row],[CFNM]]/Table723[[#This Row],[CAREA]]</f>
        <v>0.47811917566073708</v>
      </c>
      <c r="AE77">
        <v>2.6033400000000002</v>
      </c>
      <c r="AF77">
        <f>-(Table824[[#This Row],[time]]-2)*2</f>
        <v>-1.2066800000000004</v>
      </c>
      <c r="AG77">
        <v>74.583600000000004</v>
      </c>
      <c r="AH77">
        <v>3.54881</v>
      </c>
      <c r="AI77">
        <f>Table824[[#This Row],[CFNM]]/Table824[[#This Row],[CAREA]]</f>
        <v>4.7581639931566722E-2</v>
      </c>
      <c r="AJ77">
        <v>2.6033400000000002</v>
      </c>
      <c r="AK77">
        <f>-(Table925[[#This Row],[time]]-2)*2</f>
        <v>-1.2066800000000004</v>
      </c>
      <c r="AL77">
        <v>82.394599999999997</v>
      </c>
      <c r="AM77">
        <v>47.543799999999997</v>
      </c>
      <c r="AN77">
        <f>Table925[[#This Row],[CFNM]]/Table925[[#This Row],[CAREA]]</f>
        <v>0.57702567886730438</v>
      </c>
    </row>
    <row r="78" spans="1:40" x14ac:dyDescent="0.25">
      <c r="A78">
        <v>2.6604800000000002</v>
      </c>
      <c r="B78">
        <f>-(Table219[[#This Row],[time]]-2)*2</f>
        <v>-1.3209600000000004</v>
      </c>
      <c r="C78">
        <v>62.230699999999999</v>
      </c>
      <c r="D78">
        <v>1.91735E-3</v>
      </c>
      <c r="E78">
        <f>Table219[[#This Row],[CFNM]]/Table219[[#This Row],[CAREA ]]</f>
        <v>3.081035566046983E-5</v>
      </c>
      <c r="F78">
        <v>2.6604800000000002</v>
      </c>
      <c r="G78">
        <f>-(Table320[[#This Row],[time]]-2)*2</f>
        <v>-1.3209600000000004</v>
      </c>
      <c r="H78">
        <v>81.339200000000005</v>
      </c>
      <c r="I78">
        <v>37.7896</v>
      </c>
      <c r="J78" s="2">
        <f>Table320[[#This Row],[CFNM]]/Table320[[#This Row],[CAREA ]]</f>
        <v>0.46459271790231521</v>
      </c>
      <c r="K78">
        <v>2.6604800000000002</v>
      </c>
      <c r="L78">
        <f>-(Table421[[#This Row],[time]]-2)*2</f>
        <v>-1.3209600000000004</v>
      </c>
      <c r="M78">
        <v>52.001600000000003</v>
      </c>
      <c r="N78">
        <v>9.1428699999999996E-4</v>
      </c>
      <c r="O78">
        <f>Table421[[#This Row],[CFNM]]/Table421[[#This Row],[CAREA]]</f>
        <v>1.7581901326113039E-5</v>
      </c>
      <c r="P78">
        <v>2.6604800000000002</v>
      </c>
      <c r="Q78">
        <f>-(Table16[[#This Row],[time]]-2)*2</f>
        <v>-1.3209600000000004</v>
      </c>
      <c r="R78">
        <v>74.283000000000001</v>
      </c>
      <c r="S78">
        <v>37.383400000000002</v>
      </c>
      <c r="T78">
        <f>Table16[[#This Row],[CFNM]]/Table16[[#This Row],[CAREA]]</f>
        <v>0.5032564651400725</v>
      </c>
      <c r="U78">
        <v>2.6604800000000002</v>
      </c>
      <c r="V78">
        <f>-(Table622[[#This Row],[time]]-2)*2</f>
        <v>-1.3209600000000004</v>
      </c>
      <c r="W78">
        <v>80.446100000000001</v>
      </c>
      <c r="X78">
        <v>3.2074600000000001E-3</v>
      </c>
      <c r="Y78">
        <f>Table622[[#This Row],[CFNM]]/Table622[[#This Row],[CAREA]]</f>
        <v>3.9870919783556939E-5</v>
      </c>
      <c r="Z78">
        <v>2.6604800000000002</v>
      </c>
      <c r="AA78">
        <f>-(Table723[[#This Row],[time]]-2)*2</f>
        <v>-1.3209600000000004</v>
      </c>
      <c r="AB78">
        <v>74.341099999999997</v>
      </c>
      <c r="AC78">
        <v>37.566000000000003</v>
      </c>
      <c r="AD78">
        <f>Table723[[#This Row],[CFNM]]/Table723[[#This Row],[CAREA]]</f>
        <v>0.50531939936320558</v>
      </c>
      <c r="AE78">
        <v>2.6604800000000002</v>
      </c>
      <c r="AF78">
        <f>-(Table824[[#This Row],[time]]-2)*2</f>
        <v>-1.3209600000000004</v>
      </c>
      <c r="AG78">
        <v>74.024699999999996</v>
      </c>
      <c r="AH78">
        <v>3.0221399999999998</v>
      </c>
      <c r="AI78">
        <f>Table824[[#This Row],[CFNM]]/Table824[[#This Row],[CAREA]]</f>
        <v>4.0826102638713835E-2</v>
      </c>
      <c r="AJ78">
        <v>2.6604800000000002</v>
      </c>
      <c r="AK78">
        <f>-(Table925[[#This Row],[time]]-2)*2</f>
        <v>-1.3209600000000004</v>
      </c>
      <c r="AL78">
        <v>82.273200000000003</v>
      </c>
      <c r="AM78">
        <v>49.247199999999999</v>
      </c>
      <c r="AN78">
        <f>Table925[[#This Row],[CFNM]]/Table925[[#This Row],[CAREA]]</f>
        <v>0.59858131201898068</v>
      </c>
    </row>
    <row r="79" spans="1:40" x14ac:dyDescent="0.25">
      <c r="A79">
        <v>2.7082199999999998</v>
      </c>
      <c r="B79">
        <f>-(Table219[[#This Row],[time]]-2)*2</f>
        <v>-1.4164399999999997</v>
      </c>
      <c r="C79">
        <v>58.292000000000002</v>
      </c>
      <c r="D79">
        <v>1.7456100000000001E-3</v>
      </c>
      <c r="E79">
        <f>Table219[[#This Row],[CFNM]]/Table219[[#This Row],[CAREA ]]</f>
        <v>2.9945961710011667E-5</v>
      </c>
      <c r="F79">
        <v>2.7082199999999998</v>
      </c>
      <c r="G79">
        <f>-(Table320[[#This Row],[time]]-2)*2</f>
        <v>-1.4164399999999997</v>
      </c>
      <c r="H79">
        <v>80.613299999999995</v>
      </c>
      <c r="I79">
        <v>39.571100000000001</v>
      </c>
      <c r="J79" s="2">
        <f>Table320[[#This Row],[CFNM]]/Table320[[#This Row],[CAREA ]]</f>
        <v>0.49087557512221935</v>
      </c>
      <c r="K79">
        <v>2.7082199999999998</v>
      </c>
      <c r="L79">
        <f>-(Table421[[#This Row],[time]]-2)*2</f>
        <v>-1.4164399999999997</v>
      </c>
      <c r="M79">
        <v>50.157499999999999</v>
      </c>
      <c r="N79">
        <v>7.9856999999999997E-4</v>
      </c>
      <c r="O79">
        <f>Table421[[#This Row],[CFNM]]/Table421[[#This Row],[CAREA]]</f>
        <v>1.592124806858396E-5</v>
      </c>
      <c r="P79">
        <v>2.7082199999999998</v>
      </c>
      <c r="Q79">
        <f>-(Table16[[#This Row],[time]]-2)*2</f>
        <v>-1.4164399999999997</v>
      </c>
      <c r="R79">
        <v>73.588899999999995</v>
      </c>
      <c r="S79">
        <v>39.339700000000001</v>
      </c>
      <c r="T79">
        <f>Table16[[#This Row],[CFNM]]/Table16[[#This Row],[CAREA]]</f>
        <v>0.53458741739583016</v>
      </c>
      <c r="U79">
        <v>2.7082199999999998</v>
      </c>
      <c r="V79">
        <f>-(Table622[[#This Row],[time]]-2)*2</f>
        <v>-1.4164399999999997</v>
      </c>
      <c r="W79">
        <v>80.058199999999999</v>
      </c>
      <c r="X79">
        <v>3.03506E-3</v>
      </c>
      <c r="Y79">
        <f>Table622[[#This Row],[CFNM]]/Table622[[#This Row],[CAREA]]</f>
        <v>3.7910669987584036E-5</v>
      </c>
      <c r="Z79">
        <v>2.7082199999999998</v>
      </c>
      <c r="AA79">
        <f>-(Table723[[#This Row],[time]]-2)*2</f>
        <v>-1.4164399999999997</v>
      </c>
      <c r="AB79">
        <v>73.6922</v>
      </c>
      <c r="AC79">
        <v>39.685099999999998</v>
      </c>
      <c r="AD79">
        <f>Table723[[#This Row],[CFNM]]/Table723[[#This Row],[CAREA]]</f>
        <v>0.53852510849180779</v>
      </c>
      <c r="AE79">
        <v>2.7082199999999998</v>
      </c>
      <c r="AF79">
        <f>-(Table824[[#This Row],[time]]-2)*2</f>
        <v>-1.4164399999999997</v>
      </c>
      <c r="AG79">
        <v>73.384699999999995</v>
      </c>
      <c r="AH79">
        <v>2.38578</v>
      </c>
      <c r="AI79">
        <f>Table824[[#This Row],[CFNM]]/Table824[[#This Row],[CAREA]]</f>
        <v>3.2510591444810708E-2</v>
      </c>
      <c r="AJ79">
        <v>2.7082199999999998</v>
      </c>
      <c r="AK79">
        <f>-(Table925[[#This Row],[time]]-2)*2</f>
        <v>-1.4164399999999997</v>
      </c>
      <c r="AL79">
        <v>82.146299999999997</v>
      </c>
      <c r="AM79">
        <v>51.300699999999999</v>
      </c>
      <c r="AN79">
        <f>Table925[[#This Row],[CFNM]]/Table925[[#This Row],[CAREA]]</f>
        <v>0.62450408600265628</v>
      </c>
    </row>
    <row r="80" spans="1:40" x14ac:dyDescent="0.25">
      <c r="A80">
        <v>2.7589999999999999</v>
      </c>
      <c r="B80">
        <f>-(Table219[[#This Row],[time]]-2)*2</f>
        <v>-1.5179999999999998</v>
      </c>
      <c r="C80">
        <v>55.200099999999999</v>
      </c>
      <c r="D80">
        <v>1.58611E-3</v>
      </c>
      <c r="E80">
        <f>Table219[[#This Row],[CFNM]]/Table219[[#This Row],[CAREA ]]</f>
        <v>2.8733824757563844E-5</v>
      </c>
      <c r="F80">
        <v>2.7589999999999999</v>
      </c>
      <c r="G80">
        <f>-(Table320[[#This Row],[time]]-2)*2</f>
        <v>-1.5179999999999998</v>
      </c>
      <c r="H80">
        <v>79.899900000000002</v>
      </c>
      <c r="I80">
        <v>41.308100000000003</v>
      </c>
      <c r="J80" s="2">
        <f>Table320[[#This Row],[CFNM]]/Table320[[#This Row],[CAREA ]]</f>
        <v>0.51699814392758947</v>
      </c>
      <c r="K80">
        <v>2.7589999999999999</v>
      </c>
      <c r="L80">
        <f>-(Table421[[#This Row],[time]]-2)*2</f>
        <v>-1.5179999999999998</v>
      </c>
      <c r="M80">
        <v>46.691899999999997</v>
      </c>
      <c r="N80">
        <v>6.8328699999999998E-4</v>
      </c>
      <c r="O80">
        <f>Table421[[#This Row],[CFNM]]/Table421[[#This Row],[CAREA]]</f>
        <v>1.4633951499082282E-5</v>
      </c>
      <c r="P80">
        <v>2.7589999999999999</v>
      </c>
      <c r="Q80">
        <f>-(Table16[[#This Row],[time]]-2)*2</f>
        <v>-1.5179999999999998</v>
      </c>
      <c r="R80">
        <v>72.919700000000006</v>
      </c>
      <c r="S80">
        <v>41.237400000000001</v>
      </c>
      <c r="T80">
        <f>Table16[[#This Row],[CFNM]]/Table16[[#This Row],[CAREA]]</f>
        <v>0.56551796016714273</v>
      </c>
      <c r="U80">
        <v>2.7589999999999999</v>
      </c>
      <c r="V80">
        <f>-(Table622[[#This Row],[time]]-2)*2</f>
        <v>-1.5179999999999998</v>
      </c>
      <c r="W80">
        <v>79.575000000000003</v>
      </c>
      <c r="X80">
        <v>2.85907E-3</v>
      </c>
      <c r="Y80">
        <f>Table622[[#This Row],[CFNM]]/Table622[[#This Row],[CAREA]]</f>
        <v>3.5929249136035188E-5</v>
      </c>
      <c r="Z80">
        <v>2.7589999999999999</v>
      </c>
      <c r="AA80">
        <f>-(Table723[[#This Row],[time]]-2)*2</f>
        <v>-1.5179999999999998</v>
      </c>
      <c r="AB80">
        <v>72.577100000000002</v>
      </c>
      <c r="AC80">
        <v>41.815899999999999</v>
      </c>
      <c r="AD80">
        <f>Table723[[#This Row],[CFNM]]/Table723[[#This Row],[CAREA]]</f>
        <v>0.57615831991082589</v>
      </c>
      <c r="AE80">
        <v>2.7589999999999999</v>
      </c>
      <c r="AF80">
        <f>-(Table824[[#This Row],[time]]-2)*2</f>
        <v>-1.5179999999999998</v>
      </c>
      <c r="AG80">
        <v>72.765799999999999</v>
      </c>
      <c r="AH80">
        <v>1.9152899999999999</v>
      </c>
      <c r="AI80">
        <f>Table824[[#This Row],[CFNM]]/Table824[[#This Row],[CAREA]]</f>
        <v>2.6321293794612302E-2</v>
      </c>
      <c r="AJ80">
        <v>2.7589999999999999</v>
      </c>
      <c r="AK80">
        <f>-(Table925[[#This Row],[time]]-2)*2</f>
        <v>-1.5179999999999998</v>
      </c>
      <c r="AL80">
        <v>82.087299999999999</v>
      </c>
      <c r="AM80">
        <v>53.287599999999998</v>
      </c>
      <c r="AN80">
        <f>Table925[[#This Row],[CFNM]]/Table925[[#This Row],[CAREA]]</f>
        <v>0.64915766507121075</v>
      </c>
    </row>
    <row r="81" spans="1:40" x14ac:dyDescent="0.25">
      <c r="A81">
        <v>2.8092299999999999</v>
      </c>
      <c r="B81">
        <f>-(Table219[[#This Row],[time]]-2)*2</f>
        <v>-1.6184599999999998</v>
      </c>
      <c r="C81">
        <v>52.371200000000002</v>
      </c>
      <c r="D81">
        <v>1.4334599999999999E-3</v>
      </c>
      <c r="E81">
        <f>Table219[[#This Row],[CFNM]]/Table219[[#This Row],[CAREA ]]</f>
        <v>2.7371150556030793E-5</v>
      </c>
      <c r="F81">
        <v>2.8092299999999999</v>
      </c>
      <c r="G81">
        <f>-(Table320[[#This Row],[time]]-2)*2</f>
        <v>-1.6184599999999998</v>
      </c>
      <c r="H81">
        <v>79.1875</v>
      </c>
      <c r="I81">
        <v>43.028100000000002</v>
      </c>
      <c r="J81" s="2">
        <f>Table320[[#This Row],[CFNM]]/Table320[[#This Row],[CAREA ]]</f>
        <v>0.54336985003946336</v>
      </c>
      <c r="K81">
        <v>2.8092299999999999</v>
      </c>
      <c r="L81">
        <f>-(Table421[[#This Row],[time]]-2)*2</f>
        <v>-1.6184599999999998</v>
      </c>
      <c r="M81">
        <v>42.041400000000003</v>
      </c>
      <c r="N81">
        <v>5.8241399999999996E-4</v>
      </c>
      <c r="O81">
        <f>Table421[[#This Row],[CFNM]]/Table421[[#This Row],[CAREA]]</f>
        <v>1.3853344560361928E-5</v>
      </c>
      <c r="P81">
        <v>2.8092299999999999</v>
      </c>
      <c r="Q81">
        <f>-(Table16[[#This Row],[time]]-2)*2</f>
        <v>-1.6184599999999998</v>
      </c>
      <c r="R81">
        <v>72.264099999999999</v>
      </c>
      <c r="S81">
        <v>43.052500000000002</v>
      </c>
      <c r="T81">
        <f>Table16[[#This Row],[CFNM]]/Table16[[#This Row],[CAREA]]</f>
        <v>0.59576608578810231</v>
      </c>
      <c r="U81">
        <v>2.8092299999999999</v>
      </c>
      <c r="V81">
        <f>-(Table622[[#This Row],[time]]-2)*2</f>
        <v>-1.6184599999999998</v>
      </c>
      <c r="W81">
        <v>79.047499999999999</v>
      </c>
      <c r="X81">
        <v>2.6748200000000001E-3</v>
      </c>
      <c r="Y81">
        <f>Table622[[#This Row],[CFNM]]/Table622[[#This Row],[CAREA]]</f>
        <v>3.3838135298396534E-5</v>
      </c>
      <c r="Z81">
        <v>2.8092299999999999</v>
      </c>
      <c r="AA81">
        <f>-(Table723[[#This Row],[time]]-2)*2</f>
        <v>-1.6184599999999998</v>
      </c>
      <c r="AB81">
        <v>72.128</v>
      </c>
      <c r="AC81">
        <v>43.931100000000001</v>
      </c>
      <c r="AD81">
        <f>Table723[[#This Row],[CFNM]]/Table723[[#This Row],[CAREA]]</f>
        <v>0.60907137311446313</v>
      </c>
      <c r="AE81">
        <v>2.8092299999999999</v>
      </c>
      <c r="AF81">
        <f>-(Table824[[#This Row],[time]]-2)*2</f>
        <v>-1.6184599999999998</v>
      </c>
      <c r="AG81">
        <v>72.169200000000004</v>
      </c>
      <c r="AH81">
        <v>1.5225299999999999</v>
      </c>
      <c r="AI81">
        <f>Table824[[#This Row],[CFNM]]/Table824[[#This Row],[CAREA]]</f>
        <v>2.1096672818875641E-2</v>
      </c>
      <c r="AJ81">
        <v>2.8092299999999999</v>
      </c>
      <c r="AK81">
        <f>-(Table925[[#This Row],[time]]-2)*2</f>
        <v>-1.6184599999999998</v>
      </c>
      <c r="AL81">
        <v>81.879800000000003</v>
      </c>
      <c r="AM81">
        <v>55.225700000000003</v>
      </c>
      <c r="AN81">
        <f>Table925[[#This Row],[CFNM]]/Table925[[#This Row],[CAREA]]</f>
        <v>0.67447282479927895</v>
      </c>
    </row>
    <row r="82" spans="1:40" x14ac:dyDescent="0.25">
      <c r="A82">
        <v>2.8506100000000001</v>
      </c>
      <c r="B82">
        <f>-(Table219[[#This Row],[time]]-2)*2</f>
        <v>-1.7012200000000002</v>
      </c>
      <c r="C82">
        <v>49.116599999999998</v>
      </c>
      <c r="D82">
        <v>1.2888699999999999E-3</v>
      </c>
      <c r="E82">
        <f>Table219[[#This Row],[CFNM]]/Table219[[#This Row],[CAREA ]]</f>
        <v>2.6241026455414257E-5</v>
      </c>
      <c r="F82">
        <v>2.8506100000000001</v>
      </c>
      <c r="G82">
        <f>-(Table320[[#This Row],[time]]-2)*2</f>
        <v>-1.7012200000000002</v>
      </c>
      <c r="H82">
        <v>78.501599999999996</v>
      </c>
      <c r="I82">
        <v>44.722999999999999</v>
      </c>
      <c r="J82" s="2">
        <f>Table320[[#This Row],[CFNM]]/Table320[[#This Row],[CAREA ]]</f>
        <v>0.56970813333740966</v>
      </c>
      <c r="K82">
        <v>2.8506100000000001</v>
      </c>
      <c r="L82">
        <f>-(Table421[[#This Row],[time]]-2)*2</f>
        <v>-1.7012200000000002</v>
      </c>
      <c r="M82">
        <v>37.494900000000001</v>
      </c>
      <c r="N82">
        <v>4.90889E-4</v>
      </c>
      <c r="O82">
        <f>Table421[[#This Row],[CFNM]]/Table421[[#This Row],[CAREA]]</f>
        <v>1.3092153866259145E-5</v>
      </c>
      <c r="P82">
        <v>2.8506100000000001</v>
      </c>
      <c r="Q82">
        <f>-(Table16[[#This Row],[time]]-2)*2</f>
        <v>-1.7012200000000002</v>
      </c>
      <c r="R82">
        <v>71.588899999999995</v>
      </c>
      <c r="S82">
        <v>44.808</v>
      </c>
      <c r="T82">
        <f>Table16[[#This Row],[CFNM]]/Table16[[#This Row],[CAREA]]</f>
        <v>0.62590708894814706</v>
      </c>
      <c r="U82">
        <v>2.8506100000000001</v>
      </c>
      <c r="V82">
        <f>-(Table622[[#This Row],[time]]-2)*2</f>
        <v>-1.7012200000000002</v>
      </c>
      <c r="W82">
        <v>77.9666</v>
      </c>
      <c r="X82">
        <v>2.4953699999999998E-3</v>
      </c>
      <c r="Y82">
        <f>Table622[[#This Row],[CFNM]]/Table622[[#This Row],[CAREA]]</f>
        <v>3.2005628050985929E-5</v>
      </c>
      <c r="Z82">
        <v>2.8506100000000001</v>
      </c>
      <c r="AA82">
        <f>-(Table723[[#This Row],[time]]-2)*2</f>
        <v>-1.7012200000000002</v>
      </c>
      <c r="AB82">
        <v>70.981899999999996</v>
      </c>
      <c r="AC82">
        <v>46.014699999999998</v>
      </c>
      <c r="AD82">
        <f>Table723[[#This Row],[CFNM]]/Table723[[#This Row],[CAREA]]</f>
        <v>0.64825962674991799</v>
      </c>
      <c r="AE82">
        <v>2.8506100000000001</v>
      </c>
      <c r="AF82">
        <f>-(Table824[[#This Row],[time]]-2)*2</f>
        <v>-1.7012200000000002</v>
      </c>
      <c r="AG82">
        <v>71.625900000000001</v>
      </c>
      <c r="AH82">
        <v>1.13228</v>
      </c>
      <c r="AI82">
        <f>Table824[[#This Row],[CFNM]]/Table824[[#This Row],[CAREA]]</f>
        <v>1.5808248133705825E-2</v>
      </c>
      <c r="AJ82">
        <v>2.8506100000000001</v>
      </c>
      <c r="AK82">
        <f>-(Table925[[#This Row],[time]]-2)*2</f>
        <v>-1.7012200000000002</v>
      </c>
      <c r="AL82">
        <v>81.954300000000003</v>
      </c>
      <c r="AM82">
        <v>57.129899999999999</v>
      </c>
      <c r="AN82">
        <f>Table925[[#This Row],[CFNM]]/Table925[[#This Row],[CAREA]]</f>
        <v>0.69709460028332859</v>
      </c>
    </row>
    <row r="83" spans="1:40" x14ac:dyDescent="0.25">
      <c r="A83">
        <v>2.90524</v>
      </c>
      <c r="B83">
        <f>-(Table219[[#This Row],[time]]-2)*2</f>
        <v>-1.8104800000000001</v>
      </c>
      <c r="C83">
        <v>42.419600000000003</v>
      </c>
      <c r="D83">
        <v>1.1316200000000001E-3</v>
      </c>
      <c r="E83">
        <f>Table219[[#This Row],[CFNM]]/Table219[[#This Row],[CAREA ]]</f>
        <v>2.6676819206215996E-5</v>
      </c>
      <c r="F83">
        <v>2.90524</v>
      </c>
      <c r="G83">
        <f>-(Table320[[#This Row],[time]]-2)*2</f>
        <v>-1.8104800000000001</v>
      </c>
      <c r="H83">
        <v>77.642499999999998</v>
      </c>
      <c r="I83">
        <v>46.7121</v>
      </c>
      <c r="J83" s="2">
        <f>Table320[[#This Row],[CFNM]]/Table320[[#This Row],[CAREA ]]</f>
        <v>0.60163055027852019</v>
      </c>
      <c r="K83">
        <v>2.90524</v>
      </c>
      <c r="L83">
        <f>-(Table421[[#This Row],[time]]-2)*2</f>
        <v>-1.8104800000000001</v>
      </c>
      <c r="M83">
        <v>35.798200000000001</v>
      </c>
      <c r="N83">
        <v>3.9287700000000003E-4</v>
      </c>
      <c r="O83">
        <f>Table421[[#This Row],[CFNM]]/Table421[[#This Row],[CAREA]]</f>
        <v>1.0974769681157154E-5</v>
      </c>
      <c r="P83">
        <v>2.90524</v>
      </c>
      <c r="Q83">
        <f>-(Table16[[#This Row],[time]]-2)*2</f>
        <v>-1.8104800000000001</v>
      </c>
      <c r="R83">
        <v>70.865700000000004</v>
      </c>
      <c r="S83">
        <v>46.827599999999997</v>
      </c>
      <c r="T83">
        <f>Table16[[#This Row],[CFNM]]/Table16[[#This Row],[CAREA]]</f>
        <v>0.66079358561335022</v>
      </c>
      <c r="U83">
        <v>2.90524</v>
      </c>
      <c r="V83">
        <f>-(Table622[[#This Row],[time]]-2)*2</f>
        <v>-1.8104800000000001</v>
      </c>
      <c r="W83">
        <v>76.575100000000006</v>
      </c>
      <c r="X83">
        <v>2.2854300000000002E-3</v>
      </c>
      <c r="Y83">
        <f>Table622[[#This Row],[CFNM]]/Table622[[#This Row],[CAREA]]</f>
        <v>2.9845602552265685E-5</v>
      </c>
      <c r="Z83">
        <v>2.90524</v>
      </c>
      <c r="AA83">
        <f>-(Table723[[#This Row],[time]]-2)*2</f>
        <v>-1.8104800000000001</v>
      </c>
      <c r="AB83">
        <v>70.192999999999998</v>
      </c>
      <c r="AC83">
        <v>48.476199999999999</v>
      </c>
      <c r="AD83">
        <f>Table723[[#This Row],[CFNM]]/Table723[[#This Row],[CAREA]]</f>
        <v>0.69061302409072134</v>
      </c>
      <c r="AE83">
        <v>2.90524</v>
      </c>
      <c r="AF83">
        <f>-(Table824[[#This Row],[time]]-2)*2</f>
        <v>-1.8104800000000001</v>
      </c>
      <c r="AG83">
        <v>71.036699999999996</v>
      </c>
      <c r="AH83">
        <v>0.72553800000000002</v>
      </c>
      <c r="AI83">
        <f>Table824[[#This Row],[CFNM]]/Table824[[#This Row],[CAREA]]</f>
        <v>1.0213565663945538E-2</v>
      </c>
      <c r="AJ83">
        <v>2.90524</v>
      </c>
      <c r="AK83">
        <f>-(Table925[[#This Row],[time]]-2)*2</f>
        <v>-1.8104800000000001</v>
      </c>
      <c r="AL83">
        <v>81.994500000000002</v>
      </c>
      <c r="AM83">
        <v>59.333799999999997</v>
      </c>
      <c r="AN83">
        <f>Table925[[#This Row],[CFNM]]/Table925[[#This Row],[CAREA]]</f>
        <v>0.72363146308593862</v>
      </c>
    </row>
    <row r="84" spans="1:40" x14ac:dyDescent="0.25">
      <c r="A84">
        <v>2.9500299999999999</v>
      </c>
      <c r="B84">
        <f>-(Table219[[#This Row],[time]]-2)*2</f>
        <v>-1.9000599999999999</v>
      </c>
      <c r="C84">
        <v>37.999000000000002</v>
      </c>
      <c r="D84">
        <v>1.03236E-3</v>
      </c>
      <c r="E84">
        <f>Table219[[#This Row],[CFNM]]/Table219[[#This Row],[CAREA ]]</f>
        <v>2.7168083370615012E-5</v>
      </c>
      <c r="F84">
        <v>2.9500299999999999</v>
      </c>
      <c r="G84">
        <f>-(Table320[[#This Row],[time]]-2)*2</f>
        <v>-1.9000599999999999</v>
      </c>
      <c r="H84">
        <v>76.996499999999997</v>
      </c>
      <c r="I84">
        <v>48.086300000000001</v>
      </c>
      <c r="J84" s="2">
        <f>Table320[[#This Row],[CFNM]]/Table320[[#This Row],[CAREA ]]</f>
        <v>0.62452579013331777</v>
      </c>
      <c r="K84">
        <v>2.9500299999999999</v>
      </c>
      <c r="L84">
        <f>-(Table421[[#This Row],[time]]-2)*2</f>
        <v>-1.9000599999999999</v>
      </c>
      <c r="M84">
        <v>33.068100000000001</v>
      </c>
      <c r="N84">
        <v>3.2690399999999999E-4</v>
      </c>
      <c r="O84">
        <f>Table421[[#This Row],[CFNM]]/Table421[[#This Row],[CAREA]]</f>
        <v>9.8857811606956543E-6</v>
      </c>
      <c r="P84">
        <v>2.9500299999999999</v>
      </c>
      <c r="Q84">
        <f>-(Table16[[#This Row],[time]]-2)*2</f>
        <v>-1.9000599999999999</v>
      </c>
      <c r="R84">
        <v>70.373999999999995</v>
      </c>
      <c r="S84">
        <v>48.222099999999998</v>
      </c>
      <c r="T84">
        <f>Table16[[#This Row],[CFNM]]/Table16[[#This Row],[CAREA]]</f>
        <v>0.68522607781282863</v>
      </c>
      <c r="U84">
        <v>2.9500299999999999</v>
      </c>
      <c r="V84">
        <f>-(Table622[[#This Row],[time]]-2)*2</f>
        <v>-1.9000599999999999</v>
      </c>
      <c r="W84">
        <v>75.703900000000004</v>
      </c>
      <c r="X84">
        <v>2.13919E-3</v>
      </c>
      <c r="Y84">
        <f>Table622[[#This Row],[CFNM]]/Table622[[#This Row],[CAREA]]</f>
        <v>2.825732888265994E-5</v>
      </c>
      <c r="Z84">
        <v>2.9500299999999999</v>
      </c>
      <c r="AA84">
        <f>-(Table723[[#This Row],[time]]-2)*2</f>
        <v>-1.9000599999999999</v>
      </c>
      <c r="AB84">
        <v>69.447599999999994</v>
      </c>
      <c r="AC84">
        <v>50.230699999999999</v>
      </c>
      <c r="AD84">
        <f>Table723[[#This Row],[CFNM]]/Table723[[#This Row],[CAREA]]</f>
        <v>0.72328921373812782</v>
      </c>
      <c r="AE84">
        <v>2.9500299999999999</v>
      </c>
      <c r="AF84">
        <f>-(Table824[[#This Row],[time]]-2)*2</f>
        <v>-1.9000599999999999</v>
      </c>
      <c r="AG84">
        <v>70.588999999999999</v>
      </c>
      <c r="AH84">
        <v>0.51210199999999995</v>
      </c>
      <c r="AI84">
        <f>Table824[[#This Row],[CFNM]]/Table824[[#This Row],[CAREA]]</f>
        <v>7.2546997407528079E-3</v>
      </c>
      <c r="AJ84">
        <v>2.9500299999999999</v>
      </c>
      <c r="AK84">
        <f>-(Table925[[#This Row],[time]]-2)*2</f>
        <v>-1.9000599999999999</v>
      </c>
      <c r="AL84">
        <v>82.040700000000001</v>
      </c>
      <c r="AM84">
        <v>60.851399999999998</v>
      </c>
      <c r="AN84">
        <f>Table925[[#This Row],[CFNM]]/Table925[[#This Row],[CAREA]]</f>
        <v>0.74172209647162934</v>
      </c>
    </row>
    <row r="85" spans="1:40" x14ac:dyDescent="0.25">
      <c r="A85">
        <v>3</v>
      </c>
      <c r="B85">
        <f>-(Table219[[#This Row],[time]]-2)*2</f>
        <v>-2</v>
      </c>
      <c r="C85">
        <v>34.3904</v>
      </c>
      <c r="D85">
        <v>9.6725999999999995E-4</v>
      </c>
      <c r="E85">
        <f>Table219[[#This Row],[CFNM]]/Table219[[#This Row],[CAREA ]]</f>
        <v>2.8125872336465991E-5</v>
      </c>
      <c r="F85">
        <v>3</v>
      </c>
      <c r="G85">
        <f>-(Table320[[#This Row],[time]]-2)*2</f>
        <v>-2</v>
      </c>
      <c r="H85">
        <v>76.553100000000001</v>
      </c>
      <c r="I85">
        <v>49.080399999999997</v>
      </c>
      <c r="J85" s="2">
        <f>Table320[[#This Row],[CFNM]]/Table320[[#This Row],[CAREA ]]</f>
        <v>0.6411288373690941</v>
      </c>
      <c r="K85">
        <v>3</v>
      </c>
      <c r="L85">
        <f>-(Table421[[#This Row],[time]]-2)*2</f>
        <v>-2</v>
      </c>
      <c r="M85">
        <v>30.3995</v>
      </c>
      <c r="N85">
        <v>2.8106799999999999E-4</v>
      </c>
      <c r="O85">
        <f>Table421[[#This Row],[CFNM]]/Table421[[#This Row],[CAREA]]</f>
        <v>9.245809963979671E-6</v>
      </c>
      <c r="P85">
        <v>3</v>
      </c>
      <c r="Q85">
        <f>-(Table16[[#This Row],[time]]-2)*2</f>
        <v>-2</v>
      </c>
      <c r="R85">
        <v>70.0047</v>
      </c>
      <c r="S85">
        <v>49.268599999999999</v>
      </c>
      <c r="T85">
        <f>Table16[[#This Row],[CFNM]]/Table16[[#This Row],[CAREA]]</f>
        <v>0.70378988839320789</v>
      </c>
      <c r="U85">
        <v>3</v>
      </c>
      <c r="V85">
        <f>-(Table622[[#This Row],[time]]-2)*2</f>
        <v>-2</v>
      </c>
      <c r="W85">
        <v>74.291300000000007</v>
      </c>
      <c r="X85">
        <v>2.0333899999999999E-3</v>
      </c>
      <c r="Y85">
        <f>Table622[[#This Row],[CFNM]]/Table622[[#This Row],[CAREA]]</f>
        <v>2.7370499641276971E-5</v>
      </c>
      <c r="Z85">
        <v>3</v>
      </c>
      <c r="AA85">
        <f>-(Table723[[#This Row],[time]]-2)*2</f>
        <v>-2</v>
      </c>
      <c r="AB85">
        <v>69.108000000000004</v>
      </c>
      <c r="AC85">
        <v>51.537799999999997</v>
      </c>
      <c r="AD85">
        <f>Table723[[#This Row],[CFNM]]/Table723[[#This Row],[CAREA]]</f>
        <v>0.74575736528332459</v>
      </c>
      <c r="AE85">
        <v>3</v>
      </c>
      <c r="AF85">
        <f>-(Table824[[#This Row],[time]]-2)*2</f>
        <v>-2</v>
      </c>
      <c r="AG85">
        <v>70.262299999999996</v>
      </c>
      <c r="AH85">
        <v>0.40456599999999998</v>
      </c>
      <c r="AI85">
        <f>Table824[[#This Row],[CFNM]]/Table824[[#This Row],[CAREA]]</f>
        <v>5.7579384677131267E-3</v>
      </c>
      <c r="AJ85">
        <v>3</v>
      </c>
      <c r="AK85">
        <f>-(Table925[[#This Row],[time]]-2)*2</f>
        <v>-2</v>
      </c>
      <c r="AL85">
        <v>82.036299999999997</v>
      </c>
      <c r="AM85">
        <v>61.942700000000002</v>
      </c>
      <c r="AN85">
        <f>Table925[[#This Row],[CFNM]]/Table925[[#This Row],[CAREA]]</f>
        <v>0.75506452631335164</v>
      </c>
    </row>
    <row r="87" spans="1:40" x14ac:dyDescent="0.25">
      <c r="A87" t="s">
        <v>38</v>
      </c>
      <c r="D87" t="s">
        <v>1</v>
      </c>
    </row>
    <row r="88" spans="1:40" x14ac:dyDescent="0.25">
      <c r="A88" t="s">
        <v>39</v>
      </c>
      <c r="D88" t="s">
        <v>2</v>
      </c>
      <c r="E88" t="s">
        <v>3</v>
      </c>
    </row>
    <row r="90" spans="1:40" x14ac:dyDescent="0.25">
      <c r="A90" t="s">
        <v>4</v>
      </c>
      <c r="F90" t="s">
        <v>5</v>
      </c>
      <c r="K90" t="s">
        <v>6</v>
      </c>
      <c r="P90" t="s">
        <v>7</v>
      </c>
      <c r="U90" t="s">
        <v>8</v>
      </c>
      <c r="Z90" t="s">
        <v>9</v>
      </c>
      <c r="AE90" t="s">
        <v>10</v>
      </c>
      <c r="AJ90" t="s">
        <v>11</v>
      </c>
    </row>
    <row r="91" spans="1:40" x14ac:dyDescent="0.25">
      <c r="A91" t="s">
        <v>12</v>
      </c>
      <c r="B91" t="s">
        <v>13</v>
      </c>
      <c r="C91" t="s">
        <v>14</v>
      </c>
      <c r="D91" t="s">
        <v>15</v>
      </c>
      <c r="E91" t="s">
        <v>16</v>
      </c>
      <c r="F91" t="s">
        <v>12</v>
      </c>
      <c r="G91" t="s">
        <v>13</v>
      </c>
      <c r="H91" t="s">
        <v>14</v>
      </c>
      <c r="I91" t="s">
        <v>15</v>
      </c>
      <c r="J91" t="s">
        <v>16</v>
      </c>
      <c r="K91" t="s">
        <v>12</v>
      </c>
      <c r="L91" t="s">
        <v>13</v>
      </c>
      <c r="M91" t="s">
        <v>14</v>
      </c>
      <c r="N91" t="s">
        <v>15</v>
      </c>
      <c r="O91" t="s">
        <v>16</v>
      </c>
      <c r="P91" t="s">
        <v>12</v>
      </c>
      <c r="Q91" t="s">
        <v>13</v>
      </c>
      <c r="R91" t="s">
        <v>14</v>
      </c>
      <c r="S91" t="s">
        <v>15</v>
      </c>
      <c r="T91" t="s">
        <v>16</v>
      </c>
      <c r="U91" t="s">
        <v>12</v>
      </c>
      <c r="V91" t="s">
        <v>13</v>
      </c>
      <c r="W91" t="s">
        <v>14</v>
      </c>
      <c r="X91" t="s">
        <v>15</v>
      </c>
      <c r="Y91" t="s">
        <v>16</v>
      </c>
      <c r="Z91" t="s">
        <v>12</v>
      </c>
      <c r="AA91" t="s">
        <v>13</v>
      </c>
      <c r="AB91" t="s">
        <v>14</v>
      </c>
      <c r="AC91" t="s">
        <v>15</v>
      </c>
      <c r="AD91" t="s">
        <v>16</v>
      </c>
      <c r="AE91" t="s">
        <v>12</v>
      </c>
      <c r="AF91" t="s">
        <v>13</v>
      </c>
      <c r="AG91" t="s">
        <v>14</v>
      </c>
      <c r="AH91" t="s">
        <v>15</v>
      </c>
      <c r="AI91" t="s">
        <v>16</v>
      </c>
      <c r="AJ91" t="s">
        <v>12</v>
      </c>
      <c r="AK91" t="s">
        <v>13</v>
      </c>
      <c r="AL91" t="s">
        <v>14</v>
      </c>
      <c r="AM91" t="s">
        <v>15</v>
      </c>
      <c r="AN91" t="s">
        <v>16</v>
      </c>
    </row>
    <row r="92" spans="1:40" x14ac:dyDescent="0.25">
      <c r="A92">
        <v>2</v>
      </c>
      <c r="B92">
        <f>(Table1258[[#This Row],[time]]-2)*2</f>
        <v>0</v>
      </c>
      <c r="C92">
        <v>91.921300000000002</v>
      </c>
      <c r="D92">
        <v>9.3756500000000003</v>
      </c>
      <c r="E92" s="2">
        <f>Table1258[[#This Row],[CFNM]]/Table1258[[#This Row],[CAREA]]</f>
        <v>0.10199649047609205</v>
      </c>
      <c r="F92">
        <v>2</v>
      </c>
      <c r="G92">
        <f>(Table2259[[#This Row],[time]]-2)*2</f>
        <v>0</v>
      </c>
      <c r="H92">
        <v>94.718199999999996</v>
      </c>
      <c r="I92">
        <v>2.8455900000000001</v>
      </c>
      <c r="J92" s="2">
        <f>Table2259[[#This Row],[CFNM]]/Table2259[[#This Row],[CAREA]]</f>
        <v>3.0042695068107292E-2</v>
      </c>
      <c r="K92">
        <v>2</v>
      </c>
      <c r="L92">
        <f>(Table3260[[#This Row],[time]]-2)*2</f>
        <v>0</v>
      </c>
      <c r="M92">
        <v>89.822999999999993</v>
      </c>
      <c r="N92">
        <v>2.7683800000000001</v>
      </c>
      <c r="O92">
        <f>Table3260[[#This Row],[CFNM]]/Table3260[[#This Row],[CAREA]]</f>
        <v>3.0820391213831649E-2</v>
      </c>
      <c r="P92">
        <v>2</v>
      </c>
      <c r="Q92">
        <f>(Table4261[[#This Row],[time]]-2)*2</f>
        <v>0</v>
      </c>
      <c r="R92">
        <v>84.903199999999998</v>
      </c>
      <c r="S92">
        <v>4.4528400000000001</v>
      </c>
      <c r="T92">
        <f>Table4261[[#This Row],[CFNM]]/Table4261[[#This Row],[CAREA]]</f>
        <v>5.2446079770844915E-2</v>
      </c>
      <c r="U92">
        <v>2</v>
      </c>
      <c r="V92">
        <f>(Table5262[[#This Row],[time]]-2)*2</f>
        <v>0</v>
      </c>
      <c r="W92">
        <v>83.020300000000006</v>
      </c>
      <c r="X92">
        <v>8.6436100000000007</v>
      </c>
      <c r="Y92">
        <f>Table5262[[#This Row],[CFNM]]/Table5262[[#This Row],[CAREA]]</f>
        <v>0.10411441538997089</v>
      </c>
      <c r="Z92">
        <v>2</v>
      </c>
      <c r="AA92">
        <f>(Table6263[[#This Row],[time]]-2)*2</f>
        <v>0</v>
      </c>
      <c r="AB92">
        <v>88.872600000000006</v>
      </c>
      <c r="AC92">
        <v>13.6356</v>
      </c>
      <c r="AD92">
        <f>Table6263[[#This Row],[CFNM]]/Table6263[[#This Row],[CAREA]]</f>
        <v>0.1534286157938442</v>
      </c>
      <c r="AE92">
        <v>2</v>
      </c>
      <c r="AF92">
        <f>(Table7264[[#This Row],[time]]-2)*2</f>
        <v>0</v>
      </c>
      <c r="AG92">
        <v>78.913399999999996</v>
      </c>
      <c r="AH92">
        <v>19.2013</v>
      </c>
      <c r="AI92">
        <f>Table7264[[#This Row],[CFNM]]/Table7264[[#This Row],[CAREA]]</f>
        <v>0.24332115965095916</v>
      </c>
      <c r="AJ92">
        <v>2</v>
      </c>
      <c r="AK92">
        <f>(Table8265[[#This Row],[time]]-2)*2</f>
        <v>0</v>
      </c>
      <c r="AL92">
        <v>83.194400000000002</v>
      </c>
      <c r="AM92">
        <v>18.7179</v>
      </c>
      <c r="AN92">
        <f>Table8265[[#This Row],[CFNM]]/Table8265[[#This Row],[CAREA]]</f>
        <v>0.22498990316655929</v>
      </c>
    </row>
    <row r="93" spans="1:40" x14ac:dyDescent="0.25">
      <c r="A93">
        <v>2.0512600000000001</v>
      </c>
      <c r="B93">
        <f>(Table1258[[#This Row],[time]]-2)*2</f>
        <v>0.10252000000000017</v>
      </c>
      <c r="C93">
        <v>92.304500000000004</v>
      </c>
      <c r="D93">
        <v>11.539</v>
      </c>
      <c r="E93">
        <f>Table1258[[#This Row],[CFNM]]/Table1258[[#This Row],[CAREA]]</f>
        <v>0.12501015660124912</v>
      </c>
      <c r="F93">
        <v>2.0512600000000001</v>
      </c>
      <c r="G93">
        <f>(Table2259[[#This Row],[time]]-2)*2</f>
        <v>0.10252000000000017</v>
      </c>
      <c r="H93">
        <v>94.861800000000002</v>
      </c>
      <c r="I93">
        <v>2.5851299999999999</v>
      </c>
      <c r="J93">
        <f>Table2259[[#This Row],[CFNM]]/Table2259[[#This Row],[CAREA]]</f>
        <v>2.7251538553980631E-2</v>
      </c>
      <c r="K93">
        <v>2.0512600000000001</v>
      </c>
      <c r="L93">
        <f>(Table3260[[#This Row],[time]]-2)*2</f>
        <v>0.10252000000000017</v>
      </c>
      <c r="M93">
        <v>89.915899999999993</v>
      </c>
      <c r="N93">
        <v>5.0637800000000004</v>
      </c>
      <c r="O93">
        <f>Table3260[[#This Row],[CFNM]]/Table3260[[#This Row],[CAREA]]</f>
        <v>5.6316847187204942E-2</v>
      </c>
      <c r="P93">
        <v>2.0512600000000001</v>
      </c>
      <c r="Q93">
        <f>(Table4261[[#This Row],[time]]-2)*2</f>
        <v>0.10252000000000017</v>
      </c>
      <c r="R93">
        <v>86.004199999999997</v>
      </c>
      <c r="S93">
        <v>4.4208800000000004</v>
      </c>
      <c r="T93">
        <f>Table4261[[#This Row],[CFNM]]/Table4261[[#This Row],[CAREA]]</f>
        <v>5.1403071012811011E-2</v>
      </c>
      <c r="U93">
        <v>2.0512600000000001</v>
      </c>
      <c r="V93">
        <f>(Table5262[[#This Row],[time]]-2)*2</f>
        <v>0.10252000000000017</v>
      </c>
      <c r="W93">
        <v>82.953900000000004</v>
      </c>
      <c r="X93">
        <v>11.285399999999999</v>
      </c>
      <c r="Y93">
        <f>Table5262[[#This Row],[CFNM]]/Table5262[[#This Row],[CAREA]]</f>
        <v>0.13604423661816983</v>
      </c>
      <c r="Z93">
        <v>2.0512600000000001</v>
      </c>
      <c r="AA93">
        <f>(Table6263[[#This Row],[time]]-2)*2</f>
        <v>0.10252000000000017</v>
      </c>
      <c r="AB93">
        <v>88.831299999999999</v>
      </c>
      <c r="AC93">
        <v>14.574199999999999</v>
      </c>
      <c r="AD93">
        <f>Table6263[[#This Row],[CFNM]]/Table6263[[#This Row],[CAREA]]</f>
        <v>0.16406604428844337</v>
      </c>
      <c r="AE93">
        <v>2.0512600000000001</v>
      </c>
      <c r="AF93">
        <f>(Table7264[[#This Row],[time]]-2)*2</f>
        <v>0.10252000000000017</v>
      </c>
      <c r="AG93">
        <v>78.780299999999997</v>
      </c>
      <c r="AH93">
        <v>21.609500000000001</v>
      </c>
      <c r="AI93">
        <f>Table7264[[#This Row],[CFNM]]/Table7264[[#This Row],[CAREA]]</f>
        <v>0.27430080870471429</v>
      </c>
      <c r="AJ93">
        <v>2.0512600000000001</v>
      </c>
      <c r="AK93">
        <f>(Table8265[[#This Row],[time]]-2)*2</f>
        <v>0.10252000000000017</v>
      </c>
      <c r="AL93">
        <v>83.083399999999997</v>
      </c>
      <c r="AM93">
        <v>17.645299999999999</v>
      </c>
      <c r="AN93">
        <f>Table8265[[#This Row],[CFNM]]/Table8265[[#This Row],[CAREA]]</f>
        <v>0.21238057181097547</v>
      </c>
    </row>
    <row r="94" spans="1:40" x14ac:dyDescent="0.25">
      <c r="A94">
        <v>2.1153300000000002</v>
      </c>
      <c r="B94">
        <f>(Table1258[[#This Row],[time]]-2)*2</f>
        <v>0.23066000000000031</v>
      </c>
      <c r="C94">
        <v>92.040800000000004</v>
      </c>
      <c r="D94">
        <v>14.3201</v>
      </c>
      <c r="E94">
        <f>Table1258[[#This Row],[CFNM]]/Table1258[[#This Row],[CAREA]]</f>
        <v>0.15558426263135477</v>
      </c>
      <c r="F94">
        <v>2.1153300000000002</v>
      </c>
      <c r="G94">
        <f>(Table2259[[#This Row],[time]]-2)*2</f>
        <v>0.23066000000000031</v>
      </c>
      <c r="H94">
        <v>94.611599999999996</v>
      </c>
      <c r="I94">
        <v>0.66006900000000002</v>
      </c>
      <c r="J94">
        <f>Table2259[[#This Row],[CFNM]]/Table2259[[#This Row],[CAREA]]</f>
        <v>6.9766180891138087E-3</v>
      </c>
      <c r="K94">
        <v>2.1153300000000002</v>
      </c>
      <c r="L94">
        <f>(Table3260[[#This Row],[time]]-2)*2</f>
        <v>0.23066000000000031</v>
      </c>
      <c r="M94">
        <v>89.190700000000007</v>
      </c>
      <c r="N94">
        <v>8.6604200000000002</v>
      </c>
      <c r="O94">
        <f>Table3260[[#This Row],[CFNM]]/Table3260[[#This Row],[CAREA]]</f>
        <v>9.7100033972151806E-2</v>
      </c>
      <c r="P94">
        <v>2.1153300000000002</v>
      </c>
      <c r="Q94">
        <f>(Table4261[[#This Row],[time]]-2)*2</f>
        <v>0.23066000000000031</v>
      </c>
      <c r="R94">
        <v>86.753</v>
      </c>
      <c r="S94">
        <v>2.3056800000000002</v>
      </c>
      <c r="T94">
        <f>Table4261[[#This Row],[CFNM]]/Table4261[[#This Row],[CAREA]]</f>
        <v>2.6577524696552283E-2</v>
      </c>
      <c r="U94">
        <v>2.1153300000000002</v>
      </c>
      <c r="V94">
        <f>(Table5262[[#This Row],[time]]-2)*2</f>
        <v>0.23066000000000031</v>
      </c>
      <c r="W94">
        <v>83.155600000000007</v>
      </c>
      <c r="X94">
        <v>14.2597</v>
      </c>
      <c r="Y94">
        <f>Table5262[[#This Row],[CFNM]]/Table5262[[#This Row],[CAREA]]</f>
        <v>0.17148213710201116</v>
      </c>
      <c r="Z94">
        <v>2.1153300000000002</v>
      </c>
      <c r="AA94">
        <f>(Table6263[[#This Row],[time]]-2)*2</f>
        <v>0.23066000000000031</v>
      </c>
      <c r="AB94">
        <v>89.002799999999993</v>
      </c>
      <c r="AC94">
        <v>14.614000000000001</v>
      </c>
      <c r="AD94">
        <f>Table6263[[#This Row],[CFNM]]/Table6263[[#This Row],[CAREA]]</f>
        <v>0.16419708144013448</v>
      </c>
      <c r="AE94">
        <v>2.1153300000000002</v>
      </c>
      <c r="AF94">
        <f>(Table7264[[#This Row],[time]]-2)*2</f>
        <v>0.23066000000000031</v>
      </c>
      <c r="AG94">
        <v>78.466200000000001</v>
      </c>
      <c r="AH94">
        <v>24.940899999999999</v>
      </c>
      <c r="AI94">
        <f>Table7264[[#This Row],[CFNM]]/Table7264[[#This Row],[CAREA]]</f>
        <v>0.3178553313401184</v>
      </c>
      <c r="AJ94">
        <v>2.1153300000000002</v>
      </c>
      <c r="AK94">
        <f>(Table8265[[#This Row],[time]]-2)*2</f>
        <v>0.23066000000000031</v>
      </c>
      <c r="AL94">
        <v>83.224299999999999</v>
      </c>
      <c r="AM94">
        <v>15.991400000000001</v>
      </c>
      <c r="AN94">
        <f>Table8265[[#This Row],[CFNM]]/Table8265[[#This Row],[CAREA]]</f>
        <v>0.19214820671366417</v>
      </c>
    </row>
    <row r="95" spans="1:40" x14ac:dyDescent="0.25">
      <c r="A95">
        <v>2.16533</v>
      </c>
      <c r="B95">
        <f>(Table1258[[#This Row],[time]]-2)*2</f>
        <v>0.33065999999999995</v>
      </c>
      <c r="C95">
        <v>91.900700000000001</v>
      </c>
      <c r="D95">
        <v>15.821400000000001</v>
      </c>
      <c r="E95">
        <f>Table1258[[#This Row],[CFNM]]/Table1258[[#This Row],[CAREA]]</f>
        <v>0.17215755701534374</v>
      </c>
      <c r="F95">
        <v>2.16533</v>
      </c>
      <c r="G95">
        <f>(Table2259[[#This Row],[time]]-2)*2</f>
        <v>0.33065999999999995</v>
      </c>
      <c r="H95">
        <v>94.096100000000007</v>
      </c>
      <c r="I95">
        <v>4.8049500000000002E-2</v>
      </c>
      <c r="J95">
        <f>Table2259[[#This Row],[CFNM]]/Table2259[[#This Row],[CAREA]]</f>
        <v>5.1064284279582256E-4</v>
      </c>
      <c r="K95">
        <v>2.16533</v>
      </c>
      <c r="L95">
        <f>(Table3260[[#This Row],[time]]-2)*2</f>
        <v>0.33065999999999995</v>
      </c>
      <c r="M95">
        <v>88.452699999999993</v>
      </c>
      <c r="N95">
        <v>10.897600000000001</v>
      </c>
      <c r="O95">
        <f>Table3260[[#This Row],[CFNM]]/Table3260[[#This Row],[CAREA]]</f>
        <v>0.12320257041333958</v>
      </c>
      <c r="P95">
        <v>2.16533</v>
      </c>
      <c r="Q95">
        <f>(Table4261[[#This Row],[time]]-2)*2</f>
        <v>0.33065999999999995</v>
      </c>
      <c r="R95">
        <v>87.149199999999993</v>
      </c>
      <c r="S95">
        <v>1.3390599999999999</v>
      </c>
      <c r="T95">
        <f>Table4261[[#This Row],[CFNM]]/Table4261[[#This Row],[CAREA]]</f>
        <v>1.5365143914115104E-2</v>
      </c>
      <c r="U95">
        <v>2.16533</v>
      </c>
      <c r="V95">
        <f>(Table5262[[#This Row],[time]]-2)*2</f>
        <v>0.33065999999999995</v>
      </c>
      <c r="W95">
        <v>82.776200000000003</v>
      </c>
      <c r="X95">
        <v>15.923400000000001</v>
      </c>
      <c r="Y95">
        <f>Table5262[[#This Row],[CFNM]]/Table5262[[#This Row],[CAREA]]</f>
        <v>0.19236688806685981</v>
      </c>
      <c r="Z95">
        <v>2.16533</v>
      </c>
      <c r="AA95">
        <f>(Table6263[[#This Row],[time]]-2)*2</f>
        <v>0.33065999999999995</v>
      </c>
      <c r="AB95">
        <v>88.823499999999996</v>
      </c>
      <c r="AC95">
        <v>14.692299999999999</v>
      </c>
      <c r="AD95">
        <f>Table6263[[#This Row],[CFNM]]/Table6263[[#This Row],[CAREA]]</f>
        <v>0.1654100547715413</v>
      </c>
      <c r="AE95">
        <v>2.16533</v>
      </c>
      <c r="AF95">
        <f>(Table7264[[#This Row],[time]]-2)*2</f>
        <v>0.33065999999999995</v>
      </c>
      <c r="AG95">
        <v>77.936199999999999</v>
      </c>
      <c r="AH95">
        <v>26.918399999999998</v>
      </c>
      <c r="AI95">
        <f>Table7264[[#This Row],[CFNM]]/Table7264[[#This Row],[CAREA]]</f>
        <v>0.34539020378206786</v>
      </c>
      <c r="AJ95">
        <v>2.16533</v>
      </c>
      <c r="AK95">
        <f>(Table8265[[#This Row],[time]]-2)*2</f>
        <v>0.33065999999999995</v>
      </c>
      <c r="AL95">
        <v>83.111999999999995</v>
      </c>
      <c r="AM95">
        <v>15.122999999999999</v>
      </c>
      <c r="AN95">
        <f>Table8265[[#This Row],[CFNM]]/Table8265[[#This Row],[CAREA]]</f>
        <v>0.18195928385792665</v>
      </c>
    </row>
    <row r="96" spans="1:40" x14ac:dyDescent="0.25">
      <c r="A96">
        <v>2.2246999999999999</v>
      </c>
      <c r="B96">
        <f>(Table1258[[#This Row],[time]]-2)*2</f>
        <v>0.4493999999999998</v>
      </c>
      <c r="C96">
        <v>91.567800000000005</v>
      </c>
      <c r="D96">
        <v>18.018799999999999</v>
      </c>
      <c r="E96">
        <f>Table1258[[#This Row],[CFNM]]/Table1258[[#This Row],[CAREA]]</f>
        <v>0.19678096448751634</v>
      </c>
      <c r="F96">
        <v>2.2246999999999999</v>
      </c>
      <c r="G96">
        <f>(Table2259[[#This Row],[time]]-2)*2</f>
        <v>0.4493999999999998</v>
      </c>
      <c r="H96">
        <v>92.827600000000004</v>
      </c>
      <c r="I96">
        <v>4.5474699999999996E-3</v>
      </c>
      <c r="J96">
        <f>Table2259[[#This Row],[CFNM]]/Table2259[[#This Row],[CAREA]]</f>
        <v>4.8988339674838081E-5</v>
      </c>
      <c r="K96">
        <v>2.2246999999999999</v>
      </c>
      <c r="L96">
        <f>(Table3260[[#This Row],[time]]-2)*2</f>
        <v>0.4493999999999998</v>
      </c>
      <c r="M96">
        <v>87.514099999999999</v>
      </c>
      <c r="N96">
        <v>14.467700000000001</v>
      </c>
      <c r="O96">
        <f>Table3260[[#This Row],[CFNM]]/Table3260[[#This Row],[CAREA]]</f>
        <v>0.16531850296123712</v>
      </c>
      <c r="P96">
        <v>2.2246999999999999</v>
      </c>
      <c r="Q96">
        <f>(Table4261[[#This Row],[time]]-2)*2</f>
        <v>0.4493999999999998</v>
      </c>
      <c r="R96">
        <v>88.198599999999999</v>
      </c>
      <c r="S96">
        <v>7.2706199999999999E-2</v>
      </c>
      <c r="T96">
        <f>Table4261[[#This Row],[CFNM]]/Table4261[[#This Row],[CAREA]]</f>
        <v>8.243464181971142E-4</v>
      </c>
      <c r="U96">
        <v>2.2246999999999999</v>
      </c>
      <c r="V96">
        <f>(Table5262[[#This Row],[time]]-2)*2</f>
        <v>0.4493999999999998</v>
      </c>
      <c r="W96">
        <v>81.608199999999997</v>
      </c>
      <c r="X96">
        <v>18.6769</v>
      </c>
      <c r="Y96">
        <f>Table5262[[#This Row],[CFNM]]/Table5262[[#This Row],[CAREA]]</f>
        <v>0.22886058018679495</v>
      </c>
      <c r="Z96">
        <v>2.2246999999999999</v>
      </c>
      <c r="AA96">
        <f>(Table6263[[#This Row],[time]]-2)*2</f>
        <v>0.4493999999999998</v>
      </c>
      <c r="AB96">
        <v>90.445700000000002</v>
      </c>
      <c r="AC96">
        <v>14.526</v>
      </c>
      <c r="AD96">
        <f>Table6263[[#This Row],[CFNM]]/Table6263[[#This Row],[CAREA]]</f>
        <v>0.1606046500828674</v>
      </c>
      <c r="AE96">
        <v>2.2246999999999999</v>
      </c>
      <c r="AF96">
        <f>(Table7264[[#This Row],[time]]-2)*2</f>
        <v>0.4493999999999998</v>
      </c>
      <c r="AG96">
        <v>77.748699999999999</v>
      </c>
      <c r="AH96">
        <v>29.997800000000002</v>
      </c>
      <c r="AI96">
        <f>Table7264[[#This Row],[CFNM]]/Table7264[[#This Row],[CAREA]]</f>
        <v>0.38583024539317057</v>
      </c>
      <c r="AJ96">
        <v>2.2246999999999999</v>
      </c>
      <c r="AK96">
        <f>(Table8265[[#This Row],[time]]-2)*2</f>
        <v>0.4493999999999998</v>
      </c>
      <c r="AL96">
        <v>82.891499999999994</v>
      </c>
      <c r="AM96">
        <v>13.9543</v>
      </c>
      <c r="AN96">
        <f>Table8265[[#This Row],[CFNM]]/Table8265[[#This Row],[CAREA]]</f>
        <v>0.1683441607402448</v>
      </c>
    </row>
    <row r="97" spans="1:40" x14ac:dyDescent="0.25">
      <c r="A97">
        <v>2.2668900000000001</v>
      </c>
      <c r="B97">
        <f>(Table1258[[#This Row],[time]]-2)*2</f>
        <v>0.53378000000000014</v>
      </c>
      <c r="C97">
        <v>91.0702</v>
      </c>
      <c r="D97">
        <v>20.033000000000001</v>
      </c>
      <c r="E97">
        <f>Table1258[[#This Row],[CFNM]]/Table1258[[#This Row],[CAREA]]</f>
        <v>0.2199731635595398</v>
      </c>
      <c r="F97">
        <v>2.2668900000000001</v>
      </c>
      <c r="G97">
        <f>(Table2259[[#This Row],[time]]-2)*2</f>
        <v>0.53378000000000014</v>
      </c>
      <c r="H97">
        <v>90.938800000000001</v>
      </c>
      <c r="I97">
        <v>3.7104899999999999E-3</v>
      </c>
      <c r="J97">
        <f>Table2259[[#This Row],[CFNM]]/Table2259[[#This Row],[CAREA]]</f>
        <v>4.0802055888135753E-5</v>
      </c>
      <c r="K97">
        <v>2.2668900000000001</v>
      </c>
      <c r="L97">
        <f>(Table3260[[#This Row],[time]]-2)*2</f>
        <v>0.53378000000000014</v>
      </c>
      <c r="M97">
        <v>86.386700000000005</v>
      </c>
      <c r="N97">
        <v>17.636399999999998</v>
      </c>
      <c r="O97">
        <f>Table3260[[#This Row],[CFNM]]/Table3260[[#This Row],[CAREA]]</f>
        <v>0.20415642685737501</v>
      </c>
      <c r="P97">
        <v>2.2668900000000001</v>
      </c>
      <c r="Q97">
        <f>(Table4261[[#This Row],[time]]-2)*2</f>
        <v>0.53378000000000014</v>
      </c>
      <c r="R97">
        <v>87.988900000000001</v>
      </c>
      <c r="S97">
        <v>4.69273E-3</v>
      </c>
      <c r="T97">
        <f>Table4261[[#This Row],[CFNM]]/Table4261[[#This Row],[CAREA]]</f>
        <v>5.3333204529207663E-5</v>
      </c>
      <c r="U97">
        <v>2.2668900000000001</v>
      </c>
      <c r="V97">
        <f>(Table5262[[#This Row],[time]]-2)*2</f>
        <v>0.53378000000000014</v>
      </c>
      <c r="W97">
        <v>78.254400000000004</v>
      </c>
      <c r="X97">
        <v>21.409700000000001</v>
      </c>
      <c r="Y97">
        <f>Table5262[[#This Row],[CFNM]]/Table5262[[#This Row],[CAREA]]</f>
        <v>0.27359100574536382</v>
      </c>
      <c r="Z97">
        <v>2.2668900000000001</v>
      </c>
      <c r="AA97">
        <f>(Table6263[[#This Row],[time]]-2)*2</f>
        <v>0.53378000000000014</v>
      </c>
      <c r="AB97">
        <v>91.679199999999994</v>
      </c>
      <c r="AC97">
        <v>13.8264</v>
      </c>
      <c r="AD97">
        <f>Table6263[[#This Row],[CFNM]]/Table6263[[#This Row],[CAREA]]</f>
        <v>0.150812834317926</v>
      </c>
      <c r="AE97">
        <v>2.2668900000000001</v>
      </c>
      <c r="AF97">
        <f>(Table7264[[#This Row],[time]]-2)*2</f>
        <v>0.53378000000000014</v>
      </c>
      <c r="AG97">
        <v>77.686700000000002</v>
      </c>
      <c r="AH97">
        <v>32.697600000000001</v>
      </c>
      <c r="AI97">
        <f>Table7264[[#This Row],[CFNM]]/Table7264[[#This Row],[CAREA]]</f>
        <v>0.42089057715155875</v>
      </c>
      <c r="AJ97">
        <v>2.2668900000000001</v>
      </c>
      <c r="AK97">
        <f>(Table8265[[#This Row],[time]]-2)*2</f>
        <v>0.53378000000000014</v>
      </c>
      <c r="AL97">
        <v>82.373099999999994</v>
      </c>
      <c r="AM97">
        <v>13.185</v>
      </c>
      <c r="AN97">
        <f>Table8265[[#This Row],[CFNM]]/Table8265[[#This Row],[CAREA]]</f>
        <v>0.16006438995254521</v>
      </c>
    </row>
    <row r="98" spans="1:40" x14ac:dyDescent="0.25">
      <c r="A98">
        <v>2.3262700000000001</v>
      </c>
      <c r="B98">
        <f>(Table1258[[#This Row],[time]]-2)*2</f>
        <v>0.65254000000000012</v>
      </c>
      <c r="C98">
        <v>90.430899999999994</v>
      </c>
      <c r="D98">
        <v>22.747299999999999</v>
      </c>
      <c r="E98">
        <f>Table1258[[#This Row],[CFNM]]/Table1258[[#This Row],[CAREA]]</f>
        <v>0.25154344366803827</v>
      </c>
      <c r="F98">
        <v>2.3262700000000001</v>
      </c>
      <c r="G98">
        <f>(Table2259[[#This Row],[time]]-2)*2</f>
        <v>0.65254000000000012</v>
      </c>
      <c r="H98">
        <v>84.783100000000005</v>
      </c>
      <c r="I98">
        <v>2.8963700000000001E-3</v>
      </c>
      <c r="J98">
        <f>Table2259[[#This Row],[CFNM]]/Table2259[[#This Row],[CAREA]]</f>
        <v>3.4162114855436992E-5</v>
      </c>
      <c r="K98">
        <v>2.3262700000000001</v>
      </c>
      <c r="L98">
        <f>(Table3260[[#This Row],[time]]-2)*2</f>
        <v>0.65254000000000012</v>
      </c>
      <c r="M98">
        <v>85.357900000000001</v>
      </c>
      <c r="N98">
        <v>21.738900000000001</v>
      </c>
      <c r="O98">
        <f>Table3260[[#This Row],[CFNM]]/Table3260[[#This Row],[CAREA]]</f>
        <v>0.25467941455916793</v>
      </c>
      <c r="P98">
        <v>2.3262700000000001</v>
      </c>
      <c r="Q98">
        <f>(Table4261[[#This Row],[time]]-2)*2</f>
        <v>0.65254000000000012</v>
      </c>
      <c r="R98">
        <v>87.448800000000006</v>
      </c>
      <c r="S98">
        <v>3.6885300000000002E-3</v>
      </c>
      <c r="T98">
        <f>Table4261[[#This Row],[CFNM]]/Table4261[[#This Row],[CAREA]]</f>
        <v>4.2179309493097678E-5</v>
      </c>
      <c r="U98">
        <v>2.3262700000000001</v>
      </c>
      <c r="V98">
        <f>(Table5262[[#This Row],[time]]-2)*2</f>
        <v>0.65254000000000012</v>
      </c>
      <c r="W98">
        <v>76.048599999999993</v>
      </c>
      <c r="X98">
        <v>24.7011</v>
      </c>
      <c r="Y98">
        <f>Table5262[[#This Row],[CFNM]]/Table5262[[#This Row],[CAREA]]</f>
        <v>0.32480676830342703</v>
      </c>
      <c r="Z98">
        <v>2.3262700000000001</v>
      </c>
      <c r="AA98">
        <f>(Table6263[[#This Row],[time]]-2)*2</f>
        <v>0.65254000000000012</v>
      </c>
      <c r="AB98">
        <v>91.194699999999997</v>
      </c>
      <c r="AC98">
        <v>12.453200000000001</v>
      </c>
      <c r="AD98">
        <f>Table6263[[#This Row],[CFNM]]/Table6263[[#This Row],[CAREA]]</f>
        <v>0.13655618144475504</v>
      </c>
      <c r="AE98">
        <v>2.3262700000000001</v>
      </c>
      <c r="AF98">
        <f>(Table7264[[#This Row],[time]]-2)*2</f>
        <v>0.65254000000000012</v>
      </c>
      <c r="AG98">
        <v>77.709599999999995</v>
      </c>
      <c r="AH98">
        <v>35.883000000000003</v>
      </c>
      <c r="AI98">
        <f>Table7264[[#This Row],[CFNM]]/Table7264[[#This Row],[CAREA]]</f>
        <v>0.46175762068007048</v>
      </c>
      <c r="AJ98">
        <v>2.3262700000000001</v>
      </c>
      <c r="AK98">
        <f>(Table8265[[#This Row],[time]]-2)*2</f>
        <v>0.65254000000000012</v>
      </c>
      <c r="AL98">
        <v>81.698099999999997</v>
      </c>
      <c r="AM98">
        <v>12.429600000000001</v>
      </c>
      <c r="AN98">
        <f>Table8265[[#This Row],[CFNM]]/Table8265[[#This Row],[CAREA]]</f>
        <v>0.15214062505737588</v>
      </c>
    </row>
    <row r="99" spans="1:40" x14ac:dyDescent="0.25">
      <c r="A99">
        <v>2.3684599999999998</v>
      </c>
      <c r="B99">
        <f>(Table1258[[#This Row],[time]]-2)*2</f>
        <v>0.73691999999999958</v>
      </c>
      <c r="C99">
        <v>89.598200000000006</v>
      </c>
      <c r="D99">
        <v>25.053100000000001</v>
      </c>
      <c r="E99">
        <f>Table1258[[#This Row],[CFNM]]/Table1258[[#This Row],[CAREA]]</f>
        <v>0.27961610835931971</v>
      </c>
      <c r="F99">
        <v>2.3684599999999998</v>
      </c>
      <c r="G99">
        <f>(Table2259[[#This Row],[time]]-2)*2</f>
        <v>0.73691999999999958</v>
      </c>
      <c r="H99">
        <v>73.912199999999999</v>
      </c>
      <c r="I99">
        <v>2.29248E-3</v>
      </c>
      <c r="J99">
        <f>Table2259[[#This Row],[CFNM]]/Table2259[[#This Row],[CAREA]]</f>
        <v>3.1016259832612209E-5</v>
      </c>
      <c r="K99">
        <v>2.3684599999999998</v>
      </c>
      <c r="L99">
        <f>(Table3260[[#This Row],[time]]-2)*2</f>
        <v>0.73691999999999958</v>
      </c>
      <c r="M99">
        <v>84.387900000000002</v>
      </c>
      <c r="N99">
        <v>24.681000000000001</v>
      </c>
      <c r="O99">
        <f>Table3260[[#This Row],[CFNM]]/Table3260[[#This Row],[CAREA]]</f>
        <v>0.29247084001379348</v>
      </c>
      <c r="P99">
        <v>2.3684599999999998</v>
      </c>
      <c r="Q99">
        <f>(Table4261[[#This Row],[time]]-2)*2</f>
        <v>0.73691999999999958</v>
      </c>
      <c r="R99">
        <v>86.514600000000002</v>
      </c>
      <c r="S99">
        <v>3.0168199999999999E-3</v>
      </c>
      <c r="T99">
        <f>Table4261[[#This Row],[CFNM]]/Table4261[[#This Row],[CAREA]]</f>
        <v>3.4870646110598675E-5</v>
      </c>
      <c r="U99">
        <v>2.3684599999999998</v>
      </c>
      <c r="V99">
        <f>(Table5262[[#This Row],[time]]-2)*2</f>
        <v>0.73691999999999958</v>
      </c>
      <c r="W99">
        <v>74.418499999999995</v>
      </c>
      <c r="X99">
        <v>27.384599999999999</v>
      </c>
      <c r="Y99">
        <f>Table5262[[#This Row],[CFNM]]/Table5262[[#This Row],[CAREA]]</f>
        <v>0.36798107997339374</v>
      </c>
      <c r="Z99">
        <v>2.3684599999999998</v>
      </c>
      <c r="AA99">
        <f>(Table6263[[#This Row],[time]]-2)*2</f>
        <v>0.73691999999999958</v>
      </c>
      <c r="AB99">
        <v>92.2517</v>
      </c>
      <c r="AC99">
        <v>11.0845</v>
      </c>
      <c r="AD99">
        <f>Table6263[[#This Row],[CFNM]]/Table6263[[#This Row],[CAREA]]</f>
        <v>0.12015496733393531</v>
      </c>
      <c r="AE99">
        <v>2.3684599999999998</v>
      </c>
      <c r="AF99">
        <f>(Table7264[[#This Row],[time]]-2)*2</f>
        <v>0.73691999999999958</v>
      </c>
      <c r="AG99">
        <v>77.709800000000001</v>
      </c>
      <c r="AH99">
        <v>38.5015</v>
      </c>
      <c r="AI99">
        <f>Table7264[[#This Row],[CFNM]]/Table7264[[#This Row],[CAREA]]</f>
        <v>0.49545231103412951</v>
      </c>
      <c r="AJ99">
        <v>2.3684599999999998</v>
      </c>
      <c r="AK99">
        <f>(Table8265[[#This Row],[time]]-2)*2</f>
        <v>0.73691999999999958</v>
      </c>
      <c r="AL99">
        <v>81.241799999999998</v>
      </c>
      <c r="AM99">
        <v>11.7308</v>
      </c>
      <c r="AN99">
        <f>Table8265[[#This Row],[CFNM]]/Table8265[[#This Row],[CAREA]]</f>
        <v>0.14439364957448014</v>
      </c>
    </row>
    <row r="100" spans="1:40" x14ac:dyDescent="0.25">
      <c r="A100">
        <v>2.4278300000000002</v>
      </c>
      <c r="B100">
        <f>(Table1258[[#This Row],[time]]-2)*2</f>
        <v>0.85566000000000031</v>
      </c>
      <c r="C100">
        <v>88.39</v>
      </c>
      <c r="D100">
        <v>28.0091</v>
      </c>
      <c r="E100">
        <f>Table1258[[#This Row],[CFNM]]/Table1258[[#This Row],[CAREA]]</f>
        <v>0.31688086887656974</v>
      </c>
      <c r="F100">
        <v>2.4278300000000002</v>
      </c>
      <c r="G100">
        <f>(Table2259[[#This Row],[time]]-2)*2</f>
        <v>0.85566000000000031</v>
      </c>
      <c r="H100">
        <v>64.123400000000004</v>
      </c>
      <c r="I100">
        <v>1.7760899999999999E-3</v>
      </c>
      <c r="J100">
        <f>Table2259[[#This Row],[CFNM]]/Table2259[[#This Row],[CAREA]]</f>
        <v>2.7698001041741388E-5</v>
      </c>
      <c r="K100">
        <v>2.4278300000000002</v>
      </c>
      <c r="L100">
        <f>(Table3260[[#This Row],[time]]-2)*2</f>
        <v>0.85566000000000031</v>
      </c>
      <c r="M100">
        <v>83.600999999999999</v>
      </c>
      <c r="N100">
        <v>27.825900000000001</v>
      </c>
      <c r="O100">
        <f>Table3260[[#This Row],[CFNM]]/Table3260[[#This Row],[CAREA]]</f>
        <v>0.33284171241970789</v>
      </c>
      <c r="P100">
        <v>2.4278300000000002</v>
      </c>
      <c r="Q100">
        <f>(Table4261[[#This Row],[time]]-2)*2</f>
        <v>0.85566000000000031</v>
      </c>
      <c r="R100">
        <v>83.626199999999997</v>
      </c>
      <c r="S100">
        <v>2.5288300000000001E-3</v>
      </c>
      <c r="T100">
        <f>Table4261[[#This Row],[CFNM]]/Table4261[[#This Row],[CAREA]]</f>
        <v>3.0239685648756016E-5</v>
      </c>
      <c r="U100">
        <v>2.4278300000000002</v>
      </c>
      <c r="V100">
        <f>(Table5262[[#This Row],[time]]-2)*2</f>
        <v>0.85566000000000031</v>
      </c>
      <c r="W100">
        <v>72.870999999999995</v>
      </c>
      <c r="X100">
        <v>30.509899999999998</v>
      </c>
      <c r="Y100">
        <f>Table5262[[#This Row],[CFNM]]/Table5262[[#This Row],[CAREA]]</f>
        <v>0.41868370133523625</v>
      </c>
      <c r="Z100">
        <v>2.4278300000000002</v>
      </c>
      <c r="AA100">
        <f>(Table6263[[#This Row],[time]]-2)*2</f>
        <v>0.85566000000000031</v>
      </c>
      <c r="AB100">
        <v>92.475999999999999</v>
      </c>
      <c r="AC100">
        <v>9.6626600000000007</v>
      </c>
      <c r="AD100">
        <f>Table6263[[#This Row],[CFNM]]/Table6263[[#This Row],[CAREA]]</f>
        <v>0.10448829966694062</v>
      </c>
      <c r="AE100">
        <v>2.4278300000000002</v>
      </c>
      <c r="AF100">
        <f>(Table7264[[#This Row],[time]]-2)*2</f>
        <v>0.85566000000000031</v>
      </c>
      <c r="AG100">
        <v>77.636600000000001</v>
      </c>
      <c r="AH100">
        <v>41.599600000000002</v>
      </c>
      <c r="AI100">
        <f>Table7264[[#This Row],[CFNM]]/Table7264[[#This Row],[CAREA]]</f>
        <v>0.53582459819208983</v>
      </c>
      <c r="AJ100">
        <v>2.4278300000000002</v>
      </c>
      <c r="AK100">
        <f>(Table8265[[#This Row],[time]]-2)*2</f>
        <v>0.85566000000000031</v>
      </c>
      <c r="AL100">
        <v>80.781499999999994</v>
      </c>
      <c r="AM100">
        <v>10.938700000000001</v>
      </c>
      <c r="AN100">
        <f>Table8265[[#This Row],[CFNM]]/Table8265[[#This Row],[CAREA]]</f>
        <v>0.13541095424076058</v>
      </c>
    </row>
    <row r="101" spans="1:40" x14ac:dyDescent="0.25">
      <c r="A101">
        <v>2.4542000000000002</v>
      </c>
      <c r="B101">
        <f>(Table1258[[#This Row],[time]]-2)*2</f>
        <v>0.90840000000000032</v>
      </c>
      <c r="C101">
        <v>87.1297</v>
      </c>
      <c r="D101">
        <v>31.0032</v>
      </c>
      <c r="E101">
        <f>Table1258[[#This Row],[CFNM]]/Table1258[[#This Row],[CAREA]]</f>
        <v>0.3558281504469773</v>
      </c>
      <c r="F101">
        <v>2.4542000000000002</v>
      </c>
      <c r="G101">
        <f>(Table2259[[#This Row],[time]]-2)*2</f>
        <v>0.90840000000000032</v>
      </c>
      <c r="H101">
        <v>59.101399999999998</v>
      </c>
      <c r="I101">
        <v>1.47712E-3</v>
      </c>
      <c r="J101">
        <f>Table2259[[#This Row],[CFNM]]/Table2259[[#This Row],[CAREA]]</f>
        <v>2.4992978169721868E-5</v>
      </c>
      <c r="K101">
        <v>2.4542000000000002</v>
      </c>
      <c r="L101">
        <f>(Table3260[[#This Row],[time]]-2)*2</f>
        <v>0.90840000000000032</v>
      </c>
      <c r="M101">
        <v>82.957300000000004</v>
      </c>
      <c r="N101">
        <v>30.230399999999999</v>
      </c>
      <c r="O101">
        <f>Table3260[[#This Row],[CFNM]]/Table3260[[#This Row],[CAREA]]</f>
        <v>0.36440915989310163</v>
      </c>
      <c r="P101">
        <v>2.4542000000000002</v>
      </c>
      <c r="Q101">
        <f>(Table4261[[#This Row],[time]]-2)*2</f>
        <v>0.90840000000000032</v>
      </c>
      <c r="R101">
        <v>83.464799999999997</v>
      </c>
      <c r="S101">
        <v>2.1968600000000001E-3</v>
      </c>
      <c r="T101">
        <f>Table4261[[#This Row],[CFNM]]/Table4261[[#This Row],[CAREA]]</f>
        <v>2.6320796311738604E-5</v>
      </c>
      <c r="U101">
        <v>2.4542000000000002</v>
      </c>
      <c r="V101">
        <f>(Table5262[[#This Row],[time]]-2)*2</f>
        <v>0.90840000000000032</v>
      </c>
      <c r="W101">
        <v>70.895399999999995</v>
      </c>
      <c r="X101">
        <v>33.025199999999998</v>
      </c>
      <c r="Y101">
        <f>Table5262[[#This Row],[CFNM]]/Table5262[[#This Row],[CAREA]]</f>
        <v>0.46582994101168762</v>
      </c>
      <c r="Z101">
        <v>2.4542000000000002</v>
      </c>
      <c r="AA101">
        <f>(Table6263[[#This Row],[time]]-2)*2</f>
        <v>0.90840000000000032</v>
      </c>
      <c r="AB101">
        <v>91.831900000000005</v>
      </c>
      <c r="AC101">
        <v>8.8396500000000007</v>
      </c>
      <c r="AD101">
        <f>Table6263[[#This Row],[CFNM]]/Table6263[[#This Row],[CAREA]]</f>
        <v>9.6259034170043306E-2</v>
      </c>
      <c r="AE101">
        <v>2.4542000000000002</v>
      </c>
      <c r="AF101">
        <f>(Table7264[[#This Row],[time]]-2)*2</f>
        <v>0.90840000000000032</v>
      </c>
      <c r="AG101">
        <v>77.538700000000006</v>
      </c>
      <c r="AH101">
        <v>44.077100000000002</v>
      </c>
      <c r="AI101">
        <f>Table7264[[#This Row],[CFNM]]/Table7264[[#This Row],[CAREA]]</f>
        <v>0.56845291448012414</v>
      </c>
      <c r="AJ101">
        <v>2.4542000000000002</v>
      </c>
      <c r="AK101">
        <f>(Table8265[[#This Row],[time]]-2)*2</f>
        <v>0.90840000000000032</v>
      </c>
      <c r="AL101">
        <v>80.335599999999999</v>
      </c>
      <c r="AM101">
        <v>10.4392</v>
      </c>
      <c r="AN101">
        <f>Table8265[[#This Row],[CFNM]]/Table8265[[#This Row],[CAREA]]</f>
        <v>0.12994488122326839</v>
      </c>
    </row>
    <row r="102" spans="1:40" x14ac:dyDescent="0.25">
      <c r="A102">
        <v>2.5061499999999999</v>
      </c>
      <c r="B102">
        <f>(Table1258[[#This Row],[time]]-2)*2</f>
        <v>1.0122999999999998</v>
      </c>
      <c r="C102">
        <v>84.819500000000005</v>
      </c>
      <c r="D102">
        <v>34.550600000000003</v>
      </c>
      <c r="E102">
        <f>Table1258[[#This Row],[CFNM]]/Table1258[[#This Row],[CAREA]]</f>
        <v>0.40734265115922635</v>
      </c>
      <c r="F102">
        <v>2.5061499999999999</v>
      </c>
      <c r="G102">
        <f>(Table2259[[#This Row],[time]]-2)*2</f>
        <v>1.0122999999999998</v>
      </c>
      <c r="H102">
        <v>55.406599999999997</v>
      </c>
      <c r="I102">
        <v>1.1957000000000001E-3</v>
      </c>
      <c r="J102">
        <f>Table2259[[#This Row],[CFNM]]/Table2259[[#This Row],[CAREA]]</f>
        <v>2.1580461533463523E-5</v>
      </c>
      <c r="K102">
        <v>2.5061499999999999</v>
      </c>
      <c r="L102">
        <f>(Table3260[[#This Row],[time]]-2)*2</f>
        <v>1.0122999999999998</v>
      </c>
      <c r="M102">
        <v>82.168800000000005</v>
      </c>
      <c r="N102">
        <v>32.8735</v>
      </c>
      <c r="O102">
        <f>Table3260[[#This Row],[CFNM]]/Table3260[[#This Row],[CAREA]]</f>
        <v>0.40007277701512006</v>
      </c>
      <c r="P102">
        <v>2.5061499999999999</v>
      </c>
      <c r="Q102">
        <f>(Table4261[[#This Row],[time]]-2)*2</f>
        <v>1.0122999999999998</v>
      </c>
      <c r="R102">
        <v>79.762500000000003</v>
      </c>
      <c r="S102">
        <v>1.8899800000000001E-3</v>
      </c>
      <c r="T102">
        <f>Table4261[[#This Row],[CFNM]]/Table4261[[#This Row],[CAREA]]</f>
        <v>2.3695094812725277E-5</v>
      </c>
      <c r="U102">
        <v>2.5061499999999999</v>
      </c>
      <c r="V102">
        <f>(Table5262[[#This Row],[time]]-2)*2</f>
        <v>1.0122999999999998</v>
      </c>
      <c r="W102">
        <v>69.4786</v>
      </c>
      <c r="X102">
        <v>35.865200000000002</v>
      </c>
      <c r="Y102">
        <f>Table5262[[#This Row],[CFNM]]/Table5262[[#This Row],[CAREA]]</f>
        <v>0.51620498973784734</v>
      </c>
      <c r="Z102">
        <v>2.5061499999999999</v>
      </c>
      <c r="AA102">
        <f>(Table6263[[#This Row],[time]]-2)*2</f>
        <v>1.0122999999999998</v>
      </c>
      <c r="AB102">
        <v>92.046099999999996</v>
      </c>
      <c r="AC102">
        <v>8.1290600000000008</v>
      </c>
      <c r="AD102">
        <f>Table6263[[#This Row],[CFNM]]/Table6263[[#This Row],[CAREA]]</f>
        <v>8.8315094284277126E-2</v>
      </c>
      <c r="AE102">
        <v>2.5061499999999999</v>
      </c>
      <c r="AF102">
        <f>(Table7264[[#This Row],[time]]-2)*2</f>
        <v>1.0122999999999998</v>
      </c>
      <c r="AG102">
        <v>77.270200000000003</v>
      </c>
      <c r="AH102">
        <v>46.913699999999999</v>
      </c>
      <c r="AI102">
        <f>Table7264[[#This Row],[CFNM]]/Table7264[[#This Row],[CAREA]]</f>
        <v>0.60713832758294917</v>
      </c>
      <c r="AJ102">
        <v>2.5061499999999999</v>
      </c>
      <c r="AK102">
        <f>(Table8265[[#This Row],[time]]-2)*2</f>
        <v>1.0122999999999998</v>
      </c>
      <c r="AL102">
        <v>79.850999999999999</v>
      </c>
      <c r="AM102">
        <v>9.8821499999999993</v>
      </c>
      <c r="AN102">
        <f>Table8265[[#This Row],[CFNM]]/Table8265[[#This Row],[CAREA]]</f>
        <v>0.12375737310741255</v>
      </c>
    </row>
    <row r="103" spans="1:40" x14ac:dyDescent="0.25">
      <c r="A103">
        <v>2.5507599999999999</v>
      </c>
      <c r="B103">
        <f>(Table1258[[#This Row],[time]]-2)*2</f>
        <v>1.1015199999999998</v>
      </c>
      <c r="C103">
        <v>83.201999999999998</v>
      </c>
      <c r="D103">
        <v>37.785499999999999</v>
      </c>
      <c r="E103">
        <f>Table1258[[#This Row],[CFNM]]/Table1258[[#This Row],[CAREA]]</f>
        <v>0.454141727362323</v>
      </c>
      <c r="F103">
        <v>2.5507599999999999</v>
      </c>
      <c r="G103">
        <f>(Table2259[[#This Row],[time]]-2)*2</f>
        <v>1.1015199999999998</v>
      </c>
      <c r="H103">
        <v>51.174399999999999</v>
      </c>
      <c r="I103">
        <v>9.8904900000000009E-4</v>
      </c>
      <c r="J103">
        <f>Table2259[[#This Row],[CFNM]]/Table2259[[#This Row],[CAREA]]</f>
        <v>1.9327026794647325E-5</v>
      </c>
      <c r="K103">
        <v>2.5507599999999999</v>
      </c>
      <c r="L103">
        <f>(Table3260[[#This Row],[time]]-2)*2</f>
        <v>1.1015199999999998</v>
      </c>
      <c r="M103">
        <v>81.485600000000005</v>
      </c>
      <c r="N103">
        <v>35.223999999999997</v>
      </c>
      <c r="O103">
        <f>Table3260[[#This Row],[CFNM]]/Table3260[[#This Row],[CAREA]]</f>
        <v>0.43227269603463675</v>
      </c>
      <c r="P103">
        <v>2.5507599999999999</v>
      </c>
      <c r="Q103">
        <f>(Table4261[[#This Row],[time]]-2)*2</f>
        <v>1.1015199999999998</v>
      </c>
      <c r="R103">
        <v>77.5137</v>
      </c>
      <c r="S103">
        <v>1.6726200000000001E-3</v>
      </c>
      <c r="T103">
        <f>Table4261[[#This Row],[CFNM]]/Table4261[[#This Row],[CAREA]]</f>
        <v>2.1578379047832837E-5</v>
      </c>
      <c r="U103">
        <v>2.5507599999999999</v>
      </c>
      <c r="V103">
        <f>(Table5262[[#This Row],[time]]-2)*2</f>
        <v>1.1015199999999998</v>
      </c>
      <c r="W103">
        <v>68.677099999999996</v>
      </c>
      <c r="X103">
        <v>38.494900000000001</v>
      </c>
      <c r="Y103">
        <f>Table5262[[#This Row],[CFNM]]/Table5262[[#This Row],[CAREA]]</f>
        <v>0.56052017339113047</v>
      </c>
      <c r="Z103">
        <v>2.5507599999999999</v>
      </c>
      <c r="AA103">
        <f>(Table6263[[#This Row],[time]]-2)*2</f>
        <v>1.1015199999999998</v>
      </c>
      <c r="AB103">
        <v>91.9084</v>
      </c>
      <c r="AC103">
        <v>7.5509599999999999</v>
      </c>
      <c r="AD103">
        <f>Table6263[[#This Row],[CFNM]]/Table6263[[#This Row],[CAREA]]</f>
        <v>8.2157452420018193E-2</v>
      </c>
      <c r="AE103">
        <v>2.5507599999999999</v>
      </c>
      <c r="AF103">
        <f>(Table7264[[#This Row],[time]]-2)*2</f>
        <v>1.1015199999999998</v>
      </c>
      <c r="AG103">
        <v>77.275300000000001</v>
      </c>
      <c r="AH103">
        <v>49.613799999999998</v>
      </c>
      <c r="AI103">
        <f>Table7264[[#This Row],[CFNM]]/Table7264[[#This Row],[CAREA]]</f>
        <v>0.64203956503565818</v>
      </c>
      <c r="AJ103">
        <v>2.5507599999999999</v>
      </c>
      <c r="AK103">
        <f>(Table8265[[#This Row],[time]]-2)*2</f>
        <v>1.1015199999999998</v>
      </c>
      <c r="AL103">
        <v>79.312399999999997</v>
      </c>
      <c r="AM103">
        <v>9.2802699999999998</v>
      </c>
      <c r="AN103">
        <f>Table8265[[#This Row],[CFNM]]/Table8265[[#This Row],[CAREA]]</f>
        <v>0.11700906793893515</v>
      </c>
    </row>
    <row r="104" spans="1:40" x14ac:dyDescent="0.25">
      <c r="A104">
        <v>2.60453</v>
      </c>
      <c r="B104">
        <f>(Table1258[[#This Row],[time]]-2)*2</f>
        <v>1.20906</v>
      </c>
      <c r="C104">
        <v>81.841800000000006</v>
      </c>
      <c r="D104">
        <v>40.557200000000002</v>
      </c>
      <c r="E104">
        <f>Table1258[[#This Row],[CFNM]]/Table1258[[#This Row],[CAREA]]</f>
        <v>0.49555606059495266</v>
      </c>
      <c r="F104">
        <v>2.60453</v>
      </c>
      <c r="G104">
        <f>(Table2259[[#This Row],[time]]-2)*2</f>
        <v>1.20906</v>
      </c>
      <c r="H104">
        <v>48.9955</v>
      </c>
      <c r="I104">
        <v>8.5586699999999996E-4</v>
      </c>
      <c r="J104">
        <f>Table2259[[#This Row],[CFNM]]/Table2259[[#This Row],[CAREA]]</f>
        <v>1.7468277698972354E-5</v>
      </c>
      <c r="K104">
        <v>2.60453</v>
      </c>
      <c r="L104">
        <f>(Table3260[[#This Row],[time]]-2)*2</f>
        <v>1.20906</v>
      </c>
      <c r="M104">
        <v>80.630600000000001</v>
      </c>
      <c r="N104">
        <v>37.037500000000001</v>
      </c>
      <c r="O104">
        <f>Table3260[[#This Row],[CFNM]]/Table3260[[#This Row],[CAREA]]</f>
        <v>0.45934793986402184</v>
      </c>
      <c r="P104">
        <v>2.60453</v>
      </c>
      <c r="Q104">
        <f>(Table4261[[#This Row],[time]]-2)*2</f>
        <v>1.20906</v>
      </c>
      <c r="R104">
        <v>72.590800000000002</v>
      </c>
      <c r="S104">
        <v>1.49822E-3</v>
      </c>
      <c r="T104">
        <f>Table4261[[#This Row],[CFNM]]/Table4261[[#This Row],[CAREA]]</f>
        <v>2.0639254561184063E-5</v>
      </c>
      <c r="U104">
        <v>2.60453</v>
      </c>
      <c r="V104">
        <f>(Table5262[[#This Row],[time]]-2)*2</f>
        <v>1.20906</v>
      </c>
      <c r="W104">
        <v>67.689499999999995</v>
      </c>
      <c r="X104">
        <v>40.744799999999998</v>
      </c>
      <c r="Y104">
        <f>Table5262[[#This Row],[CFNM]]/Table5262[[#This Row],[CAREA]]</f>
        <v>0.60193678487800917</v>
      </c>
      <c r="Z104">
        <v>2.60453</v>
      </c>
      <c r="AA104">
        <f>(Table6263[[#This Row],[time]]-2)*2</f>
        <v>1.20906</v>
      </c>
      <c r="AB104">
        <v>91.538600000000002</v>
      </c>
      <c r="AC104">
        <v>7.1797700000000004</v>
      </c>
      <c r="AD104">
        <f>Table6263[[#This Row],[CFNM]]/Table6263[[#This Row],[CAREA]]</f>
        <v>7.8434343544690435E-2</v>
      </c>
      <c r="AE104">
        <v>2.60453</v>
      </c>
      <c r="AF104">
        <f>(Table7264[[#This Row],[time]]-2)*2</f>
        <v>1.20906</v>
      </c>
      <c r="AG104">
        <v>77.271000000000001</v>
      </c>
      <c r="AH104">
        <v>52.060499999999998</v>
      </c>
      <c r="AI104">
        <f>Table7264[[#This Row],[CFNM]]/Table7264[[#This Row],[CAREA]]</f>
        <v>0.67373917769926617</v>
      </c>
      <c r="AJ104">
        <v>2.60453</v>
      </c>
      <c r="AK104">
        <f>(Table8265[[#This Row],[time]]-2)*2</f>
        <v>1.20906</v>
      </c>
      <c r="AL104">
        <v>78.6648</v>
      </c>
      <c r="AM104">
        <v>8.7247000000000003</v>
      </c>
      <c r="AN104">
        <f>Table8265[[#This Row],[CFNM]]/Table8265[[#This Row],[CAREA]]</f>
        <v>0.11090983514863065</v>
      </c>
    </row>
    <row r="105" spans="1:40" x14ac:dyDescent="0.25">
      <c r="A105">
        <v>2.65273</v>
      </c>
      <c r="B105">
        <f>(Table1258[[#This Row],[time]]-2)*2</f>
        <v>1.3054600000000001</v>
      </c>
      <c r="C105">
        <v>79.705600000000004</v>
      </c>
      <c r="D105">
        <v>43.547499999999999</v>
      </c>
      <c r="E105">
        <f>Table1258[[#This Row],[CFNM]]/Table1258[[#This Row],[CAREA]]</f>
        <v>0.54635433394893207</v>
      </c>
      <c r="F105">
        <v>2.65273</v>
      </c>
      <c r="G105">
        <f>(Table2259[[#This Row],[time]]-2)*2</f>
        <v>1.3054600000000001</v>
      </c>
      <c r="H105">
        <v>43.185099999999998</v>
      </c>
      <c r="I105">
        <v>7.1737099999999996E-4</v>
      </c>
      <c r="J105">
        <f>Table2259[[#This Row],[CFNM]]/Table2259[[#This Row],[CAREA]]</f>
        <v>1.661153962825141E-5</v>
      </c>
      <c r="K105">
        <v>2.65273</v>
      </c>
      <c r="L105">
        <f>(Table3260[[#This Row],[time]]-2)*2</f>
        <v>1.3054600000000001</v>
      </c>
      <c r="M105">
        <v>79.885099999999994</v>
      </c>
      <c r="N105">
        <v>38.890900000000002</v>
      </c>
      <c r="O105">
        <f>Table3260[[#This Row],[CFNM]]/Table3260[[#This Row],[CAREA]]</f>
        <v>0.48683546744011091</v>
      </c>
      <c r="P105">
        <v>2.65273</v>
      </c>
      <c r="Q105">
        <f>(Table4261[[#This Row],[time]]-2)*2</f>
        <v>1.3054600000000001</v>
      </c>
      <c r="R105">
        <v>67.656499999999994</v>
      </c>
      <c r="S105">
        <v>1.3067700000000001E-3</v>
      </c>
      <c r="T105">
        <f>Table4261[[#This Row],[CFNM]]/Table4261[[#This Row],[CAREA]]</f>
        <v>1.9314773894599932E-5</v>
      </c>
      <c r="U105">
        <v>2.65273</v>
      </c>
      <c r="V105">
        <f>(Table5262[[#This Row],[time]]-2)*2</f>
        <v>1.3054600000000001</v>
      </c>
      <c r="W105">
        <v>66.530600000000007</v>
      </c>
      <c r="X105">
        <v>43.3262</v>
      </c>
      <c r="Y105">
        <f>Table5262[[#This Row],[CFNM]]/Table5262[[#This Row],[CAREA]]</f>
        <v>0.65122214439671366</v>
      </c>
      <c r="Z105">
        <v>2.65273</v>
      </c>
      <c r="AA105">
        <f>(Table6263[[#This Row],[time]]-2)*2</f>
        <v>1.3054600000000001</v>
      </c>
      <c r="AB105">
        <v>91.465900000000005</v>
      </c>
      <c r="AC105">
        <v>6.6821900000000003</v>
      </c>
      <c r="AD105">
        <f>Table6263[[#This Row],[CFNM]]/Table6263[[#This Row],[CAREA]]</f>
        <v>7.3056625474630432E-2</v>
      </c>
      <c r="AE105">
        <v>2.65273</v>
      </c>
      <c r="AF105">
        <f>(Table7264[[#This Row],[time]]-2)*2</f>
        <v>1.3054600000000001</v>
      </c>
      <c r="AG105">
        <v>77.078199999999995</v>
      </c>
      <c r="AH105">
        <v>54.983600000000003</v>
      </c>
      <c r="AI105">
        <f>Table7264[[#This Row],[CFNM]]/Table7264[[#This Row],[CAREA]]</f>
        <v>0.71334826189506251</v>
      </c>
      <c r="AJ105">
        <v>2.65273</v>
      </c>
      <c r="AK105">
        <f>(Table8265[[#This Row],[time]]-2)*2</f>
        <v>1.3054600000000001</v>
      </c>
      <c r="AL105">
        <v>77.881600000000006</v>
      </c>
      <c r="AM105">
        <v>8.0180799999999994</v>
      </c>
      <c r="AN105">
        <f>Table8265[[#This Row],[CFNM]]/Table8265[[#This Row],[CAREA]]</f>
        <v>0.10295217355575642</v>
      </c>
    </row>
    <row r="106" spans="1:40" x14ac:dyDescent="0.25">
      <c r="A106">
        <v>2.7006199999999998</v>
      </c>
      <c r="B106">
        <f>(Table1258[[#This Row],[time]]-2)*2</f>
        <v>1.4012399999999996</v>
      </c>
      <c r="C106">
        <v>78.294799999999995</v>
      </c>
      <c r="D106">
        <v>45.209299999999999</v>
      </c>
      <c r="E106">
        <f>Table1258[[#This Row],[CFNM]]/Table1258[[#This Row],[CAREA]]</f>
        <v>0.57742404348692378</v>
      </c>
      <c r="F106">
        <v>2.7006199999999998</v>
      </c>
      <c r="G106">
        <f>(Table2259[[#This Row],[time]]-2)*2</f>
        <v>1.4012399999999996</v>
      </c>
      <c r="H106">
        <v>38.514699999999998</v>
      </c>
      <c r="I106">
        <v>6.4448900000000004E-4</v>
      </c>
      <c r="J106">
        <f>Table2259[[#This Row],[CFNM]]/Table2259[[#This Row],[CAREA]]</f>
        <v>1.6733584839035487E-5</v>
      </c>
      <c r="K106">
        <v>2.7006199999999998</v>
      </c>
      <c r="L106">
        <f>(Table3260[[#This Row],[time]]-2)*2</f>
        <v>1.4012399999999996</v>
      </c>
      <c r="M106">
        <v>79.599999999999994</v>
      </c>
      <c r="N106">
        <v>39.945300000000003</v>
      </c>
      <c r="O106">
        <f>Table3260[[#This Row],[CFNM]]/Table3260[[#This Row],[CAREA]]</f>
        <v>0.50182537688442219</v>
      </c>
      <c r="P106">
        <v>2.7006199999999998</v>
      </c>
      <c r="Q106">
        <f>(Table4261[[#This Row],[time]]-2)*2</f>
        <v>1.4012399999999996</v>
      </c>
      <c r="R106">
        <v>64.555999999999997</v>
      </c>
      <c r="S106">
        <v>1.19787E-3</v>
      </c>
      <c r="T106">
        <f>Table4261[[#This Row],[CFNM]]/Table4261[[#This Row],[CAREA]]</f>
        <v>1.8555517690067539E-5</v>
      </c>
      <c r="U106">
        <v>2.7006199999999998</v>
      </c>
      <c r="V106">
        <f>(Table5262[[#This Row],[time]]-2)*2</f>
        <v>1.4012399999999996</v>
      </c>
      <c r="W106">
        <v>65.363299999999995</v>
      </c>
      <c r="X106">
        <v>44.846600000000002</v>
      </c>
      <c r="Y106">
        <f>Table5262[[#This Row],[CFNM]]/Table5262[[#This Row],[CAREA]]</f>
        <v>0.68611284925944693</v>
      </c>
      <c r="Z106">
        <v>2.7006199999999998</v>
      </c>
      <c r="AA106">
        <f>(Table6263[[#This Row],[time]]-2)*2</f>
        <v>1.4012399999999996</v>
      </c>
      <c r="AB106">
        <v>90.640600000000006</v>
      </c>
      <c r="AC106">
        <v>6.33643</v>
      </c>
      <c r="AD106">
        <f>Table6263[[#This Row],[CFNM]]/Table6263[[#This Row],[CAREA]]</f>
        <v>6.9907193906483409E-2</v>
      </c>
      <c r="AE106">
        <v>2.7006199999999998</v>
      </c>
      <c r="AF106">
        <f>(Table7264[[#This Row],[time]]-2)*2</f>
        <v>1.4012399999999996</v>
      </c>
      <c r="AG106">
        <v>76.924800000000005</v>
      </c>
      <c r="AH106">
        <v>56.740099999999998</v>
      </c>
      <c r="AI106">
        <f>Table7264[[#This Row],[CFNM]]/Table7264[[#This Row],[CAREA]]</f>
        <v>0.73760477765298049</v>
      </c>
      <c r="AJ106">
        <v>2.7006199999999998</v>
      </c>
      <c r="AK106">
        <f>(Table8265[[#This Row],[time]]-2)*2</f>
        <v>1.4012399999999996</v>
      </c>
      <c r="AL106">
        <v>77.443399999999997</v>
      </c>
      <c r="AM106">
        <v>7.5965100000000003</v>
      </c>
      <c r="AN106">
        <f>Table8265[[#This Row],[CFNM]]/Table8265[[#This Row],[CAREA]]</f>
        <v>9.8091122032348793E-2</v>
      </c>
    </row>
    <row r="107" spans="1:40" x14ac:dyDescent="0.25">
      <c r="A107">
        <v>2.75176</v>
      </c>
      <c r="B107">
        <f>(Table1258[[#This Row],[time]]-2)*2</f>
        <v>1.50352</v>
      </c>
      <c r="C107">
        <v>76.549400000000006</v>
      </c>
      <c r="D107">
        <v>47.903799999999997</v>
      </c>
      <c r="E107">
        <f>Table1258[[#This Row],[CFNM]]/Table1258[[#This Row],[CAREA]]</f>
        <v>0.62578935955082593</v>
      </c>
      <c r="F107">
        <v>2.75176</v>
      </c>
      <c r="G107">
        <f>(Table2259[[#This Row],[time]]-2)*2</f>
        <v>1.50352</v>
      </c>
      <c r="H107">
        <v>35.060699999999997</v>
      </c>
      <c r="I107">
        <v>5.2271999999999996E-4</v>
      </c>
      <c r="J107">
        <f>Table2259[[#This Row],[CFNM]]/Table2259[[#This Row],[CAREA]]</f>
        <v>1.4909000675970531E-5</v>
      </c>
      <c r="K107">
        <v>2.75176</v>
      </c>
      <c r="L107">
        <f>(Table3260[[#This Row],[time]]-2)*2</f>
        <v>1.50352</v>
      </c>
      <c r="M107">
        <v>78.896000000000001</v>
      </c>
      <c r="N107">
        <v>41.755699999999997</v>
      </c>
      <c r="O107">
        <f>Table3260[[#This Row],[CFNM]]/Table3260[[#This Row],[CAREA]]</f>
        <v>0.52924989860068949</v>
      </c>
      <c r="P107">
        <v>2.75176</v>
      </c>
      <c r="Q107">
        <f>(Table4261[[#This Row],[time]]-2)*2</f>
        <v>1.50352</v>
      </c>
      <c r="R107">
        <v>53.417499999999997</v>
      </c>
      <c r="S107">
        <v>1.0244200000000001E-3</v>
      </c>
      <c r="T107">
        <f>Table4261[[#This Row],[CFNM]]/Table4261[[#This Row],[CAREA]]</f>
        <v>1.9177610333692145E-5</v>
      </c>
      <c r="U107">
        <v>2.75176</v>
      </c>
      <c r="V107">
        <f>(Table5262[[#This Row],[time]]-2)*2</f>
        <v>1.50352</v>
      </c>
      <c r="W107">
        <v>63.571199999999997</v>
      </c>
      <c r="X107">
        <v>47.655799999999999</v>
      </c>
      <c r="Y107">
        <f>Table5262[[#This Row],[CFNM]]/Table5262[[#This Row],[CAREA]]</f>
        <v>0.74964449310379544</v>
      </c>
      <c r="Z107">
        <v>2.75176</v>
      </c>
      <c r="AA107">
        <f>(Table6263[[#This Row],[time]]-2)*2</f>
        <v>1.50352</v>
      </c>
      <c r="AB107">
        <v>90.413700000000006</v>
      </c>
      <c r="AC107">
        <v>5.6009900000000004</v>
      </c>
      <c r="AD107">
        <f>Table6263[[#This Row],[CFNM]]/Table6263[[#This Row],[CAREA]]</f>
        <v>6.1948465774545228E-2</v>
      </c>
      <c r="AE107">
        <v>2.75176</v>
      </c>
      <c r="AF107">
        <f>(Table7264[[#This Row],[time]]-2)*2</f>
        <v>1.50352</v>
      </c>
      <c r="AG107">
        <v>76.128100000000003</v>
      </c>
      <c r="AH107">
        <v>60.064100000000003</v>
      </c>
      <c r="AI107">
        <f>Table7264[[#This Row],[CFNM]]/Table7264[[#This Row],[CAREA]]</f>
        <v>0.78898724649636598</v>
      </c>
      <c r="AJ107">
        <v>2.75176</v>
      </c>
      <c r="AK107">
        <f>(Table8265[[#This Row],[time]]-2)*2</f>
        <v>1.50352</v>
      </c>
      <c r="AL107">
        <v>76.767799999999994</v>
      </c>
      <c r="AM107">
        <v>6.8340300000000003</v>
      </c>
      <c r="AN107">
        <f>Table8265[[#This Row],[CFNM]]/Table8265[[#This Row],[CAREA]]</f>
        <v>8.9022089990855549E-2</v>
      </c>
    </row>
    <row r="108" spans="1:40" x14ac:dyDescent="0.25">
      <c r="A108">
        <v>2.80444</v>
      </c>
      <c r="B108">
        <f>(Table1258[[#This Row],[time]]-2)*2</f>
        <v>1.6088800000000001</v>
      </c>
      <c r="C108">
        <v>76.001499999999993</v>
      </c>
      <c r="D108">
        <v>48.914999999999999</v>
      </c>
      <c r="E108">
        <f>Table1258[[#This Row],[CFNM]]/Table1258[[#This Row],[CAREA]]</f>
        <v>0.64360571830819135</v>
      </c>
      <c r="F108">
        <v>2.80444</v>
      </c>
      <c r="G108">
        <f>(Table2259[[#This Row],[time]]-2)*2</f>
        <v>1.6088800000000001</v>
      </c>
      <c r="H108">
        <v>34.6755</v>
      </c>
      <c r="I108">
        <v>4.7347200000000001E-4</v>
      </c>
      <c r="J108">
        <f>Table2259[[#This Row],[CFNM]]/Table2259[[#This Row],[CAREA]]</f>
        <v>1.3654366916122334E-5</v>
      </c>
      <c r="K108">
        <v>2.80444</v>
      </c>
      <c r="L108">
        <f>(Table3260[[#This Row],[time]]-2)*2</f>
        <v>1.6088800000000001</v>
      </c>
      <c r="M108">
        <v>78.549400000000006</v>
      </c>
      <c r="N108">
        <v>42.432299999999998</v>
      </c>
      <c r="O108">
        <f>Table3260[[#This Row],[CFNM]]/Table3260[[#This Row],[CAREA]]</f>
        <v>0.54019890667528958</v>
      </c>
      <c r="P108">
        <v>2.80444</v>
      </c>
      <c r="Q108">
        <f>(Table4261[[#This Row],[time]]-2)*2</f>
        <v>1.6088800000000001</v>
      </c>
      <c r="R108">
        <v>49.768000000000001</v>
      </c>
      <c r="S108">
        <v>9.6350899999999998E-4</v>
      </c>
      <c r="T108">
        <f>Table4261[[#This Row],[CFNM]]/Table4261[[#This Row],[CAREA]]</f>
        <v>1.9360010448480952E-5</v>
      </c>
      <c r="U108">
        <v>2.80444</v>
      </c>
      <c r="V108">
        <f>(Table5262[[#This Row],[time]]-2)*2</f>
        <v>1.6088800000000001</v>
      </c>
      <c r="W108">
        <v>62.715899999999998</v>
      </c>
      <c r="X108">
        <v>48.825099999999999</v>
      </c>
      <c r="Y108">
        <f>Table5262[[#This Row],[CFNM]]/Table5262[[#This Row],[CAREA]]</f>
        <v>0.77851230708640073</v>
      </c>
      <c r="Z108">
        <v>2.80444</v>
      </c>
      <c r="AA108">
        <f>(Table6263[[#This Row],[time]]-2)*2</f>
        <v>1.6088800000000001</v>
      </c>
      <c r="AB108">
        <v>90.088499999999996</v>
      </c>
      <c r="AC108">
        <v>5.2922900000000004</v>
      </c>
      <c r="AD108">
        <f>Table6263[[#This Row],[CFNM]]/Table6263[[#This Row],[CAREA]]</f>
        <v>5.8745455857295889E-2</v>
      </c>
      <c r="AE108">
        <v>2.80444</v>
      </c>
      <c r="AF108">
        <f>(Table7264[[#This Row],[time]]-2)*2</f>
        <v>1.6088800000000001</v>
      </c>
      <c r="AG108">
        <v>75.927899999999994</v>
      </c>
      <c r="AH108">
        <v>61.471600000000002</v>
      </c>
      <c r="AI108">
        <f>Table7264[[#This Row],[CFNM]]/Table7264[[#This Row],[CAREA]]</f>
        <v>0.80960490149207354</v>
      </c>
      <c r="AJ108">
        <v>2.80444</v>
      </c>
      <c r="AK108">
        <f>(Table8265[[#This Row],[time]]-2)*2</f>
        <v>1.6088800000000001</v>
      </c>
      <c r="AL108">
        <v>76.402799999999999</v>
      </c>
      <c r="AM108">
        <v>6.49437</v>
      </c>
      <c r="AN108">
        <f>Table8265[[#This Row],[CFNM]]/Table8265[[#This Row],[CAREA]]</f>
        <v>8.5001727685372785E-2</v>
      </c>
    </row>
    <row r="109" spans="1:40" x14ac:dyDescent="0.25">
      <c r="A109">
        <v>2.8583699999999999</v>
      </c>
      <c r="B109">
        <f>(Table1258[[#This Row],[time]]-2)*2</f>
        <v>1.7167399999999997</v>
      </c>
      <c r="C109">
        <v>74.531800000000004</v>
      </c>
      <c r="D109">
        <v>50.621499999999997</v>
      </c>
      <c r="E109">
        <f>Table1258[[#This Row],[CFNM]]/Table1258[[#This Row],[CAREA]]</f>
        <v>0.67919331077472966</v>
      </c>
      <c r="F109">
        <v>2.8583699999999999</v>
      </c>
      <c r="G109">
        <f>(Table2259[[#This Row],[time]]-2)*2</f>
        <v>1.7167399999999997</v>
      </c>
      <c r="H109">
        <v>30.786799999999999</v>
      </c>
      <c r="I109">
        <v>3.8985400000000003E-4</v>
      </c>
      <c r="J109">
        <f>Table2259[[#This Row],[CFNM]]/Table2259[[#This Row],[CAREA]]</f>
        <v>1.2663024413060144E-5</v>
      </c>
      <c r="K109">
        <v>2.8583699999999999</v>
      </c>
      <c r="L109">
        <f>(Table3260[[#This Row],[time]]-2)*2</f>
        <v>1.7167399999999997</v>
      </c>
      <c r="M109">
        <v>77.983400000000003</v>
      </c>
      <c r="N109">
        <v>43.585500000000003</v>
      </c>
      <c r="O109">
        <f>Table3260[[#This Row],[CFNM]]/Table3260[[#This Row],[CAREA]]</f>
        <v>0.55890740849975762</v>
      </c>
      <c r="P109">
        <v>2.8583699999999999</v>
      </c>
      <c r="Q109">
        <f>(Table4261[[#This Row],[time]]-2)*2</f>
        <v>1.7167399999999997</v>
      </c>
      <c r="R109">
        <v>45.084400000000002</v>
      </c>
      <c r="S109">
        <v>8.6211100000000004E-4</v>
      </c>
      <c r="T109">
        <f>Table4261[[#This Row],[CFNM]]/Table4261[[#This Row],[CAREA]]</f>
        <v>1.9122157553388756E-5</v>
      </c>
      <c r="U109">
        <v>2.8583699999999999</v>
      </c>
      <c r="V109">
        <f>(Table5262[[#This Row],[time]]-2)*2</f>
        <v>1.7167399999999997</v>
      </c>
      <c r="W109">
        <v>61.802100000000003</v>
      </c>
      <c r="X109">
        <v>50.908499999999997</v>
      </c>
      <c r="Y109">
        <f>Table5262[[#This Row],[CFNM]]/Table5262[[#This Row],[CAREA]]</f>
        <v>0.82373414495623931</v>
      </c>
      <c r="Z109">
        <v>2.8583699999999999</v>
      </c>
      <c r="AA109">
        <f>(Table6263[[#This Row],[time]]-2)*2</f>
        <v>1.7167399999999997</v>
      </c>
      <c r="AB109">
        <v>89.388199999999998</v>
      </c>
      <c r="AC109">
        <v>4.7620800000000001</v>
      </c>
      <c r="AD109">
        <f>Table6263[[#This Row],[CFNM]]/Table6263[[#This Row],[CAREA]]</f>
        <v>5.327414580447979E-2</v>
      </c>
      <c r="AE109">
        <v>2.8583699999999999</v>
      </c>
      <c r="AF109">
        <f>(Table7264[[#This Row],[time]]-2)*2</f>
        <v>1.7167399999999997</v>
      </c>
      <c r="AG109">
        <v>75.563900000000004</v>
      </c>
      <c r="AH109">
        <v>63.956499999999998</v>
      </c>
      <c r="AI109">
        <f>Table7264[[#This Row],[CFNM]]/Table7264[[#This Row],[CAREA]]</f>
        <v>0.84638961197079554</v>
      </c>
      <c r="AJ109">
        <v>2.8583699999999999</v>
      </c>
      <c r="AK109">
        <f>(Table8265[[#This Row],[time]]-2)*2</f>
        <v>1.7167399999999997</v>
      </c>
      <c r="AL109">
        <v>75.745999999999995</v>
      </c>
      <c r="AM109">
        <v>5.8801100000000002</v>
      </c>
      <c r="AN109">
        <f>Table8265[[#This Row],[CFNM]]/Table8265[[#This Row],[CAREA]]</f>
        <v>7.7629313759142407E-2</v>
      </c>
    </row>
    <row r="110" spans="1:40" x14ac:dyDescent="0.25">
      <c r="A110">
        <v>2.9134199999999999</v>
      </c>
      <c r="B110">
        <f>(Table1258[[#This Row],[time]]-2)*2</f>
        <v>1.8268399999999998</v>
      </c>
      <c r="C110">
        <v>72.539000000000001</v>
      </c>
      <c r="D110">
        <v>51.84</v>
      </c>
      <c r="E110">
        <f>Table1258[[#This Row],[CFNM]]/Table1258[[#This Row],[CAREA]]</f>
        <v>0.71465005031776019</v>
      </c>
      <c r="F110">
        <v>2.9134199999999999</v>
      </c>
      <c r="G110">
        <f>(Table2259[[#This Row],[time]]-2)*2</f>
        <v>1.8268399999999998</v>
      </c>
      <c r="H110">
        <v>26.803599999999999</v>
      </c>
      <c r="I110">
        <v>3.3649199999999998E-4</v>
      </c>
      <c r="J110">
        <f>Table2259[[#This Row],[CFNM]]/Table2259[[#This Row],[CAREA]]</f>
        <v>1.2553985285558655E-5</v>
      </c>
      <c r="K110">
        <v>2.9134199999999999</v>
      </c>
      <c r="L110">
        <f>(Table3260[[#This Row],[time]]-2)*2</f>
        <v>1.8268399999999998</v>
      </c>
      <c r="M110">
        <v>77.552800000000005</v>
      </c>
      <c r="N110">
        <v>44.490099999999998</v>
      </c>
      <c r="O110">
        <f>Table3260[[#This Row],[CFNM]]/Table3260[[#This Row],[CAREA]]</f>
        <v>0.57367496724811995</v>
      </c>
      <c r="P110">
        <v>2.9134199999999999</v>
      </c>
      <c r="Q110">
        <f>(Table4261[[#This Row],[time]]-2)*2</f>
        <v>1.8268399999999998</v>
      </c>
      <c r="R110">
        <v>39.795699999999997</v>
      </c>
      <c r="S110">
        <v>7.9693699999999995E-4</v>
      </c>
      <c r="T110">
        <f>Table4261[[#This Row],[CFNM]]/Table4261[[#This Row],[CAREA]]</f>
        <v>2.0025706294901209E-5</v>
      </c>
      <c r="U110">
        <v>2.9134199999999999</v>
      </c>
      <c r="V110">
        <f>(Table5262[[#This Row],[time]]-2)*2</f>
        <v>1.8268399999999998</v>
      </c>
      <c r="W110">
        <v>61.209499999999998</v>
      </c>
      <c r="X110">
        <v>52.447200000000002</v>
      </c>
      <c r="Y110">
        <f>Table5262[[#This Row],[CFNM]]/Table5262[[#This Row],[CAREA]]</f>
        <v>0.8568473848013789</v>
      </c>
      <c r="Z110">
        <v>2.9134199999999999</v>
      </c>
      <c r="AA110">
        <f>(Table6263[[#This Row],[time]]-2)*2</f>
        <v>1.8268399999999998</v>
      </c>
      <c r="AB110">
        <v>88.535799999999995</v>
      </c>
      <c r="AC110">
        <v>4.4013</v>
      </c>
      <c r="AD110">
        <f>Table6263[[#This Row],[CFNM]]/Table6263[[#This Row],[CAREA]]</f>
        <v>4.9712093864854673E-2</v>
      </c>
      <c r="AE110">
        <v>2.9134199999999999</v>
      </c>
      <c r="AF110">
        <f>(Table7264[[#This Row],[time]]-2)*2</f>
        <v>1.8268399999999998</v>
      </c>
      <c r="AG110">
        <v>74.911299999999997</v>
      </c>
      <c r="AH110">
        <v>65.764799999999994</v>
      </c>
      <c r="AI110">
        <f>Table7264[[#This Row],[CFNM]]/Table7264[[#This Row],[CAREA]]</f>
        <v>0.87790226574628927</v>
      </c>
      <c r="AJ110">
        <v>2.9134199999999999</v>
      </c>
      <c r="AK110">
        <f>(Table8265[[#This Row],[time]]-2)*2</f>
        <v>1.8268399999999998</v>
      </c>
      <c r="AL110">
        <v>75.281899999999993</v>
      </c>
      <c r="AM110">
        <v>5.44217</v>
      </c>
      <c r="AN110">
        <f>Table8265[[#This Row],[CFNM]]/Table8265[[#This Row],[CAREA]]</f>
        <v>7.2290550583872099E-2</v>
      </c>
    </row>
    <row r="111" spans="1:40" x14ac:dyDescent="0.25">
      <c r="A111">
        <v>2.9619599999999999</v>
      </c>
      <c r="B111">
        <f>(Table1258[[#This Row],[time]]-2)*2</f>
        <v>1.9239199999999999</v>
      </c>
      <c r="C111">
        <v>71.710499999999996</v>
      </c>
      <c r="D111">
        <v>53.235700000000001</v>
      </c>
      <c r="E111">
        <f>Table1258[[#This Row],[CFNM]]/Table1258[[#This Row],[CAREA]]</f>
        <v>0.74236966692464845</v>
      </c>
      <c r="F111">
        <v>2.9619599999999999</v>
      </c>
      <c r="G111">
        <f>(Table2259[[#This Row],[time]]-2)*2</f>
        <v>1.9239199999999999</v>
      </c>
      <c r="H111">
        <v>24.390699999999999</v>
      </c>
      <c r="I111">
        <v>2.7848499999999997E-4</v>
      </c>
      <c r="J111">
        <f>Table2259[[#This Row],[CFNM]]/Table2259[[#This Row],[CAREA]]</f>
        <v>1.1417671489543146E-5</v>
      </c>
      <c r="K111">
        <v>2.9619599999999999</v>
      </c>
      <c r="L111">
        <f>(Table3260[[#This Row],[time]]-2)*2</f>
        <v>1.9239199999999999</v>
      </c>
      <c r="M111">
        <v>77.075999999999993</v>
      </c>
      <c r="N111">
        <v>45.643799999999999</v>
      </c>
      <c r="O111">
        <f>Table3260[[#This Row],[CFNM]]/Table3260[[#This Row],[CAREA]]</f>
        <v>0.59219212206134209</v>
      </c>
      <c r="P111">
        <v>2.9619599999999999</v>
      </c>
      <c r="Q111">
        <f>(Table4261[[#This Row],[time]]-2)*2</f>
        <v>1.9239199999999999</v>
      </c>
      <c r="R111">
        <v>37.516199999999998</v>
      </c>
      <c r="S111">
        <v>7.2454400000000003E-4</v>
      </c>
      <c r="T111">
        <f>Table4261[[#This Row],[CFNM]]/Table4261[[#This Row],[CAREA]]</f>
        <v>1.9312830190690957E-5</v>
      </c>
      <c r="U111">
        <v>2.9619599999999999</v>
      </c>
      <c r="V111">
        <f>(Table5262[[#This Row],[time]]-2)*2</f>
        <v>1.9239199999999999</v>
      </c>
      <c r="W111">
        <v>60.522500000000001</v>
      </c>
      <c r="X111">
        <v>54.332799999999999</v>
      </c>
      <c r="Y111">
        <f>Table5262[[#This Row],[CFNM]]/Table5262[[#This Row],[CAREA]]</f>
        <v>0.89772894378123835</v>
      </c>
      <c r="Z111">
        <v>2.9619599999999999</v>
      </c>
      <c r="AA111">
        <f>(Table6263[[#This Row],[time]]-2)*2</f>
        <v>1.9239199999999999</v>
      </c>
      <c r="AB111">
        <v>88.206100000000006</v>
      </c>
      <c r="AC111">
        <v>4.0116699999999996</v>
      </c>
      <c r="AD111">
        <f>Table6263[[#This Row],[CFNM]]/Table6263[[#This Row],[CAREA]]</f>
        <v>4.5480641361538482E-2</v>
      </c>
      <c r="AE111">
        <v>2.9619599999999999</v>
      </c>
      <c r="AF111">
        <f>(Table7264[[#This Row],[time]]-2)*2</f>
        <v>1.9239199999999999</v>
      </c>
      <c r="AG111">
        <v>74.495099999999994</v>
      </c>
      <c r="AH111">
        <v>67.886399999999995</v>
      </c>
      <c r="AI111">
        <f>Table7264[[#This Row],[CFNM]]/Table7264[[#This Row],[CAREA]]</f>
        <v>0.91128678262060192</v>
      </c>
      <c r="AJ111">
        <v>2.9619599999999999</v>
      </c>
      <c r="AK111">
        <f>(Table8265[[#This Row],[time]]-2)*2</f>
        <v>1.9239199999999999</v>
      </c>
      <c r="AL111">
        <v>74.615600000000001</v>
      </c>
      <c r="AM111">
        <v>4.8736600000000001</v>
      </c>
      <c r="AN111">
        <f>Table8265[[#This Row],[CFNM]]/Table8265[[#This Row],[CAREA]]</f>
        <v>6.5316904239864054E-2</v>
      </c>
    </row>
    <row r="112" spans="1:40" x14ac:dyDescent="0.25">
      <c r="A112">
        <v>3</v>
      </c>
      <c r="B112">
        <f>(Table1258[[#This Row],[time]]-2)*2</f>
        <v>2</v>
      </c>
      <c r="C112">
        <v>70.723799999999997</v>
      </c>
      <c r="D112">
        <v>54.408200000000001</v>
      </c>
      <c r="E112">
        <f>Table1258[[#This Row],[CFNM]]/Table1258[[#This Row],[CAREA]]</f>
        <v>0.76930538234653689</v>
      </c>
      <c r="F112">
        <v>3</v>
      </c>
      <c r="G112">
        <f>(Table2259[[#This Row],[time]]-2)*2</f>
        <v>2</v>
      </c>
      <c r="H112">
        <v>19.5837</v>
      </c>
      <c r="I112">
        <v>2.3613E-4</v>
      </c>
      <c r="J112">
        <f>Table2259[[#This Row],[CFNM]]/Table2259[[#This Row],[CAREA]]</f>
        <v>1.2057476370655187E-5</v>
      </c>
      <c r="K112">
        <v>3</v>
      </c>
      <c r="L112">
        <f>(Table3260[[#This Row],[time]]-2)*2</f>
        <v>2</v>
      </c>
      <c r="M112">
        <v>76.600800000000007</v>
      </c>
      <c r="N112">
        <v>46.692900000000002</v>
      </c>
      <c r="O112">
        <f>Table3260[[#This Row],[CFNM]]/Table3260[[#This Row],[CAREA]]</f>
        <v>0.60956151893974997</v>
      </c>
      <c r="P112">
        <v>3</v>
      </c>
      <c r="Q112">
        <f>(Table4261[[#This Row],[time]]-2)*2</f>
        <v>2</v>
      </c>
      <c r="R112">
        <v>35.747100000000003</v>
      </c>
      <c r="S112">
        <v>6.6262500000000002E-4</v>
      </c>
      <c r="T112">
        <f>Table4261[[#This Row],[CFNM]]/Table4261[[#This Row],[CAREA]]</f>
        <v>1.8536468692565271E-5</v>
      </c>
      <c r="U112">
        <v>3</v>
      </c>
      <c r="V112">
        <f>(Table5262[[#This Row],[time]]-2)*2</f>
        <v>2</v>
      </c>
      <c r="W112">
        <v>59.870899999999999</v>
      </c>
      <c r="X112">
        <v>56.006700000000002</v>
      </c>
      <c r="Y112">
        <f>Table5262[[#This Row],[CFNM]]/Table5262[[#This Row],[CAREA]]</f>
        <v>0.93545779335202917</v>
      </c>
      <c r="Z112">
        <v>3</v>
      </c>
      <c r="AA112">
        <f>(Table6263[[#This Row],[time]]-2)*2</f>
        <v>2</v>
      </c>
      <c r="AB112">
        <v>88.116699999999994</v>
      </c>
      <c r="AC112">
        <v>3.6580599999999999</v>
      </c>
      <c r="AD112">
        <f>Table6263[[#This Row],[CFNM]]/Table6263[[#This Row],[CAREA]]</f>
        <v>4.1513810662451044E-2</v>
      </c>
      <c r="AE112">
        <v>3</v>
      </c>
      <c r="AF112">
        <f>(Table7264[[#This Row],[time]]-2)*2</f>
        <v>2</v>
      </c>
      <c r="AG112">
        <v>74.032799999999995</v>
      </c>
      <c r="AH112">
        <v>69.796099999999996</v>
      </c>
      <c r="AI112">
        <f>Table7264[[#This Row],[CFNM]]/Table7264[[#This Row],[CAREA]]</f>
        <v>0.94277266292778339</v>
      </c>
      <c r="AJ112">
        <v>3</v>
      </c>
      <c r="AK112">
        <f>(Table8265[[#This Row],[time]]-2)*2</f>
        <v>2</v>
      </c>
      <c r="AL112">
        <v>74.130799999999994</v>
      </c>
      <c r="AM112">
        <v>4.3248100000000003</v>
      </c>
      <c r="AN112">
        <f>Table8265[[#This Row],[CFNM]]/Table8265[[#This Row],[CAREA]]</f>
        <v>5.8340258030400327E-2</v>
      </c>
    </row>
    <row r="115" spans="1:40" x14ac:dyDescent="0.25">
      <c r="A115" s="1" t="s">
        <v>20</v>
      </c>
    </row>
    <row r="116" spans="1:40" x14ac:dyDescent="0.25">
      <c r="A116" t="s">
        <v>40</v>
      </c>
      <c r="F116" t="s">
        <v>1</v>
      </c>
    </row>
    <row r="117" spans="1:40" x14ac:dyDescent="0.25">
      <c r="F117" t="s">
        <v>2</v>
      </c>
      <c r="G117" t="s">
        <v>3</v>
      </c>
    </row>
    <row r="120" spans="1:40" x14ac:dyDescent="0.25">
      <c r="A120" t="s">
        <v>4</v>
      </c>
      <c r="F120" t="s">
        <v>5</v>
      </c>
      <c r="K120" t="s">
        <v>6</v>
      </c>
      <c r="P120" t="s">
        <v>7</v>
      </c>
      <c r="U120" t="s">
        <v>8</v>
      </c>
      <c r="Z120" t="s">
        <v>9</v>
      </c>
      <c r="AE120" t="s">
        <v>10</v>
      </c>
      <c r="AJ120" t="s">
        <v>11</v>
      </c>
    </row>
    <row r="121" spans="1:40" x14ac:dyDescent="0.25">
      <c r="A121" t="s">
        <v>12</v>
      </c>
      <c r="B121" t="s">
        <v>13</v>
      </c>
      <c r="C121" t="s">
        <v>14</v>
      </c>
      <c r="D121" t="s">
        <v>15</v>
      </c>
      <c r="E121" t="s">
        <v>16</v>
      </c>
      <c r="F121" t="s">
        <v>12</v>
      </c>
      <c r="G121" t="s">
        <v>13</v>
      </c>
      <c r="H121" t="s">
        <v>14</v>
      </c>
      <c r="I121" t="s">
        <v>15</v>
      </c>
      <c r="J121" t="s">
        <v>16</v>
      </c>
      <c r="K121" t="s">
        <v>12</v>
      </c>
      <c r="L121" t="s">
        <v>13</v>
      </c>
      <c r="M121" t="s">
        <v>14</v>
      </c>
      <c r="N121" t="s">
        <v>15</v>
      </c>
      <c r="O121" t="s">
        <v>16</v>
      </c>
      <c r="P121" t="s">
        <v>12</v>
      </c>
      <c r="Q121" t="s">
        <v>13</v>
      </c>
      <c r="R121" t="s">
        <v>14</v>
      </c>
      <c r="S121" t="s">
        <v>15</v>
      </c>
      <c r="T121" t="s">
        <v>16</v>
      </c>
      <c r="U121" t="s">
        <v>12</v>
      </c>
      <c r="V121" t="s">
        <v>13</v>
      </c>
      <c r="W121" t="s">
        <v>14</v>
      </c>
      <c r="X121" t="s">
        <v>15</v>
      </c>
      <c r="Y121" t="s">
        <v>16</v>
      </c>
      <c r="Z121" t="s">
        <v>12</v>
      </c>
      <c r="AA121" t="s">
        <v>13</v>
      </c>
      <c r="AB121" t="s">
        <v>14</v>
      </c>
      <c r="AC121" t="s">
        <v>15</v>
      </c>
      <c r="AD121" t="s">
        <v>16</v>
      </c>
      <c r="AE121" t="s">
        <v>12</v>
      </c>
      <c r="AF121" t="s">
        <v>13</v>
      </c>
      <c r="AG121" t="s">
        <v>14</v>
      </c>
      <c r="AH121" t="s">
        <v>15</v>
      </c>
      <c r="AI121" t="s">
        <v>16</v>
      </c>
      <c r="AJ121" t="s">
        <v>12</v>
      </c>
      <c r="AK121" t="s">
        <v>13</v>
      </c>
      <c r="AL121" t="s">
        <v>14</v>
      </c>
      <c r="AM121" t="s">
        <v>15</v>
      </c>
      <c r="AN121" t="s">
        <v>16</v>
      </c>
    </row>
    <row r="122" spans="1:40" x14ac:dyDescent="0.25">
      <c r="A122">
        <v>2</v>
      </c>
      <c r="B122">
        <f>-(Table1[[#This Row],[time]]-2)*2</f>
        <v>0</v>
      </c>
      <c r="C122">
        <v>91.122200000000007</v>
      </c>
      <c r="D122">
        <v>10.1982</v>
      </c>
      <c r="E122" s="2">
        <f>Table1[[#This Row],[CFNM]]/Table1[[#This Row],[CAREA]]</f>
        <v>0.11191784219432804</v>
      </c>
      <c r="F122">
        <v>2</v>
      </c>
      <c r="G122">
        <f>-(Table2[[#This Row],[time]]-2)*2</f>
        <v>0</v>
      </c>
      <c r="H122">
        <v>95.889399999999995</v>
      </c>
      <c r="I122">
        <v>3.5990500000000001</v>
      </c>
      <c r="J122" s="2">
        <f>Table2[[#This Row],[CFNM]]/Table2[[#This Row],[CAREA]]</f>
        <v>3.7533345708701905E-2</v>
      </c>
      <c r="K122">
        <v>2</v>
      </c>
      <c r="L122">
        <f>-(Table3[[#This Row],[time]]-2)*2</f>
        <v>0</v>
      </c>
      <c r="M122">
        <v>89.273899999999998</v>
      </c>
      <c r="N122">
        <v>3.63375</v>
      </c>
      <c r="O122">
        <f>Table3[[#This Row],[CFNM]]/Table3[[#This Row],[CAREA]]</f>
        <v>4.0703385872018584E-2</v>
      </c>
      <c r="P122">
        <v>2</v>
      </c>
      <c r="Q122">
        <f>-(Table4[[#This Row],[time]]-2)*2</f>
        <v>0</v>
      </c>
      <c r="R122">
        <v>86.437299999999993</v>
      </c>
      <c r="S122">
        <v>6.4271799999999999</v>
      </c>
      <c r="T122">
        <f>Table4[[#This Row],[CFNM]]/Table4[[#This Row],[CAREA]]</f>
        <v>7.4356556717990963E-2</v>
      </c>
      <c r="U122">
        <v>2</v>
      </c>
      <c r="V122">
        <f>-(Table5[[#This Row],[time]]-2)*2</f>
        <v>0</v>
      </c>
      <c r="W122">
        <v>82.674099999999996</v>
      </c>
      <c r="X122">
        <v>9.7119900000000001</v>
      </c>
      <c r="Y122">
        <f>Table5[[#This Row],[CFNM]]/Table5[[#This Row],[CAREA]]</f>
        <v>0.1174731868868243</v>
      </c>
      <c r="Z122">
        <v>2</v>
      </c>
      <c r="AA122">
        <f>-(Table6[[#This Row],[time]]-2)*2</f>
        <v>0</v>
      </c>
      <c r="AB122">
        <v>88.971500000000006</v>
      </c>
      <c r="AC122">
        <v>16.248000000000001</v>
      </c>
      <c r="AD122">
        <f>Table6[[#This Row],[CFNM]]/Table6[[#This Row],[CAREA]]</f>
        <v>0.18262027727980309</v>
      </c>
      <c r="AE122">
        <v>2</v>
      </c>
      <c r="AF122">
        <f>-(Table7[[#This Row],[time]]-2)*2</f>
        <v>0</v>
      </c>
      <c r="AG122">
        <v>78.961299999999994</v>
      </c>
      <c r="AH122">
        <v>19.617799999999999</v>
      </c>
      <c r="AI122">
        <f>Table7[[#This Row],[CFNM]]/Table7[[#This Row],[CAREA]]</f>
        <v>0.24844829049167125</v>
      </c>
      <c r="AJ122">
        <v>2</v>
      </c>
      <c r="AK122">
        <f>-(Table818287[[#This Row],[time]]-2)*2</f>
        <v>0</v>
      </c>
      <c r="AL122">
        <v>83.133399999999995</v>
      </c>
      <c r="AM122">
        <v>19.2318</v>
      </c>
      <c r="AN122">
        <f>Table818287[[#This Row],[CFNM]]/Table818287[[#This Row],[CAREA]]</f>
        <v>0.23133662282548292</v>
      </c>
    </row>
    <row r="123" spans="1:40" x14ac:dyDescent="0.25">
      <c r="A123">
        <v>2.0512600000000001</v>
      </c>
      <c r="B123">
        <f>-(Table1[[#This Row],[time]]-2)*2</f>
        <v>-0.10252000000000017</v>
      </c>
      <c r="C123">
        <v>88.8476</v>
      </c>
      <c r="D123">
        <v>8.0392799999999998</v>
      </c>
      <c r="E123">
        <f>Table1[[#This Row],[CFNM]]/Table1[[#This Row],[CAREA]]</f>
        <v>9.0483929785385303E-2</v>
      </c>
      <c r="F123">
        <v>2.0512600000000001</v>
      </c>
      <c r="G123">
        <f>-(Table2[[#This Row],[time]]-2)*2</f>
        <v>-0.10252000000000017</v>
      </c>
      <c r="H123">
        <v>94.7911</v>
      </c>
      <c r="I123">
        <v>6.2004700000000001</v>
      </c>
      <c r="J123">
        <f>Table2[[#This Row],[CFNM]]/Table2[[#This Row],[CAREA]]</f>
        <v>6.5411942682382623E-2</v>
      </c>
      <c r="K123">
        <v>2.0512600000000001</v>
      </c>
      <c r="L123">
        <f>-(Table3[[#This Row],[time]]-2)*2</f>
        <v>-0.10252000000000017</v>
      </c>
      <c r="M123">
        <v>88.781099999999995</v>
      </c>
      <c r="N123">
        <v>0.60095299999999996</v>
      </c>
      <c r="O123">
        <f>Table3[[#This Row],[CFNM]]/Table3[[#This Row],[CAREA]]</f>
        <v>6.7689294230416155E-3</v>
      </c>
      <c r="P123">
        <v>2.0512600000000001</v>
      </c>
      <c r="Q123">
        <f>-(Table4[[#This Row],[time]]-2)*2</f>
        <v>-0.10252000000000017</v>
      </c>
      <c r="R123">
        <v>84.552599999999998</v>
      </c>
      <c r="S123">
        <v>8.4831199999999995</v>
      </c>
      <c r="T123">
        <f>Table4[[#This Row],[CFNM]]/Table4[[#This Row],[CAREA]]</f>
        <v>0.10032949903373757</v>
      </c>
      <c r="U123">
        <v>2.0512600000000001</v>
      </c>
      <c r="V123">
        <f>-(Table5[[#This Row],[time]]-2)*2</f>
        <v>-0.10252000000000017</v>
      </c>
      <c r="W123">
        <v>82.507000000000005</v>
      </c>
      <c r="X123">
        <v>5.5604199999999997</v>
      </c>
      <c r="Y123">
        <f>Table5[[#This Row],[CFNM]]/Table5[[#This Row],[CAREA]]</f>
        <v>6.7393312082611165E-2</v>
      </c>
      <c r="Z123">
        <v>2.0512600000000001</v>
      </c>
      <c r="AA123">
        <f>-(Table6[[#This Row],[time]]-2)*2</f>
        <v>-0.10252000000000017</v>
      </c>
      <c r="AB123">
        <v>87.439599999999999</v>
      </c>
      <c r="AC123">
        <v>14.995100000000001</v>
      </c>
      <c r="AD123">
        <f>Table6[[#This Row],[CFNM]]/Table6[[#This Row],[CAREA]]</f>
        <v>0.17149094918092034</v>
      </c>
      <c r="AE123">
        <v>2.0512600000000001</v>
      </c>
      <c r="AF123">
        <f>-(Table7[[#This Row],[time]]-2)*2</f>
        <v>-0.10252000000000017</v>
      </c>
      <c r="AG123">
        <v>79.313500000000005</v>
      </c>
      <c r="AH123">
        <v>17.485299999999999</v>
      </c>
      <c r="AI123">
        <f>Table7[[#This Row],[CFNM]]/Table7[[#This Row],[CAREA]]</f>
        <v>0.22045805569039315</v>
      </c>
      <c r="AJ123">
        <v>2.0512600000000001</v>
      </c>
      <c r="AK123">
        <f>-(Table818287[[#This Row],[time]]-2)*2</f>
        <v>-0.10252000000000017</v>
      </c>
      <c r="AL123">
        <v>83.154899999999998</v>
      </c>
      <c r="AM123">
        <v>21.5625</v>
      </c>
      <c r="AN123">
        <f>Table818287[[#This Row],[CFNM]]/Table818287[[#This Row],[CAREA]]</f>
        <v>0.25930522434637043</v>
      </c>
    </row>
    <row r="124" spans="1:40" x14ac:dyDescent="0.25">
      <c r="A124">
        <v>2.1153300000000002</v>
      </c>
      <c r="B124">
        <f>-(Table1[[#This Row],[time]]-2)*2</f>
        <v>-0.23066000000000031</v>
      </c>
      <c r="C124">
        <v>86.225499999999997</v>
      </c>
      <c r="D124">
        <v>5.9433999999999996</v>
      </c>
      <c r="E124">
        <f>Table1[[#This Row],[CFNM]]/Table1[[#This Row],[CAREA]]</f>
        <v>6.8928565215626472E-2</v>
      </c>
      <c r="F124">
        <v>2.1153300000000002</v>
      </c>
      <c r="G124">
        <f>-(Table2[[#This Row],[time]]-2)*2</f>
        <v>-0.23066000000000031</v>
      </c>
      <c r="H124">
        <v>93.032899999999998</v>
      </c>
      <c r="I124">
        <v>9.5348100000000002</v>
      </c>
      <c r="J124">
        <f>Table2[[#This Row],[CFNM]]/Table2[[#This Row],[CAREA]]</f>
        <v>0.10248858199626154</v>
      </c>
      <c r="K124">
        <v>2.1153300000000002</v>
      </c>
      <c r="L124">
        <f>-(Table3[[#This Row],[time]]-2)*2</f>
        <v>-0.23066000000000031</v>
      </c>
      <c r="M124">
        <v>88.527600000000007</v>
      </c>
      <c r="N124">
        <v>4.1131199999999996E-3</v>
      </c>
      <c r="O124">
        <f>Table3[[#This Row],[CFNM]]/Table3[[#This Row],[CAREA]]</f>
        <v>4.6461442533176087E-5</v>
      </c>
      <c r="P124">
        <v>2.1153300000000002</v>
      </c>
      <c r="Q124">
        <f>-(Table4[[#This Row],[time]]-2)*2</f>
        <v>-0.23066000000000031</v>
      </c>
      <c r="R124">
        <v>82.185900000000004</v>
      </c>
      <c r="S124">
        <v>11.0708</v>
      </c>
      <c r="T124">
        <f>Table4[[#This Row],[CFNM]]/Table4[[#This Row],[CAREA]]</f>
        <v>0.13470437143110922</v>
      </c>
      <c r="U124">
        <v>2.1153300000000002</v>
      </c>
      <c r="V124">
        <f>-(Table5[[#This Row],[time]]-2)*2</f>
        <v>-0.23066000000000031</v>
      </c>
      <c r="W124">
        <v>82.647999999999996</v>
      </c>
      <c r="X124">
        <v>1.9415100000000001</v>
      </c>
      <c r="Y124">
        <f>Table5[[#This Row],[CFNM]]/Table5[[#This Row],[CAREA]]</f>
        <v>2.349131255444778E-2</v>
      </c>
      <c r="Z124">
        <v>2.1153300000000002</v>
      </c>
      <c r="AA124">
        <f>-(Table6[[#This Row],[time]]-2)*2</f>
        <v>-0.23066000000000031</v>
      </c>
      <c r="AB124">
        <v>84.342299999999994</v>
      </c>
      <c r="AC124">
        <v>13.212400000000001</v>
      </c>
      <c r="AD124">
        <f>Table6[[#This Row],[CFNM]]/Table6[[#This Row],[CAREA]]</f>
        <v>0.15665211880634036</v>
      </c>
      <c r="AE124">
        <v>2.1153300000000002</v>
      </c>
      <c r="AF124">
        <f>-(Table7[[#This Row],[time]]-2)*2</f>
        <v>-0.23066000000000031</v>
      </c>
      <c r="AG124">
        <v>79.7149</v>
      </c>
      <c r="AH124">
        <v>15.2036</v>
      </c>
      <c r="AI124">
        <f>Table7[[#This Row],[CFNM]]/Table7[[#This Row],[CAREA]]</f>
        <v>0.19072469513227766</v>
      </c>
      <c r="AJ124">
        <v>2.1153300000000002</v>
      </c>
      <c r="AK124">
        <f>-(Table818287[[#This Row],[time]]-2)*2</f>
        <v>-0.23066000000000031</v>
      </c>
      <c r="AL124">
        <v>83.0077</v>
      </c>
      <c r="AM124">
        <v>24.114799999999999</v>
      </c>
      <c r="AN124">
        <f>Table818287[[#This Row],[CFNM]]/Table818287[[#This Row],[CAREA]]</f>
        <v>0.29051280784794664</v>
      </c>
    </row>
    <row r="125" spans="1:40" x14ac:dyDescent="0.25">
      <c r="A125">
        <v>2.16533</v>
      </c>
      <c r="B125">
        <f>-(Table1[[#This Row],[time]]-2)*2</f>
        <v>-0.33065999999999995</v>
      </c>
      <c r="C125">
        <v>83.982399999999998</v>
      </c>
      <c r="D125">
        <v>4.2310699999999999</v>
      </c>
      <c r="E125">
        <f>Table1[[#This Row],[CFNM]]/Table1[[#This Row],[CAREA]]</f>
        <v>5.0380436853435955E-2</v>
      </c>
      <c r="F125">
        <v>2.16533</v>
      </c>
      <c r="G125">
        <f>-(Table2[[#This Row],[time]]-2)*2</f>
        <v>-0.33065999999999995</v>
      </c>
      <c r="H125">
        <v>91.5702</v>
      </c>
      <c r="I125">
        <v>13.276999999999999</v>
      </c>
      <c r="J125">
        <f>Table2[[#This Row],[CFNM]]/Table2[[#This Row],[CAREA]]</f>
        <v>0.14499258492391628</v>
      </c>
      <c r="K125">
        <v>2.16533</v>
      </c>
      <c r="L125">
        <f>-(Table3[[#This Row],[time]]-2)*2</f>
        <v>-0.33065999999999995</v>
      </c>
      <c r="M125">
        <v>82.690299999999993</v>
      </c>
      <c r="N125">
        <v>3.12079E-3</v>
      </c>
      <c r="O125">
        <f>Table3[[#This Row],[CFNM]]/Table3[[#This Row],[CAREA]]</f>
        <v>3.7740702355657196E-5</v>
      </c>
      <c r="P125">
        <v>2.16533</v>
      </c>
      <c r="Q125">
        <f>-(Table4[[#This Row],[time]]-2)*2</f>
        <v>-0.33065999999999995</v>
      </c>
      <c r="R125">
        <v>81.054299999999998</v>
      </c>
      <c r="S125">
        <v>14.155799999999999</v>
      </c>
      <c r="T125">
        <f>Table4[[#This Row],[CFNM]]/Table4[[#This Row],[CAREA]]</f>
        <v>0.17464588553599253</v>
      </c>
      <c r="U125">
        <v>2.16533</v>
      </c>
      <c r="V125">
        <f>-(Table5[[#This Row],[time]]-2)*2</f>
        <v>-0.33065999999999995</v>
      </c>
      <c r="W125">
        <v>83.002399999999994</v>
      </c>
      <c r="X125">
        <v>0.24438499999999999</v>
      </c>
      <c r="Y125">
        <f>Table5[[#This Row],[CFNM]]/Table5[[#This Row],[CAREA]]</f>
        <v>2.9443124536157991E-3</v>
      </c>
      <c r="Z125">
        <v>2.16533</v>
      </c>
      <c r="AA125">
        <f>-(Table6[[#This Row],[time]]-2)*2</f>
        <v>-0.33065999999999995</v>
      </c>
      <c r="AB125">
        <v>84.094700000000003</v>
      </c>
      <c r="AC125">
        <v>13.9933</v>
      </c>
      <c r="AD125">
        <f>Table6[[#This Row],[CFNM]]/Table6[[#This Row],[CAREA]]</f>
        <v>0.16639930935005415</v>
      </c>
      <c r="AE125">
        <v>2.16533</v>
      </c>
      <c r="AF125">
        <f>-(Table7[[#This Row],[time]]-2)*2</f>
        <v>-0.33065999999999995</v>
      </c>
      <c r="AG125">
        <v>80.088899999999995</v>
      </c>
      <c r="AH125">
        <v>13.0764</v>
      </c>
      <c r="AI125">
        <f>Table7[[#This Row],[CFNM]]/Table7[[#This Row],[CAREA]]</f>
        <v>0.16327356225394532</v>
      </c>
      <c r="AJ125">
        <v>2.16533</v>
      </c>
      <c r="AK125">
        <f>-(Table818287[[#This Row],[time]]-2)*2</f>
        <v>-0.33065999999999995</v>
      </c>
      <c r="AL125">
        <v>82.886099999999999</v>
      </c>
      <c r="AM125">
        <v>26.900400000000001</v>
      </c>
      <c r="AN125">
        <f>Table818287[[#This Row],[CFNM]]/Table818287[[#This Row],[CAREA]]</f>
        <v>0.32454657656712044</v>
      </c>
    </row>
    <row r="126" spans="1:40" x14ac:dyDescent="0.25">
      <c r="A126">
        <v>2.2246999999999999</v>
      </c>
      <c r="B126">
        <f>-(Table1[[#This Row],[time]]-2)*2</f>
        <v>-0.4493999999999998</v>
      </c>
      <c r="C126">
        <v>79.478700000000003</v>
      </c>
      <c r="D126">
        <v>2.6358799999999998</v>
      </c>
      <c r="E126">
        <f>Table1[[#This Row],[CFNM]]/Table1[[#This Row],[CAREA]]</f>
        <v>3.3164608882631445E-2</v>
      </c>
      <c r="F126">
        <v>2.2246999999999999</v>
      </c>
      <c r="G126">
        <f>-(Table2[[#This Row],[time]]-2)*2</f>
        <v>-0.4493999999999998</v>
      </c>
      <c r="H126">
        <v>89.957700000000003</v>
      </c>
      <c r="I126">
        <v>17.552099999999999</v>
      </c>
      <c r="J126">
        <f>Table2[[#This Row],[CFNM]]/Table2[[#This Row],[CAREA]]</f>
        <v>0.19511503740091174</v>
      </c>
      <c r="K126">
        <v>2.2246999999999999</v>
      </c>
      <c r="L126">
        <f>-(Table3[[#This Row],[time]]-2)*2</f>
        <v>-0.4493999999999998</v>
      </c>
      <c r="M126">
        <v>77.119799999999998</v>
      </c>
      <c r="N126">
        <v>2.6236900000000001E-3</v>
      </c>
      <c r="O126">
        <f>Table3[[#This Row],[CFNM]]/Table3[[#This Row],[CAREA]]</f>
        <v>3.4020964784659711E-5</v>
      </c>
      <c r="P126">
        <v>2.2246999999999999</v>
      </c>
      <c r="Q126">
        <f>-(Table4[[#This Row],[time]]-2)*2</f>
        <v>-0.4493999999999998</v>
      </c>
      <c r="R126">
        <v>80.040800000000004</v>
      </c>
      <c r="S126">
        <v>17.627099999999999</v>
      </c>
      <c r="T126">
        <f>Table4[[#This Row],[CFNM]]/Table4[[#This Row],[CAREA]]</f>
        <v>0.2202264345183956</v>
      </c>
      <c r="U126">
        <v>2.2246999999999999</v>
      </c>
      <c r="V126">
        <f>-(Table5[[#This Row],[time]]-2)*2</f>
        <v>-0.4493999999999998</v>
      </c>
      <c r="W126">
        <v>82.883700000000005</v>
      </c>
      <c r="X126">
        <v>4.7390599999999998E-3</v>
      </c>
      <c r="Y126">
        <f>Table5[[#This Row],[CFNM]]/Table5[[#This Row],[CAREA]]</f>
        <v>5.7177225437570953E-5</v>
      </c>
      <c r="Z126">
        <v>2.2246999999999999</v>
      </c>
      <c r="AA126">
        <f>-(Table6[[#This Row],[time]]-2)*2</f>
        <v>-0.4493999999999998</v>
      </c>
      <c r="AB126">
        <v>83.098600000000005</v>
      </c>
      <c r="AC126">
        <v>16.785599999999999</v>
      </c>
      <c r="AD126">
        <f>Table6[[#This Row],[CFNM]]/Table6[[#This Row],[CAREA]]</f>
        <v>0.20199618284784579</v>
      </c>
      <c r="AE126">
        <v>2.2246999999999999</v>
      </c>
      <c r="AF126">
        <f>-(Table7[[#This Row],[time]]-2)*2</f>
        <v>-0.4493999999999998</v>
      </c>
      <c r="AG126">
        <v>80.022199999999998</v>
      </c>
      <c r="AH126">
        <v>11.085900000000001</v>
      </c>
      <c r="AI126">
        <f>Table7[[#This Row],[CFNM]]/Table7[[#This Row],[CAREA]]</f>
        <v>0.13853530645245946</v>
      </c>
      <c r="AJ126">
        <v>2.2246999999999999</v>
      </c>
      <c r="AK126">
        <f>-(Table818287[[#This Row],[time]]-2)*2</f>
        <v>-0.4493999999999998</v>
      </c>
      <c r="AL126">
        <v>82.767200000000003</v>
      </c>
      <c r="AM126">
        <v>29.994499999999999</v>
      </c>
      <c r="AN126">
        <f>Table818287[[#This Row],[CFNM]]/Table818287[[#This Row],[CAREA]]</f>
        <v>0.36239597328410283</v>
      </c>
    </row>
    <row r="127" spans="1:40" x14ac:dyDescent="0.25">
      <c r="A127">
        <v>2.2668900000000001</v>
      </c>
      <c r="B127">
        <f>-(Table1[[#This Row],[time]]-2)*2</f>
        <v>-0.53378000000000014</v>
      </c>
      <c r="C127">
        <v>79.009600000000006</v>
      </c>
      <c r="D127">
        <v>2.2486600000000001</v>
      </c>
      <c r="E127">
        <f>Table1[[#This Row],[CFNM]]/Table1[[#This Row],[CAREA]]</f>
        <v>2.8460592130576536E-2</v>
      </c>
      <c r="F127">
        <v>2.2668900000000001</v>
      </c>
      <c r="G127">
        <f>-(Table2[[#This Row],[time]]-2)*2</f>
        <v>-0.53378000000000014</v>
      </c>
      <c r="H127">
        <v>89.415899999999993</v>
      </c>
      <c r="I127">
        <v>18.751999999999999</v>
      </c>
      <c r="J127">
        <f>Table2[[#This Row],[CFNM]]/Table2[[#This Row],[CAREA]]</f>
        <v>0.20971661639596537</v>
      </c>
      <c r="K127">
        <v>2.2668900000000001</v>
      </c>
      <c r="L127">
        <f>-(Table3[[#This Row],[time]]-2)*2</f>
        <v>-0.53378000000000014</v>
      </c>
      <c r="M127">
        <v>75.395700000000005</v>
      </c>
      <c r="N127">
        <v>2.4938199999999999E-3</v>
      </c>
      <c r="O127">
        <f>Table3[[#This Row],[CFNM]]/Table3[[#This Row],[CAREA]]</f>
        <v>3.3076422130174531E-5</v>
      </c>
      <c r="P127">
        <v>2.2668900000000001</v>
      </c>
      <c r="Q127">
        <f>-(Table4[[#This Row],[time]]-2)*2</f>
        <v>-0.53378000000000014</v>
      </c>
      <c r="R127">
        <v>79.733599999999996</v>
      </c>
      <c r="S127">
        <v>18.602699999999999</v>
      </c>
      <c r="T127">
        <f>Table4[[#This Row],[CFNM]]/Table4[[#This Row],[CAREA]]</f>
        <v>0.23331067454623897</v>
      </c>
      <c r="U127">
        <v>2.2668900000000001</v>
      </c>
      <c r="V127">
        <f>-(Table5[[#This Row],[time]]-2)*2</f>
        <v>-0.53378000000000014</v>
      </c>
      <c r="W127">
        <v>82.895700000000005</v>
      </c>
      <c r="X127">
        <v>4.6517099999999999E-3</v>
      </c>
      <c r="Y127">
        <f>Table5[[#This Row],[CFNM]]/Table5[[#This Row],[CAREA]]</f>
        <v>5.6115214661315362E-5</v>
      </c>
      <c r="Z127">
        <v>2.2668900000000001</v>
      </c>
      <c r="AA127">
        <f>-(Table6[[#This Row],[time]]-2)*2</f>
        <v>-0.53378000000000014</v>
      </c>
      <c r="AB127">
        <v>82.8048</v>
      </c>
      <c r="AC127">
        <v>17.758900000000001</v>
      </c>
      <c r="AD127">
        <f>Table6[[#This Row],[CFNM]]/Table6[[#This Row],[CAREA]]</f>
        <v>0.21446703572739745</v>
      </c>
      <c r="AE127">
        <v>2.2668900000000001</v>
      </c>
      <c r="AF127">
        <f>-(Table7[[#This Row],[time]]-2)*2</f>
        <v>-0.53378000000000014</v>
      </c>
      <c r="AG127">
        <v>79.907899999999998</v>
      </c>
      <c r="AH127">
        <v>10.573600000000001</v>
      </c>
      <c r="AI127">
        <f>Table7[[#This Row],[CFNM]]/Table7[[#This Row],[CAREA]]</f>
        <v>0.13232233608942295</v>
      </c>
      <c r="AJ127">
        <v>2.2668900000000001</v>
      </c>
      <c r="AK127">
        <f>-(Table818287[[#This Row],[time]]-2)*2</f>
        <v>-0.53378000000000014</v>
      </c>
      <c r="AL127">
        <v>82.801900000000003</v>
      </c>
      <c r="AM127">
        <v>30.8963</v>
      </c>
      <c r="AN127">
        <f>Table818287[[#This Row],[CFNM]]/Table818287[[#This Row],[CAREA]]</f>
        <v>0.3731351575265785</v>
      </c>
    </row>
    <row r="128" spans="1:40" x14ac:dyDescent="0.25">
      <c r="A128">
        <v>2.3262700000000001</v>
      </c>
      <c r="B128">
        <f>-(Table1[[#This Row],[time]]-2)*2</f>
        <v>-0.65254000000000012</v>
      </c>
      <c r="C128">
        <v>76.574100000000001</v>
      </c>
      <c r="D128">
        <v>1.24576</v>
      </c>
      <c r="E128">
        <f>Table1[[#This Row],[CFNM]]/Table1[[#This Row],[CAREA]]</f>
        <v>1.626868614844967E-2</v>
      </c>
      <c r="F128">
        <v>2.3262700000000001</v>
      </c>
      <c r="G128">
        <f>-(Table2[[#This Row],[time]]-2)*2</f>
        <v>-0.65254000000000012</v>
      </c>
      <c r="H128">
        <v>88.041799999999995</v>
      </c>
      <c r="I128">
        <v>22.066700000000001</v>
      </c>
      <c r="J128">
        <f>Table2[[#This Row],[CFNM]]/Table2[[#This Row],[CAREA]]</f>
        <v>0.25063890106744752</v>
      </c>
      <c r="K128">
        <v>2.3262700000000001</v>
      </c>
      <c r="L128">
        <f>-(Table3[[#This Row],[time]]-2)*2</f>
        <v>-0.65254000000000012</v>
      </c>
      <c r="M128">
        <v>71.224299999999999</v>
      </c>
      <c r="N128">
        <v>2.1520699999999999E-3</v>
      </c>
      <c r="O128">
        <f>Table3[[#This Row],[CFNM]]/Table3[[#This Row],[CAREA]]</f>
        <v>3.0215389972242617E-5</v>
      </c>
      <c r="P128">
        <v>2.3262700000000001</v>
      </c>
      <c r="Q128">
        <f>-(Table4[[#This Row],[time]]-2)*2</f>
        <v>-0.65254000000000012</v>
      </c>
      <c r="R128">
        <v>79.0869</v>
      </c>
      <c r="S128">
        <v>21.3658</v>
      </c>
      <c r="T128">
        <f>Table4[[#This Row],[CFNM]]/Table4[[#This Row],[CAREA]]</f>
        <v>0.27015599296470083</v>
      </c>
      <c r="U128">
        <v>2.3262700000000001</v>
      </c>
      <c r="V128">
        <f>-(Table5[[#This Row],[time]]-2)*2</f>
        <v>-0.65254000000000012</v>
      </c>
      <c r="W128">
        <v>82.723299999999995</v>
      </c>
      <c r="X128">
        <v>4.42809E-3</v>
      </c>
      <c r="Y128">
        <f>Table5[[#This Row],[CFNM]]/Table5[[#This Row],[CAREA]]</f>
        <v>5.3528933202616439E-5</v>
      </c>
      <c r="Z128">
        <v>2.3262700000000001</v>
      </c>
      <c r="AA128">
        <f>-(Table6[[#This Row],[time]]-2)*2</f>
        <v>-0.65254000000000012</v>
      </c>
      <c r="AB128">
        <v>81.244</v>
      </c>
      <c r="AC128">
        <v>20.685099999999998</v>
      </c>
      <c r="AD128">
        <f>Table6[[#This Row],[CFNM]]/Table6[[#This Row],[CAREA]]</f>
        <v>0.2546046477278322</v>
      </c>
      <c r="AE128">
        <v>2.3262700000000001</v>
      </c>
      <c r="AF128">
        <f>-(Table7[[#This Row],[time]]-2)*2</f>
        <v>-0.65254000000000012</v>
      </c>
      <c r="AG128">
        <v>79.395799999999994</v>
      </c>
      <c r="AH128">
        <v>9.1471599999999995</v>
      </c>
      <c r="AI128">
        <f>Table7[[#This Row],[CFNM]]/Table7[[#This Row],[CAREA]]</f>
        <v>0.11520962066003491</v>
      </c>
      <c r="AJ128">
        <v>2.3262700000000001</v>
      </c>
      <c r="AK128">
        <f>-(Table818287[[#This Row],[time]]-2)*2</f>
        <v>-0.65254000000000012</v>
      </c>
      <c r="AL128">
        <v>82.861500000000007</v>
      </c>
      <c r="AM128">
        <v>33.467399999999998</v>
      </c>
      <c r="AN128">
        <f>Table818287[[#This Row],[CFNM]]/Table818287[[#This Row],[CAREA]]</f>
        <v>0.40389565721112936</v>
      </c>
    </row>
    <row r="129" spans="1:40" x14ac:dyDescent="0.25">
      <c r="A129">
        <v>2.3684599999999998</v>
      </c>
      <c r="B129">
        <f>-(Table1[[#This Row],[time]]-2)*2</f>
        <v>-0.73691999999999958</v>
      </c>
      <c r="C129">
        <v>75.329300000000003</v>
      </c>
      <c r="D129">
        <v>0.65169500000000002</v>
      </c>
      <c r="E129">
        <f>Table1[[#This Row],[CFNM]]/Table1[[#This Row],[CAREA]]</f>
        <v>8.6512817721656771E-3</v>
      </c>
      <c r="F129">
        <v>2.3684599999999998</v>
      </c>
      <c r="G129">
        <f>-(Table2[[#This Row],[time]]-2)*2</f>
        <v>-0.73691999999999958</v>
      </c>
      <c r="H129">
        <v>87.009699999999995</v>
      </c>
      <c r="I129">
        <v>24.613900000000001</v>
      </c>
      <c r="J129">
        <f>Table2[[#This Row],[CFNM]]/Table2[[#This Row],[CAREA]]</f>
        <v>0.28288685054654827</v>
      </c>
      <c r="K129">
        <v>2.3684599999999998</v>
      </c>
      <c r="L129">
        <f>-(Table3[[#This Row],[time]]-2)*2</f>
        <v>-0.73691999999999958</v>
      </c>
      <c r="M129">
        <v>70.156899999999993</v>
      </c>
      <c r="N129">
        <v>1.91249E-3</v>
      </c>
      <c r="O129">
        <f>Table3[[#This Row],[CFNM]]/Table3[[#This Row],[CAREA]]</f>
        <v>2.7260183959097396E-5</v>
      </c>
      <c r="P129">
        <v>2.3684599999999998</v>
      </c>
      <c r="Q129">
        <f>-(Table4[[#This Row],[time]]-2)*2</f>
        <v>-0.73691999999999958</v>
      </c>
      <c r="R129">
        <v>78.436099999999996</v>
      </c>
      <c r="S129">
        <v>23.6462</v>
      </c>
      <c r="T129">
        <f>Table4[[#This Row],[CFNM]]/Table4[[#This Row],[CAREA]]</f>
        <v>0.30147087884277779</v>
      </c>
      <c r="U129">
        <v>2.3684599999999998</v>
      </c>
      <c r="V129">
        <f>-(Table5[[#This Row],[time]]-2)*2</f>
        <v>-0.73691999999999958</v>
      </c>
      <c r="W129">
        <v>83.367099999999994</v>
      </c>
      <c r="X129">
        <v>4.2713200000000003E-3</v>
      </c>
      <c r="Y129">
        <f>Table5[[#This Row],[CFNM]]/Table5[[#This Row],[CAREA]]</f>
        <v>5.1235079545768064E-5</v>
      </c>
      <c r="Z129">
        <v>2.3684599999999998</v>
      </c>
      <c r="AA129">
        <f>-(Table6[[#This Row],[time]]-2)*2</f>
        <v>-0.73691999999999958</v>
      </c>
      <c r="AB129">
        <v>80.686400000000006</v>
      </c>
      <c r="AC129">
        <v>23.091799999999999</v>
      </c>
      <c r="AD129">
        <f>Table6[[#This Row],[CFNM]]/Table6[[#This Row],[CAREA]]</f>
        <v>0.28619197287275178</v>
      </c>
      <c r="AE129">
        <v>2.3684599999999998</v>
      </c>
      <c r="AF129">
        <f>-(Table7[[#This Row],[time]]-2)*2</f>
        <v>-0.73691999999999958</v>
      </c>
      <c r="AG129">
        <v>78.7804</v>
      </c>
      <c r="AH129">
        <v>8.11083</v>
      </c>
      <c r="AI129">
        <f>Table7[[#This Row],[CFNM]]/Table7[[#This Row],[CAREA]]</f>
        <v>0.10295492279805638</v>
      </c>
      <c r="AJ129">
        <v>2.3684599999999998</v>
      </c>
      <c r="AK129">
        <f>-(Table818287[[#This Row],[time]]-2)*2</f>
        <v>-0.73691999999999958</v>
      </c>
      <c r="AL129">
        <v>83.034400000000005</v>
      </c>
      <c r="AM129">
        <v>35.6111</v>
      </c>
      <c r="AN129">
        <f>Table818287[[#This Row],[CFNM]]/Table818287[[#This Row],[CAREA]]</f>
        <v>0.42887164837705816</v>
      </c>
    </row>
    <row r="130" spans="1:40" x14ac:dyDescent="0.25">
      <c r="A130">
        <v>2.4278300000000002</v>
      </c>
      <c r="B130">
        <f>-(Table1[[#This Row],[time]]-2)*2</f>
        <v>-0.85566000000000031</v>
      </c>
      <c r="C130">
        <v>73.8613</v>
      </c>
      <c r="D130">
        <v>0.16203500000000001</v>
      </c>
      <c r="E130">
        <f>Table1[[#This Row],[CFNM]]/Table1[[#This Row],[CAREA]]</f>
        <v>2.1937740061439485E-3</v>
      </c>
      <c r="F130">
        <v>2.4278300000000002</v>
      </c>
      <c r="G130">
        <f>-(Table2[[#This Row],[time]]-2)*2</f>
        <v>-0.85566000000000031</v>
      </c>
      <c r="H130">
        <v>85.841399999999993</v>
      </c>
      <c r="I130">
        <v>27.288699999999999</v>
      </c>
      <c r="J130">
        <f>Table2[[#This Row],[CFNM]]/Table2[[#This Row],[CAREA]]</f>
        <v>0.31789672582227224</v>
      </c>
      <c r="K130">
        <v>2.4278300000000002</v>
      </c>
      <c r="L130">
        <f>-(Table3[[#This Row],[time]]-2)*2</f>
        <v>-0.85566000000000031</v>
      </c>
      <c r="M130">
        <v>66.995099999999994</v>
      </c>
      <c r="N130">
        <v>1.6798900000000001E-3</v>
      </c>
      <c r="O130">
        <f>Table3[[#This Row],[CFNM]]/Table3[[#This Row],[CAREA]]</f>
        <v>2.5074818904666165E-5</v>
      </c>
      <c r="P130">
        <v>2.4278300000000002</v>
      </c>
      <c r="Q130">
        <f>-(Table4[[#This Row],[time]]-2)*2</f>
        <v>-0.85566000000000031</v>
      </c>
      <c r="R130">
        <v>77.832700000000003</v>
      </c>
      <c r="S130">
        <v>26.205100000000002</v>
      </c>
      <c r="T130">
        <f>Table4[[#This Row],[CFNM]]/Table4[[#This Row],[CAREA]]</f>
        <v>0.33668496660144132</v>
      </c>
      <c r="U130">
        <v>2.4278300000000002</v>
      </c>
      <c r="V130">
        <f>-(Table5[[#This Row],[time]]-2)*2</f>
        <v>-0.85566000000000031</v>
      </c>
      <c r="W130">
        <v>83.146199999999993</v>
      </c>
      <c r="X130">
        <v>4.08663E-3</v>
      </c>
      <c r="Y130">
        <f>Table5[[#This Row],[CFNM]]/Table5[[#This Row],[CAREA]]</f>
        <v>4.914993108524503E-5</v>
      </c>
      <c r="Z130">
        <v>2.4278300000000002</v>
      </c>
      <c r="AA130">
        <f>-(Table6[[#This Row],[time]]-2)*2</f>
        <v>-0.85566000000000031</v>
      </c>
      <c r="AB130">
        <v>79.336100000000002</v>
      </c>
      <c r="AC130">
        <v>25.6768</v>
      </c>
      <c r="AD130">
        <f>Table6[[#This Row],[CFNM]]/Table6[[#This Row],[CAREA]]</f>
        <v>0.32364585604787732</v>
      </c>
      <c r="AE130">
        <v>2.4278300000000002</v>
      </c>
      <c r="AF130">
        <f>-(Table7[[#This Row],[time]]-2)*2</f>
        <v>-0.85566000000000031</v>
      </c>
      <c r="AG130">
        <v>77.849199999999996</v>
      </c>
      <c r="AH130">
        <v>7.0192699999999997</v>
      </c>
      <c r="AI130">
        <f>Table7[[#This Row],[CFNM]]/Table7[[#This Row],[CAREA]]</f>
        <v>9.0164959948207557E-2</v>
      </c>
      <c r="AJ130">
        <v>2.4278300000000002</v>
      </c>
      <c r="AK130">
        <f>-(Table818287[[#This Row],[time]]-2)*2</f>
        <v>-0.85566000000000031</v>
      </c>
      <c r="AL130">
        <v>83.112399999999994</v>
      </c>
      <c r="AM130">
        <v>37.979100000000003</v>
      </c>
      <c r="AN130">
        <f>Table818287[[#This Row],[CFNM]]/Table818287[[#This Row],[CAREA]]</f>
        <v>0.45696069419244306</v>
      </c>
    </row>
    <row r="131" spans="1:40" x14ac:dyDescent="0.25">
      <c r="A131">
        <v>2.4542000000000002</v>
      </c>
      <c r="B131">
        <f>-(Table1[[#This Row],[time]]-2)*2</f>
        <v>-0.90840000000000032</v>
      </c>
      <c r="C131">
        <v>72.108400000000003</v>
      </c>
      <c r="D131">
        <v>3.0504299999999998E-3</v>
      </c>
      <c r="E131">
        <f>Table1[[#This Row],[CFNM]]/Table1[[#This Row],[CAREA]]</f>
        <v>4.2303393224645111E-5</v>
      </c>
      <c r="F131">
        <v>2.4542000000000002</v>
      </c>
      <c r="G131">
        <f>-(Table2[[#This Row],[time]]-2)*2</f>
        <v>-0.90840000000000032</v>
      </c>
      <c r="H131">
        <v>84.943799999999996</v>
      </c>
      <c r="I131">
        <v>29.257200000000001</v>
      </c>
      <c r="J131">
        <f>Table2[[#This Row],[CFNM]]/Table2[[#This Row],[CAREA]]</f>
        <v>0.34443008200716241</v>
      </c>
      <c r="K131">
        <v>2.4542000000000002</v>
      </c>
      <c r="L131">
        <f>-(Table3[[#This Row],[time]]-2)*2</f>
        <v>-0.90840000000000032</v>
      </c>
      <c r="M131">
        <v>62.886499999999998</v>
      </c>
      <c r="N131">
        <v>1.5226E-3</v>
      </c>
      <c r="O131">
        <f>Table3[[#This Row],[CFNM]]/Table3[[#This Row],[CAREA]]</f>
        <v>2.4211873772590302E-5</v>
      </c>
      <c r="P131">
        <v>2.4542000000000002</v>
      </c>
      <c r="Q131">
        <f>-(Table4[[#This Row],[time]]-2)*2</f>
        <v>-0.90840000000000032</v>
      </c>
      <c r="R131">
        <v>77.296800000000005</v>
      </c>
      <c r="S131">
        <v>28.192</v>
      </c>
      <c r="T131">
        <f>Table4[[#This Row],[CFNM]]/Table4[[#This Row],[CAREA]]</f>
        <v>0.36472402479792176</v>
      </c>
      <c r="U131">
        <v>2.4542000000000002</v>
      </c>
      <c r="V131">
        <f>-(Table5[[#This Row],[time]]-2)*2</f>
        <v>-0.90840000000000032</v>
      </c>
      <c r="W131">
        <v>82.861500000000007</v>
      </c>
      <c r="X131">
        <v>3.92976E-3</v>
      </c>
      <c r="Y131">
        <f>Table5[[#This Row],[CFNM]]/Table5[[#This Row],[CAREA]]</f>
        <v>4.7425643996307088E-5</v>
      </c>
      <c r="Z131">
        <v>2.4542000000000002</v>
      </c>
      <c r="AA131">
        <f>-(Table6[[#This Row],[time]]-2)*2</f>
        <v>-0.90840000000000032</v>
      </c>
      <c r="AB131">
        <v>78.532700000000006</v>
      </c>
      <c r="AC131">
        <v>27.687000000000001</v>
      </c>
      <c r="AD131">
        <f>Table6[[#This Row],[CFNM]]/Table6[[#This Row],[CAREA]]</f>
        <v>0.35255377696169876</v>
      </c>
      <c r="AE131">
        <v>2.4542000000000002</v>
      </c>
      <c r="AF131">
        <f>-(Table7[[#This Row],[time]]-2)*2</f>
        <v>-0.90840000000000032</v>
      </c>
      <c r="AG131">
        <v>77.157300000000006</v>
      </c>
      <c r="AH131">
        <v>6.21957</v>
      </c>
      <c r="AI131">
        <f>Table7[[#This Row],[CFNM]]/Table7[[#This Row],[CAREA]]</f>
        <v>8.0608963766228212E-2</v>
      </c>
      <c r="AJ131">
        <v>2.4542000000000002</v>
      </c>
      <c r="AK131">
        <f>-(Table818287[[#This Row],[time]]-2)*2</f>
        <v>-0.90840000000000032</v>
      </c>
      <c r="AL131">
        <v>82.999799999999993</v>
      </c>
      <c r="AM131">
        <v>39.893799999999999</v>
      </c>
      <c r="AN131">
        <f>Table818287[[#This Row],[CFNM]]/Table818287[[#This Row],[CAREA]]</f>
        <v>0.4806493509622915</v>
      </c>
    </row>
    <row r="132" spans="1:40" x14ac:dyDescent="0.25">
      <c r="A132">
        <v>2.5061499999999999</v>
      </c>
      <c r="B132">
        <f>-(Table1[[#This Row],[time]]-2)*2</f>
        <v>-1.0122999999999998</v>
      </c>
      <c r="C132">
        <v>70.093199999999996</v>
      </c>
      <c r="D132">
        <v>2.5038299999999999E-3</v>
      </c>
      <c r="E132">
        <f>Table1[[#This Row],[CFNM]]/Table1[[#This Row],[CAREA]]</f>
        <v>3.5721439454897194E-5</v>
      </c>
      <c r="F132">
        <v>2.5061499999999999</v>
      </c>
      <c r="G132">
        <f>-(Table2[[#This Row],[time]]-2)*2</f>
        <v>-1.0122999999999998</v>
      </c>
      <c r="H132">
        <v>84.063900000000004</v>
      </c>
      <c r="I132">
        <v>31.382400000000001</v>
      </c>
      <c r="J132">
        <f>Table2[[#This Row],[CFNM]]/Table2[[#This Row],[CAREA]]</f>
        <v>0.37331601317569135</v>
      </c>
      <c r="K132">
        <v>2.5061499999999999</v>
      </c>
      <c r="L132">
        <f>-(Table3[[#This Row],[time]]-2)*2</f>
        <v>-1.0122999999999998</v>
      </c>
      <c r="M132">
        <v>61.3795</v>
      </c>
      <c r="N132">
        <v>1.35673E-3</v>
      </c>
      <c r="O132">
        <f>Table3[[#This Row],[CFNM]]/Table3[[#This Row],[CAREA]]</f>
        <v>2.2103959791135476E-5</v>
      </c>
      <c r="P132">
        <v>2.5061499999999999</v>
      </c>
      <c r="Q132">
        <f>-(Table4[[#This Row],[time]]-2)*2</f>
        <v>-1.0122999999999998</v>
      </c>
      <c r="R132">
        <v>76.601699999999994</v>
      </c>
      <c r="S132">
        <v>30.421299999999999</v>
      </c>
      <c r="T132">
        <f>Table4[[#This Row],[CFNM]]/Table4[[#This Row],[CAREA]]</f>
        <v>0.39713609489084445</v>
      </c>
      <c r="U132">
        <v>2.5061499999999999</v>
      </c>
      <c r="V132">
        <f>-(Table5[[#This Row],[time]]-2)*2</f>
        <v>-1.0122999999999998</v>
      </c>
      <c r="W132">
        <v>82.5274</v>
      </c>
      <c r="X132">
        <v>3.7408599999999999E-3</v>
      </c>
      <c r="Y132">
        <f>Table5[[#This Row],[CFNM]]/Table5[[#This Row],[CAREA]]</f>
        <v>4.5328702951989278E-5</v>
      </c>
      <c r="Z132">
        <v>2.5061499999999999</v>
      </c>
      <c r="AA132">
        <f>-(Table6[[#This Row],[time]]-2)*2</f>
        <v>-1.0122999999999998</v>
      </c>
      <c r="AB132">
        <v>77.541899999999998</v>
      </c>
      <c r="AC132">
        <v>29.985199999999999</v>
      </c>
      <c r="AD132">
        <f>Table6[[#This Row],[CFNM]]/Table6[[#This Row],[CAREA]]</f>
        <v>0.38669674072985055</v>
      </c>
      <c r="AE132">
        <v>2.5061499999999999</v>
      </c>
      <c r="AF132">
        <f>-(Table7[[#This Row],[time]]-2)*2</f>
        <v>-1.0122999999999998</v>
      </c>
      <c r="AG132">
        <v>76.4465</v>
      </c>
      <c r="AH132">
        <v>5.3708999999999998</v>
      </c>
      <c r="AI132">
        <f>Table7[[#This Row],[CFNM]]/Table7[[#This Row],[CAREA]]</f>
        <v>7.0256977101633158E-2</v>
      </c>
      <c r="AJ132">
        <v>2.5061499999999999</v>
      </c>
      <c r="AK132">
        <f>-(Table818287[[#This Row],[time]]-2)*2</f>
        <v>-1.0122999999999998</v>
      </c>
      <c r="AL132">
        <v>83.091700000000003</v>
      </c>
      <c r="AM132">
        <v>42.082000000000001</v>
      </c>
      <c r="AN132">
        <f>Table818287[[#This Row],[CFNM]]/Table818287[[#This Row],[CAREA]]</f>
        <v>0.50645250969711775</v>
      </c>
    </row>
    <row r="133" spans="1:40" x14ac:dyDescent="0.25">
      <c r="A133">
        <v>2.5507599999999999</v>
      </c>
      <c r="B133">
        <f>-(Table1[[#This Row],[time]]-2)*2</f>
        <v>-1.1015199999999998</v>
      </c>
      <c r="C133">
        <v>67.746099999999998</v>
      </c>
      <c r="D133">
        <v>2.2966599999999998E-3</v>
      </c>
      <c r="E133">
        <f>Table1[[#This Row],[CFNM]]/Table1[[#This Row],[CAREA]]</f>
        <v>3.3900992086629337E-5</v>
      </c>
      <c r="F133">
        <v>2.5507599999999999</v>
      </c>
      <c r="G133">
        <f>-(Table2[[#This Row],[time]]-2)*2</f>
        <v>-1.1015199999999998</v>
      </c>
      <c r="H133">
        <v>83.136799999999994</v>
      </c>
      <c r="I133">
        <v>33.7301</v>
      </c>
      <c r="J133">
        <f>Table2[[#This Row],[CFNM]]/Table2[[#This Row],[CAREA]]</f>
        <v>0.40571804543836187</v>
      </c>
      <c r="K133">
        <v>2.5507599999999999</v>
      </c>
      <c r="L133">
        <f>-(Table3[[#This Row],[time]]-2)*2</f>
        <v>-1.1015199999999998</v>
      </c>
      <c r="M133">
        <v>57.370199999999997</v>
      </c>
      <c r="N133">
        <v>1.18632E-3</v>
      </c>
      <c r="O133">
        <f>Table3[[#This Row],[CFNM]]/Table3[[#This Row],[CAREA]]</f>
        <v>2.0678331259085728E-5</v>
      </c>
      <c r="P133">
        <v>2.5507599999999999</v>
      </c>
      <c r="Q133">
        <f>-(Table4[[#This Row],[time]]-2)*2</f>
        <v>-1.1015199999999998</v>
      </c>
      <c r="R133">
        <v>75.806700000000006</v>
      </c>
      <c r="S133">
        <v>32.890900000000002</v>
      </c>
      <c r="T133">
        <f>Table4[[#This Row],[CFNM]]/Table4[[#This Row],[CAREA]]</f>
        <v>0.43387853580224439</v>
      </c>
      <c r="U133">
        <v>2.5507599999999999</v>
      </c>
      <c r="V133">
        <f>-(Table5[[#This Row],[time]]-2)*2</f>
        <v>-1.1015199999999998</v>
      </c>
      <c r="W133">
        <v>81.968299999999999</v>
      </c>
      <c r="X133">
        <v>3.5300100000000001E-3</v>
      </c>
      <c r="Y133">
        <f>Table5[[#This Row],[CFNM]]/Table5[[#This Row],[CAREA]]</f>
        <v>4.3065550950794395E-5</v>
      </c>
      <c r="Z133">
        <v>2.5507599999999999</v>
      </c>
      <c r="AA133">
        <f>-(Table6[[#This Row],[time]]-2)*2</f>
        <v>-1.1015199999999998</v>
      </c>
      <c r="AB133">
        <v>76.844700000000003</v>
      </c>
      <c r="AC133">
        <v>32.517800000000001</v>
      </c>
      <c r="AD133">
        <f>Table6[[#This Row],[CFNM]]/Table6[[#This Row],[CAREA]]</f>
        <v>0.42316256033272304</v>
      </c>
      <c r="AE133">
        <v>2.5507599999999999</v>
      </c>
      <c r="AF133">
        <f>-(Table7[[#This Row],[time]]-2)*2</f>
        <v>-1.1015199999999998</v>
      </c>
      <c r="AG133">
        <v>75.635000000000005</v>
      </c>
      <c r="AH133">
        <v>4.47987</v>
      </c>
      <c r="AI133">
        <f>Table7[[#This Row],[CFNM]]/Table7[[#This Row],[CAREA]]</f>
        <v>5.9230118331460302E-2</v>
      </c>
      <c r="AJ133">
        <v>2.5507599999999999</v>
      </c>
      <c r="AK133">
        <f>-(Table818287[[#This Row],[time]]-2)*2</f>
        <v>-1.1015199999999998</v>
      </c>
      <c r="AL133">
        <v>83.118700000000004</v>
      </c>
      <c r="AM133">
        <v>44.582500000000003</v>
      </c>
      <c r="AN133">
        <f>Table818287[[#This Row],[CFNM]]/Table818287[[#This Row],[CAREA]]</f>
        <v>0.53637147837971477</v>
      </c>
    </row>
    <row r="134" spans="1:40" x14ac:dyDescent="0.25">
      <c r="A134">
        <v>2.60453</v>
      </c>
      <c r="B134">
        <f>-(Table1[[#This Row],[time]]-2)*2</f>
        <v>-1.20906</v>
      </c>
      <c r="C134">
        <v>65.879900000000006</v>
      </c>
      <c r="D134">
        <v>2.1118700000000001E-3</v>
      </c>
      <c r="E134">
        <f>Table1[[#This Row],[CFNM]]/Table1[[#This Row],[CAREA]]</f>
        <v>3.2056363169950167E-5</v>
      </c>
      <c r="F134">
        <v>2.60453</v>
      </c>
      <c r="G134">
        <f>-(Table2[[#This Row],[time]]-2)*2</f>
        <v>-1.20906</v>
      </c>
      <c r="H134">
        <v>82.2821</v>
      </c>
      <c r="I134">
        <v>35.747799999999998</v>
      </c>
      <c r="J134">
        <f>Table2[[#This Row],[CFNM]]/Table2[[#This Row],[CAREA]]</f>
        <v>0.43445415223967299</v>
      </c>
      <c r="K134">
        <v>2.60453</v>
      </c>
      <c r="L134">
        <f>-(Table3[[#This Row],[time]]-2)*2</f>
        <v>-1.20906</v>
      </c>
      <c r="M134">
        <v>56.1785</v>
      </c>
      <c r="N134">
        <v>1.0496500000000001E-3</v>
      </c>
      <c r="O134">
        <f>Table3[[#This Row],[CFNM]]/Table3[[#This Row],[CAREA]]</f>
        <v>1.8684194131206779E-5</v>
      </c>
      <c r="P134">
        <v>2.60453</v>
      </c>
      <c r="Q134">
        <f>-(Table4[[#This Row],[time]]-2)*2</f>
        <v>-1.20906</v>
      </c>
      <c r="R134">
        <v>75.104399999999998</v>
      </c>
      <c r="S134">
        <v>35.092100000000002</v>
      </c>
      <c r="T134">
        <f>Table4[[#This Row],[CFNM]]/Table4[[#This Row],[CAREA]]</f>
        <v>0.46724426265305363</v>
      </c>
      <c r="U134">
        <v>2.60453</v>
      </c>
      <c r="V134">
        <f>-(Table5[[#This Row],[time]]-2)*2</f>
        <v>-1.20906</v>
      </c>
      <c r="W134">
        <v>81.379400000000004</v>
      </c>
      <c r="X134">
        <v>3.34732E-3</v>
      </c>
      <c r="Y134">
        <f>Table5[[#This Row],[CFNM]]/Table5[[#This Row],[CAREA]]</f>
        <v>4.1132276718678189E-5</v>
      </c>
      <c r="Z134">
        <v>2.60453</v>
      </c>
      <c r="AA134">
        <f>-(Table6[[#This Row],[time]]-2)*2</f>
        <v>-1.20906</v>
      </c>
      <c r="AB134">
        <v>76.178899999999999</v>
      </c>
      <c r="AC134">
        <v>34.749699999999997</v>
      </c>
      <c r="AD134">
        <f>Table6[[#This Row],[CFNM]]/Table6[[#This Row],[CAREA]]</f>
        <v>0.45615912017632176</v>
      </c>
      <c r="AE134">
        <v>2.60453</v>
      </c>
      <c r="AF134">
        <f>-(Table7[[#This Row],[time]]-2)*2</f>
        <v>-1.20906</v>
      </c>
      <c r="AG134">
        <v>74.835700000000003</v>
      </c>
      <c r="AH134">
        <v>3.76214</v>
      </c>
      <c r="AI134">
        <f>Table7[[#This Row],[CFNM]]/Table7[[#This Row],[CAREA]]</f>
        <v>5.0271995852246988E-2</v>
      </c>
      <c r="AJ134">
        <v>2.60453</v>
      </c>
      <c r="AK134">
        <f>-(Table818287[[#This Row],[time]]-2)*2</f>
        <v>-1.20906</v>
      </c>
      <c r="AL134">
        <v>83.010800000000003</v>
      </c>
      <c r="AM134">
        <v>46.852200000000003</v>
      </c>
      <c r="AN134">
        <f>Table818287[[#This Row],[CFNM]]/Table818287[[#This Row],[CAREA]]</f>
        <v>0.56441089593161375</v>
      </c>
    </row>
    <row r="135" spans="1:40" x14ac:dyDescent="0.25">
      <c r="A135">
        <v>2.65273</v>
      </c>
      <c r="B135">
        <f>-(Table1[[#This Row],[time]]-2)*2</f>
        <v>-1.3054600000000001</v>
      </c>
      <c r="C135">
        <v>61.790100000000002</v>
      </c>
      <c r="D135">
        <v>1.90376E-3</v>
      </c>
      <c r="E135">
        <f>Table1[[#This Row],[CFNM]]/Table1[[#This Row],[CAREA]]</f>
        <v>3.0810113594248914E-5</v>
      </c>
      <c r="F135">
        <v>2.65273</v>
      </c>
      <c r="G135">
        <f>-(Table2[[#This Row],[time]]-2)*2</f>
        <v>-1.3054600000000001</v>
      </c>
      <c r="H135">
        <v>81.349500000000006</v>
      </c>
      <c r="I135">
        <v>37.930799999999998</v>
      </c>
      <c r="J135">
        <f>Table2[[#This Row],[CFNM]]/Table2[[#This Row],[CAREA]]</f>
        <v>0.4662696144413917</v>
      </c>
      <c r="K135">
        <v>2.65273</v>
      </c>
      <c r="L135">
        <f>-(Table3[[#This Row],[time]]-2)*2</f>
        <v>-1.3054600000000001</v>
      </c>
      <c r="M135">
        <v>51.7761</v>
      </c>
      <c r="N135">
        <v>9.0457600000000003E-4</v>
      </c>
      <c r="O135">
        <f>Table3[[#This Row],[CFNM]]/Table3[[#This Row],[CAREA]]</f>
        <v>1.7470918049061248E-5</v>
      </c>
      <c r="P135">
        <v>2.65273</v>
      </c>
      <c r="Q135">
        <f>-(Table4[[#This Row],[time]]-2)*2</f>
        <v>-1.3054600000000001</v>
      </c>
      <c r="R135">
        <v>74.279600000000002</v>
      </c>
      <c r="S135">
        <v>37.520699999999998</v>
      </c>
      <c r="T135">
        <f>Table4[[#This Row],[CFNM]]/Table4[[#This Row],[CAREA]]</f>
        <v>0.50512792206743162</v>
      </c>
      <c r="U135">
        <v>2.65273</v>
      </c>
      <c r="V135">
        <f>-(Table5[[#This Row],[time]]-2)*2</f>
        <v>-1.3054600000000001</v>
      </c>
      <c r="W135">
        <v>80.402600000000007</v>
      </c>
      <c r="X135">
        <v>3.1442499999999999E-3</v>
      </c>
      <c r="Y135">
        <f>Table5[[#This Row],[CFNM]]/Table5[[#This Row],[CAREA]]</f>
        <v>3.9106322432359147E-5</v>
      </c>
      <c r="Z135">
        <v>2.65273</v>
      </c>
      <c r="AA135">
        <f>-(Table6[[#This Row],[time]]-2)*2</f>
        <v>-1.3054600000000001</v>
      </c>
      <c r="AB135">
        <v>74.465699999999998</v>
      </c>
      <c r="AC135">
        <v>37.248100000000001</v>
      </c>
      <c r="AD135">
        <f>Table6[[#This Row],[CFNM]]/Table6[[#This Row],[CAREA]]</f>
        <v>0.50020479227348968</v>
      </c>
      <c r="AE135">
        <v>2.65273</v>
      </c>
      <c r="AF135">
        <f>-(Table7[[#This Row],[time]]-2)*2</f>
        <v>-1.3054600000000001</v>
      </c>
      <c r="AG135">
        <v>73.995099999999994</v>
      </c>
      <c r="AH135">
        <v>2.9892500000000002</v>
      </c>
      <c r="AI135">
        <f>Table7[[#This Row],[CFNM]]/Table7[[#This Row],[CAREA]]</f>
        <v>4.0397945269348923E-2</v>
      </c>
      <c r="AJ135">
        <v>2.65273</v>
      </c>
      <c r="AK135">
        <f>-(Table818287[[#This Row],[time]]-2)*2</f>
        <v>-1.3054600000000001</v>
      </c>
      <c r="AL135">
        <v>82.266300000000001</v>
      </c>
      <c r="AM135">
        <v>49.358600000000003</v>
      </c>
      <c r="AN135">
        <f>Table818287[[#This Row],[CFNM]]/Table818287[[#This Row],[CAREA]]</f>
        <v>0.59998565633801448</v>
      </c>
    </row>
    <row r="136" spans="1:40" x14ac:dyDescent="0.25">
      <c r="A136">
        <v>2.7006199999999998</v>
      </c>
      <c r="B136">
        <f>-(Table1[[#This Row],[time]]-2)*2</f>
        <v>-1.4012399999999996</v>
      </c>
      <c r="C136">
        <v>57.977400000000003</v>
      </c>
      <c r="D136">
        <v>1.73336E-3</v>
      </c>
      <c r="E136">
        <f>Table1[[#This Row],[CFNM]]/Table1[[#This Row],[CAREA]]</f>
        <v>2.9897166827073998E-5</v>
      </c>
      <c r="F136">
        <v>2.7006199999999998</v>
      </c>
      <c r="G136">
        <f>-(Table2[[#This Row],[time]]-2)*2</f>
        <v>-1.4012399999999996</v>
      </c>
      <c r="H136">
        <v>80.622</v>
      </c>
      <c r="I136">
        <v>39.7117</v>
      </c>
      <c r="J136">
        <f>Table2[[#This Row],[CFNM]]/Table2[[#This Row],[CAREA]]</f>
        <v>0.49256654511175613</v>
      </c>
      <c r="K136">
        <v>2.7006199999999998</v>
      </c>
      <c r="L136">
        <f>-(Table3[[#This Row],[time]]-2)*2</f>
        <v>-1.4012399999999996</v>
      </c>
      <c r="M136">
        <v>49.929299999999998</v>
      </c>
      <c r="N136">
        <v>7.8942900000000002E-4</v>
      </c>
      <c r="O136">
        <f>Table3[[#This Row],[CFNM]]/Table3[[#This Row],[CAREA]]</f>
        <v>1.5810936664443523E-5</v>
      </c>
      <c r="P136">
        <v>2.7006199999999998</v>
      </c>
      <c r="Q136">
        <f>-(Table4[[#This Row],[time]]-2)*2</f>
        <v>-1.4012399999999996</v>
      </c>
      <c r="R136">
        <v>73.584000000000003</v>
      </c>
      <c r="S136">
        <v>39.476500000000001</v>
      </c>
      <c r="T136">
        <f>Table4[[#This Row],[CFNM]]/Table4[[#This Row],[CAREA]]</f>
        <v>0.53648211567732118</v>
      </c>
      <c r="U136">
        <v>2.7006199999999998</v>
      </c>
      <c r="V136">
        <f>-(Table5[[#This Row],[time]]-2)*2</f>
        <v>-1.4012399999999996</v>
      </c>
      <c r="W136">
        <v>80.009</v>
      </c>
      <c r="X136">
        <v>2.9728699999999999E-3</v>
      </c>
      <c r="Y136">
        <f>Table5[[#This Row],[CFNM]]/Table5[[#This Row],[CAREA]]</f>
        <v>3.7156694871826916E-5</v>
      </c>
      <c r="Z136">
        <v>2.7006199999999998</v>
      </c>
      <c r="AA136">
        <f>-(Table6[[#This Row],[time]]-2)*2</f>
        <v>-1.4012399999999996</v>
      </c>
      <c r="AB136">
        <v>73.805700000000002</v>
      </c>
      <c r="AC136">
        <v>39.303600000000003</v>
      </c>
      <c r="AD136">
        <f>Table6[[#This Row],[CFNM]]/Table6[[#This Row],[CAREA]]</f>
        <v>0.53252797548156849</v>
      </c>
      <c r="AE136">
        <v>2.7006199999999998</v>
      </c>
      <c r="AF136">
        <f>-(Table7[[#This Row],[time]]-2)*2</f>
        <v>-1.4012399999999996</v>
      </c>
      <c r="AG136">
        <v>73.354100000000003</v>
      </c>
      <c r="AH136">
        <v>2.3543699999999999</v>
      </c>
      <c r="AI136">
        <f>Table7[[#This Row],[CFNM]]/Table7[[#This Row],[CAREA]]</f>
        <v>3.2095956463237908E-2</v>
      </c>
      <c r="AJ136">
        <v>2.7006199999999998</v>
      </c>
      <c r="AK136">
        <f>-(Table818287[[#This Row],[time]]-2)*2</f>
        <v>-1.4012399999999996</v>
      </c>
      <c r="AL136">
        <v>82.144400000000005</v>
      </c>
      <c r="AM136">
        <v>51.4101</v>
      </c>
      <c r="AN136">
        <f>Table818287[[#This Row],[CFNM]]/Table818287[[#This Row],[CAREA]]</f>
        <v>0.62585033185463645</v>
      </c>
    </row>
    <row r="137" spans="1:40" x14ac:dyDescent="0.25">
      <c r="A137">
        <v>2.75176</v>
      </c>
      <c r="B137">
        <f>-(Table1[[#This Row],[time]]-2)*2</f>
        <v>-1.50352</v>
      </c>
      <c r="C137">
        <v>55.196300000000001</v>
      </c>
      <c r="D137">
        <v>1.57507E-3</v>
      </c>
      <c r="E137">
        <f>Table1[[#This Row],[CFNM]]/Table1[[#This Row],[CAREA]]</f>
        <v>2.8535789536617492E-5</v>
      </c>
      <c r="F137">
        <v>2.75176</v>
      </c>
      <c r="G137">
        <f>-(Table2[[#This Row],[time]]-2)*2</f>
        <v>-1.50352</v>
      </c>
      <c r="H137">
        <v>79.905900000000003</v>
      </c>
      <c r="I137">
        <v>41.447299999999998</v>
      </c>
      <c r="J137">
        <f>Table2[[#This Row],[CFNM]]/Table2[[#This Row],[CAREA]]</f>
        <v>0.51870137248939063</v>
      </c>
      <c r="K137">
        <v>2.75176</v>
      </c>
      <c r="L137">
        <f>-(Table3[[#This Row],[time]]-2)*2</f>
        <v>-1.50352</v>
      </c>
      <c r="M137">
        <v>46.69</v>
      </c>
      <c r="N137">
        <v>6.7500700000000004E-4</v>
      </c>
      <c r="O137">
        <f>Table3[[#This Row],[CFNM]]/Table3[[#This Row],[CAREA]]</f>
        <v>1.4457207110730351E-5</v>
      </c>
      <c r="P137">
        <v>2.75176</v>
      </c>
      <c r="Q137">
        <f>-(Table4[[#This Row],[time]]-2)*2</f>
        <v>-1.50352</v>
      </c>
      <c r="R137">
        <v>72.914000000000001</v>
      </c>
      <c r="S137">
        <v>41.374699999999997</v>
      </c>
      <c r="T137">
        <f>Table4[[#This Row],[CFNM]]/Table4[[#This Row],[CAREA]]</f>
        <v>0.56744520942480181</v>
      </c>
      <c r="U137">
        <v>2.75176</v>
      </c>
      <c r="V137">
        <f>-(Table5[[#This Row],[time]]-2)*2</f>
        <v>-1.50352</v>
      </c>
      <c r="W137">
        <v>79.539599999999993</v>
      </c>
      <c r="X137">
        <v>2.7996700000000002E-3</v>
      </c>
      <c r="Y137">
        <f>Table5[[#This Row],[CFNM]]/Table5[[#This Row],[CAREA]]</f>
        <v>3.519844203390513E-5</v>
      </c>
      <c r="Z137">
        <v>2.75176</v>
      </c>
      <c r="AA137">
        <f>-(Table6[[#This Row],[time]]-2)*2</f>
        <v>-1.50352</v>
      </c>
      <c r="AB137">
        <v>73.047499999999999</v>
      </c>
      <c r="AC137">
        <v>41.365000000000002</v>
      </c>
      <c r="AD137">
        <f>Table6[[#This Row],[CFNM]]/Table6[[#This Row],[CAREA]]</f>
        <v>0.56627536876689832</v>
      </c>
      <c r="AE137">
        <v>2.75176</v>
      </c>
      <c r="AF137">
        <f>-(Table7[[#This Row],[time]]-2)*2</f>
        <v>-1.50352</v>
      </c>
      <c r="AG137">
        <v>72.737700000000004</v>
      </c>
      <c r="AH137">
        <v>1.8958200000000001</v>
      </c>
      <c r="AI137">
        <f>Table7[[#This Row],[CFNM]]/Table7[[#This Row],[CAREA]]</f>
        <v>2.6063788104380533E-2</v>
      </c>
      <c r="AJ137">
        <v>2.75176</v>
      </c>
      <c r="AK137">
        <f>-(Table818287[[#This Row],[time]]-2)*2</f>
        <v>-1.50352</v>
      </c>
      <c r="AL137">
        <v>82.089299999999994</v>
      </c>
      <c r="AM137">
        <v>53.393700000000003</v>
      </c>
      <c r="AN137">
        <f>Table818287[[#This Row],[CFNM]]/Table818287[[#This Row],[CAREA]]</f>
        <v>0.6504343440618936</v>
      </c>
    </row>
    <row r="138" spans="1:40" x14ac:dyDescent="0.25">
      <c r="A138">
        <v>2.80444</v>
      </c>
      <c r="B138">
        <f>-(Table1[[#This Row],[time]]-2)*2</f>
        <v>-1.6088800000000001</v>
      </c>
      <c r="C138">
        <v>51.523200000000003</v>
      </c>
      <c r="D138">
        <v>1.4235000000000001E-3</v>
      </c>
      <c r="E138">
        <f>Table1[[#This Row],[CFNM]]/Table1[[#This Row],[CAREA]]</f>
        <v>2.762833053847587E-5</v>
      </c>
      <c r="F138">
        <v>2.80444</v>
      </c>
      <c r="G138">
        <f>-(Table2[[#This Row],[time]]-2)*2</f>
        <v>-1.6088800000000001</v>
      </c>
      <c r="H138">
        <v>79.191800000000001</v>
      </c>
      <c r="I138">
        <v>43.1648</v>
      </c>
      <c r="J138">
        <f>Table2[[#This Row],[CFNM]]/Table2[[#This Row],[CAREA]]</f>
        <v>0.54506653466646804</v>
      </c>
      <c r="K138">
        <v>2.80444</v>
      </c>
      <c r="L138">
        <f>-(Table3[[#This Row],[time]]-2)*2</f>
        <v>-1.6088800000000001</v>
      </c>
      <c r="M138">
        <v>41.670099999999998</v>
      </c>
      <c r="N138">
        <v>5.7520200000000003E-4</v>
      </c>
      <c r="O138">
        <f>Table3[[#This Row],[CFNM]]/Table3[[#This Row],[CAREA]]</f>
        <v>1.3803710574248684E-5</v>
      </c>
      <c r="P138">
        <v>2.80444</v>
      </c>
      <c r="Q138">
        <f>-(Table4[[#This Row],[time]]-2)*2</f>
        <v>-1.6088800000000001</v>
      </c>
      <c r="R138">
        <v>72.256900000000002</v>
      </c>
      <c r="S138">
        <v>43.189399999999999</v>
      </c>
      <c r="T138">
        <f>Table4[[#This Row],[CFNM]]/Table4[[#This Row],[CAREA]]</f>
        <v>0.59772007932806415</v>
      </c>
      <c r="U138">
        <v>2.80444</v>
      </c>
      <c r="V138">
        <f>-(Table5[[#This Row],[time]]-2)*2</f>
        <v>-1.6088800000000001</v>
      </c>
      <c r="W138">
        <v>79.014399999999995</v>
      </c>
      <c r="X138">
        <v>2.6197299999999998E-3</v>
      </c>
      <c r="Y138">
        <f>Table5[[#This Row],[CFNM]]/Table5[[#This Row],[CAREA]]</f>
        <v>3.315509578000972E-5</v>
      </c>
      <c r="Z138">
        <v>2.80444</v>
      </c>
      <c r="AA138">
        <f>-(Table6[[#This Row],[time]]-2)*2</f>
        <v>-1.6088800000000001</v>
      </c>
      <c r="AB138">
        <v>72.243499999999997</v>
      </c>
      <c r="AC138">
        <v>43.435099999999998</v>
      </c>
      <c r="AD138">
        <f>Table6[[#This Row],[CFNM]]/Table6[[#This Row],[CAREA]]</f>
        <v>0.60123194474243358</v>
      </c>
      <c r="AE138">
        <v>2.80444</v>
      </c>
      <c r="AF138">
        <f>-(Table7[[#This Row],[time]]-2)*2</f>
        <v>-1.6088800000000001</v>
      </c>
      <c r="AG138">
        <v>72.144300000000001</v>
      </c>
      <c r="AH138">
        <v>1.50322</v>
      </c>
      <c r="AI138">
        <f>Table7[[#This Row],[CFNM]]/Table7[[#This Row],[CAREA]]</f>
        <v>2.0836296145364221E-2</v>
      </c>
      <c r="AJ138">
        <v>2.80444</v>
      </c>
      <c r="AK138">
        <f>-(Table818287[[#This Row],[time]]-2)*2</f>
        <v>-1.6088800000000001</v>
      </c>
      <c r="AL138">
        <v>81.880099999999999</v>
      </c>
      <c r="AM138">
        <v>55.3307</v>
      </c>
      <c r="AN138">
        <f>Table818287[[#This Row],[CFNM]]/Table818287[[#This Row],[CAREA]]</f>
        <v>0.67575271647201218</v>
      </c>
    </row>
    <row r="139" spans="1:40" x14ac:dyDescent="0.25">
      <c r="A139">
        <v>2.8583699999999999</v>
      </c>
      <c r="B139">
        <f>-(Table1[[#This Row],[time]]-2)*2</f>
        <v>-1.7167399999999997</v>
      </c>
      <c r="C139">
        <v>48.7697</v>
      </c>
      <c r="D139">
        <v>1.2797900000000001E-3</v>
      </c>
      <c r="E139">
        <f>Table1[[#This Row],[CFNM]]/Table1[[#This Row],[CAREA]]</f>
        <v>2.6241498307350673E-5</v>
      </c>
      <c r="F139">
        <v>2.8583699999999999</v>
      </c>
      <c r="G139">
        <f>-(Table2[[#This Row],[time]]-2)*2</f>
        <v>-1.7167399999999997</v>
      </c>
      <c r="H139">
        <v>78.505099999999999</v>
      </c>
      <c r="I139">
        <v>44.857300000000002</v>
      </c>
      <c r="J139">
        <f>Table2[[#This Row],[CFNM]]/Table2[[#This Row],[CAREA]]</f>
        <v>0.57139345087134474</v>
      </c>
      <c r="K139">
        <v>2.8583699999999999</v>
      </c>
      <c r="L139">
        <f>-(Table3[[#This Row],[time]]-2)*2</f>
        <v>-1.7167399999999997</v>
      </c>
      <c r="M139">
        <v>37.494100000000003</v>
      </c>
      <c r="N139">
        <v>4.84582E-4</v>
      </c>
      <c r="O139">
        <f>Table3[[#This Row],[CFNM]]/Table3[[#This Row],[CAREA]]</f>
        <v>1.292422007729216E-5</v>
      </c>
      <c r="P139">
        <v>2.8583699999999999</v>
      </c>
      <c r="Q139">
        <f>-(Table4[[#This Row],[time]]-2)*2</f>
        <v>-1.7167399999999997</v>
      </c>
      <c r="R139">
        <v>71.581199999999995</v>
      </c>
      <c r="S139">
        <v>44.944299999999998</v>
      </c>
      <c r="T139">
        <f>Table4[[#This Row],[CFNM]]/Table4[[#This Row],[CAREA]]</f>
        <v>0.62787854911624841</v>
      </c>
      <c r="U139">
        <v>2.8583699999999999</v>
      </c>
      <c r="V139">
        <f>-(Table5[[#This Row],[time]]-2)*2</f>
        <v>-1.7167399999999997</v>
      </c>
      <c r="W139">
        <v>77.942700000000002</v>
      </c>
      <c r="X139">
        <v>2.4439900000000001E-3</v>
      </c>
      <c r="Y139">
        <f>Table5[[#This Row],[CFNM]]/Table5[[#This Row],[CAREA]]</f>
        <v>3.1356239904442621E-5</v>
      </c>
      <c r="Z139">
        <v>2.8583699999999999</v>
      </c>
      <c r="AA139">
        <f>-(Table6[[#This Row],[time]]-2)*2</f>
        <v>-1.7167399999999997</v>
      </c>
      <c r="AB139">
        <v>71.785899999999998</v>
      </c>
      <c r="AC139">
        <v>45.4756</v>
      </c>
      <c r="AD139">
        <f>Table6[[#This Row],[CFNM]]/Table6[[#This Row],[CAREA]]</f>
        <v>0.63348930639582424</v>
      </c>
      <c r="AE139">
        <v>2.8583699999999999</v>
      </c>
      <c r="AF139">
        <f>-(Table7[[#This Row],[time]]-2)*2</f>
        <v>-1.7167399999999997</v>
      </c>
      <c r="AG139">
        <v>71.604100000000003</v>
      </c>
      <c r="AH139">
        <v>1.1154500000000001</v>
      </c>
      <c r="AI139">
        <f>Table7[[#This Row],[CFNM]]/Table7[[#This Row],[CAREA]]</f>
        <v>1.5578018577148516E-2</v>
      </c>
      <c r="AJ139">
        <v>2.8583699999999999</v>
      </c>
      <c r="AK139">
        <f>-(Table818287[[#This Row],[time]]-2)*2</f>
        <v>-1.7167399999999997</v>
      </c>
      <c r="AL139">
        <v>81.955399999999997</v>
      </c>
      <c r="AM139">
        <v>57.2331</v>
      </c>
      <c r="AN139">
        <f>Table818287[[#This Row],[CFNM]]/Table818287[[#This Row],[CAREA]]</f>
        <v>0.69834446540435413</v>
      </c>
    </row>
    <row r="140" spans="1:40" x14ac:dyDescent="0.25">
      <c r="A140">
        <v>2.9134199999999999</v>
      </c>
      <c r="B140">
        <f>-(Table1[[#This Row],[time]]-2)*2</f>
        <v>-1.8268399999999998</v>
      </c>
      <c r="C140">
        <v>43.585799999999999</v>
      </c>
      <c r="D140">
        <v>1.16333E-3</v>
      </c>
      <c r="E140">
        <f>Table1[[#This Row],[CFNM]]/Table1[[#This Row],[CAREA]]</f>
        <v>2.6690573535417499E-5</v>
      </c>
      <c r="F140">
        <v>2.9134199999999999</v>
      </c>
      <c r="G140">
        <f>-(Table2[[#This Row],[time]]-2)*2</f>
        <v>-1.8268399999999998</v>
      </c>
      <c r="H140">
        <v>77.870699999999999</v>
      </c>
      <c r="I140">
        <v>46.325699999999998</v>
      </c>
      <c r="J140">
        <f>Table2[[#This Row],[CFNM]]/Table2[[#This Row],[CAREA]]</f>
        <v>0.59490540087606758</v>
      </c>
      <c r="K140">
        <v>2.9134199999999999</v>
      </c>
      <c r="L140">
        <f>-(Table3[[#This Row],[time]]-2)*2</f>
        <v>-1.8268399999999998</v>
      </c>
      <c r="M140">
        <v>36.359499999999997</v>
      </c>
      <c r="N140">
        <v>4.1334999999999999E-4</v>
      </c>
      <c r="O140">
        <f>Table3[[#This Row],[CFNM]]/Table3[[#This Row],[CAREA]]</f>
        <v>1.1368418157565423E-5</v>
      </c>
      <c r="P140">
        <v>2.9134199999999999</v>
      </c>
      <c r="Q140">
        <f>-(Table4[[#This Row],[time]]-2)*2</f>
        <v>-1.8268399999999998</v>
      </c>
      <c r="R140">
        <v>71.042900000000003</v>
      </c>
      <c r="S140">
        <v>46.441400000000002</v>
      </c>
      <c r="T140">
        <f>Table4[[#This Row],[CFNM]]/Table4[[#This Row],[CAREA]]</f>
        <v>0.65370923765780953</v>
      </c>
      <c r="U140">
        <v>2.9134199999999999</v>
      </c>
      <c r="V140">
        <f>-(Table5[[#This Row],[time]]-2)*2</f>
        <v>-1.8268399999999998</v>
      </c>
      <c r="W140">
        <v>76.681899999999999</v>
      </c>
      <c r="X140">
        <v>2.2916400000000002E-3</v>
      </c>
      <c r="Y140">
        <f>Table5[[#This Row],[CFNM]]/Table5[[#This Row],[CAREA]]</f>
        <v>2.9885018498498346E-5</v>
      </c>
      <c r="Z140">
        <v>2.9134199999999999</v>
      </c>
      <c r="AA140">
        <f>-(Table6[[#This Row],[time]]-2)*2</f>
        <v>-1.8268399999999998</v>
      </c>
      <c r="AB140">
        <v>70.478999999999999</v>
      </c>
      <c r="AC140">
        <v>47.250599999999999</v>
      </c>
      <c r="AD140">
        <f>Table6[[#This Row],[CFNM]]/Table6[[#This Row],[CAREA]]</f>
        <v>0.67042097646107346</v>
      </c>
      <c r="AE140">
        <v>2.9134199999999999</v>
      </c>
      <c r="AF140">
        <f>-(Table7[[#This Row],[time]]-2)*2</f>
        <v>-1.8268399999999998</v>
      </c>
      <c r="AG140">
        <v>71.180300000000003</v>
      </c>
      <c r="AH140">
        <v>0.815272</v>
      </c>
      <c r="AI140">
        <f>Table7[[#This Row],[CFNM]]/Table7[[#This Row],[CAREA]]</f>
        <v>1.1453618487137593E-2</v>
      </c>
      <c r="AJ140">
        <v>2.9134199999999999</v>
      </c>
      <c r="AK140">
        <f>-(Table818287[[#This Row],[time]]-2)*2</f>
        <v>-1.8268399999999998</v>
      </c>
      <c r="AL140">
        <v>81.983400000000003</v>
      </c>
      <c r="AM140">
        <v>58.861499999999999</v>
      </c>
      <c r="AN140">
        <f>Table818287[[#This Row],[CFNM]]/Table818287[[#This Row],[CAREA]]</f>
        <v>0.71796851557754371</v>
      </c>
    </row>
    <row r="141" spans="1:40" x14ac:dyDescent="0.25">
      <c r="A141">
        <v>2.9619599999999999</v>
      </c>
      <c r="B141">
        <f>-(Table1[[#This Row],[time]]-2)*2</f>
        <v>-1.9239199999999999</v>
      </c>
      <c r="C141">
        <v>36.6616</v>
      </c>
      <c r="D141">
        <v>9.990559999999999E-4</v>
      </c>
      <c r="E141">
        <f>Table1[[#This Row],[CFNM]]/Table1[[#This Row],[CAREA]]</f>
        <v>2.7250747376001044E-5</v>
      </c>
      <c r="F141">
        <v>2.9619599999999999</v>
      </c>
      <c r="G141">
        <f>-(Table2[[#This Row],[time]]-2)*2</f>
        <v>-1.9239199999999999</v>
      </c>
      <c r="H141">
        <v>76.812299999999993</v>
      </c>
      <c r="I141">
        <v>48.6173</v>
      </c>
      <c r="J141">
        <f>Table2[[#This Row],[CFNM]]/Table2[[#This Row],[CAREA]]</f>
        <v>0.6329363916976839</v>
      </c>
      <c r="K141">
        <v>2.9619599999999999</v>
      </c>
      <c r="L141">
        <f>-(Table3[[#This Row],[time]]-2)*2</f>
        <v>-1.9239199999999999</v>
      </c>
      <c r="M141">
        <v>31.462399999999999</v>
      </c>
      <c r="N141">
        <v>3.0258999999999999E-4</v>
      </c>
      <c r="O141">
        <f>Table3[[#This Row],[CFNM]]/Table3[[#This Row],[CAREA]]</f>
        <v>9.6175116965012206E-6</v>
      </c>
      <c r="P141">
        <v>2.9619599999999999</v>
      </c>
      <c r="Q141">
        <f>-(Table4[[#This Row],[time]]-2)*2</f>
        <v>-1.9239199999999999</v>
      </c>
      <c r="R141">
        <v>70.216999999999999</v>
      </c>
      <c r="S141">
        <v>48.778199999999998</v>
      </c>
      <c r="T141">
        <f>Table4[[#This Row],[CFNM]]/Table4[[#This Row],[CAREA]]</f>
        <v>0.69467792699773556</v>
      </c>
      <c r="U141">
        <v>2.9619599999999999</v>
      </c>
      <c r="V141">
        <f>-(Table5[[#This Row],[time]]-2)*2</f>
        <v>-1.9239199999999999</v>
      </c>
      <c r="W141">
        <v>74.356999999999999</v>
      </c>
      <c r="X141">
        <v>2.0534099999999999E-3</v>
      </c>
      <c r="Y141">
        <f>Table5[[#This Row],[CFNM]]/Table5[[#This Row],[CAREA]]</f>
        <v>2.7615557378592465E-5</v>
      </c>
      <c r="Z141">
        <v>2.9619599999999999</v>
      </c>
      <c r="AA141">
        <f>-(Table6[[#This Row],[time]]-2)*2</f>
        <v>-1.9239199999999999</v>
      </c>
      <c r="AB141">
        <v>69.799899999999994</v>
      </c>
      <c r="AC141">
        <v>50.1235</v>
      </c>
      <c r="AD141">
        <f>Table6[[#This Row],[CFNM]]/Table6[[#This Row],[CAREA]]</f>
        <v>0.71810274799820639</v>
      </c>
      <c r="AE141">
        <v>2.9619599999999999</v>
      </c>
      <c r="AF141">
        <f>-(Table7[[#This Row],[time]]-2)*2</f>
        <v>-1.9239199999999999</v>
      </c>
      <c r="AG141">
        <v>70.419399999999996</v>
      </c>
      <c r="AH141">
        <v>0.46080399999999999</v>
      </c>
      <c r="AI141">
        <f>Table7[[#This Row],[CFNM]]/Table7[[#This Row],[CAREA]]</f>
        <v>6.543708125885765E-3</v>
      </c>
      <c r="AJ141">
        <v>2.9619599999999999</v>
      </c>
      <c r="AK141">
        <f>-(Table818287[[#This Row],[time]]-2)*2</f>
        <v>-1.9239199999999999</v>
      </c>
      <c r="AL141">
        <v>82.047899999999998</v>
      </c>
      <c r="AM141">
        <v>61.390099999999997</v>
      </c>
      <c r="AN141">
        <f>Table818287[[#This Row],[CFNM]]/Table818287[[#This Row],[CAREA]]</f>
        <v>0.74822268455377894</v>
      </c>
    </row>
    <row r="142" spans="1:40" x14ac:dyDescent="0.25">
      <c r="A142">
        <v>3</v>
      </c>
      <c r="B142">
        <f>-(Table1[[#This Row],[time]]-2)*2</f>
        <v>-2</v>
      </c>
      <c r="C142">
        <v>34.3902</v>
      </c>
      <c r="D142">
        <v>9.6663999999999995E-4</v>
      </c>
      <c r="E142">
        <f>Table1[[#This Row],[CFNM]]/Table1[[#This Row],[CAREA]]</f>
        <v>2.8108007513768456E-5</v>
      </c>
      <c r="F142">
        <v>3</v>
      </c>
      <c r="G142">
        <f>-(Table2[[#This Row],[time]]-2)*2</f>
        <v>-2</v>
      </c>
      <c r="H142">
        <v>76.587000000000003</v>
      </c>
      <c r="I142">
        <v>49.127699999999997</v>
      </c>
      <c r="J142">
        <f>Table2[[#This Row],[CFNM]]/Table2[[#This Row],[CAREA]]</f>
        <v>0.64146265031924476</v>
      </c>
      <c r="K142">
        <v>3</v>
      </c>
      <c r="L142">
        <f>-(Table3[[#This Row],[time]]-2)*2</f>
        <v>-2</v>
      </c>
      <c r="M142">
        <v>30.398700000000002</v>
      </c>
      <c r="N142">
        <v>2.7956699999999999E-4</v>
      </c>
      <c r="O142">
        <f>Table3[[#This Row],[CFNM]]/Table3[[#This Row],[CAREA]]</f>
        <v>9.1966761736521614E-6</v>
      </c>
      <c r="P142">
        <v>3</v>
      </c>
      <c r="Q142">
        <f>-(Table4[[#This Row],[time]]-2)*2</f>
        <v>-2</v>
      </c>
      <c r="R142">
        <v>70.0261</v>
      </c>
      <c r="S142">
        <v>49.316400000000002</v>
      </c>
      <c r="T142">
        <f>Table4[[#This Row],[CFNM]]/Table4[[#This Row],[CAREA]]</f>
        <v>0.70425741259330454</v>
      </c>
      <c r="U142">
        <v>3</v>
      </c>
      <c r="V142">
        <f>-(Table5[[#This Row],[time]]-2)*2</f>
        <v>-2</v>
      </c>
      <c r="W142">
        <v>74.2517</v>
      </c>
      <c r="X142">
        <v>2.0004900000000002E-3</v>
      </c>
      <c r="Y142">
        <f>Table5[[#This Row],[CFNM]]/Table5[[#This Row],[CAREA]]</f>
        <v>2.6942009408538798E-5</v>
      </c>
      <c r="Z142">
        <v>3</v>
      </c>
      <c r="AA142">
        <f>-(Table6[[#This Row],[time]]-2)*2</f>
        <v>-2</v>
      </c>
      <c r="AB142">
        <v>69.307400000000001</v>
      </c>
      <c r="AC142">
        <v>50.779600000000002</v>
      </c>
      <c r="AD142">
        <f>Table6[[#This Row],[CFNM]]/Table6[[#This Row],[CAREA]]</f>
        <v>0.73267212447732855</v>
      </c>
      <c r="AE142">
        <v>3</v>
      </c>
      <c r="AF142">
        <f>-(Table7[[#This Row],[time]]-2)*2</f>
        <v>-2</v>
      </c>
      <c r="AG142">
        <v>70.262900000000002</v>
      </c>
      <c r="AH142">
        <v>0.40515499999999999</v>
      </c>
      <c r="AI142">
        <f>Table7[[#This Row],[CFNM]]/Table7[[#This Row],[CAREA]]</f>
        <v>5.7662721009238155E-3</v>
      </c>
      <c r="AJ142">
        <v>3</v>
      </c>
      <c r="AK142">
        <f>-(Table818287[[#This Row],[time]]-2)*2</f>
        <v>-2</v>
      </c>
      <c r="AL142">
        <v>82.036699999999996</v>
      </c>
      <c r="AM142">
        <v>61.950299999999999</v>
      </c>
      <c r="AN142">
        <f>Table818287[[#This Row],[CFNM]]/Table818287[[#This Row],[CAREA]]</f>
        <v>0.75515348618362277</v>
      </c>
    </row>
    <row r="144" spans="1:40" x14ac:dyDescent="0.25">
      <c r="A144" t="s">
        <v>41</v>
      </c>
      <c r="E144" t="s">
        <v>1</v>
      </c>
    </row>
    <row r="145" spans="1:40" x14ac:dyDescent="0.25">
      <c r="A145" t="s">
        <v>42</v>
      </c>
      <c r="E145" t="s">
        <v>2</v>
      </c>
      <c r="F145" t="s">
        <v>3</v>
      </c>
    </row>
    <row r="147" spans="1:40" x14ac:dyDescent="0.25">
      <c r="A147" t="s">
        <v>4</v>
      </c>
      <c r="F147" t="s">
        <v>5</v>
      </c>
      <c r="K147" t="s">
        <v>6</v>
      </c>
      <c r="P147" t="s">
        <v>7</v>
      </c>
      <c r="U147" t="s">
        <v>8</v>
      </c>
      <c r="Z147" t="s">
        <v>9</v>
      </c>
      <c r="AE147" t="s">
        <v>10</v>
      </c>
      <c r="AJ147" t="s">
        <v>11</v>
      </c>
    </row>
    <row r="148" spans="1:40" x14ac:dyDescent="0.25">
      <c r="A148" t="s">
        <v>12</v>
      </c>
      <c r="B148" t="s">
        <v>13</v>
      </c>
      <c r="C148" t="s">
        <v>14</v>
      </c>
      <c r="D148" t="s">
        <v>15</v>
      </c>
      <c r="E148" t="s">
        <v>16</v>
      </c>
      <c r="F148" t="s">
        <v>12</v>
      </c>
      <c r="G148" t="s">
        <v>13</v>
      </c>
      <c r="H148" t="s">
        <v>14</v>
      </c>
      <c r="I148" t="s">
        <v>15</v>
      </c>
      <c r="J148" t="s">
        <v>16</v>
      </c>
      <c r="K148" t="s">
        <v>12</v>
      </c>
      <c r="L148" t="s">
        <v>13</v>
      </c>
      <c r="M148" t="s">
        <v>14</v>
      </c>
      <c r="N148" t="s">
        <v>15</v>
      </c>
      <c r="O148" t="s">
        <v>16</v>
      </c>
      <c r="P148" t="s">
        <v>12</v>
      </c>
      <c r="Q148" t="s">
        <v>13</v>
      </c>
      <c r="R148" t="s">
        <v>14</v>
      </c>
      <c r="S148" t="s">
        <v>15</v>
      </c>
      <c r="T148" t="s">
        <v>16</v>
      </c>
      <c r="U148" t="s">
        <v>12</v>
      </c>
      <c r="V148" t="s">
        <v>13</v>
      </c>
      <c r="W148" t="s">
        <v>14</v>
      </c>
      <c r="X148" t="s">
        <v>15</v>
      </c>
      <c r="Y148" t="s">
        <v>16</v>
      </c>
      <c r="Z148" t="s">
        <v>12</v>
      </c>
      <c r="AA148" t="s">
        <v>13</v>
      </c>
      <c r="AB148" t="s">
        <v>14</v>
      </c>
      <c r="AC148" t="s">
        <v>15</v>
      </c>
      <c r="AD148" t="s">
        <v>16</v>
      </c>
      <c r="AE148" t="s">
        <v>12</v>
      </c>
      <c r="AF148" t="s">
        <v>13</v>
      </c>
      <c r="AG148" t="s">
        <v>14</v>
      </c>
      <c r="AH148" t="s">
        <v>15</v>
      </c>
      <c r="AI148" t="s">
        <v>16</v>
      </c>
      <c r="AJ148" t="s">
        <v>12</v>
      </c>
      <c r="AK148" t="s">
        <v>13</v>
      </c>
      <c r="AL148" t="s">
        <v>14</v>
      </c>
      <c r="AM148" t="s">
        <v>15</v>
      </c>
      <c r="AN148" t="s">
        <v>16</v>
      </c>
    </row>
    <row r="149" spans="1:40" x14ac:dyDescent="0.25">
      <c r="A149">
        <v>2</v>
      </c>
      <c r="B149">
        <f>(Table110281[[#This Row],[time]]-2)*2</f>
        <v>0</v>
      </c>
      <c r="C149">
        <v>91.122200000000007</v>
      </c>
      <c r="D149">
        <v>10.1982</v>
      </c>
      <c r="E149" s="2">
        <f>Table110281[[#This Row],[CFNM]]/Table110281[[#This Row],[CAREA]]</f>
        <v>0.11191784219432804</v>
      </c>
      <c r="F149">
        <v>2</v>
      </c>
      <c r="G149">
        <f>(Table211282[[#This Row],[time]]-2)*2</f>
        <v>0</v>
      </c>
      <c r="H149">
        <v>95.889399999999995</v>
      </c>
      <c r="I149">
        <v>3.5990500000000001</v>
      </c>
      <c r="J149" s="2">
        <f>Table211282[[#This Row],[CFNM]]/Table211282[[#This Row],[CAREA]]</f>
        <v>3.7533345708701905E-2</v>
      </c>
      <c r="K149">
        <v>2</v>
      </c>
      <c r="L149">
        <f>(Table312283[[#This Row],[time]]-2)*2</f>
        <v>0</v>
      </c>
      <c r="M149">
        <v>89.273899999999998</v>
      </c>
      <c r="N149">
        <v>3.63375</v>
      </c>
      <c r="O149">
        <f>Table312283[[#This Row],[CFNM]]/Table312283[[#This Row],[CAREA]]</f>
        <v>4.0703385872018584E-2</v>
      </c>
      <c r="P149">
        <v>2</v>
      </c>
      <c r="Q149">
        <f>(Table413284[[#This Row],[time]]-2)*2</f>
        <v>0</v>
      </c>
      <c r="R149">
        <v>86.437299999999993</v>
      </c>
      <c r="S149">
        <v>6.4271799999999999</v>
      </c>
      <c r="T149">
        <f>Table413284[[#This Row],[CFNM]]/Table413284[[#This Row],[CAREA]]</f>
        <v>7.4356556717990963E-2</v>
      </c>
      <c r="U149">
        <v>2</v>
      </c>
      <c r="V149">
        <f>(Table514285[[#This Row],[time]]-2)*2</f>
        <v>0</v>
      </c>
      <c r="W149">
        <v>82.674099999999996</v>
      </c>
      <c r="X149">
        <v>9.7119900000000001</v>
      </c>
      <c r="Y149">
        <f>Table514285[[#This Row],[CFNM]]/Table514285[[#This Row],[CAREA]]</f>
        <v>0.1174731868868243</v>
      </c>
      <c r="Z149">
        <v>2</v>
      </c>
      <c r="AA149">
        <f>(Table615286[[#This Row],[time]]-2)*2</f>
        <v>0</v>
      </c>
      <c r="AB149">
        <v>88.971500000000006</v>
      </c>
      <c r="AC149">
        <v>16.248000000000001</v>
      </c>
      <c r="AD149">
        <f>Table615286[[#This Row],[CFNM]]/Table615286[[#This Row],[CAREA]]</f>
        <v>0.18262027727980309</v>
      </c>
      <c r="AE149">
        <v>2</v>
      </c>
      <c r="AF149">
        <f>(Table716289[[#This Row],[time]]-2)*2</f>
        <v>0</v>
      </c>
      <c r="AG149">
        <v>78.961299999999994</v>
      </c>
      <c r="AH149">
        <v>19.617799999999999</v>
      </c>
      <c r="AI149">
        <f>Table716289[[#This Row],[CFNM]]/Table716289[[#This Row],[CAREA]]</f>
        <v>0.24844829049167125</v>
      </c>
      <c r="AJ149">
        <v>2</v>
      </c>
      <c r="AK149">
        <f>(Table81719289[[#This Row],[time]]-2)*2</f>
        <v>0</v>
      </c>
      <c r="AL149">
        <v>83.133399999999995</v>
      </c>
      <c r="AM149">
        <v>19.2318</v>
      </c>
      <c r="AN149">
        <f>Table81719289[[#This Row],[CFNM]]/Table81719289[[#This Row],[CAREA]]</f>
        <v>0.23133662282548292</v>
      </c>
    </row>
    <row r="150" spans="1:40" x14ac:dyDescent="0.25">
      <c r="A150">
        <v>2.0512600000000001</v>
      </c>
      <c r="B150">
        <f>(Table110281[[#This Row],[time]]-2)*2</f>
        <v>0.10252000000000017</v>
      </c>
      <c r="C150">
        <v>91.111099999999993</v>
      </c>
      <c r="D150">
        <v>11.0205</v>
      </c>
      <c r="E150">
        <f>Table110281[[#This Row],[CFNM]]/Table110281[[#This Row],[CAREA]]</f>
        <v>0.12095672206789294</v>
      </c>
      <c r="F150">
        <v>2.0512600000000001</v>
      </c>
      <c r="G150">
        <f>(Table211282[[#This Row],[time]]-2)*2</f>
        <v>0.10252000000000017</v>
      </c>
      <c r="H150">
        <v>95.878299999999996</v>
      </c>
      <c r="I150">
        <v>3.03084</v>
      </c>
      <c r="J150">
        <f>Table211282[[#This Row],[CFNM]]/Table211282[[#This Row],[CAREA]]</f>
        <v>3.1611323938784901E-2</v>
      </c>
      <c r="K150">
        <v>2.0512600000000001</v>
      </c>
      <c r="L150">
        <f>(Table312283[[#This Row],[time]]-2)*2</f>
        <v>0.10252000000000017</v>
      </c>
      <c r="M150">
        <v>89.210899999999995</v>
      </c>
      <c r="N150">
        <v>4.6566000000000001</v>
      </c>
      <c r="O150">
        <f>Table312283[[#This Row],[CFNM]]/Table312283[[#This Row],[CAREA]]</f>
        <v>5.2197657461139843E-2</v>
      </c>
      <c r="P150">
        <v>2.0512600000000001</v>
      </c>
      <c r="Q150">
        <f>(Table413284[[#This Row],[time]]-2)*2</f>
        <v>0.10252000000000017</v>
      </c>
      <c r="R150">
        <v>86.468800000000002</v>
      </c>
      <c r="S150">
        <v>5.6314099999999998</v>
      </c>
      <c r="T150">
        <f>Table413284[[#This Row],[CFNM]]/Table413284[[#This Row],[CAREA]]</f>
        <v>6.5126496493532929E-2</v>
      </c>
      <c r="U150">
        <v>2.0512600000000001</v>
      </c>
      <c r="V150">
        <f>(Table514285[[#This Row],[time]]-2)*2</f>
        <v>0.10252000000000017</v>
      </c>
      <c r="W150">
        <v>82.907499999999999</v>
      </c>
      <c r="X150">
        <v>11.039099999999999</v>
      </c>
      <c r="Y150">
        <f>Table514285[[#This Row],[CFNM]]/Table514285[[#This Row],[CAREA]]</f>
        <v>0.13314959442752464</v>
      </c>
      <c r="Z150">
        <v>2.0512600000000001</v>
      </c>
      <c r="AA150">
        <f>(Table615286[[#This Row],[time]]-2)*2</f>
        <v>0.10252000000000017</v>
      </c>
      <c r="AB150">
        <v>88.914699999999996</v>
      </c>
      <c r="AC150">
        <v>15.773300000000001</v>
      </c>
      <c r="AD150">
        <f>Table615286[[#This Row],[CFNM]]/Table615286[[#This Row],[CAREA]]</f>
        <v>0.17739811302293099</v>
      </c>
      <c r="AE150">
        <v>2.0512600000000001</v>
      </c>
      <c r="AF150">
        <f>(Table716289[[#This Row],[time]]-2)*2</f>
        <v>0.10252000000000017</v>
      </c>
      <c r="AG150">
        <v>78.823999999999998</v>
      </c>
      <c r="AH150">
        <v>21.4072</v>
      </c>
      <c r="AI150">
        <f>Table716289[[#This Row],[CFNM]]/Table716289[[#This Row],[CAREA]]</f>
        <v>0.27158225921039275</v>
      </c>
      <c r="AJ150">
        <v>2.0512600000000001</v>
      </c>
      <c r="AK150">
        <f>(Table81719289[[#This Row],[time]]-2)*2</f>
        <v>0.10252000000000017</v>
      </c>
      <c r="AL150">
        <v>83.058899999999994</v>
      </c>
      <c r="AM150">
        <v>17.959599999999998</v>
      </c>
      <c r="AN150">
        <f>Table81719289[[#This Row],[CFNM]]/Table81719289[[#This Row],[CAREA]]</f>
        <v>0.21622727967743371</v>
      </c>
    </row>
    <row r="151" spans="1:40" x14ac:dyDescent="0.25">
      <c r="A151">
        <v>2.1153300000000002</v>
      </c>
      <c r="B151">
        <f>(Table110281[[#This Row],[time]]-2)*2</f>
        <v>0.23066000000000031</v>
      </c>
      <c r="C151">
        <v>91.138800000000003</v>
      </c>
      <c r="D151">
        <v>13.0441</v>
      </c>
      <c r="E151">
        <f>Table110281[[#This Row],[CFNM]]/Table110281[[#This Row],[CAREA]]</f>
        <v>0.14312345565225787</v>
      </c>
      <c r="F151">
        <v>2.1153300000000002</v>
      </c>
      <c r="G151">
        <f>(Table211282[[#This Row],[time]]-2)*2</f>
        <v>0.23066000000000031</v>
      </c>
      <c r="H151">
        <v>95.279200000000003</v>
      </c>
      <c r="I151">
        <v>1.45862</v>
      </c>
      <c r="J151">
        <f>Table211282[[#This Row],[CFNM]]/Table211282[[#This Row],[CAREA]]</f>
        <v>1.5308902677604345E-2</v>
      </c>
      <c r="K151">
        <v>2.1153300000000002</v>
      </c>
      <c r="L151">
        <f>(Table312283[[#This Row],[time]]-2)*2</f>
        <v>0.23066000000000031</v>
      </c>
      <c r="M151">
        <v>89.045199999999994</v>
      </c>
      <c r="N151">
        <v>7.1521100000000004</v>
      </c>
      <c r="O151">
        <f>Table312283[[#This Row],[CFNM]]/Table312283[[#This Row],[CAREA]]</f>
        <v>8.0319994789163268E-2</v>
      </c>
      <c r="P151">
        <v>2.1153300000000002</v>
      </c>
      <c r="Q151">
        <f>(Table413284[[#This Row],[time]]-2)*2</f>
        <v>0.23066000000000031</v>
      </c>
      <c r="R151">
        <v>86.620900000000006</v>
      </c>
      <c r="S151">
        <v>3.49404</v>
      </c>
      <c r="T151">
        <f>Table413284[[#This Row],[CFNM]]/Table413284[[#This Row],[CAREA]]</f>
        <v>4.0337147270462441E-2</v>
      </c>
      <c r="U151">
        <v>2.1153300000000002</v>
      </c>
      <c r="V151">
        <f>(Table514285[[#This Row],[time]]-2)*2</f>
        <v>0.23066000000000031</v>
      </c>
      <c r="W151">
        <v>83.227800000000002</v>
      </c>
      <c r="X151">
        <v>13.576599999999999</v>
      </c>
      <c r="Y151">
        <f>Table514285[[#This Row],[CFNM]]/Table514285[[#This Row],[CAREA]]</f>
        <v>0.16312578249094653</v>
      </c>
      <c r="Z151">
        <v>2.1153300000000002</v>
      </c>
      <c r="AA151">
        <f>(Table615286[[#This Row],[time]]-2)*2</f>
        <v>0.23066000000000031</v>
      </c>
      <c r="AB151">
        <v>89.408799999999999</v>
      </c>
      <c r="AC151">
        <v>15.064500000000001</v>
      </c>
      <c r="AD151">
        <f>Table615286[[#This Row],[CFNM]]/Table615286[[#This Row],[CAREA]]</f>
        <v>0.16849012625155466</v>
      </c>
      <c r="AE151">
        <v>2.1153300000000002</v>
      </c>
      <c r="AF151">
        <f>(Table716289[[#This Row],[time]]-2)*2</f>
        <v>0.23066000000000031</v>
      </c>
      <c r="AG151">
        <v>78.531800000000004</v>
      </c>
      <c r="AH151">
        <v>24.4193</v>
      </c>
      <c r="AI151">
        <f>Table716289[[#This Row],[CFNM]]/Table716289[[#This Row],[CAREA]]</f>
        <v>0.31094792173361618</v>
      </c>
      <c r="AJ151">
        <v>2.1153300000000002</v>
      </c>
      <c r="AK151">
        <f>(Table81719289[[#This Row],[time]]-2)*2</f>
        <v>0.23066000000000031</v>
      </c>
      <c r="AL151">
        <v>83.163300000000007</v>
      </c>
      <c r="AM151">
        <v>16.224</v>
      </c>
      <c r="AN151">
        <f>Table81719289[[#This Row],[CFNM]]/Table81719289[[#This Row],[CAREA]]</f>
        <v>0.19508605358373224</v>
      </c>
    </row>
    <row r="152" spans="1:40" x14ac:dyDescent="0.25">
      <c r="A152">
        <v>2.16533</v>
      </c>
      <c r="B152">
        <f>(Table110281[[#This Row],[time]]-2)*2</f>
        <v>0.33065999999999995</v>
      </c>
      <c r="C152">
        <v>91.0535</v>
      </c>
      <c r="D152">
        <v>14.776999999999999</v>
      </c>
      <c r="E152">
        <f>Table110281[[#This Row],[CFNM]]/Table110281[[#This Row],[CAREA]]</f>
        <v>0.16228920360008126</v>
      </c>
      <c r="F152">
        <v>2.16533</v>
      </c>
      <c r="G152">
        <f>(Table211282[[#This Row],[time]]-2)*2</f>
        <v>0.33065999999999995</v>
      </c>
      <c r="H152">
        <v>95.037099999999995</v>
      </c>
      <c r="I152">
        <v>0.309556</v>
      </c>
      <c r="J152">
        <f>Table211282[[#This Row],[CFNM]]/Table211282[[#This Row],[CAREA]]</f>
        <v>3.2572121834525676E-3</v>
      </c>
      <c r="K152">
        <v>2.16533</v>
      </c>
      <c r="L152">
        <f>(Table312283[[#This Row],[time]]-2)*2</f>
        <v>0.33065999999999995</v>
      </c>
      <c r="M152">
        <v>88.821799999999996</v>
      </c>
      <c r="N152">
        <v>9.5009999999999994</v>
      </c>
      <c r="O152">
        <f>Table312283[[#This Row],[CFNM]]/Table312283[[#This Row],[CAREA]]</f>
        <v>0.10696698333066883</v>
      </c>
      <c r="P152">
        <v>2.16533</v>
      </c>
      <c r="Q152">
        <f>(Table413284[[#This Row],[time]]-2)*2</f>
        <v>0.33065999999999995</v>
      </c>
      <c r="R152">
        <v>86.836500000000001</v>
      </c>
      <c r="S152">
        <v>1.99281</v>
      </c>
      <c r="T152">
        <f>Table413284[[#This Row],[CFNM]]/Table413284[[#This Row],[CAREA]]</f>
        <v>2.2948990343922199E-2</v>
      </c>
      <c r="U152">
        <v>2.16533</v>
      </c>
      <c r="V152">
        <f>(Table514285[[#This Row],[time]]-2)*2</f>
        <v>0.33065999999999995</v>
      </c>
      <c r="W152">
        <v>82.548199999999994</v>
      </c>
      <c r="X152">
        <v>15.6167</v>
      </c>
      <c r="Y152">
        <f>Table514285[[#This Row],[CFNM]]/Table514285[[#This Row],[CAREA]]</f>
        <v>0.1891828047128829</v>
      </c>
      <c r="Z152">
        <v>2.16533</v>
      </c>
      <c r="AA152">
        <f>(Table615286[[#This Row],[time]]-2)*2</f>
        <v>0.33065999999999995</v>
      </c>
      <c r="AB152">
        <v>88.829800000000006</v>
      </c>
      <c r="AC152">
        <v>14.6105</v>
      </c>
      <c r="AD152">
        <f>Table615286[[#This Row],[CFNM]]/Table615286[[#This Row],[CAREA]]</f>
        <v>0.16447746139246064</v>
      </c>
      <c r="AE152">
        <v>2.16533</v>
      </c>
      <c r="AF152">
        <f>(Table716289[[#This Row],[time]]-2)*2</f>
        <v>0.33065999999999995</v>
      </c>
      <c r="AG152">
        <v>77.985500000000002</v>
      </c>
      <c r="AH152">
        <v>26.8706</v>
      </c>
      <c r="AI152">
        <f>Table716289[[#This Row],[CFNM]]/Table716289[[#This Row],[CAREA]]</f>
        <v>0.34455892441543617</v>
      </c>
      <c r="AJ152">
        <v>2.16533</v>
      </c>
      <c r="AK152">
        <f>(Table81719289[[#This Row],[time]]-2)*2</f>
        <v>0.33065999999999995</v>
      </c>
      <c r="AL152">
        <v>83.096199999999996</v>
      </c>
      <c r="AM152">
        <v>15.016500000000001</v>
      </c>
      <c r="AN152">
        <f>Table81719289[[#This Row],[CFNM]]/Table81719289[[#This Row],[CAREA]]</f>
        <v>0.1807122347351624</v>
      </c>
    </row>
    <row r="153" spans="1:40" x14ac:dyDescent="0.25">
      <c r="A153">
        <v>2.2246999999999999</v>
      </c>
      <c r="B153">
        <f>(Table110281[[#This Row],[time]]-2)*2</f>
        <v>0.4493999999999998</v>
      </c>
      <c r="C153">
        <v>90.995199999999997</v>
      </c>
      <c r="D153">
        <v>16.0288</v>
      </c>
      <c r="E153">
        <f>Table110281[[#This Row],[CFNM]]/Table110281[[#This Row],[CAREA]]</f>
        <v>0.17614995076663387</v>
      </c>
      <c r="F153">
        <v>2.2246999999999999</v>
      </c>
      <c r="G153">
        <f>(Table211282[[#This Row],[time]]-2)*2</f>
        <v>0.4493999999999998</v>
      </c>
      <c r="H153">
        <v>94.748400000000004</v>
      </c>
      <c r="I153">
        <v>5.9563300000000001E-3</v>
      </c>
      <c r="J153">
        <f>Table211282[[#This Row],[CFNM]]/Table211282[[#This Row],[CAREA]]</f>
        <v>6.2864702728489345E-5</v>
      </c>
      <c r="K153">
        <v>2.2246999999999999</v>
      </c>
      <c r="L153">
        <f>(Table312283[[#This Row],[time]]-2)*2</f>
        <v>0.4493999999999998</v>
      </c>
      <c r="M153">
        <v>88.343599999999995</v>
      </c>
      <c r="N153">
        <v>11.348800000000001</v>
      </c>
      <c r="O153">
        <f>Table312283[[#This Row],[CFNM]]/Table312283[[#This Row],[CAREA]]</f>
        <v>0.12846205044847619</v>
      </c>
      <c r="P153">
        <v>2.2246999999999999</v>
      </c>
      <c r="Q153">
        <f>(Table413284[[#This Row],[time]]-2)*2</f>
        <v>0.4493999999999998</v>
      </c>
      <c r="R153">
        <v>86.9542</v>
      </c>
      <c r="S153">
        <v>1.2008799999999999</v>
      </c>
      <c r="T153">
        <f>Table413284[[#This Row],[CFNM]]/Table413284[[#This Row],[CAREA]]</f>
        <v>1.3810488740049358E-2</v>
      </c>
      <c r="U153">
        <v>2.2246999999999999</v>
      </c>
      <c r="V153">
        <f>(Table514285[[#This Row],[time]]-2)*2</f>
        <v>0.4493999999999998</v>
      </c>
      <c r="W153">
        <v>82.7941</v>
      </c>
      <c r="X153">
        <v>17.1752</v>
      </c>
      <c r="Y153">
        <f>Table514285[[#This Row],[CFNM]]/Table514285[[#This Row],[CAREA]]</f>
        <v>0.20744473338076022</v>
      </c>
      <c r="Z153">
        <v>2.2246999999999999</v>
      </c>
      <c r="AA153">
        <f>(Table615286[[#This Row],[time]]-2)*2</f>
        <v>0.4493999999999998</v>
      </c>
      <c r="AB153">
        <v>88.831100000000006</v>
      </c>
      <c r="AC153">
        <v>14.416499999999999</v>
      </c>
      <c r="AD153">
        <f>Table615286[[#This Row],[CFNM]]/Table615286[[#This Row],[CAREA]]</f>
        <v>0.16229113452383229</v>
      </c>
      <c r="AE153">
        <v>2.2246999999999999</v>
      </c>
      <c r="AF153">
        <f>(Table716289[[#This Row],[time]]-2)*2</f>
        <v>0.4493999999999998</v>
      </c>
      <c r="AG153">
        <v>77.881699999999995</v>
      </c>
      <c r="AH153">
        <v>28.758299999999998</v>
      </c>
      <c r="AI153">
        <f>Table716289[[#This Row],[CFNM]]/Table716289[[#This Row],[CAREA]]</f>
        <v>0.3692561924046342</v>
      </c>
      <c r="AJ153">
        <v>2.2246999999999999</v>
      </c>
      <c r="AK153">
        <f>(Table81719289[[#This Row],[time]]-2)*2</f>
        <v>0.4493999999999998</v>
      </c>
      <c r="AL153">
        <v>83.088099999999997</v>
      </c>
      <c r="AM153">
        <v>14.179600000000001</v>
      </c>
      <c r="AN153">
        <f>Table81719289[[#This Row],[CFNM]]/Table81719289[[#This Row],[CAREA]]</f>
        <v>0.17065741062799608</v>
      </c>
    </row>
    <row r="154" spans="1:40" x14ac:dyDescent="0.25">
      <c r="A154">
        <v>2.2668900000000001</v>
      </c>
      <c r="B154">
        <f>(Table110281[[#This Row],[time]]-2)*2</f>
        <v>0.53378000000000014</v>
      </c>
      <c r="C154">
        <v>90.895799999999994</v>
      </c>
      <c r="D154">
        <v>17.692</v>
      </c>
      <c r="E154">
        <f>Table110281[[#This Row],[CFNM]]/Table110281[[#This Row],[CAREA]]</f>
        <v>0.19464045643473077</v>
      </c>
      <c r="F154">
        <v>2.2668900000000001</v>
      </c>
      <c r="G154">
        <f>(Table211282[[#This Row],[time]]-2)*2</f>
        <v>0.53378000000000014</v>
      </c>
      <c r="H154">
        <v>93.071399999999997</v>
      </c>
      <c r="I154">
        <v>4.8623700000000004E-3</v>
      </c>
      <c r="J154">
        <f>Table211282[[#This Row],[CFNM]]/Table211282[[#This Row],[CAREA]]</f>
        <v>5.2243438908193069E-5</v>
      </c>
      <c r="K154">
        <v>2.2668900000000001</v>
      </c>
      <c r="L154">
        <f>(Table312283[[#This Row],[time]]-2)*2</f>
        <v>0.53378000000000014</v>
      </c>
      <c r="M154">
        <v>87.899699999999996</v>
      </c>
      <c r="N154">
        <v>13.963800000000001</v>
      </c>
      <c r="O154">
        <f>Table312283[[#This Row],[CFNM]]/Table312283[[#This Row],[CAREA]]</f>
        <v>0.15886061044576946</v>
      </c>
      <c r="P154">
        <v>2.2668900000000001</v>
      </c>
      <c r="Q154">
        <f>(Table413284[[#This Row],[time]]-2)*2</f>
        <v>0.53378000000000014</v>
      </c>
      <c r="R154">
        <v>87.319599999999994</v>
      </c>
      <c r="S154">
        <v>0.27629799999999999</v>
      </c>
      <c r="T154">
        <f>Table413284[[#This Row],[CFNM]]/Table413284[[#This Row],[CAREA]]</f>
        <v>3.1642151361206418E-3</v>
      </c>
      <c r="U154">
        <v>2.2668900000000001</v>
      </c>
      <c r="V154">
        <f>(Table514285[[#This Row],[time]]-2)*2</f>
        <v>0.53378000000000014</v>
      </c>
      <c r="W154">
        <v>81.673699999999997</v>
      </c>
      <c r="X154">
        <v>19.420500000000001</v>
      </c>
      <c r="Y154">
        <f>Table514285[[#This Row],[CFNM]]/Table514285[[#This Row],[CAREA]]</f>
        <v>0.23778156248584306</v>
      </c>
      <c r="Z154">
        <v>2.2668900000000001</v>
      </c>
      <c r="AA154">
        <f>(Table615286[[#This Row],[time]]-2)*2</f>
        <v>0.53378000000000014</v>
      </c>
      <c r="AB154">
        <v>89.168700000000001</v>
      </c>
      <c r="AC154">
        <v>14.211499999999999</v>
      </c>
      <c r="AD154">
        <f>Table615286[[#This Row],[CFNM]]/Table615286[[#This Row],[CAREA]]</f>
        <v>0.15937767400444325</v>
      </c>
      <c r="AE154">
        <v>2.2668900000000001</v>
      </c>
      <c r="AF154">
        <f>(Table716289[[#This Row],[time]]-2)*2</f>
        <v>0.53378000000000014</v>
      </c>
      <c r="AG154">
        <v>77.717799999999997</v>
      </c>
      <c r="AH154">
        <v>31.319800000000001</v>
      </c>
      <c r="AI154">
        <f>Table716289[[#This Row],[CFNM]]/Table716289[[#This Row],[CAREA]]</f>
        <v>0.40299390873133312</v>
      </c>
      <c r="AJ154">
        <v>2.2668900000000001</v>
      </c>
      <c r="AK154">
        <f>(Table81719289[[#This Row],[time]]-2)*2</f>
        <v>0.53378000000000014</v>
      </c>
      <c r="AL154">
        <v>82.772000000000006</v>
      </c>
      <c r="AM154">
        <v>13.2568</v>
      </c>
      <c r="AN154">
        <f>Table81719289[[#This Row],[CFNM]]/Table81719289[[#This Row],[CAREA]]</f>
        <v>0.16016044072874885</v>
      </c>
    </row>
    <row r="155" spans="1:40" x14ac:dyDescent="0.25">
      <c r="A155">
        <v>2.3262700000000001</v>
      </c>
      <c r="B155">
        <f>(Table110281[[#This Row],[time]]-2)*2</f>
        <v>0.65254000000000012</v>
      </c>
      <c r="C155">
        <v>90.752300000000005</v>
      </c>
      <c r="D155">
        <v>20.0045</v>
      </c>
      <c r="E155">
        <f>Table110281[[#This Row],[CFNM]]/Table110281[[#This Row],[CAREA]]</f>
        <v>0.22042967506057698</v>
      </c>
      <c r="F155">
        <v>2.3262700000000001</v>
      </c>
      <c r="G155">
        <f>(Table211282[[#This Row],[time]]-2)*2</f>
        <v>0.65254000000000012</v>
      </c>
      <c r="H155">
        <v>92.206000000000003</v>
      </c>
      <c r="I155">
        <v>3.9650400000000004E-3</v>
      </c>
      <c r="J155">
        <f>Table211282[[#This Row],[CFNM]]/Table211282[[#This Row],[CAREA]]</f>
        <v>4.3001973841181703E-5</v>
      </c>
      <c r="K155">
        <v>2.3262700000000001</v>
      </c>
      <c r="L155">
        <f>(Table312283[[#This Row],[time]]-2)*2</f>
        <v>0.65254000000000012</v>
      </c>
      <c r="M155">
        <v>87.153999999999996</v>
      </c>
      <c r="N155">
        <v>17.420000000000002</v>
      </c>
      <c r="O155">
        <f>Table312283[[#This Row],[CFNM]]/Table312283[[#This Row],[CAREA]]</f>
        <v>0.19987608141909727</v>
      </c>
      <c r="P155">
        <v>2.3262700000000001</v>
      </c>
      <c r="Q155">
        <f>(Table413284[[#This Row],[time]]-2)*2</f>
        <v>0.65254000000000012</v>
      </c>
      <c r="R155">
        <v>87.345200000000006</v>
      </c>
      <c r="S155">
        <v>4.72954E-3</v>
      </c>
      <c r="T155">
        <f>Table413284[[#This Row],[CFNM]]/Table413284[[#This Row],[CAREA]]</f>
        <v>5.4147680696821346E-5</v>
      </c>
      <c r="U155">
        <v>2.3262700000000001</v>
      </c>
      <c r="V155">
        <f>(Table514285[[#This Row],[time]]-2)*2</f>
        <v>0.65254000000000012</v>
      </c>
      <c r="W155">
        <v>80.505799999999994</v>
      </c>
      <c r="X155">
        <v>22.799800000000001</v>
      </c>
      <c r="Y155">
        <f>Table514285[[#This Row],[CFNM]]/Table514285[[#This Row],[CAREA]]</f>
        <v>0.28320692422160892</v>
      </c>
      <c r="Z155">
        <v>2.3262700000000001</v>
      </c>
      <c r="AA155">
        <f>(Table615286[[#This Row],[time]]-2)*2</f>
        <v>0.65254000000000012</v>
      </c>
      <c r="AB155">
        <v>91.673900000000003</v>
      </c>
      <c r="AC155">
        <v>13.8126</v>
      </c>
      <c r="AD155">
        <f>Table615286[[#This Row],[CFNM]]/Table615286[[#This Row],[CAREA]]</f>
        <v>0.15067101977771208</v>
      </c>
      <c r="AE155">
        <v>2.3262700000000001</v>
      </c>
      <c r="AF155">
        <f>(Table716289[[#This Row],[time]]-2)*2</f>
        <v>0.65254000000000012</v>
      </c>
      <c r="AG155">
        <v>77.728499999999997</v>
      </c>
      <c r="AH155">
        <v>34.607199999999999</v>
      </c>
      <c r="AI155">
        <f>Table716289[[#This Row],[CFNM]]/Table716289[[#This Row],[CAREA]]</f>
        <v>0.44523180043356042</v>
      </c>
      <c r="AJ155">
        <v>2.3262700000000001</v>
      </c>
      <c r="AK155">
        <f>(Table81719289[[#This Row],[time]]-2)*2</f>
        <v>0.65254000000000012</v>
      </c>
      <c r="AL155">
        <v>82.125900000000001</v>
      </c>
      <c r="AM155">
        <v>12.353</v>
      </c>
      <c r="AN155">
        <f>Table81719289[[#This Row],[CFNM]]/Table81719289[[#This Row],[CAREA]]</f>
        <v>0.15041539879623844</v>
      </c>
    </row>
    <row r="156" spans="1:40" x14ac:dyDescent="0.25">
      <c r="A156">
        <v>2.3684599999999998</v>
      </c>
      <c r="B156">
        <f>(Table110281[[#This Row],[time]]-2)*2</f>
        <v>0.73691999999999958</v>
      </c>
      <c r="C156">
        <v>90.703400000000002</v>
      </c>
      <c r="D156">
        <v>21.850100000000001</v>
      </c>
      <c r="E156">
        <f>Table110281[[#This Row],[CFNM]]/Table110281[[#This Row],[CAREA]]</f>
        <v>0.24089615163268413</v>
      </c>
      <c r="F156">
        <v>2.3684599999999998</v>
      </c>
      <c r="G156">
        <f>(Table211282[[#This Row],[time]]-2)*2</f>
        <v>0.73691999999999958</v>
      </c>
      <c r="H156">
        <v>89.635099999999994</v>
      </c>
      <c r="I156">
        <v>3.4302E-3</v>
      </c>
      <c r="J156">
        <f>Table211282[[#This Row],[CFNM]]/Table211282[[#This Row],[CAREA]]</f>
        <v>3.8268490803267921E-5</v>
      </c>
      <c r="K156">
        <v>2.3684599999999998</v>
      </c>
      <c r="L156">
        <f>(Table312283[[#This Row],[time]]-2)*2</f>
        <v>0.73691999999999958</v>
      </c>
      <c r="M156">
        <v>86.364800000000002</v>
      </c>
      <c r="N156">
        <v>20.055700000000002</v>
      </c>
      <c r="O156">
        <f>Table312283[[#This Row],[CFNM]]/Table312283[[#This Row],[CAREA]]</f>
        <v>0.2322207658675757</v>
      </c>
      <c r="P156">
        <v>2.3684599999999998</v>
      </c>
      <c r="Q156">
        <f>(Table413284[[#This Row],[time]]-2)*2</f>
        <v>0.73691999999999958</v>
      </c>
      <c r="R156">
        <v>87.786699999999996</v>
      </c>
      <c r="S156">
        <v>4.1030700000000003E-3</v>
      </c>
      <c r="T156">
        <f>Table413284[[#This Row],[CFNM]]/Table413284[[#This Row],[CAREA]]</f>
        <v>4.673908462215803E-5</v>
      </c>
      <c r="U156">
        <v>2.3684599999999998</v>
      </c>
      <c r="V156">
        <f>(Table514285[[#This Row],[time]]-2)*2</f>
        <v>0.73691999999999958</v>
      </c>
      <c r="W156">
        <v>77.619399999999999</v>
      </c>
      <c r="X156">
        <v>25.1922</v>
      </c>
      <c r="Y156">
        <f>Table514285[[#This Row],[CFNM]]/Table514285[[#This Row],[CAREA]]</f>
        <v>0.32456061242421352</v>
      </c>
      <c r="Z156">
        <v>2.3684599999999998</v>
      </c>
      <c r="AA156">
        <f>(Table615286[[#This Row],[time]]-2)*2</f>
        <v>0.73691999999999958</v>
      </c>
      <c r="AB156">
        <v>91.477900000000005</v>
      </c>
      <c r="AC156">
        <v>13.158099999999999</v>
      </c>
      <c r="AD156">
        <f>Table615286[[#This Row],[CFNM]]/Table615286[[#This Row],[CAREA]]</f>
        <v>0.14383911305353531</v>
      </c>
      <c r="AE156">
        <v>2.3684599999999998</v>
      </c>
      <c r="AF156">
        <f>(Table716289[[#This Row],[time]]-2)*2</f>
        <v>0.73691999999999958</v>
      </c>
      <c r="AG156">
        <v>77.729200000000006</v>
      </c>
      <c r="AH156">
        <v>36.788699999999999</v>
      </c>
      <c r="AI156">
        <f>Table716289[[#This Row],[CFNM]]/Table716289[[#This Row],[CAREA]]</f>
        <v>0.47329317682415356</v>
      </c>
      <c r="AJ156">
        <v>2.3684599999999998</v>
      </c>
      <c r="AK156">
        <f>(Table81719289[[#This Row],[time]]-2)*2</f>
        <v>0.73691999999999958</v>
      </c>
      <c r="AL156">
        <v>81.674099999999996</v>
      </c>
      <c r="AM156">
        <v>11.842499999999999</v>
      </c>
      <c r="AN156">
        <f>Table81719289[[#This Row],[CFNM]]/Table81719289[[#This Row],[CAREA]]</f>
        <v>0.14499700639492813</v>
      </c>
    </row>
    <row r="157" spans="1:40" x14ac:dyDescent="0.25">
      <c r="A157">
        <v>2.4278300000000002</v>
      </c>
      <c r="B157">
        <f>(Table110281[[#This Row],[time]]-2)*2</f>
        <v>0.85566000000000031</v>
      </c>
      <c r="C157">
        <v>90.366</v>
      </c>
      <c r="D157">
        <v>24.935400000000001</v>
      </c>
      <c r="E157">
        <f>Table110281[[#This Row],[CFNM]]/Table110281[[#This Row],[CAREA]]</f>
        <v>0.27593785273222232</v>
      </c>
      <c r="F157">
        <v>2.4278300000000002</v>
      </c>
      <c r="G157">
        <f>(Table211282[[#This Row],[time]]-2)*2</f>
        <v>0.85566000000000031</v>
      </c>
      <c r="H157">
        <v>82.139099999999999</v>
      </c>
      <c r="I157">
        <v>2.6473500000000001E-3</v>
      </c>
      <c r="J157">
        <f>Table211282[[#This Row],[CFNM]]/Table211282[[#This Row],[CAREA]]</f>
        <v>3.2230082871616566E-5</v>
      </c>
      <c r="K157">
        <v>2.4278300000000002</v>
      </c>
      <c r="L157">
        <f>(Table312283[[#This Row],[time]]-2)*2</f>
        <v>0.85566000000000031</v>
      </c>
      <c r="M157">
        <v>85.3095</v>
      </c>
      <c r="N157">
        <v>24.542300000000001</v>
      </c>
      <c r="O157">
        <f>Table312283[[#This Row],[CFNM]]/Table312283[[#This Row],[CAREA]]</f>
        <v>0.28768542776595807</v>
      </c>
      <c r="P157">
        <v>2.4278300000000002</v>
      </c>
      <c r="Q157">
        <f>(Table413284[[#This Row],[time]]-2)*2</f>
        <v>0.85566000000000031</v>
      </c>
      <c r="R157">
        <v>86.748199999999997</v>
      </c>
      <c r="S157">
        <v>3.1275600000000001E-3</v>
      </c>
      <c r="T157">
        <f>Table413284[[#This Row],[CFNM]]/Table413284[[#This Row],[CAREA]]</f>
        <v>3.605331292176668E-5</v>
      </c>
      <c r="U157">
        <v>2.4278300000000002</v>
      </c>
      <c r="V157">
        <f>(Table514285[[#This Row],[time]]-2)*2</f>
        <v>0.85566000000000031</v>
      </c>
      <c r="W157">
        <v>75.247799999999998</v>
      </c>
      <c r="X157">
        <v>29.041399999999999</v>
      </c>
      <c r="Y157">
        <f>Table514285[[#This Row],[CFNM]]/Table514285[[#This Row],[CAREA]]</f>
        <v>0.38594350931190013</v>
      </c>
      <c r="Z157">
        <v>2.4278300000000002</v>
      </c>
      <c r="AA157">
        <f>(Table615286[[#This Row],[time]]-2)*2</f>
        <v>0.85566000000000031</v>
      </c>
      <c r="AB157">
        <v>92.360699999999994</v>
      </c>
      <c r="AC157">
        <v>11.8941</v>
      </c>
      <c r="AD157">
        <f>Table615286[[#This Row],[CFNM]]/Table615286[[#This Row],[CAREA]]</f>
        <v>0.12877879877480358</v>
      </c>
      <c r="AE157">
        <v>2.4278300000000002</v>
      </c>
      <c r="AF157">
        <f>(Table716289[[#This Row],[time]]-2)*2</f>
        <v>0.85566000000000031</v>
      </c>
      <c r="AG157">
        <v>77.6828</v>
      </c>
      <c r="AH157">
        <v>40.131399999999999</v>
      </c>
      <c r="AI157">
        <f>Table716289[[#This Row],[CFNM]]/Table716289[[#This Row],[CAREA]]</f>
        <v>0.51660599257493289</v>
      </c>
      <c r="AJ157">
        <v>2.4278300000000002</v>
      </c>
      <c r="AK157">
        <f>(Table81719289[[#This Row],[time]]-2)*2</f>
        <v>0.85566000000000031</v>
      </c>
      <c r="AL157">
        <v>81.054900000000004</v>
      </c>
      <c r="AM157">
        <v>10.9894</v>
      </c>
      <c r="AN157">
        <f>Table81719289[[#This Row],[CFNM]]/Table81719289[[#This Row],[CAREA]]</f>
        <v>0.13557971202234534</v>
      </c>
    </row>
    <row r="158" spans="1:40" x14ac:dyDescent="0.25">
      <c r="A158">
        <v>2.4542000000000002</v>
      </c>
      <c r="B158">
        <f>(Table110281[[#This Row],[time]]-2)*2</f>
        <v>0.90840000000000032</v>
      </c>
      <c r="C158">
        <v>90.034700000000001</v>
      </c>
      <c r="D158">
        <v>27.8977</v>
      </c>
      <c r="E158">
        <f>Table110281[[#This Row],[CFNM]]/Table110281[[#This Row],[CAREA]]</f>
        <v>0.30985497813620749</v>
      </c>
      <c r="F158">
        <v>2.4542000000000002</v>
      </c>
      <c r="G158">
        <f>(Table211282[[#This Row],[time]]-2)*2</f>
        <v>0.90840000000000032</v>
      </c>
      <c r="H158">
        <v>67.595699999999994</v>
      </c>
      <c r="I158">
        <v>1.98935E-3</v>
      </c>
      <c r="J158">
        <f>Table211282[[#This Row],[CFNM]]/Table211282[[#This Row],[CAREA]]</f>
        <v>2.9430126472541896E-5</v>
      </c>
      <c r="K158">
        <v>2.4542000000000002</v>
      </c>
      <c r="L158">
        <f>(Table312283[[#This Row],[time]]-2)*2</f>
        <v>0.90840000000000032</v>
      </c>
      <c r="M158">
        <v>84.457599999999999</v>
      </c>
      <c r="N158">
        <v>28.087599999999998</v>
      </c>
      <c r="O158">
        <f>Table312283[[#This Row],[CFNM]]/Table312283[[#This Row],[CAREA]]</f>
        <v>0.33256450574015833</v>
      </c>
      <c r="P158">
        <v>2.4542000000000002</v>
      </c>
      <c r="Q158">
        <f>(Table413284[[#This Row],[time]]-2)*2</f>
        <v>0.90840000000000032</v>
      </c>
      <c r="R158">
        <v>84.179599999999994</v>
      </c>
      <c r="S158">
        <v>2.5666E-3</v>
      </c>
      <c r="T158">
        <f>Table413284[[#This Row],[CFNM]]/Table413284[[#This Row],[CAREA]]</f>
        <v>3.0489572295425499E-5</v>
      </c>
      <c r="U158">
        <v>2.4542000000000002</v>
      </c>
      <c r="V158">
        <f>(Table514285[[#This Row],[time]]-2)*2</f>
        <v>0.90840000000000032</v>
      </c>
      <c r="W158">
        <v>73.879599999999996</v>
      </c>
      <c r="X158">
        <v>32.491100000000003</v>
      </c>
      <c r="Y158">
        <f>Table514285[[#This Row],[CFNM]]/Table514285[[#This Row],[CAREA]]</f>
        <v>0.43978446012160333</v>
      </c>
      <c r="Z158">
        <v>2.4542000000000002</v>
      </c>
      <c r="AA158">
        <f>(Table615286[[#This Row],[time]]-2)*2</f>
        <v>0.90840000000000032</v>
      </c>
      <c r="AB158">
        <v>91.807400000000001</v>
      </c>
      <c r="AC158">
        <v>10.2067</v>
      </c>
      <c r="AD158">
        <f>Table615286[[#This Row],[CFNM]]/Table615286[[#This Row],[CAREA]]</f>
        <v>0.11117513403059012</v>
      </c>
      <c r="AE158">
        <v>2.4542000000000002</v>
      </c>
      <c r="AF158">
        <f>(Table716289[[#This Row],[time]]-2)*2</f>
        <v>0.90840000000000032</v>
      </c>
      <c r="AG158">
        <v>77.644599999999997</v>
      </c>
      <c r="AH158">
        <v>43.216200000000001</v>
      </c>
      <c r="AI158">
        <f>Table716289[[#This Row],[CFNM]]/Table716289[[#This Row],[CAREA]]</f>
        <v>0.55658989807404513</v>
      </c>
      <c r="AJ158">
        <v>2.4542000000000002</v>
      </c>
      <c r="AK158">
        <f>(Table81719289[[#This Row],[time]]-2)*2</f>
        <v>0.90840000000000032</v>
      </c>
      <c r="AL158">
        <v>80.5989</v>
      </c>
      <c r="AM158">
        <v>10.3018</v>
      </c>
      <c r="AN158">
        <f>Table81719289[[#This Row],[CFNM]]/Table81719289[[#This Row],[CAREA]]</f>
        <v>0.12781564016382357</v>
      </c>
    </row>
    <row r="159" spans="1:40" x14ac:dyDescent="0.25">
      <c r="A159">
        <v>2.5061499999999999</v>
      </c>
      <c r="B159">
        <f>(Table110281[[#This Row],[time]]-2)*2</f>
        <v>1.0122999999999998</v>
      </c>
      <c r="C159">
        <v>89.532200000000003</v>
      </c>
      <c r="D159">
        <v>30.2148</v>
      </c>
      <c r="E159">
        <f>Table110281[[#This Row],[CFNM]]/Table110281[[#This Row],[CAREA]]</f>
        <v>0.33747411545790229</v>
      </c>
      <c r="F159">
        <v>2.5061499999999999</v>
      </c>
      <c r="G159">
        <f>(Table211282[[#This Row],[time]]-2)*2</f>
        <v>1.0122999999999998</v>
      </c>
      <c r="H159">
        <v>60.353200000000001</v>
      </c>
      <c r="I159">
        <v>1.62247E-3</v>
      </c>
      <c r="J159">
        <f>Table211282[[#This Row],[CFNM]]/Table211282[[#This Row],[CAREA]]</f>
        <v>2.6882915901725178E-5</v>
      </c>
      <c r="K159">
        <v>2.5061499999999999</v>
      </c>
      <c r="L159">
        <f>(Table312283[[#This Row],[time]]-2)*2</f>
        <v>1.0122999999999998</v>
      </c>
      <c r="M159">
        <v>83.796400000000006</v>
      </c>
      <c r="N159">
        <v>30.559799999999999</v>
      </c>
      <c r="O159">
        <f>Table312283[[#This Row],[CFNM]]/Table312283[[#This Row],[CAREA]]</f>
        <v>0.36469108458119914</v>
      </c>
      <c r="P159">
        <v>2.5061499999999999</v>
      </c>
      <c r="Q159">
        <f>(Table413284[[#This Row],[time]]-2)*2</f>
        <v>1.0122999999999998</v>
      </c>
      <c r="R159">
        <v>82.958200000000005</v>
      </c>
      <c r="S159">
        <v>2.2016000000000002E-3</v>
      </c>
      <c r="T159">
        <f>Table413284[[#This Row],[CFNM]]/Table413284[[#This Row],[CAREA]]</f>
        <v>2.6538666460940572E-5</v>
      </c>
      <c r="U159">
        <v>2.5061499999999999</v>
      </c>
      <c r="V159">
        <f>(Table514285[[#This Row],[time]]-2)*2</f>
        <v>1.0122999999999998</v>
      </c>
      <c r="W159">
        <v>72.072999999999993</v>
      </c>
      <c r="X159">
        <v>34.966999999999999</v>
      </c>
      <c r="Y159">
        <f>Table514285[[#This Row],[CFNM]]/Table514285[[#This Row],[CAREA]]</f>
        <v>0.48516087855368867</v>
      </c>
      <c r="Z159">
        <v>2.5061499999999999</v>
      </c>
      <c r="AA159">
        <f>(Table615286[[#This Row],[time]]-2)*2</f>
        <v>1.0122999999999998</v>
      </c>
      <c r="AB159">
        <v>92.227699999999999</v>
      </c>
      <c r="AC159">
        <v>9.0248799999999996</v>
      </c>
      <c r="AD159">
        <f>Table615286[[#This Row],[CFNM]]/Table615286[[#This Row],[CAREA]]</f>
        <v>9.7854332266770178E-2</v>
      </c>
      <c r="AE159">
        <v>2.5061499999999999</v>
      </c>
      <c r="AF159">
        <f>(Table716289[[#This Row],[time]]-2)*2</f>
        <v>1.0122999999999998</v>
      </c>
      <c r="AG159">
        <v>77.521900000000002</v>
      </c>
      <c r="AH159">
        <v>45.411700000000003</v>
      </c>
      <c r="AI159">
        <f>Table716289[[#This Row],[CFNM]]/Table716289[[#This Row],[CAREA]]</f>
        <v>0.58579188590578923</v>
      </c>
      <c r="AJ159">
        <v>2.5061499999999999</v>
      </c>
      <c r="AK159">
        <f>(Table81719289[[#This Row],[time]]-2)*2</f>
        <v>1.0122999999999998</v>
      </c>
      <c r="AL159">
        <v>80.240499999999997</v>
      </c>
      <c r="AM159">
        <v>9.8649699999999996</v>
      </c>
      <c r="AN159">
        <f>Table81719289[[#This Row],[CFNM]]/Table81719289[[#This Row],[CAREA]]</f>
        <v>0.12294252902212723</v>
      </c>
    </row>
    <row r="160" spans="1:40" x14ac:dyDescent="0.25">
      <c r="A160">
        <v>2.5507599999999999</v>
      </c>
      <c r="B160">
        <f>(Table110281[[#This Row],[time]]-2)*2</f>
        <v>1.1015199999999998</v>
      </c>
      <c r="C160">
        <v>88.753</v>
      </c>
      <c r="D160">
        <v>33.948399999999999</v>
      </c>
      <c r="E160">
        <f>Table110281[[#This Row],[CFNM]]/Table110281[[#This Row],[CAREA]]</f>
        <v>0.38250425337735061</v>
      </c>
      <c r="F160">
        <v>2.5507599999999999</v>
      </c>
      <c r="G160">
        <f>(Table211282[[#This Row],[time]]-2)*2</f>
        <v>1.1015199999999998</v>
      </c>
      <c r="H160">
        <v>52.4129</v>
      </c>
      <c r="I160">
        <v>1.15854E-3</v>
      </c>
      <c r="J160">
        <f>Table211282[[#This Row],[CFNM]]/Table211282[[#This Row],[CAREA]]</f>
        <v>2.2104100326446353E-5</v>
      </c>
      <c r="K160">
        <v>2.5507599999999999</v>
      </c>
      <c r="L160">
        <f>(Table312283[[#This Row],[time]]-2)*2</f>
        <v>1.1015199999999998</v>
      </c>
      <c r="M160">
        <v>83.0351</v>
      </c>
      <c r="N160">
        <v>34.4255</v>
      </c>
      <c r="O160">
        <f>Table312283[[#This Row],[CFNM]]/Table312283[[#This Row],[CAREA]]</f>
        <v>0.41458973373910551</v>
      </c>
      <c r="P160">
        <v>2.5507599999999999</v>
      </c>
      <c r="Q160">
        <f>(Table413284[[#This Row],[time]]-2)*2</f>
        <v>1.1015199999999998</v>
      </c>
      <c r="R160">
        <v>75.382099999999994</v>
      </c>
      <c r="S160">
        <v>1.6894099999999999E-3</v>
      </c>
      <c r="T160">
        <f>Table413284[[#This Row],[CFNM]]/Table413284[[#This Row],[CAREA]]</f>
        <v>2.2411288621569311E-5</v>
      </c>
      <c r="U160">
        <v>2.5507599999999999</v>
      </c>
      <c r="V160">
        <f>(Table514285[[#This Row],[time]]-2)*2</f>
        <v>1.1015199999999998</v>
      </c>
      <c r="W160">
        <v>69.834100000000007</v>
      </c>
      <c r="X160">
        <v>38.871699999999997</v>
      </c>
      <c r="Y160">
        <f>Table514285[[#This Row],[CFNM]]/Table514285[[#This Row],[CAREA]]</f>
        <v>0.55662921123061648</v>
      </c>
      <c r="Z160">
        <v>2.5507599999999999</v>
      </c>
      <c r="AA160">
        <f>(Table615286[[#This Row],[time]]-2)*2</f>
        <v>1.1015199999999998</v>
      </c>
      <c r="AB160">
        <v>92.038499999999999</v>
      </c>
      <c r="AC160">
        <v>7.3622899999999998</v>
      </c>
      <c r="AD160">
        <f>Table615286[[#This Row],[CFNM]]/Table615286[[#This Row],[CAREA]]</f>
        <v>7.9991416635429732E-2</v>
      </c>
      <c r="AE160">
        <v>2.5507599999999999</v>
      </c>
      <c r="AF160">
        <f>(Table716289[[#This Row],[time]]-2)*2</f>
        <v>1.1015199999999998</v>
      </c>
      <c r="AG160">
        <v>77.234499999999997</v>
      </c>
      <c r="AH160">
        <v>48.854300000000002</v>
      </c>
      <c r="AI160">
        <f>Table716289[[#This Row],[CFNM]]/Table716289[[#This Row],[CAREA]]</f>
        <v>0.63254504139989254</v>
      </c>
      <c r="AJ160">
        <v>2.5507599999999999</v>
      </c>
      <c r="AK160">
        <f>(Table81719289[[#This Row],[time]]-2)*2</f>
        <v>1.1015199999999998</v>
      </c>
      <c r="AL160">
        <v>79.611800000000002</v>
      </c>
      <c r="AM160">
        <v>9.0215099999999993</v>
      </c>
      <c r="AN160">
        <f>Table81719289[[#This Row],[CFNM]]/Table81719289[[#This Row],[CAREA]]</f>
        <v>0.11331875425502248</v>
      </c>
    </row>
    <row r="161" spans="1:40" x14ac:dyDescent="0.25">
      <c r="A161">
        <v>2.60453</v>
      </c>
      <c r="B161">
        <f>(Table110281[[#This Row],[time]]-2)*2</f>
        <v>1.20906</v>
      </c>
      <c r="C161">
        <v>87.623800000000003</v>
      </c>
      <c r="D161">
        <v>37.9559</v>
      </c>
      <c r="E161">
        <f>Table110281[[#This Row],[CFNM]]/Table110281[[#This Row],[CAREA]]</f>
        <v>0.43316884225518637</v>
      </c>
      <c r="F161">
        <v>2.60453</v>
      </c>
      <c r="G161">
        <f>(Table211282[[#This Row],[time]]-2)*2</f>
        <v>1.20906</v>
      </c>
      <c r="H161">
        <v>45.245699999999999</v>
      </c>
      <c r="I161">
        <v>8.2231100000000005E-4</v>
      </c>
      <c r="J161">
        <f>Table211282[[#This Row],[CFNM]]/Table211282[[#This Row],[CAREA]]</f>
        <v>1.8174345849439838E-5</v>
      </c>
      <c r="K161">
        <v>2.60453</v>
      </c>
      <c r="L161">
        <f>(Table312283[[#This Row],[time]]-2)*2</f>
        <v>1.20906</v>
      </c>
      <c r="M161">
        <v>82.3416</v>
      </c>
      <c r="N161">
        <v>37.962699999999998</v>
      </c>
      <c r="O161">
        <f>Table312283[[#This Row],[CFNM]]/Table312283[[#This Row],[CAREA]]</f>
        <v>0.46103913453224127</v>
      </c>
      <c r="P161">
        <v>2.60453</v>
      </c>
      <c r="Q161">
        <f>(Table413284[[#This Row],[time]]-2)*2</f>
        <v>1.20906</v>
      </c>
      <c r="R161">
        <v>69.039299999999997</v>
      </c>
      <c r="S161">
        <v>1.34128E-3</v>
      </c>
      <c r="T161">
        <f>Table413284[[#This Row],[CFNM]]/Table413284[[#This Row],[CAREA]]</f>
        <v>1.9427775194707944E-5</v>
      </c>
      <c r="U161">
        <v>2.60453</v>
      </c>
      <c r="V161">
        <f>(Table514285[[#This Row],[time]]-2)*2</f>
        <v>1.20906</v>
      </c>
      <c r="W161">
        <v>68.949600000000004</v>
      </c>
      <c r="X161">
        <v>42.544400000000003</v>
      </c>
      <c r="Y161">
        <f>Table514285[[#This Row],[CFNM]]/Table514285[[#This Row],[CAREA]]</f>
        <v>0.61703621195771985</v>
      </c>
      <c r="Z161">
        <v>2.60453</v>
      </c>
      <c r="AA161">
        <f>(Table615286[[#This Row],[time]]-2)*2</f>
        <v>1.20906</v>
      </c>
      <c r="AB161">
        <v>91.244399999999999</v>
      </c>
      <c r="AC161">
        <v>6.1700200000000001</v>
      </c>
      <c r="AD161">
        <f>Table615286[[#This Row],[CFNM]]/Table615286[[#This Row],[CAREA]]</f>
        <v>6.7620807413934447E-2</v>
      </c>
      <c r="AE161">
        <v>2.60453</v>
      </c>
      <c r="AF161">
        <f>(Table716289[[#This Row],[time]]-2)*2</f>
        <v>1.20906</v>
      </c>
      <c r="AG161">
        <v>77.263000000000005</v>
      </c>
      <c r="AH161">
        <v>52.089799999999997</v>
      </c>
      <c r="AI161">
        <f>Table716289[[#This Row],[CFNM]]/Table716289[[#This Row],[CAREA]]</f>
        <v>0.67418816250986879</v>
      </c>
      <c r="AJ161">
        <v>2.60453</v>
      </c>
      <c r="AK161">
        <f>(Table81719289[[#This Row],[time]]-2)*2</f>
        <v>1.20906</v>
      </c>
      <c r="AL161">
        <v>78.931899999999999</v>
      </c>
      <c r="AM161">
        <v>8.1907099999999993</v>
      </c>
      <c r="AN161">
        <f>Table81719289[[#This Row],[CFNM]]/Table81719289[[#This Row],[CAREA]]</f>
        <v>0.10376932520311813</v>
      </c>
    </row>
    <row r="162" spans="1:40" x14ac:dyDescent="0.25">
      <c r="A162">
        <v>2.65273</v>
      </c>
      <c r="B162">
        <f>(Table110281[[#This Row],[time]]-2)*2</f>
        <v>1.3054600000000001</v>
      </c>
      <c r="C162">
        <v>86.843199999999996</v>
      </c>
      <c r="D162">
        <v>40.491</v>
      </c>
      <c r="E162">
        <f>Table110281[[#This Row],[CFNM]]/Table110281[[#This Row],[CAREA]]</f>
        <v>0.46625412237227559</v>
      </c>
      <c r="F162">
        <v>2.65273</v>
      </c>
      <c r="G162">
        <f>(Table211282[[#This Row],[time]]-2)*2</f>
        <v>1.3054600000000001</v>
      </c>
      <c r="H162">
        <v>39.649700000000003</v>
      </c>
      <c r="I162">
        <v>6.6548300000000003E-4</v>
      </c>
      <c r="J162">
        <f>Table211282[[#This Row],[CFNM]]/Table211282[[#This Row],[CAREA]]</f>
        <v>1.6784061417866968E-5</v>
      </c>
      <c r="K162">
        <v>2.65273</v>
      </c>
      <c r="L162">
        <f>(Table312283[[#This Row],[time]]-2)*2</f>
        <v>1.3054600000000001</v>
      </c>
      <c r="M162">
        <v>81.973699999999994</v>
      </c>
      <c r="N162">
        <v>40.012999999999998</v>
      </c>
      <c r="O162">
        <f>Table312283[[#This Row],[CFNM]]/Table312283[[#This Row],[CAREA]]</f>
        <v>0.48811997018555953</v>
      </c>
      <c r="P162">
        <v>2.65273</v>
      </c>
      <c r="Q162">
        <f>(Table413284[[#This Row],[time]]-2)*2</f>
        <v>1.3054600000000001</v>
      </c>
      <c r="R162">
        <v>62.249000000000002</v>
      </c>
      <c r="S162">
        <v>1.1696600000000001E-3</v>
      </c>
      <c r="T162">
        <f>Table413284[[#This Row],[CFNM]]/Table413284[[#This Row],[CAREA]]</f>
        <v>1.8790020723224472E-5</v>
      </c>
      <c r="U162">
        <v>2.65273</v>
      </c>
      <c r="V162">
        <f>(Table514285[[#This Row],[time]]-2)*2</f>
        <v>1.3054600000000001</v>
      </c>
      <c r="W162">
        <v>68.375299999999996</v>
      </c>
      <c r="X162">
        <v>44.698900000000002</v>
      </c>
      <c r="Y162">
        <f>Table514285[[#This Row],[CFNM]]/Table514285[[#This Row],[CAREA]]</f>
        <v>0.65372875877692682</v>
      </c>
      <c r="Z162">
        <v>2.65273</v>
      </c>
      <c r="AA162">
        <f>(Table615286[[#This Row],[time]]-2)*2</f>
        <v>1.3054600000000001</v>
      </c>
      <c r="AB162">
        <v>91.57</v>
      </c>
      <c r="AC162">
        <v>5.6255199999999999</v>
      </c>
      <c r="AD162">
        <f>Table615286[[#This Row],[CFNM]]/Table615286[[#This Row],[CAREA]]</f>
        <v>6.1434094135633943E-2</v>
      </c>
      <c r="AE162">
        <v>2.65273</v>
      </c>
      <c r="AF162">
        <f>(Table716289[[#This Row],[time]]-2)*2</f>
        <v>1.3054600000000001</v>
      </c>
      <c r="AG162">
        <v>77.2239</v>
      </c>
      <c r="AH162">
        <v>54.066899999999997</v>
      </c>
      <c r="AI162">
        <f>Table716289[[#This Row],[CFNM]]/Table716289[[#This Row],[CAREA]]</f>
        <v>0.70013169498043992</v>
      </c>
      <c r="AJ162">
        <v>2.65273</v>
      </c>
      <c r="AK162">
        <f>(Table81719289[[#This Row],[time]]-2)*2</f>
        <v>1.3054600000000001</v>
      </c>
      <c r="AL162">
        <v>78.363799999999998</v>
      </c>
      <c r="AM162">
        <v>7.6908000000000003</v>
      </c>
      <c r="AN162">
        <f>Table81719289[[#This Row],[CFNM]]/Table81719289[[#This Row],[CAREA]]</f>
        <v>9.8142254459329448E-2</v>
      </c>
    </row>
    <row r="163" spans="1:40" x14ac:dyDescent="0.25">
      <c r="A163">
        <v>2.7006199999999998</v>
      </c>
      <c r="B163">
        <f>(Table110281[[#This Row],[time]]-2)*2</f>
        <v>1.4012399999999996</v>
      </c>
      <c r="C163">
        <v>84.787199999999999</v>
      </c>
      <c r="D163">
        <v>44.319499999999998</v>
      </c>
      <c r="E163">
        <f>Table110281[[#This Row],[CFNM]]/Table110281[[#This Row],[CAREA]]</f>
        <v>0.52271451351147347</v>
      </c>
      <c r="F163">
        <v>2.7006199999999998</v>
      </c>
      <c r="G163">
        <f>(Table211282[[#This Row],[time]]-2)*2</f>
        <v>1.4012399999999996</v>
      </c>
      <c r="H163">
        <v>32.933100000000003</v>
      </c>
      <c r="I163">
        <v>4.7418800000000001E-4</v>
      </c>
      <c r="J163">
        <f>Table211282[[#This Row],[CFNM]]/Table211282[[#This Row],[CAREA]]</f>
        <v>1.4398523066458971E-5</v>
      </c>
      <c r="K163">
        <v>2.7006199999999998</v>
      </c>
      <c r="L163">
        <f>(Table312283[[#This Row],[time]]-2)*2</f>
        <v>1.4012399999999996</v>
      </c>
      <c r="M163">
        <v>81.322400000000002</v>
      </c>
      <c r="N163">
        <v>42.966099999999997</v>
      </c>
      <c r="O163">
        <f>Table312283[[#This Row],[CFNM]]/Table312283[[#This Row],[CAREA]]</f>
        <v>0.52834274443449769</v>
      </c>
      <c r="P163">
        <v>2.7006199999999998</v>
      </c>
      <c r="Q163">
        <f>(Table413284[[#This Row],[time]]-2)*2</f>
        <v>1.4012399999999996</v>
      </c>
      <c r="R163">
        <v>51.144399999999997</v>
      </c>
      <c r="S163">
        <v>9.5477699999999997E-4</v>
      </c>
      <c r="T163">
        <f>Table413284[[#This Row],[CFNM]]/Table413284[[#This Row],[CAREA]]</f>
        <v>1.8668260845762194E-5</v>
      </c>
      <c r="U163">
        <v>2.7006199999999998</v>
      </c>
      <c r="V163">
        <f>(Table514285[[#This Row],[time]]-2)*2</f>
        <v>1.4012399999999996</v>
      </c>
      <c r="W163">
        <v>67.28</v>
      </c>
      <c r="X163">
        <v>47.952500000000001</v>
      </c>
      <c r="Y163">
        <f>Table514285[[#This Row],[CFNM]]/Table514285[[#This Row],[CAREA]]</f>
        <v>0.71273038049940551</v>
      </c>
      <c r="Z163">
        <v>2.7006199999999998</v>
      </c>
      <c r="AA163">
        <f>(Table615286[[#This Row],[time]]-2)*2</f>
        <v>1.4012399999999996</v>
      </c>
      <c r="AB163">
        <v>91.043499999999995</v>
      </c>
      <c r="AC163">
        <v>4.87195</v>
      </c>
      <c r="AD163">
        <f>Table615286[[#This Row],[CFNM]]/Table615286[[#This Row],[CAREA]]</f>
        <v>5.3512332017112703E-2</v>
      </c>
      <c r="AE163">
        <v>2.7006199999999998</v>
      </c>
      <c r="AF163">
        <f>(Table716289[[#This Row],[time]]-2)*2</f>
        <v>1.4012399999999996</v>
      </c>
      <c r="AG163">
        <v>77.069000000000003</v>
      </c>
      <c r="AH163">
        <v>57.091500000000003</v>
      </c>
      <c r="AI163">
        <f>Table716289[[#This Row],[CFNM]]/Table716289[[#This Row],[CAREA]]</f>
        <v>0.74078423231130552</v>
      </c>
      <c r="AJ163">
        <v>2.7006199999999998</v>
      </c>
      <c r="AK163">
        <f>(Table81719289[[#This Row],[time]]-2)*2</f>
        <v>1.4012399999999996</v>
      </c>
      <c r="AL163">
        <v>77.658799999999999</v>
      </c>
      <c r="AM163">
        <v>6.9354500000000003</v>
      </c>
      <c r="AN163">
        <f>Table81719289[[#This Row],[CFNM]]/Table81719289[[#This Row],[CAREA]]</f>
        <v>8.9306685140640857E-2</v>
      </c>
    </row>
    <row r="164" spans="1:40" x14ac:dyDescent="0.25">
      <c r="A164">
        <v>2.75176</v>
      </c>
      <c r="B164">
        <f>(Table110281[[#This Row],[time]]-2)*2</f>
        <v>1.50352</v>
      </c>
      <c r="C164">
        <v>83.8703</v>
      </c>
      <c r="D164">
        <v>46.950899999999997</v>
      </c>
      <c r="E164">
        <f>Table110281[[#This Row],[CFNM]]/Table110281[[#This Row],[CAREA]]</f>
        <v>0.55980364920597636</v>
      </c>
      <c r="F164">
        <v>2.75176</v>
      </c>
      <c r="G164">
        <f>(Table211282[[#This Row],[time]]-2)*2</f>
        <v>1.50352</v>
      </c>
      <c r="H164">
        <v>28.179600000000001</v>
      </c>
      <c r="I164">
        <v>3.76194E-4</v>
      </c>
      <c r="J164">
        <f>Table211282[[#This Row],[CFNM]]/Table211282[[#This Row],[CAREA]]</f>
        <v>1.3349870118809351E-5</v>
      </c>
      <c r="K164">
        <v>2.75176</v>
      </c>
      <c r="L164">
        <f>(Table312283[[#This Row],[time]]-2)*2</f>
        <v>1.50352</v>
      </c>
      <c r="M164">
        <v>80.775400000000005</v>
      </c>
      <c r="N164">
        <v>44.9056</v>
      </c>
      <c r="O164">
        <f>Table312283[[#This Row],[CFNM]]/Table312283[[#This Row],[CAREA]]</f>
        <v>0.55593163265053469</v>
      </c>
      <c r="P164">
        <v>2.75176</v>
      </c>
      <c r="Q164">
        <f>(Table413284[[#This Row],[time]]-2)*2</f>
        <v>1.50352</v>
      </c>
      <c r="R164">
        <v>44.187600000000003</v>
      </c>
      <c r="S164">
        <v>8.3514500000000003E-4</v>
      </c>
      <c r="T164">
        <f>Table413284[[#This Row],[CFNM]]/Table413284[[#This Row],[CAREA]]</f>
        <v>1.8899985516298688E-5</v>
      </c>
      <c r="U164">
        <v>2.75176</v>
      </c>
      <c r="V164">
        <f>(Table514285[[#This Row],[time]]-2)*2</f>
        <v>1.50352</v>
      </c>
      <c r="W164">
        <v>66.617999999999995</v>
      </c>
      <c r="X164">
        <v>50.141599999999997</v>
      </c>
      <c r="Y164">
        <f>Table514285[[#This Row],[CFNM]]/Table514285[[#This Row],[CAREA]]</f>
        <v>0.75267345161968235</v>
      </c>
      <c r="Z164">
        <v>2.75176</v>
      </c>
      <c r="AA164">
        <f>(Table615286[[#This Row],[time]]-2)*2</f>
        <v>1.50352</v>
      </c>
      <c r="AB164">
        <v>90.631200000000007</v>
      </c>
      <c r="AC164">
        <v>4.3630100000000001</v>
      </c>
      <c r="AD164">
        <f>Table615286[[#This Row],[CFNM]]/Table615286[[#This Row],[CAREA]]</f>
        <v>4.8140265162548879E-2</v>
      </c>
      <c r="AE164">
        <v>2.75176</v>
      </c>
      <c r="AF164">
        <f>(Table716289[[#This Row],[time]]-2)*2</f>
        <v>1.50352</v>
      </c>
      <c r="AG164">
        <v>76.944500000000005</v>
      </c>
      <c r="AH164">
        <v>59.178899999999999</v>
      </c>
      <c r="AI164">
        <f>Table716289[[#This Row],[CFNM]]/Table716289[[#This Row],[CAREA]]</f>
        <v>0.76911150244656856</v>
      </c>
      <c r="AJ164">
        <v>2.75176</v>
      </c>
      <c r="AK164">
        <f>(Table81719289[[#This Row],[time]]-2)*2</f>
        <v>1.50352</v>
      </c>
      <c r="AL164">
        <v>77.177000000000007</v>
      </c>
      <c r="AM164">
        <v>6.4473799999999999</v>
      </c>
      <c r="AN164">
        <f>Table81719289[[#This Row],[CFNM]]/Table81719289[[#This Row],[CAREA]]</f>
        <v>8.3540173886002295E-2</v>
      </c>
    </row>
    <row r="165" spans="1:40" x14ac:dyDescent="0.25">
      <c r="A165">
        <v>2.80444</v>
      </c>
      <c r="B165">
        <f>(Table110281[[#This Row],[time]]-2)*2</f>
        <v>1.6088800000000001</v>
      </c>
      <c r="C165">
        <v>82.764300000000006</v>
      </c>
      <c r="D165">
        <v>49.877800000000001</v>
      </c>
      <c r="E165">
        <f>Table110281[[#This Row],[CFNM]]/Table110281[[#This Row],[CAREA]]</f>
        <v>0.60264872656447277</v>
      </c>
      <c r="F165">
        <v>2.80444</v>
      </c>
      <c r="G165">
        <f>(Table211282[[#This Row],[time]]-2)*2</f>
        <v>1.6088800000000001</v>
      </c>
      <c r="H165">
        <v>21.818200000000001</v>
      </c>
      <c r="I165">
        <v>2.9136500000000003E-4</v>
      </c>
      <c r="J165">
        <f>Table211282[[#This Row],[CFNM]]/Table211282[[#This Row],[CAREA]]</f>
        <v>1.3354218038151635E-5</v>
      </c>
      <c r="K165">
        <v>2.80444</v>
      </c>
      <c r="L165">
        <f>(Table312283[[#This Row],[time]]-2)*2</f>
        <v>1.6088800000000001</v>
      </c>
      <c r="M165">
        <v>80.315799999999996</v>
      </c>
      <c r="N165">
        <v>47.010199999999998</v>
      </c>
      <c r="O165">
        <f>Table312283[[#This Row],[CFNM]]/Table312283[[#This Row],[CAREA]]</f>
        <v>0.58531696129528687</v>
      </c>
      <c r="P165">
        <v>2.80444</v>
      </c>
      <c r="Q165">
        <f>(Table413284[[#This Row],[time]]-2)*2</f>
        <v>1.6088800000000001</v>
      </c>
      <c r="R165">
        <v>40.418399999999998</v>
      </c>
      <c r="S165">
        <v>7.2503499999999996E-4</v>
      </c>
      <c r="T165">
        <f>Table413284[[#This Row],[CFNM]]/Table413284[[#This Row],[CAREA]]</f>
        <v>1.7938240999148901E-5</v>
      </c>
      <c r="U165">
        <v>2.80444</v>
      </c>
      <c r="V165">
        <f>(Table514285[[#This Row],[time]]-2)*2</f>
        <v>1.6088800000000001</v>
      </c>
      <c r="W165">
        <v>65.823400000000007</v>
      </c>
      <c r="X165">
        <v>52.619900000000001</v>
      </c>
      <c r="Y165">
        <f>Table514285[[#This Row],[CFNM]]/Table514285[[#This Row],[CAREA]]</f>
        <v>0.79941024012737105</v>
      </c>
      <c r="Z165">
        <v>2.80444</v>
      </c>
      <c r="AA165">
        <f>(Table615286[[#This Row],[time]]-2)*2</f>
        <v>1.6088800000000001</v>
      </c>
      <c r="AB165">
        <v>90.159099999999995</v>
      </c>
      <c r="AC165">
        <v>3.81473</v>
      </c>
      <c r="AD165">
        <f>Table615286[[#This Row],[CFNM]]/Table615286[[#This Row],[CAREA]]</f>
        <v>4.2311092280202446E-2</v>
      </c>
      <c r="AE165">
        <v>2.80444</v>
      </c>
      <c r="AF165">
        <f>(Table716289[[#This Row],[time]]-2)*2</f>
        <v>1.6088800000000001</v>
      </c>
      <c r="AG165">
        <v>76.217200000000005</v>
      </c>
      <c r="AH165">
        <v>61.6004</v>
      </c>
      <c r="AI165">
        <f>Table716289[[#This Row],[CFNM]]/Table716289[[#This Row],[CAREA]]</f>
        <v>0.8082217662154999</v>
      </c>
      <c r="AJ165">
        <v>2.80444</v>
      </c>
      <c r="AK165">
        <f>(Table81719289[[#This Row],[time]]-2)*2</f>
        <v>1.6088800000000001</v>
      </c>
      <c r="AL165">
        <v>76.695700000000002</v>
      </c>
      <c r="AM165">
        <v>5.9054500000000001</v>
      </c>
      <c r="AN165">
        <f>Table81719289[[#This Row],[CFNM]]/Table81719289[[#This Row],[CAREA]]</f>
        <v>7.6998449717520012E-2</v>
      </c>
    </row>
    <row r="166" spans="1:40" x14ac:dyDescent="0.25">
      <c r="A166">
        <v>2.8583699999999999</v>
      </c>
      <c r="B166">
        <f>(Table110281[[#This Row],[time]]-2)*2</f>
        <v>1.7167399999999997</v>
      </c>
      <c r="C166">
        <v>81.484200000000001</v>
      </c>
      <c r="D166">
        <v>53.107700000000001</v>
      </c>
      <c r="E166">
        <f>Table110281[[#This Row],[CFNM]]/Table110281[[#This Row],[CAREA]]</f>
        <v>0.65175457327923692</v>
      </c>
      <c r="F166">
        <v>2.8583699999999999</v>
      </c>
      <c r="G166">
        <f>(Table211282[[#This Row],[time]]-2)*2</f>
        <v>1.7167399999999997</v>
      </c>
      <c r="H166">
        <v>18.635400000000001</v>
      </c>
      <c r="I166">
        <v>2.21838E-4</v>
      </c>
      <c r="J166">
        <f>Table211282[[#This Row],[CFNM]]/Table211282[[#This Row],[CAREA]]</f>
        <v>1.1904117969026691E-5</v>
      </c>
      <c r="K166">
        <v>2.8583699999999999</v>
      </c>
      <c r="L166">
        <f>(Table312283[[#This Row],[time]]-2)*2</f>
        <v>1.7167399999999997</v>
      </c>
      <c r="M166">
        <v>79.808499999999995</v>
      </c>
      <c r="N166">
        <v>49.169800000000002</v>
      </c>
      <c r="O166">
        <f>Table312283[[#This Row],[CFNM]]/Table312283[[#This Row],[CAREA]]</f>
        <v>0.61609728287087218</v>
      </c>
      <c r="P166">
        <v>2.8583699999999999</v>
      </c>
      <c r="Q166">
        <f>(Table413284[[#This Row],[time]]-2)*2</f>
        <v>1.7167399999999997</v>
      </c>
      <c r="R166">
        <v>33.9313</v>
      </c>
      <c r="S166">
        <v>6.2250000000000001E-4</v>
      </c>
      <c r="T166">
        <f>Table413284[[#This Row],[CFNM]]/Table413284[[#This Row],[CAREA]]</f>
        <v>1.8345893025024092E-5</v>
      </c>
      <c r="U166">
        <v>2.8583699999999999</v>
      </c>
      <c r="V166">
        <f>(Table514285[[#This Row],[time]]-2)*2</f>
        <v>1.7167399999999997</v>
      </c>
      <c r="W166">
        <v>63.866999999999997</v>
      </c>
      <c r="X166">
        <v>55.328699999999998</v>
      </c>
      <c r="Y166">
        <f>Table514285[[#This Row],[CFNM]]/Table514285[[#This Row],[CAREA]]</f>
        <v>0.86631124054676123</v>
      </c>
      <c r="Z166">
        <v>2.8583699999999999</v>
      </c>
      <c r="AA166">
        <f>(Table615286[[#This Row],[time]]-2)*2</f>
        <v>1.7167399999999997</v>
      </c>
      <c r="AB166">
        <v>89.778400000000005</v>
      </c>
      <c r="AC166">
        <v>3.2785099999999998</v>
      </c>
      <c r="AD166">
        <f>Table615286[[#This Row],[CFNM]]/Table615286[[#This Row],[CAREA]]</f>
        <v>3.6517803837003107E-2</v>
      </c>
      <c r="AE166">
        <v>2.8583699999999999</v>
      </c>
      <c r="AF166">
        <f>(Table716289[[#This Row],[time]]-2)*2</f>
        <v>1.7167399999999997</v>
      </c>
      <c r="AG166">
        <v>75.866200000000006</v>
      </c>
      <c r="AH166">
        <v>64.306399999999996</v>
      </c>
      <c r="AI166">
        <f>Table716289[[#This Row],[CFNM]]/Table716289[[#This Row],[CAREA]]</f>
        <v>0.84762911546907571</v>
      </c>
      <c r="AJ166">
        <v>2.8583699999999999</v>
      </c>
      <c r="AK166">
        <f>(Table81719289[[#This Row],[time]]-2)*2</f>
        <v>1.7167399999999997</v>
      </c>
      <c r="AL166">
        <v>75.895600000000002</v>
      </c>
      <c r="AM166">
        <v>5.2845199999999997</v>
      </c>
      <c r="AN166">
        <f>Table81719289[[#This Row],[CFNM]]/Table81719289[[#This Row],[CAREA]]</f>
        <v>6.9628805885980208E-2</v>
      </c>
    </row>
    <row r="167" spans="1:40" x14ac:dyDescent="0.25">
      <c r="A167">
        <v>2.9134199999999999</v>
      </c>
      <c r="B167">
        <f>(Table110281[[#This Row],[time]]-2)*2</f>
        <v>1.8268399999999998</v>
      </c>
      <c r="C167">
        <v>80.8386</v>
      </c>
      <c r="D167">
        <v>54.715200000000003</v>
      </c>
      <c r="E167">
        <f>Table110281[[#This Row],[CFNM]]/Table110281[[#This Row],[CAREA]]</f>
        <v>0.67684497257498277</v>
      </c>
      <c r="F167">
        <v>2.9134199999999999</v>
      </c>
      <c r="G167">
        <f>(Table211282[[#This Row],[time]]-2)*2</f>
        <v>1.8268399999999998</v>
      </c>
      <c r="H167">
        <v>16.532</v>
      </c>
      <c r="I167">
        <v>1.9066100000000001E-4</v>
      </c>
      <c r="J167">
        <f>Table211282[[#This Row],[CFNM]]/Table211282[[#This Row],[CAREA]]</f>
        <v>1.1532845390757319E-5</v>
      </c>
      <c r="K167">
        <v>2.9134199999999999</v>
      </c>
      <c r="L167">
        <f>(Table312283[[#This Row],[time]]-2)*2</f>
        <v>1.8268399999999998</v>
      </c>
      <c r="M167">
        <v>79.614099999999993</v>
      </c>
      <c r="N167">
        <v>50.228299999999997</v>
      </c>
      <c r="O167">
        <f>Table312283[[#This Row],[CFNM]]/Table312283[[#This Row],[CAREA]]</f>
        <v>0.63089703959474519</v>
      </c>
      <c r="P167">
        <v>2.9134199999999999</v>
      </c>
      <c r="Q167">
        <f>(Table413284[[#This Row],[time]]-2)*2</f>
        <v>1.8268399999999998</v>
      </c>
      <c r="R167">
        <v>33.959699999999998</v>
      </c>
      <c r="S167">
        <v>5.75476E-4</v>
      </c>
      <c r="T167">
        <f>Table413284[[#This Row],[CFNM]]/Table413284[[#This Row],[CAREA]]</f>
        <v>1.6945850522825584E-5</v>
      </c>
      <c r="U167">
        <v>2.9134199999999999</v>
      </c>
      <c r="V167">
        <f>(Table514285[[#This Row],[time]]-2)*2</f>
        <v>1.8268399999999998</v>
      </c>
      <c r="W167">
        <v>63.385399999999997</v>
      </c>
      <c r="X167">
        <v>56.679099999999998</v>
      </c>
      <c r="Y167">
        <f>Table514285[[#This Row],[CFNM]]/Table514285[[#This Row],[CAREA]]</f>
        <v>0.89419803298551404</v>
      </c>
      <c r="Z167">
        <v>2.9134199999999999</v>
      </c>
      <c r="AA167">
        <f>(Table615286[[#This Row],[time]]-2)*2</f>
        <v>1.8268399999999998</v>
      </c>
      <c r="AB167">
        <v>89.494699999999995</v>
      </c>
      <c r="AC167">
        <v>2.99343</v>
      </c>
      <c r="AD167">
        <f>Table615286[[#This Row],[CFNM]]/Table615286[[#This Row],[CAREA]]</f>
        <v>3.3448125978409897E-2</v>
      </c>
      <c r="AE167">
        <v>2.9134199999999999</v>
      </c>
      <c r="AF167">
        <f>(Table716289[[#This Row],[time]]-2)*2</f>
        <v>1.8268399999999998</v>
      </c>
      <c r="AG167">
        <v>75.655900000000003</v>
      </c>
      <c r="AH167">
        <v>65.6965</v>
      </c>
      <c r="AI167">
        <f>Table716289[[#This Row],[CFNM]]/Table716289[[#This Row],[CAREA]]</f>
        <v>0.86835924230628403</v>
      </c>
      <c r="AJ167">
        <v>2.9134199999999999</v>
      </c>
      <c r="AK167">
        <f>(Table81719289[[#This Row],[time]]-2)*2</f>
        <v>1.8268399999999998</v>
      </c>
      <c r="AL167">
        <v>75.571799999999996</v>
      </c>
      <c r="AM167">
        <v>4.9553900000000004</v>
      </c>
      <c r="AN167">
        <f>Table81719289[[#This Row],[CFNM]]/Table81719289[[#This Row],[CAREA]]</f>
        <v>6.5571946149224986E-2</v>
      </c>
    </row>
    <row r="168" spans="1:40" x14ac:dyDescent="0.25">
      <c r="A168">
        <v>2.9619599999999999</v>
      </c>
      <c r="B168">
        <f>(Table110281[[#This Row],[time]]-2)*2</f>
        <v>1.9239199999999999</v>
      </c>
      <c r="C168">
        <v>79.049400000000006</v>
      </c>
      <c r="D168">
        <v>57.323500000000003</v>
      </c>
      <c r="E168">
        <f>Table110281[[#This Row],[CFNM]]/Table110281[[#This Row],[CAREA]]</f>
        <v>0.72516046927617417</v>
      </c>
      <c r="F168">
        <v>2.9619599999999999</v>
      </c>
      <c r="G168">
        <f>(Table211282[[#This Row],[time]]-2)*2</f>
        <v>1.9239199999999999</v>
      </c>
      <c r="H168">
        <v>13.017300000000001</v>
      </c>
      <c r="I168">
        <v>1.5139299999999999E-4</v>
      </c>
      <c r="J168">
        <f>Table211282[[#This Row],[CFNM]]/Table211282[[#This Row],[CAREA]]</f>
        <v>1.1630138354343834E-5</v>
      </c>
      <c r="K168">
        <v>2.9619599999999999</v>
      </c>
      <c r="L168">
        <f>(Table312283[[#This Row],[time]]-2)*2</f>
        <v>1.9239199999999999</v>
      </c>
      <c r="M168">
        <v>79.1755</v>
      </c>
      <c r="N168">
        <v>51.867800000000003</v>
      </c>
      <c r="O168">
        <f>Table312283[[#This Row],[CFNM]]/Table312283[[#This Row],[CAREA]]</f>
        <v>0.65509911525661346</v>
      </c>
      <c r="P168">
        <v>2.9619599999999999</v>
      </c>
      <c r="Q168">
        <f>(Table413284[[#This Row],[time]]-2)*2</f>
        <v>1.9239199999999999</v>
      </c>
      <c r="R168">
        <v>31.4161</v>
      </c>
      <c r="S168">
        <v>4.9905200000000005E-4</v>
      </c>
      <c r="T168">
        <f>Table413284[[#This Row],[CFNM]]/Table413284[[#This Row],[CAREA]]</f>
        <v>1.5885230821139482E-5</v>
      </c>
      <c r="U168">
        <v>2.9619599999999999</v>
      </c>
      <c r="V168">
        <f>(Table514285[[#This Row],[time]]-2)*2</f>
        <v>1.9239199999999999</v>
      </c>
      <c r="W168">
        <v>62.313600000000001</v>
      </c>
      <c r="X168">
        <v>58.921300000000002</v>
      </c>
      <c r="Y168">
        <f>Table514285[[#This Row],[CFNM]]/Table514285[[#This Row],[CAREA]]</f>
        <v>0.94556084065115809</v>
      </c>
      <c r="Z168">
        <v>2.9619599999999999</v>
      </c>
      <c r="AA168">
        <f>(Table615286[[#This Row],[time]]-2)*2</f>
        <v>1.9239199999999999</v>
      </c>
      <c r="AB168">
        <v>88.531700000000001</v>
      </c>
      <c r="AC168">
        <v>2.5054799999999999</v>
      </c>
      <c r="AD168">
        <f>Table615286[[#This Row],[CFNM]]/Table615286[[#This Row],[CAREA]]</f>
        <v>2.83003715053478E-2</v>
      </c>
      <c r="AE168">
        <v>2.9619599999999999</v>
      </c>
      <c r="AF168">
        <f>(Table716289[[#This Row],[time]]-2)*2</f>
        <v>1.9239199999999999</v>
      </c>
      <c r="AG168">
        <v>74.987700000000004</v>
      </c>
      <c r="AH168">
        <v>68.0715</v>
      </c>
      <c r="AI168">
        <f>Table716289[[#This Row],[CFNM]]/Table716289[[#This Row],[CAREA]]</f>
        <v>0.90776887409535156</v>
      </c>
      <c r="AJ168">
        <v>2.9619599999999999</v>
      </c>
      <c r="AK168">
        <f>(Table81719289[[#This Row],[time]]-2)*2</f>
        <v>1.9239199999999999</v>
      </c>
      <c r="AL168">
        <v>74.863600000000005</v>
      </c>
      <c r="AM168">
        <v>4.3863799999999999</v>
      </c>
      <c r="AN168">
        <f>Table81719289[[#This Row],[CFNM]]/Table81719289[[#This Row],[CAREA]]</f>
        <v>5.8591625302550236E-2</v>
      </c>
    </row>
    <row r="169" spans="1:40" x14ac:dyDescent="0.25">
      <c r="A169">
        <v>3</v>
      </c>
      <c r="B169">
        <f>(Table110281[[#This Row],[time]]-2)*2</f>
        <v>2</v>
      </c>
      <c r="C169">
        <v>77.599900000000005</v>
      </c>
      <c r="D169">
        <v>59.169600000000003</v>
      </c>
      <c r="E169">
        <f>Table110281[[#This Row],[CFNM]]/Table110281[[#This Row],[CAREA]]</f>
        <v>0.76249582795854121</v>
      </c>
      <c r="F169">
        <v>3</v>
      </c>
      <c r="G169">
        <f>(Table211282[[#This Row],[time]]-2)*2</f>
        <v>2</v>
      </c>
      <c r="H169">
        <v>11.011699999999999</v>
      </c>
      <c r="I169">
        <v>1.2630700000000001E-4</v>
      </c>
      <c r="J169">
        <f>Table211282[[#This Row],[CFNM]]/Table211282[[#This Row],[CAREA]]</f>
        <v>1.1470254365810911E-5</v>
      </c>
      <c r="K169">
        <v>3</v>
      </c>
      <c r="L169">
        <f>(Table312283[[#This Row],[time]]-2)*2</f>
        <v>2</v>
      </c>
      <c r="M169">
        <v>78.745999999999995</v>
      </c>
      <c r="N169">
        <v>53.018700000000003</v>
      </c>
      <c r="O169">
        <f>Table312283[[#This Row],[CFNM]]/Table312283[[#This Row],[CAREA]]</f>
        <v>0.67328753206512082</v>
      </c>
      <c r="P169">
        <v>3</v>
      </c>
      <c r="Q169">
        <f>(Table413284[[#This Row],[time]]-2)*2</f>
        <v>2</v>
      </c>
      <c r="R169">
        <v>30.166899999999998</v>
      </c>
      <c r="S169">
        <v>4.4645900000000002E-4</v>
      </c>
      <c r="T169">
        <f>Table413284[[#This Row],[CFNM]]/Table413284[[#This Row],[CAREA]]</f>
        <v>1.4799631384066644E-5</v>
      </c>
      <c r="U169">
        <v>3</v>
      </c>
      <c r="V169">
        <f>(Table514285[[#This Row],[time]]-2)*2</f>
        <v>2</v>
      </c>
      <c r="W169">
        <v>61.666899999999998</v>
      </c>
      <c r="X169">
        <v>60.630299999999998</v>
      </c>
      <c r="Y169">
        <f>Table514285[[#This Row],[CFNM]]/Table514285[[#This Row],[CAREA]]</f>
        <v>0.98319033387441235</v>
      </c>
      <c r="Z169">
        <v>3</v>
      </c>
      <c r="AA169">
        <f>(Table615286[[#This Row],[time]]-2)*2</f>
        <v>2</v>
      </c>
      <c r="AB169">
        <v>88.207599999999999</v>
      </c>
      <c r="AC169">
        <v>2.1833200000000001</v>
      </c>
      <c r="AD169">
        <f>Table615286[[#This Row],[CFNM]]/Table615286[[#This Row],[CAREA]]</f>
        <v>2.4752062180583081E-2</v>
      </c>
      <c r="AE169">
        <v>3</v>
      </c>
      <c r="AF169">
        <f>(Table716289[[#This Row],[time]]-2)*2</f>
        <v>2</v>
      </c>
      <c r="AG169">
        <v>74.680999999999997</v>
      </c>
      <c r="AH169">
        <v>69.927800000000005</v>
      </c>
      <c r="AI169">
        <f>Table716289[[#This Row],[CFNM]]/Table716289[[#This Row],[CAREA]]</f>
        <v>0.93635328932392448</v>
      </c>
      <c r="AJ169">
        <v>3</v>
      </c>
      <c r="AK169">
        <f>(Table81719289[[#This Row],[time]]-2)*2</f>
        <v>2</v>
      </c>
      <c r="AL169">
        <v>74.343199999999996</v>
      </c>
      <c r="AM169">
        <v>3.9213800000000001</v>
      </c>
      <c r="AN169">
        <f>Table81719289[[#This Row],[CFNM]]/Table81719289[[#This Row],[CAREA]]</f>
        <v>5.2746989637249948E-2</v>
      </c>
    </row>
    <row r="172" spans="1:40" x14ac:dyDescent="0.25">
      <c r="A172" s="1" t="s">
        <v>21</v>
      </c>
    </row>
    <row r="173" spans="1:40" x14ac:dyDescent="0.25">
      <c r="A173" t="s">
        <v>43</v>
      </c>
      <c r="F173" t="s">
        <v>1</v>
      </c>
    </row>
    <row r="174" spans="1:40" x14ac:dyDescent="0.25">
      <c r="F174" t="s">
        <v>2</v>
      </c>
      <c r="G174" t="s">
        <v>3</v>
      </c>
    </row>
    <row r="177" spans="1:40" x14ac:dyDescent="0.25">
      <c r="A177" t="s">
        <v>4</v>
      </c>
      <c r="F177" t="s">
        <v>5</v>
      </c>
      <c r="K177" t="s">
        <v>6</v>
      </c>
      <c r="P177" t="s">
        <v>7</v>
      </c>
      <c r="U177" t="s">
        <v>8</v>
      </c>
      <c r="Z177" t="s">
        <v>9</v>
      </c>
      <c r="AE177" t="s">
        <v>10</v>
      </c>
      <c r="AJ177" t="s">
        <v>11</v>
      </c>
    </row>
    <row r="178" spans="1:40" x14ac:dyDescent="0.25">
      <c r="A178" t="s">
        <v>12</v>
      </c>
      <c r="B178" t="s">
        <v>13</v>
      </c>
      <c r="C178" t="s">
        <v>14</v>
      </c>
      <c r="D178" t="s">
        <v>15</v>
      </c>
      <c r="E178" t="s">
        <v>16</v>
      </c>
      <c r="F178" t="s">
        <v>12</v>
      </c>
      <c r="G178" t="s">
        <v>13</v>
      </c>
      <c r="H178" t="s">
        <v>14</v>
      </c>
      <c r="I178" t="s">
        <v>15</v>
      </c>
      <c r="J178" t="s">
        <v>16</v>
      </c>
      <c r="K178" t="s">
        <v>12</v>
      </c>
      <c r="L178" t="s">
        <v>13</v>
      </c>
      <c r="M178" t="s">
        <v>14</v>
      </c>
      <c r="N178" t="s">
        <v>15</v>
      </c>
      <c r="O178" t="s">
        <v>16</v>
      </c>
      <c r="P178" t="s">
        <v>12</v>
      </c>
      <c r="Q178" t="s">
        <v>13</v>
      </c>
      <c r="R178" t="s">
        <v>14</v>
      </c>
      <c r="S178" t="s">
        <v>15</v>
      </c>
      <c r="T178" t="s">
        <v>16</v>
      </c>
      <c r="U178" t="s">
        <v>12</v>
      </c>
      <c r="V178" t="s">
        <v>13</v>
      </c>
      <c r="W178" t="s">
        <v>14</v>
      </c>
      <c r="X178" t="s">
        <v>15</v>
      </c>
      <c r="Y178" t="s">
        <v>16</v>
      </c>
      <c r="Z178" t="s">
        <v>12</v>
      </c>
      <c r="AA178" t="s">
        <v>13</v>
      </c>
      <c r="AB178" t="s">
        <v>14</v>
      </c>
      <c r="AC178" t="s">
        <v>15</v>
      </c>
      <c r="AD178" t="s">
        <v>16</v>
      </c>
      <c r="AE178" t="s">
        <v>12</v>
      </c>
      <c r="AF178" t="s">
        <v>13</v>
      </c>
      <c r="AG178" t="s">
        <v>14</v>
      </c>
      <c r="AH178" t="s">
        <v>15</v>
      </c>
      <c r="AI178" t="s">
        <v>16</v>
      </c>
      <c r="AJ178" t="s">
        <v>12</v>
      </c>
      <c r="AK178" t="s">
        <v>13</v>
      </c>
      <c r="AL178" t="s">
        <v>14</v>
      </c>
      <c r="AM178" t="s">
        <v>15</v>
      </c>
      <c r="AN178" t="s">
        <v>16</v>
      </c>
    </row>
    <row r="179" spans="1:40" x14ac:dyDescent="0.25">
      <c r="A179">
        <v>2</v>
      </c>
      <c r="B179">
        <f>-(Table1291[[#This Row],[time]]-2)*2</f>
        <v>0</v>
      </c>
      <c r="C179">
        <v>80.560199999999995</v>
      </c>
      <c r="D179">
        <v>3.9786999999999999</v>
      </c>
      <c r="E179" s="2">
        <f>Table1291[[#This Row],[CFNM]]/Table1291[[#This Row],[CAREA]]</f>
        <v>4.9387911152157023E-2</v>
      </c>
      <c r="F179">
        <v>2</v>
      </c>
      <c r="G179">
        <f>-(Table2292[[#This Row],[time]]-2)*2</f>
        <v>0</v>
      </c>
      <c r="H179">
        <v>87.831100000000006</v>
      </c>
      <c r="I179">
        <v>3.8477199999999998E-3</v>
      </c>
      <c r="J179" s="2">
        <f>Table2292[[#This Row],[CFNM]]/Table2292[[#This Row],[CAREA]]</f>
        <v>4.3808172731526752E-5</v>
      </c>
      <c r="K179">
        <v>2</v>
      </c>
      <c r="L179">
        <f>-(Table3293[[#This Row],[time]]-2)*2</f>
        <v>0</v>
      </c>
      <c r="M179">
        <v>85.165199999999999</v>
      </c>
      <c r="N179">
        <v>3.6992800000000001E-3</v>
      </c>
      <c r="O179">
        <f>Table3293[[#This Row],[CFNM]]/Table3293[[#This Row],[CAREA]]</f>
        <v>4.3436521020322855E-5</v>
      </c>
      <c r="P179">
        <v>2</v>
      </c>
      <c r="Q179">
        <f>-(Table4294[[#This Row],[time]]-2)*2</f>
        <v>0</v>
      </c>
      <c r="R179">
        <v>79.099999999999994</v>
      </c>
      <c r="S179">
        <v>4.5241600000000002E-3</v>
      </c>
      <c r="T179">
        <f>Table4294[[#This Row],[CFNM]]/Table4294[[#This Row],[CAREA]]</f>
        <v>5.7195448798988631E-5</v>
      </c>
      <c r="U179">
        <v>2</v>
      </c>
      <c r="V179">
        <f>-(Table5295[[#This Row],[time]]-2)*2</f>
        <v>0</v>
      </c>
      <c r="W179">
        <v>83.228300000000004</v>
      </c>
      <c r="X179">
        <v>3.5028600000000001</v>
      </c>
      <c r="Y179">
        <f>Table5295[[#This Row],[CFNM]]/Table5295[[#This Row],[CAREA]]</f>
        <v>4.2087366917262517E-2</v>
      </c>
      <c r="Z179">
        <v>2</v>
      </c>
      <c r="AA179">
        <f>-(Table6296[[#This Row],[time]]-2)*2</f>
        <v>0</v>
      </c>
      <c r="AB179">
        <v>84.265100000000004</v>
      </c>
      <c r="AC179">
        <v>6.2692600000000001</v>
      </c>
      <c r="AD179">
        <f>Table6296[[#This Row],[CFNM]]/Table6296[[#This Row],[CAREA]]</f>
        <v>7.4399247137901692E-2</v>
      </c>
      <c r="AE179">
        <v>2</v>
      </c>
      <c r="AF179">
        <f>-(Table7297[[#This Row],[time]]-2)*2</f>
        <v>0</v>
      </c>
      <c r="AG179">
        <v>78.459599999999995</v>
      </c>
      <c r="AH179">
        <v>14.705299999999999</v>
      </c>
      <c r="AI179">
        <f>Table7297[[#This Row],[CFNM]]/Table7297[[#This Row],[CAREA]]</f>
        <v>0.18742512069906042</v>
      </c>
      <c r="AJ179">
        <v>2</v>
      </c>
      <c r="AK179">
        <f>-(Table8[[#This Row],[time]]-2)*2</f>
        <v>0</v>
      </c>
      <c r="AL179">
        <v>83.005899999999997</v>
      </c>
      <c r="AM179">
        <v>14.6465</v>
      </c>
      <c r="AN179">
        <f>Table8[[#This Row],[CFNM]]/Table8[[#This Row],[CAREA]]</f>
        <v>0.17645131249706347</v>
      </c>
    </row>
    <row r="180" spans="1:40" x14ac:dyDescent="0.25">
      <c r="A180">
        <v>2.0512600000000001</v>
      </c>
      <c r="B180">
        <f>-(Table1291[[#This Row],[time]]-2)*2</f>
        <v>-0.10252000000000017</v>
      </c>
      <c r="C180">
        <v>89.3215</v>
      </c>
      <c r="D180">
        <v>7.8554599999999999</v>
      </c>
      <c r="E180">
        <f>Table1291[[#This Row],[CFNM]]/Table1291[[#This Row],[CAREA]]</f>
        <v>8.7945903281964583E-2</v>
      </c>
      <c r="F180">
        <v>2.0512600000000001</v>
      </c>
      <c r="G180">
        <f>-(Table2292[[#This Row],[time]]-2)*2</f>
        <v>-0.10252000000000017</v>
      </c>
      <c r="H180">
        <v>94.494900000000001</v>
      </c>
      <c r="I180">
        <v>6.41974</v>
      </c>
      <c r="J180">
        <f>Table2292[[#This Row],[CFNM]]/Table2292[[#This Row],[CAREA]]</f>
        <v>6.793742307785923E-2</v>
      </c>
      <c r="K180">
        <v>2.0512600000000001</v>
      </c>
      <c r="L180">
        <f>-(Table3293[[#This Row],[time]]-2)*2</f>
        <v>-0.10252000000000017</v>
      </c>
      <c r="M180">
        <v>89.210700000000003</v>
      </c>
      <c r="N180">
        <v>0.65608</v>
      </c>
      <c r="O180">
        <f>Table3293[[#This Row],[CFNM]]/Table3293[[#This Row],[CAREA]]</f>
        <v>7.3542747674886534E-3</v>
      </c>
      <c r="P180">
        <v>2.0512600000000001</v>
      </c>
      <c r="Q180">
        <f>-(Table4294[[#This Row],[time]]-2)*2</f>
        <v>-0.10252000000000017</v>
      </c>
      <c r="R180">
        <v>84.521799999999999</v>
      </c>
      <c r="S180">
        <v>8.7206200000000003</v>
      </c>
      <c r="T180">
        <f>Table4294[[#This Row],[CFNM]]/Table4294[[#This Row],[CAREA]]</f>
        <v>0.10317598536708873</v>
      </c>
      <c r="U180">
        <v>2.0512600000000001</v>
      </c>
      <c r="V180">
        <f>-(Table5295[[#This Row],[time]]-2)*2</f>
        <v>-0.10252000000000017</v>
      </c>
      <c r="W180">
        <v>82.368600000000001</v>
      </c>
      <c r="X180">
        <v>5.86869</v>
      </c>
      <c r="Y180">
        <f>Table5295[[#This Row],[CFNM]]/Table5295[[#This Row],[CAREA]]</f>
        <v>7.1249116775081764E-2</v>
      </c>
      <c r="Z180">
        <v>2.0512600000000001</v>
      </c>
      <c r="AA180">
        <f>-(Table6296[[#This Row],[time]]-2)*2</f>
        <v>-0.10252000000000017</v>
      </c>
      <c r="AB180">
        <v>86.935199999999995</v>
      </c>
      <c r="AC180">
        <v>15.138400000000001</v>
      </c>
      <c r="AD180">
        <f>Table6296[[#This Row],[CFNM]]/Table6296[[#This Row],[CAREA]]</f>
        <v>0.17413429772980338</v>
      </c>
      <c r="AE180">
        <v>2.0512600000000001</v>
      </c>
      <c r="AF180">
        <f>-(Table7297[[#This Row],[time]]-2)*2</f>
        <v>-0.10252000000000017</v>
      </c>
      <c r="AG180">
        <v>79.373599999999996</v>
      </c>
      <c r="AH180">
        <v>17.313300000000002</v>
      </c>
      <c r="AI180">
        <f>Table7297[[#This Row],[CFNM]]/Table7297[[#This Row],[CAREA]]</f>
        <v>0.21812416218994732</v>
      </c>
      <c r="AJ180">
        <v>2.0512600000000001</v>
      </c>
      <c r="AK180">
        <f>-(Table8[[#This Row],[time]]-2)*2</f>
        <v>-0.10252000000000017</v>
      </c>
      <c r="AL180">
        <v>83.138599999999997</v>
      </c>
      <c r="AM180">
        <v>21.6539</v>
      </c>
      <c r="AN180">
        <f>Table8[[#This Row],[CFNM]]/Table8[[#This Row],[CAREA]]</f>
        <v>0.26045543225409135</v>
      </c>
    </row>
    <row r="181" spans="1:40" x14ac:dyDescent="0.25">
      <c r="A181">
        <v>2.1153300000000002</v>
      </c>
      <c r="B181">
        <f>-(Table1291[[#This Row],[time]]-2)*2</f>
        <v>-0.23066000000000031</v>
      </c>
      <c r="C181">
        <v>86.242199999999997</v>
      </c>
      <c r="D181">
        <v>6.1709100000000001</v>
      </c>
      <c r="E181">
        <f>Table1291[[#This Row],[CFNM]]/Table1291[[#This Row],[CAREA]]</f>
        <v>7.1553253511621923E-2</v>
      </c>
      <c r="F181">
        <v>2.1153300000000002</v>
      </c>
      <c r="G181">
        <f>-(Table2292[[#This Row],[time]]-2)*2</f>
        <v>-0.23066000000000031</v>
      </c>
      <c r="H181">
        <v>93.245599999999996</v>
      </c>
      <c r="I181">
        <v>9.2206499999999991</v>
      </c>
      <c r="J181">
        <f>Table2292[[#This Row],[CFNM]]/Table2292[[#This Row],[CAREA]]</f>
        <v>9.8885631064629317E-2</v>
      </c>
      <c r="K181">
        <v>2.1153300000000002</v>
      </c>
      <c r="L181">
        <f>-(Table3293[[#This Row],[time]]-2)*2</f>
        <v>-0.23066000000000031</v>
      </c>
      <c r="M181">
        <v>88.776300000000006</v>
      </c>
      <c r="N181">
        <v>4.3448200000000001E-3</v>
      </c>
      <c r="O181">
        <f>Table3293[[#This Row],[CFNM]]/Table3293[[#This Row],[CAREA]]</f>
        <v>4.8941215166660467E-5</v>
      </c>
      <c r="P181">
        <v>2.1153300000000002</v>
      </c>
      <c r="Q181">
        <f>-(Table4294[[#This Row],[time]]-2)*2</f>
        <v>-0.23066000000000031</v>
      </c>
      <c r="R181">
        <v>82.896100000000004</v>
      </c>
      <c r="S181">
        <v>10.9886</v>
      </c>
      <c r="T181">
        <f>Table4294[[#This Row],[CFNM]]/Table4294[[#This Row],[CAREA]]</f>
        <v>0.13255870903456254</v>
      </c>
      <c r="U181">
        <v>2.1153300000000002</v>
      </c>
      <c r="V181">
        <f>-(Table5295[[#This Row],[time]]-2)*2</f>
        <v>-0.23066000000000031</v>
      </c>
      <c r="W181">
        <v>82.256200000000007</v>
      </c>
      <c r="X181">
        <v>2.6404100000000001</v>
      </c>
      <c r="Y181">
        <f>Table5295[[#This Row],[CFNM]]/Table5295[[#This Row],[CAREA]]</f>
        <v>3.2099829556920936E-2</v>
      </c>
      <c r="Z181">
        <v>2.1153300000000002</v>
      </c>
      <c r="AA181">
        <f>-(Table6296[[#This Row],[time]]-2)*2</f>
        <v>-0.23066000000000031</v>
      </c>
      <c r="AB181">
        <v>85.563299999999998</v>
      </c>
      <c r="AC181">
        <v>13.6534</v>
      </c>
      <c r="AD181">
        <f>Table6296[[#This Row],[CFNM]]/Table6296[[#This Row],[CAREA]]</f>
        <v>0.15957075054374947</v>
      </c>
      <c r="AE181">
        <v>2.1153300000000002</v>
      </c>
      <c r="AF181">
        <f>-(Table7297[[#This Row],[time]]-2)*2</f>
        <v>-0.23066000000000031</v>
      </c>
      <c r="AG181">
        <v>79.673400000000001</v>
      </c>
      <c r="AH181">
        <v>15.4026</v>
      </c>
      <c r="AI181">
        <f>Table7297[[#This Row],[CFNM]]/Table7297[[#This Row],[CAREA]]</f>
        <v>0.19332173598716759</v>
      </c>
      <c r="AJ181">
        <v>2.1153300000000002</v>
      </c>
      <c r="AK181">
        <f>-(Table8[[#This Row],[time]]-2)*2</f>
        <v>-0.23066000000000031</v>
      </c>
      <c r="AL181">
        <v>83.046800000000005</v>
      </c>
      <c r="AM181">
        <v>23.793199999999999</v>
      </c>
      <c r="AN181">
        <f>Table8[[#This Row],[CFNM]]/Table8[[#This Row],[CAREA]]</f>
        <v>0.28650351368144222</v>
      </c>
    </row>
    <row r="182" spans="1:40" x14ac:dyDescent="0.25">
      <c r="A182">
        <v>2.16533</v>
      </c>
      <c r="B182">
        <f>-(Table1291[[#This Row],[time]]-2)*2</f>
        <v>-0.33065999999999995</v>
      </c>
      <c r="C182">
        <v>84.947299999999998</v>
      </c>
      <c r="D182">
        <v>4.5624700000000002</v>
      </c>
      <c r="E182">
        <f>Table1291[[#This Row],[CFNM]]/Table1291[[#This Row],[CAREA]]</f>
        <v>5.3709417485900086E-2</v>
      </c>
      <c r="F182">
        <v>2.16533</v>
      </c>
      <c r="G182">
        <f>-(Table2292[[#This Row],[time]]-2)*2</f>
        <v>-0.33065999999999995</v>
      </c>
      <c r="H182">
        <v>92.101399999999998</v>
      </c>
      <c r="I182">
        <v>12.468400000000001</v>
      </c>
      <c r="J182">
        <f>Table2292[[#This Row],[CFNM]]/Table2292[[#This Row],[CAREA]]</f>
        <v>0.13537687809305832</v>
      </c>
      <c r="K182">
        <v>2.16533</v>
      </c>
      <c r="L182">
        <f>-(Table3293[[#This Row],[time]]-2)*2</f>
        <v>-0.33065999999999995</v>
      </c>
      <c r="M182">
        <v>85.564300000000003</v>
      </c>
      <c r="N182">
        <v>3.3297000000000001E-3</v>
      </c>
      <c r="O182">
        <f>Table3293[[#This Row],[CFNM]]/Table3293[[#This Row],[CAREA]]</f>
        <v>3.8914594053828522E-5</v>
      </c>
      <c r="P182">
        <v>2.16533</v>
      </c>
      <c r="Q182">
        <f>-(Table4294[[#This Row],[time]]-2)*2</f>
        <v>-0.33065999999999995</v>
      </c>
      <c r="R182">
        <v>81.324700000000007</v>
      </c>
      <c r="S182">
        <v>13.583299999999999</v>
      </c>
      <c r="T182">
        <f>Table4294[[#This Row],[CFNM]]/Table4294[[#This Row],[CAREA]]</f>
        <v>0.16702551623307554</v>
      </c>
      <c r="U182">
        <v>2.16533</v>
      </c>
      <c r="V182">
        <f>-(Table5295[[#This Row],[time]]-2)*2</f>
        <v>-0.33065999999999995</v>
      </c>
      <c r="W182">
        <v>83.121799999999993</v>
      </c>
      <c r="X182">
        <v>0.47934700000000002</v>
      </c>
      <c r="Y182">
        <f>Table5295[[#This Row],[CFNM]]/Table5295[[#This Row],[CAREA]]</f>
        <v>5.7668024513424882E-3</v>
      </c>
      <c r="Z182">
        <v>2.16533</v>
      </c>
      <c r="AA182">
        <f>-(Table6296[[#This Row],[time]]-2)*2</f>
        <v>-0.33065999999999995</v>
      </c>
      <c r="AB182">
        <v>84.297600000000003</v>
      </c>
      <c r="AC182">
        <v>13.7272</v>
      </c>
      <c r="AD182">
        <f>Table6296[[#This Row],[CFNM]]/Table6296[[#This Row],[CAREA]]</f>
        <v>0.16284212124663097</v>
      </c>
      <c r="AE182">
        <v>2.16533</v>
      </c>
      <c r="AF182">
        <f>-(Table7297[[#This Row],[time]]-2)*2</f>
        <v>-0.33065999999999995</v>
      </c>
      <c r="AG182">
        <v>80.025300000000001</v>
      </c>
      <c r="AH182">
        <v>13.466100000000001</v>
      </c>
      <c r="AI182">
        <f>Table7297[[#This Row],[CFNM]]/Table7297[[#This Row],[CAREA]]</f>
        <v>0.16827303365310722</v>
      </c>
      <c r="AJ182">
        <v>2.16533</v>
      </c>
      <c r="AK182">
        <f>-(Table8[[#This Row],[time]]-2)*2</f>
        <v>-0.33065999999999995</v>
      </c>
      <c r="AL182">
        <v>82.893100000000004</v>
      </c>
      <c r="AM182">
        <v>26.301200000000001</v>
      </c>
      <c r="AN182">
        <f>Table8[[#This Row],[CFNM]]/Table8[[#This Row],[CAREA]]</f>
        <v>0.31729058269023597</v>
      </c>
    </row>
    <row r="183" spans="1:40" x14ac:dyDescent="0.25">
      <c r="A183">
        <v>2.2246999999999999</v>
      </c>
      <c r="B183">
        <f>-(Table1291[[#This Row],[time]]-2)*2</f>
        <v>-0.4493999999999998</v>
      </c>
      <c r="C183">
        <v>82.215500000000006</v>
      </c>
      <c r="D183">
        <v>3.1539600000000001</v>
      </c>
      <c r="E183">
        <f>Table1291[[#This Row],[CFNM]]/Table1291[[#This Row],[CAREA]]</f>
        <v>3.8362109334614515E-2</v>
      </c>
      <c r="F183">
        <v>2.2246999999999999</v>
      </c>
      <c r="G183">
        <f>-(Table2292[[#This Row],[time]]-2)*2</f>
        <v>-0.4493999999999998</v>
      </c>
      <c r="H183">
        <v>90.587900000000005</v>
      </c>
      <c r="I183">
        <v>16.073799999999999</v>
      </c>
      <c r="J183">
        <f>Table2292[[#This Row],[CFNM]]/Table2292[[#This Row],[CAREA]]</f>
        <v>0.17743870870171399</v>
      </c>
      <c r="K183">
        <v>2.2246999999999999</v>
      </c>
      <c r="L183">
        <f>-(Table3293[[#This Row],[time]]-2)*2</f>
        <v>-0.4493999999999998</v>
      </c>
      <c r="M183">
        <v>77.2547</v>
      </c>
      <c r="N183">
        <v>2.7895099999999998E-3</v>
      </c>
      <c r="O183">
        <f>Table3293[[#This Row],[CFNM]]/Table3293[[#This Row],[CAREA]]</f>
        <v>3.6107964952294161E-5</v>
      </c>
      <c r="P183">
        <v>2.2246999999999999</v>
      </c>
      <c r="Q183">
        <f>-(Table4294[[#This Row],[time]]-2)*2</f>
        <v>-0.4493999999999998</v>
      </c>
      <c r="R183">
        <v>80.438199999999995</v>
      </c>
      <c r="S183">
        <v>16.4633</v>
      </c>
      <c r="T183">
        <f>Table4294[[#This Row],[CFNM]]/Table4294[[#This Row],[CAREA]]</f>
        <v>0.20467016914848918</v>
      </c>
      <c r="U183">
        <v>2.2246999999999999</v>
      </c>
      <c r="V183">
        <f>-(Table5295[[#This Row],[time]]-2)*2</f>
        <v>-0.4493999999999998</v>
      </c>
      <c r="W183">
        <v>82.882000000000005</v>
      </c>
      <c r="X183">
        <v>4.8862599999999999E-3</v>
      </c>
      <c r="Y183">
        <f>Table5295[[#This Row],[CFNM]]/Table5295[[#This Row],[CAREA]]</f>
        <v>5.8954417123138918E-5</v>
      </c>
      <c r="Z183">
        <v>2.2246999999999999</v>
      </c>
      <c r="AA183">
        <f>-(Table6296[[#This Row],[time]]-2)*2</f>
        <v>-0.4493999999999998</v>
      </c>
      <c r="AB183">
        <v>83.455699999999993</v>
      </c>
      <c r="AC183">
        <v>15.6694</v>
      </c>
      <c r="AD183">
        <f>Table6296[[#This Row],[CFNM]]/Table6296[[#This Row],[CAREA]]</f>
        <v>0.18775709747806321</v>
      </c>
      <c r="AE183">
        <v>2.2246999999999999</v>
      </c>
      <c r="AF183">
        <f>-(Table7297[[#This Row],[time]]-2)*2</f>
        <v>-0.4493999999999998</v>
      </c>
      <c r="AG183">
        <v>80.135999999999996</v>
      </c>
      <c r="AH183">
        <v>11.710800000000001</v>
      </c>
      <c r="AI183">
        <f>Table7297[[#This Row],[CFNM]]/Table7297[[#This Row],[CAREA]]</f>
        <v>0.14613656783468107</v>
      </c>
      <c r="AJ183">
        <v>2.2246999999999999</v>
      </c>
      <c r="AK183">
        <f>-(Table8[[#This Row],[time]]-2)*2</f>
        <v>-0.4493999999999998</v>
      </c>
      <c r="AL183">
        <v>82.787499999999994</v>
      </c>
      <c r="AM183">
        <v>28.906300000000002</v>
      </c>
      <c r="AN183">
        <f>Table8[[#This Row],[CFNM]]/Table8[[#This Row],[CAREA]]</f>
        <v>0.34916261512909563</v>
      </c>
    </row>
    <row r="184" spans="1:40" x14ac:dyDescent="0.25">
      <c r="A184">
        <v>2.2668900000000001</v>
      </c>
      <c r="B184">
        <f>-(Table1291[[#This Row],[time]]-2)*2</f>
        <v>-0.53378000000000014</v>
      </c>
      <c r="C184">
        <v>78.059600000000003</v>
      </c>
      <c r="D184">
        <v>2.15821</v>
      </c>
      <c r="E184">
        <f>Table1291[[#This Row],[CFNM]]/Table1291[[#This Row],[CAREA]]</f>
        <v>2.7648232888715801E-2</v>
      </c>
      <c r="F184">
        <v>2.2668900000000001</v>
      </c>
      <c r="G184">
        <f>-(Table2292[[#This Row],[time]]-2)*2</f>
        <v>-0.53378000000000014</v>
      </c>
      <c r="H184">
        <v>89.423199999999994</v>
      </c>
      <c r="I184">
        <v>19.0288</v>
      </c>
      <c r="J184">
        <f>Table2292[[#This Row],[CFNM]]/Table2292[[#This Row],[CAREA]]</f>
        <v>0.21279488991671067</v>
      </c>
      <c r="K184">
        <v>2.2668900000000001</v>
      </c>
      <c r="L184">
        <f>-(Table3293[[#This Row],[time]]-2)*2</f>
        <v>-0.53378000000000014</v>
      </c>
      <c r="M184">
        <v>74.785899999999998</v>
      </c>
      <c r="N184">
        <v>2.46145E-3</v>
      </c>
      <c r="O184">
        <f>Table3293[[#This Row],[CFNM]]/Table3293[[#This Row],[CAREA]]</f>
        <v>3.2913289804628945E-5</v>
      </c>
      <c r="P184">
        <v>2.2668900000000001</v>
      </c>
      <c r="Q184">
        <f>-(Table4294[[#This Row],[time]]-2)*2</f>
        <v>-0.53378000000000014</v>
      </c>
      <c r="R184">
        <v>79.708299999999994</v>
      </c>
      <c r="S184">
        <v>18.853100000000001</v>
      </c>
      <c r="T184">
        <f>Table4294[[#This Row],[CFNM]]/Table4294[[#This Row],[CAREA]]</f>
        <v>0.23652618359694039</v>
      </c>
      <c r="U184">
        <v>2.2668900000000001</v>
      </c>
      <c r="V184">
        <f>-(Table5295[[#This Row],[time]]-2)*2</f>
        <v>-0.53378000000000014</v>
      </c>
      <c r="W184">
        <v>82.885900000000007</v>
      </c>
      <c r="X184">
        <v>4.6193199999999997E-3</v>
      </c>
      <c r="Y184">
        <f>Table5295[[#This Row],[CFNM]]/Table5295[[#This Row],[CAREA]]</f>
        <v>5.573107126785134E-5</v>
      </c>
      <c r="Z184">
        <v>2.2668900000000001</v>
      </c>
      <c r="AA184">
        <f>-(Table6296[[#This Row],[time]]-2)*2</f>
        <v>-0.53378000000000014</v>
      </c>
      <c r="AB184">
        <v>82.363399999999999</v>
      </c>
      <c r="AC184">
        <v>18.003900000000002</v>
      </c>
      <c r="AD184">
        <f>Table6296[[#This Row],[CFNM]]/Table6296[[#This Row],[CAREA]]</f>
        <v>0.21859102465415467</v>
      </c>
      <c r="AE184">
        <v>2.2668900000000001</v>
      </c>
      <c r="AF184">
        <f>-(Table7297[[#This Row],[time]]-2)*2</f>
        <v>-0.53378000000000014</v>
      </c>
      <c r="AG184">
        <v>79.872</v>
      </c>
      <c r="AH184">
        <v>10.439299999999999</v>
      </c>
      <c r="AI184">
        <f>Table7297[[#This Row],[CFNM]]/Table7297[[#This Row],[CAREA]]</f>
        <v>0.1307003705929487</v>
      </c>
      <c r="AJ184">
        <v>2.2668900000000001</v>
      </c>
      <c r="AK184">
        <f>-(Table8[[#This Row],[time]]-2)*2</f>
        <v>-0.53378000000000014</v>
      </c>
      <c r="AL184">
        <v>82.807500000000005</v>
      </c>
      <c r="AM184">
        <v>31.107099999999999</v>
      </c>
      <c r="AN184">
        <f>Table8[[#This Row],[CFNM]]/Table8[[#This Row],[CAREA]]</f>
        <v>0.37565558675240768</v>
      </c>
    </row>
    <row r="185" spans="1:40" x14ac:dyDescent="0.25">
      <c r="A185">
        <v>2.3262700000000001</v>
      </c>
      <c r="B185">
        <f>-(Table1291[[#This Row],[time]]-2)*2</f>
        <v>-0.65254000000000012</v>
      </c>
      <c r="C185">
        <v>76.075299999999999</v>
      </c>
      <c r="D185">
        <v>1.2569900000000001</v>
      </c>
      <c r="E185">
        <f>Table1291[[#This Row],[CFNM]]/Table1291[[#This Row],[CAREA]]</f>
        <v>1.6522971319206103E-2</v>
      </c>
      <c r="F185">
        <v>2.3262700000000001</v>
      </c>
      <c r="G185">
        <f>-(Table2292[[#This Row],[time]]-2)*2</f>
        <v>-0.65254000000000012</v>
      </c>
      <c r="H185">
        <v>88.180499999999995</v>
      </c>
      <c r="I185">
        <v>22.009599999999999</v>
      </c>
      <c r="J185">
        <f>Table2292[[#This Row],[CFNM]]/Table2292[[#This Row],[CAREA]]</f>
        <v>0.24959713315302137</v>
      </c>
      <c r="K185">
        <v>2.3262700000000001</v>
      </c>
      <c r="L185">
        <f>-(Table3293[[#This Row],[time]]-2)*2</f>
        <v>-0.65254000000000012</v>
      </c>
      <c r="M185">
        <v>71.057900000000004</v>
      </c>
      <c r="N185">
        <v>2.1516199999999999E-3</v>
      </c>
      <c r="O185">
        <f>Table3293[[#This Row],[CFNM]]/Table3293[[#This Row],[CAREA]]</f>
        <v>3.027981406711991E-5</v>
      </c>
      <c r="P185">
        <v>2.3262700000000001</v>
      </c>
      <c r="Q185">
        <f>-(Table4294[[#This Row],[time]]-2)*2</f>
        <v>-0.65254000000000012</v>
      </c>
      <c r="R185">
        <v>79.131100000000004</v>
      </c>
      <c r="S185">
        <v>21.329599999999999</v>
      </c>
      <c r="T185">
        <f>Table4294[[#This Row],[CFNM]]/Table4294[[#This Row],[CAREA]]</f>
        <v>0.2695476241326103</v>
      </c>
      <c r="U185">
        <v>2.3262700000000001</v>
      </c>
      <c r="V185">
        <f>-(Table5295[[#This Row],[time]]-2)*2</f>
        <v>-0.65254000000000012</v>
      </c>
      <c r="W185">
        <v>82.718100000000007</v>
      </c>
      <c r="X185">
        <v>4.4262700000000004E-3</v>
      </c>
      <c r="Y185">
        <f>Table5295[[#This Row],[CFNM]]/Table5295[[#This Row],[CAREA]]</f>
        <v>5.3510295811920248E-5</v>
      </c>
      <c r="Z185">
        <v>2.3262700000000001</v>
      </c>
      <c r="AA185">
        <f>-(Table6296[[#This Row],[time]]-2)*2</f>
        <v>-0.65254000000000012</v>
      </c>
      <c r="AB185">
        <v>81.610200000000006</v>
      </c>
      <c r="AC185">
        <v>20.697500000000002</v>
      </c>
      <c r="AD185">
        <f>Table6296[[#This Row],[CFNM]]/Table6296[[#This Row],[CAREA]]</f>
        <v>0.25361413156688745</v>
      </c>
      <c r="AE185">
        <v>2.3262700000000001</v>
      </c>
      <c r="AF185">
        <f>-(Table7297[[#This Row],[time]]-2)*2</f>
        <v>-0.65254000000000012</v>
      </c>
      <c r="AG185">
        <v>79.406400000000005</v>
      </c>
      <c r="AH185">
        <v>9.1568100000000001</v>
      </c>
      <c r="AI185">
        <f>Table7297[[#This Row],[CFNM]]/Table7297[[#This Row],[CAREA]]</f>
        <v>0.11531576799854923</v>
      </c>
      <c r="AJ185">
        <v>2.3262700000000001</v>
      </c>
      <c r="AK185">
        <f>-(Table8[[#This Row],[time]]-2)*2</f>
        <v>-0.65254000000000012</v>
      </c>
      <c r="AL185">
        <v>82.852400000000003</v>
      </c>
      <c r="AM185">
        <v>33.4206</v>
      </c>
      <c r="AN185">
        <f>Table8[[#This Row],[CFNM]]/Table8[[#This Row],[CAREA]]</f>
        <v>0.40337515871598167</v>
      </c>
    </row>
    <row r="186" spans="1:40" x14ac:dyDescent="0.25">
      <c r="A186">
        <v>2.3684599999999998</v>
      </c>
      <c r="B186">
        <f>-(Table1291[[#This Row],[time]]-2)*2</f>
        <v>-0.73691999999999958</v>
      </c>
      <c r="C186">
        <v>74.174000000000007</v>
      </c>
      <c r="D186">
        <v>0.55578899999999998</v>
      </c>
      <c r="E186">
        <f>Table1291[[#This Row],[CFNM]]/Table1291[[#This Row],[CAREA]]</f>
        <v>7.4930433844743434E-3</v>
      </c>
      <c r="F186">
        <v>2.3684599999999998</v>
      </c>
      <c r="G186">
        <f>-(Table2292[[#This Row],[time]]-2)*2</f>
        <v>-0.73691999999999958</v>
      </c>
      <c r="H186">
        <v>86.926699999999997</v>
      </c>
      <c r="I186">
        <v>25.0275</v>
      </c>
      <c r="J186">
        <f>Table2292[[#This Row],[CFNM]]/Table2292[[#This Row],[CAREA]]</f>
        <v>0.28791499044597346</v>
      </c>
      <c r="K186">
        <v>2.3684599999999998</v>
      </c>
      <c r="L186">
        <f>-(Table3293[[#This Row],[time]]-2)*2</f>
        <v>-0.73691999999999958</v>
      </c>
      <c r="M186">
        <v>70.097700000000003</v>
      </c>
      <c r="N186">
        <v>1.8605900000000001E-3</v>
      </c>
      <c r="O186">
        <f>Table3293[[#This Row],[CFNM]]/Table3293[[#This Row],[CAREA]]</f>
        <v>2.6542810962413888E-5</v>
      </c>
      <c r="P186">
        <v>2.3684599999999998</v>
      </c>
      <c r="Q186">
        <f>-(Table4294[[#This Row],[time]]-2)*2</f>
        <v>-0.73691999999999958</v>
      </c>
      <c r="R186">
        <v>78.452500000000001</v>
      </c>
      <c r="S186">
        <v>24.077500000000001</v>
      </c>
      <c r="T186">
        <f>Table4294[[#This Row],[CFNM]]/Table4294[[#This Row],[CAREA]]</f>
        <v>0.30690545234377492</v>
      </c>
      <c r="U186">
        <v>2.3684599999999998</v>
      </c>
      <c r="V186">
        <f>-(Table5295[[#This Row],[time]]-2)*2</f>
        <v>-0.73691999999999958</v>
      </c>
      <c r="W186">
        <v>83.3459</v>
      </c>
      <c r="X186">
        <v>4.2539300000000004E-3</v>
      </c>
      <c r="Y186">
        <f>Table5295[[#This Row],[CFNM]]/Table5295[[#This Row],[CAREA]]</f>
        <v>5.1039463248942065E-5</v>
      </c>
      <c r="Z186">
        <v>2.3684599999999998</v>
      </c>
      <c r="AA186">
        <f>-(Table6296[[#This Row],[time]]-2)*2</f>
        <v>-0.73691999999999958</v>
      </c>
      <c r="AB186">
        <v>80.011300000000006</v>
      </c>
      <c r="AC186">
        <v>23.610099999999999</v>
      </c>
      <c r="AD186">
        <f>Table6296[[#This Row],[CFNM]]/Table6296[[#This Row],[CAREA]]</f>
        <v>0.29508456930458571</v>
      </c>
      <c r="AE186">
        <v>2.3684599999999998</v>
      </c>
      <c r="AF186">
        <f>-(Table7297[[#This Row],[time]]-2)*2</f>
        <v>-0.73691999999999958</v>
      </c>
      <c r="AG186">
        <v>78.647099999999995</v>
      </c>
      <c r="AH186">
        <v>7.9312199999999997</v>
      </c>
      <c r="AI186">
        <f>Table7297[[#This Row],[CFNM]]/Table7297[[#This Row],[CAREA]]</f>
        <v>0.10084567644579394</v>
      </c>
      <c r="AJ186">
        <v>2.3684599999999998</v>
      </c>
      <c r="AK186">
        <f>-(Table8[[#This Row],[time]]-2)*2</f>
        <v>-0.73691999999999958</v>
      </c>
      <c r="AL186">
        <v>83.032899999999998</v>
      </c>
      <c r="AM186">
        <v>35.961500000000001</v>
      </c>
      <c r="AN186">
        <f>Table8[[#This Row],[CFNM]]/Table8[[#This Row],[CAREA]]</f>
        <v>0.43309940999290647</v>
      </c>
    </row>
    <row r="187" spans="1:40" x14ac:dyDescent="0.25">
      <c r="A187">
        <v>2.4278300000000002</v>
      </c>
      <c r="B187">
        <f>-(Table1291[[#This Row],[time]]-2)*2</f>
        <v>-0.85566000000000031</v>
      </c>
      <c r="C187">
        <v>73.891900000000007</v>
      </c>
      <c r="D187">
        <v>0.19118199999999999</v>
      </c>
      <c r="E187">
        <f>Table1291[[#This Row],[CFNM]]/Table1291[[#This Row],[CAREA]]</f>
        <v>2.5873201257512659E-3</v>
      </c>
      <c r="F187">
        <v>2.4278300000000002</v>
      </c>
      <c r="G187">
        <f>-(Table2292[[#This Row],[time]]-2)*2</f>
        <v>-0.85566000000000031</v>
      </c>
      <c r="H187">
        <v>86.047799999999995</v>
      </c>
      <c r="I187">
        <v>27.0486</v>
      </c>
      <c r="J187">
        <f>Table2292[[#This Row],[CFNM]]/Table2292[[#This Row],[CAREA]]</f>
        <v>0.31434388793205637</v>
      </c>
      <c r="K187">
        <v>2.4278300000000002</v>
      </c>
      <c r="L187">
        <f>-(Table3293[[#This Row],[time]]-2)*2</f>
        <v>-0.85566000000000031</v>
      </c>
      <c r="M187">
        <v>67.806100000000001</v>
      </c>
      <c r="N187">
        <v>1.6938999999999999E-3</v>
      </c>
      <c r="O187">
        <f>Table3293[[#This Row],[CFNM]]/Table3293[[#This Row],[CAREA]]</f>
        <v>2.4981528210588723E-5</v>
      </c>
      <c r="P187">
        <v>2.4278300000000002</v>
      </c>
      <c r="Q187">
        <f>-(Table4294[[#This Row],[time]]-2)*2</f>
        <v>-0.85566000000000031</v>
      </c>
      <c r="R187">
        <v>77.936300000000003</v>
      </c>
      <c r="S187">
        <v>25.965299999999999</v>
      </c>
      <c r="T187">
        <f>Table4294[[#This Row],[CFNM]]/Table4294[[#This Row],[CAREA]]</f>
        <v>0.33316054264829098</v>
      </c>
      <c r="U187">
        <v>2.4278300000000002</v>
      </c>
      <c r="V187">
        <f>-(Table5295[[#This Row],[time]]-2)*2</f>
        <v>-0.85566000000000031</v>
      </c>
      <c r="W187">
        <v>83.183899999999994</v>
      </c>
      <c r="X187">
        <v>4.1208399999999997E-3</v>
      </c>
      <c r="Y187">
        <f>Table5295[[#This Row],[CFNM]]/Table5295[[#This Row],[CAREA]]</f>
        <v>4.9538913179112784E-5</v>
      </c>
      <c r="Z187">
        <v>2.4278300000000002</v>
      </c>
      <c r="AA187">
        <f>-(Table6296[[#This Row],[time]]-2)*2</f>
        <v>-0.85566000000000031</v>
      </c>
      <c r="AB187">
        <v>79.418300000000002</v>
      </c>
      <c r="AC187">
        <v>25.584499999999998</v>
      </c>
      <c r="AD187">
        <f>Table6296[[#This Row],[CFNM]]/Table6296[[#This Row],[CAREA]]</f>
        <v>0.32214867354249582</v>
      </c>
      <c r="AE187">
        <v>2.4278300000000002</v>
      </c>
      <c r="AF187">
        <f>-(Table7297[[#This Row],[time]]-2)*2</f>
        <v>-0.85566000000000031</v>
      </c>
      <c r="AG187">
        <v>77.949399999999997</v>
      </c>
      <c r="AH187">
        <v>7.1096899999999996</v>
      </c>
      <c r="AI187">
        <f>Table7297[[#This Row],[CFNM]]/Table7297[[#This Row],[CAREA]]</f>
        <v>9.1209040736683025E-2</v>
      </c>
      <c r="AJ187">
        <v>2.4278300000000002</v>
      </c>
      <c r="AK187">
        <f>-(Table8[[#This Row],[time]]-2)*2</f>
        <v>-0.85566000000000031</v>
      </c>
      <c r="AL187">
        <v>83.087800000000001</v>
      </c>
      <c r="AM187">
        <v>37.7331</v>
      </c>
      <c r="AN187">
        <f>Table8[[#This Row],[CFNM]]/Table8[[#This Row],[CAREA]]</f>
        <v>0.45413526414226879</v>
      </c>
    </row>
    <row r="188" spans="1:40" x14ac:dyDescent="0.25">
      <c r="A188">
        <v>2.4542000000000002</v>
      </c>
      <c r="B188">
        <f>-(Table1291[[#This Row],[time]]-2)*2</f>
        <v>-0.90840000000000032</v>
      </c>
      <c r="C188">
        <v>72.109800000000007</v>
      </c>
      <c r="D188">
        <v>3.0090400000000002E-3</v>
      </c>
      <c r="E188">
        <f>Table1291[[#This Row],[CFNM]]/Table1291[[#This Row],[CAREA]]</f>
        <v>4.1728586128376443E-5</v>
      </c>
      <c r="F188">
        <v>2.4542000000000002</v>
      </c>
      <c r="G188">
        <f>-(Table2292[[#This Row],[time]]-2)*2</f>
        <v>-0.90840000000000032</v>
      </c>
      <c r="H188">
        <v>85.004300000000001</v>
      </c>
      <c r="I188">
        <v>29.323899999999998</v>
      </c>
      <c r="J188">
        <f>Table2292[[#This Row],[CFNM]]/Table2292[[#This Row],[CAREA]]</f>
        <v>0.34496960741985994</v>
      </c>
      <c r="K188">
        <v>2.4542000000000002</v>
      </c>
      <c r="L188">
        <f>-(Table3293[[#This Row],[time]]-2)*2</f>
        <v>-0.90840000000000032</v>
      </c>
      <c r="M188">
        <v>62.883000000000003</v>
      </c>
      <c r="N188">
        <v>1.51432E-3</v>
      </c>
      <c r="O188">
        <f>Table3293[[#This Row],[CFNM]]/Table3293[[#This Row],[CAREA]]</f>
        <v>2.4081548272188032E-5</v>
      </c>
      <c r="P188">
        <v>2.4542000000000002</v>
      </c>
      <c r="Q188">
        <f>-(Table4294[[#This Row],[time]]-2)*2</f>
        <v>-0.90840000000000032</v>
      </c>
      <c r="R188">
        <v>77.3185</v>
      </c>
      <c r="S188">
        <v>28.243400000000001</v>
      </c>
      <c r="T188">
        <f>Table4294[[#This Row],[CFNM]]/Table4294[[#This Row],[CAREA]]</f>
        <v>0.36528644502932678</v>
      </c>
      <c r="U188">
        <v>2.4542000000000002</v>
      </c>
      <c r="V188">
        <f>-(Table5295[[#This Row],[time]]-2)*2</f>
        <v>-0.90840000000000032</v>
      </c>
      <c r="W188">
        <v>82.870199999999997</v>
      </c>
      <c r="X188">
        <v>3.9485199999999996E-3</v>
      </c>
      <c r="Y188">
        <f>Table5295[[#This Row],[CFNM]]/Table5295[[#This Row],[CAREA]]</f>
        <v>4.7647043207329051E-5</v>
      </c>
      <c r="Z188">
        <v>2.4542000000000002</v>
      </c>
      <c r="AA188">
        <f>-(Table6296[[#This Row],[time]]-2)*2</f>
        <v>-0.90840000000000032</v>
      </c>
      <c r="AB188">
        <v>78.498400000000004</v>
      </c>
      <c r="AC188">
        <v>27.922999999999998</v>
      </c>
      <c r="AD188">
        <f>Table6296[[#This Row],[CFNM]]/Table6296[[#This Row],[CAREA]]</f>
        <v>0.35571425659631273</v>
      </c>
      <c r="AE188">
        <v>2.4542000000000002</v>
      </c>
      <c r="AF188">
        <f>-(Table7297[[#This Row],[time]]-2)*2</f>
        <v>-0.90840000000000032</v>
      </c>
      <c r="AG188">
        <v>77.149600000000007</v>
      </c>
      <c r="AH188">
        <v>6.1945300000000003</v>
      </c>
      <c r="AI188">
        <f>Table7297[[#This Row],[CFNM]]/Table7297[[#This Row],[CAREA]]</f>
        <v>8.0292444808527846E-2</v>
      </c>
      <c r="AJ188">
        <v>2.4542000000000002</v>
      </c>
      <c r="AK188">
        <f>-(Table8[[#This Row],[time]]-2)*2</f>
        <v>-0.90840000000000032</v>
      </c>
      <c r="AL188">
        <v>82.999300000000005</v>
      </c>
      <c r="AM188">
        <v>39.929000000000002</v>
      </c>
      <c r="AN188">
        <f>Table8[[#This Row],[CFNM]]/Table8[[#This Row],[CAREA]]</f>
        <v>0.48107634642701808</v>
      </c>
    </row>
    <row r="189" spans="1:40" x14ac:dyDescent="0.25">
      <c r="A189">
        <v>2.5061499999999999</v>
      </c>
      <c r="B189">
        <f>-(Table1291[[#This Row],[time]]-2)*2</f>
        <v>-1.0122999999999998</v>
      </c>
      <c r="C189">
        <v>69.784000000000006</v>
      </c>
      <c r="D189">
        <v>2.4976899999999999E-3</v>
      </c>
      <c r="E189">
        <f>Table1291[[#This Row],[CFNM]]/Table1291[[#This Row],[CAREA]]</f>
        <v>3.5791728763040233E-5</v>
      </c>
      <c r="F189">
        <v>2.5061499999999999</v>
      </c>
      <c r="G189">
        <f>-(Table2292[[#This Row],[time]]-2)*2</f>
        <v>-1.0122999999999998</v>
      </c>
      <c r="H189">
        <v>84.139799999999994</v>
      </c>
      <c r="I189">
        <v>31.383500000000002</v>
      </c>
      <c r="J189">
        <f>Table2292[[#This Row],[CFNM]]/Table2292[[#This Row],[CAREA]]</f>
        <v>0.37299232943268235</v>
      </c>
      <c r="K189">
        <v>2.5061499999999999</v>
      </c>
      <c r="L189">
        <f>-(Table3293[[#This Row],[time]]-2)*2</f>
        <v>-1.0122999999999998</v>
      </c>
      <c r="M189">
        <v>61.382199999999997</v>
      </c>
      <c r="N189">
        <v>1.3544200000000001E-3</v>
      </c>
      <c r="O189">
        <f>Table3293[[#This Row],[CFNM]]/Table3293[[#This Row],[CAREA]]</f>
        <v>2.2065354451290441E-5</v>
      </c>
      <c r="P189">
        <v>2.5061499999999999</v>
      </c>
      <c r="Q189">
        <f>-(Table4294[[#This Row],[time]]-2)*2</f>
        <v>-1.0122999999999998</v>
      </c>
      <c r="R189">
        <v>76.639499999999998</v>
      </c>
      <c r="S189">
        <v>30.404800000000002</v>
      </c>
      <c r="T189">
        <f>Table4294[[#This Row],[CFNM]]/Table4294[[#This Row],[CAREA]]</f>
        <v>0.39672492644132595</v>
      </c>
      <c r="U189">
        <v>2.5061499999999999</v>
      </c>
      <c r="V189">
        <f>-(Table5295[[#This Row],[time]]-2)*2</f>
        <v>-1.0122999999999998</v>
      </c>
      <c r="W189">
        <v>82.551699999999997</v>
      </c>
      <c r="X189">
        <v>3.77306E-3</v>
      </c>
      <c r="Y189">
        <f>Table5295[[#This Row],[CFNM]]/Table5295[[#This Row],[CAREA]]</f>
        <v>4.5705418543773177E-5</v>
      </c>
      <c r="Z189">
        <v>2.5061499999999999</v>
      </c>
      <c r="AA189">
        <f>-(Table6296[[#This Row],[time]]-2)*2</f>
        <v>-1.0122999999999998</v>
      </c>
      <c r="AB189">
        <v>77.524100000000004</v>
      </c>
      <c r="AC189">
        <v>30.1907</v>
      </c>
      <c r="AD189">
        <f>Table6296[[#This Row],[CFNM]]/Table6296[[#This Row],[CAREA]]</f>
        <v>0.38943631722264427</v>
      </c>
      <c r="AE189">
        <v>2.5061499999999999</v>
      </c>
      <c r="AF189">
        <f>-(Table7297[[#This Row],[time]]-2)*2</f>
        <v>-1.0122999999999998</v>
      </c>
      <c r="AG189">
        <v>76.4619</v>
      </c>
      <c r="AH189">
        <v>5.37453</v>
      </c>
      <c r="AI189">
        <f>Table7297[[#This Row],[CFNM]]/Table7297[[#This Row],[CAREA]]</f>
        <v>7.0290301444248707E-2</v>
      </c>
      <c r="AJ189">
        <v>2.5061499999999999</v>
      </c>
      <c r="AK189">
        <f>-(Table8[[#This Row],[time]]-2)*2</f>
        <v>-1.0122999999999998</v>
      </c>
      <c r="AL189">
        <v>83.088499999999996</v>
      </c>
      <c r="AM189">
        <v>42.048200000000001</v>
      </c>
      <c r="AN189">
        <f>Table8[[#This Row],[CFNM]]/Table8[[#This Row],[CAREA]]</f>
        <v>0.50606521961522954</v>
      </c>
    </row>
    <row r="190" spans="1:40" x14ac:dyDescent="0.25">
      <c r="A190">
        <v>2.5507599999999999</v>
      </c>
      <c r="B190">
        <f>-(Table1291[[#This Row],[time]]-2)*2</f>
        <v>-1.1015199999999998</v>
      </c>
      <c r="C190">
        <v>67.401499999999999</v>
      </c>
      <c r="D190">
        <v>2.2699500000000002E-3</v>
      </c>
      <c r="E190">
        <f>Table1291[[#This Row],[CFNM]]/Table1291[[#This Row],[CAREA]]</f>
        <v>3.3678033871649746E-5</v>
      </c>
      <c r="F190">
        <v>2.5507599999999999</v>
      </c>
      <c r="G190">
        <f>-(Table2292[[#This Row],[time]]-2)*2</f>
        <v>-1.1015199999999998</v>
      </c>
      <c r="H190">
        <v>83.109300000000005</v>
      </c>
      <c r="I190">
        <v>33.972200000000001</v>
      </c>
      <c r="J190">
        <f>Table2292[[#This Row],[CFNM]]/Table2292[[#This Row],[CAREA]]</f>
        <v>0.40876532469892057</v>
      </c>
      <c r="K190">
        <v>2.5507599999999999</v>
      </c>
      <c r="L190">
        <f>-(Table3293[[#This Row],[time]]-2)*2</f>
        <v>-1.1015199999999998</v>
      </c>
      <c r="M190">
        <v>57.36</v>
      </c>
      <c r="N190">
        <v>1.1685199999999999E-3</v>
      </c>
      <c r="O190">
        <f>Table3293[[#This Row],[CFNM]]/Table3293[[#This Row],[CAREA]]</f>
        <v>2.0371687587168756E-5</v>
      </c>
      <c r="P190">
        <v>2.5507599999999999</v>
      </c>
      <c r="Q190">
        <f>-(Table4294[[#This Row],[time]]-2)*2</f>
        <v>-1.1015199999999998</v>
      </c>
      <c r="R190">
        <v>75.766900000000007</v>
      </c>
      <c r="S190">
        <v>33.128</v>
      </c>
      <c r="T190">
        <f>Table4294[[#This Row],[CFNM]]/Table4294[[#This Row],[CAREA]]</f>
        <v>0.43723578501957977</v>
      </c>
      <c r="U190">
        <v>2.5507599999999999</v>
      </c>
      <c r="V190">
        <f>-(Table5295[[#This Row],[time]]-2)*2</f>
        <v>-1.1015199999999998</v>
      </c>
      <c r="W190">
        <v>81.935100000000006</v>
      </c>
      <c r="X190">
        <v>3.5496600000000001E-3</v>
      </c>
      <c r="Y190">
        <f>Table5295[[#This Row],[CFNM]]/Table5295[[#This Row],[CAREA]]</f>
        <v>4.3322825016384917E-5</v>
      </c>
      <c r="Z190">
        <v>2.5507599999999999</v>
      </c>
      <c r="AA190">
        <f>-(Table6296[[#This Row],[time]]-2)*2</f>
        <v>-1.1015199999999998</v>
      </c>
      <c r="AB190">
        <v>76.736400000000003</v>
      </c>
      <c r="AC190">
        <v>33.0261</v>
      </c>
      <c r="AD190">
        <f>Table6296[[#This Row],[CFNM]]/Table6296[[#This Row],[CAREA]]</f>
        <v>0.43038375529735562</v>
      </c>
      <c r="AE190">
        <v>2.5507599999999999</v>
      </c>
      <c r="AF190">
        <f>-(Table7297[[#This Row],[time]]-2)*2</f>
        <v>-1.1015199999999998</v>
      </c>
      <c r="AG190">
        <v>75.5642</v>
      </c>
      <c r="AH190">
        <v>4.3936400000000004</v>
      </c>
      <c r="AI190">
        <f>Table7297[[#This Row],[CFNM]]/Table7297[[#This Row],[CAREA]]</f>
        <v>5.8144465236183281E-2</v>
      </c>
      <c r="AJ190">
        <v>2.5507599999999999</v>
      </c>
      <c r="AK190">
        <f>-(Table8[[#This Row],[time]]-2)*2</f>
        <v>-1.1015199999999998</v>
      </c>
      <c r="AL190">
        <v>83.111999999999995</v>
      </c>
      <c r="AM190">
        <v>44.8033</v>
      </c>
      <c r="AN190">
        <f>Table8[[#This Row],[CFNM]]/Table8[[#This Row],[CAREA]]</f>
        <v>0.53907137356819712</v>
      </c>
    </row>
    <row r="191" spans="1:40" x14ac:dyDescent="0.25">
      <c r="A191">
        <v>2.60453</v>
      </c>
      <c r="B191">
        <f>-(Table1291[[#This Row],[time]]-2)*2</f>
        <v>-1.20906</v>
      </c>
      <c r="C191">
        <v>65.215699999999998</v>
      </c>
      <c r="D191">
        <v>2.0817100000000001E-3</v>
      </c>
      <c r="E191">
        <f>Table1291[[#This Row],[CFNM]]/Table1291[[#This Row],[CAREA]]</f>
        <v>3.1920381135217441E-5</v>
      </c>
      <c r="F191">
        <v>2.60453</v>
      </c>
      <c r="G191">
        <f>-(Table2292[[#This Row],[time]]-2)*2</f>
        <v>-1.20906</v>
      </c>
      <c r="H191">
        <v>82.229600000000005</v>
      </c>
      <c r="I191">
        <v>36.032499999999999</v>
      </c>
      <c r="J191">
        <f>Table2292[[#This Row],[CFNM]]/Table2292[[#This Row],[CAREA]]</f>
        <v>0.43819378909784307</v>
      </c>
      <c r="K191">
        <v>2.60453</v>
      </c>
      <c r="L191">
        <f>-(Table3293[[#This Row],[time]]-2)*2</f>
        <v>-1.20906</v>
      </c>
      <c r="M191">
        <v>55.447800000000001</v>
      </c>
      <c r="N191">
        <v>1.0293500000000001E-3</v>
      </c>
      <c r="O191">
        <f>Table3293[[#This Row],[CFNM]]/Table3293[[#This Row],[CAREA]]</f>
        <v>1.8564307330498236E-5</v>
      </c>
      <c r="P191">
        <v>2.60453</v>
      </c>
      <c r="Q191">
        <f>-(Table4294[[#This Row],[time]]-2)*2</f>
        <v>-1.20906</v>
      </c>
      <c r="R191">
        <v>75.045400000000001</v>
      </c>
      <c r="S191">
        <v>35.380899999999997</v>
      </c>
      <c r="T191">
        <f>Table4294[[#This Row],[CFNM]]/Table4294[[#This Row],[CAREA]]</f>
        <v>0.47145994291455567</v>
      </c>
      <c r="U191">
        <v>2.60453</v>
      </c>
      <c r="V191">
        <f>-(Table5295[[#This Row],[time]]-2)*2</f>
        <v>-1.20906</v>
      </c>
      <c r="W191">
        <v>81.3262</v>
      </c>
      <c r="X191">
        <v>3.3710699999999999E-3</v>
      </c>
      <c r="Y191">
        <f>Table5295[[#This Row],[CFNM]]/Table5295[[#This Row],[CAREA]]</f>
        <v>4.14512174428413E-5</v>
      </c>
      <c r="Z191">
        <v>2.60453</v>
      </c>
      <c r="AA191">
        <f>-(Table6296[[#This Row],[time]]-2)*2</f>
        <v>-1.20906</v>
      </c>
      <c r="AB191">
        <v>75.694000000000003</v>
      </c>
      <c r="AC191">
        <v>35.354599999999998</v>
      </c>
      <c r="AD191">
        <f>Table6296[[#This Row],[CFNM]]/Table6296[[#This Row],[CAREA]]</f>
        <v>0.46707268739926544</v>
      </c>
      <c r="AE191">
        <v>2.60453</v>
      </c>
      <c r="AF191">
        <f>-(Table7297[[#This Row],[time]]-2)*2</f>
        <v>-1.20906</v>
      </c>
      <c r="AG191">
        <v>74.734200000000001</v>
      </c>
      <c r="AH191">
        <v>3.66777</v>
      </c>
      <c r="AI191">
        <f>Table7297[[#This Row],[CFNM]]/Table7297[[#This Row],[CAREA]]</f>
        <v>4.9077530769045495E-2</v>
      </c>
      <c r="AJ191">
        <v>2.60453</v>
      </c>
      <c r="AK191">
        <f>-(Table8[[#This Row],[time]]-2)*2</f>
        <v>-1.20906</v>
      </c>
      <c r="AL191">
        <v>82.4208</v>
      </c>
      <c r="AM191">
        <v>47.132199999999997</v>
      </c>
      <c r="AN191">
        <f>Table8[[#This Row],[CFNM]]/Table8[[#This Row],[CAREA]]</f>
        <v>0.57184836837303199</v>
      </c>
    </row>
    <row r="192" spans="1:40" x14ac:dyDescent="0.25">
      <c r="A192">
        <v>2.65273</v>
      </c>
      <c r="B192">
        <f>-(Table1291[[#This Row],[time]]-2)*2</f>
        <v>-1.3054600000000001</v>
      </c>
      <c r="C192">
        <v>61.984499999999997</v>
      </c>
      <c r="D192">
        <v>1.9492800000000001E-3</v>
      </c>
      <c r="E192">
        <f>Table1291[[#This Row],[CFNM]]/Table1291[[#This Row],[CAREA]]</f>
        <v>3.1447861965491373E-5</v>
      </c>
      <c r="F192">
        <v>2.65273</v>
      </c>
      <c r="G192">
        <f>-(Table2292[[#This Row],[time]]-2)*2</f>
        <v>-1.3054600000000001</v>
      </c>
      <c r="H192">
        <v>81.625699999999995</v>
      </c>
      <c r="I192">
        <v>37.435899999999997</v>
      </c>
      <c r="J192">
        <f>Table2292[[#This Row],[CFNM]]/Table2292[[#This Row],[CAREA]]</f>
        <v>0.45862883871133725</v>
      </c>
      <c r="K192">
        <v>2.65273</v>
      </c>
      <c r="L192">
        <f>-(Table3293[[#This Row],[time]]-2)*2</f>
        <v>-1.3054600000000001</v>
      </c>
      <c r="M192">
        <v>52.201000000000001</v>
      </c>
      <c r="N192">
        <v>9.3644900000000001E-4</v>
      </c>
      <c r="O192">
        <f>Table3293[[#This Row],[CFNM]]/Table3293[[#This Row],[CAREA]]</f>
        <v>1.793929235072125E-5</v>
      </c>
      <c r="P192">
        <v>2.65273</v>
      </c>
      <c r="Q192">
        <f>-(Table4294[[#This Row],[time]]-2)*2</f>
        <v>-1.3054600000000001</v>
      </c>
      <c r="R192">
        <v>74.522199999999998</v>
      </c>
      <c r="S192">
        <v>36.944200000000002</v>
      </c>
      <c r="T192">
        <f>Table4294[[#This Row],[CFNM]]/Table4294[[#This Row],[CAREA]]</f>
        <v>0.49574757589013746</v>
      </c>
      <c r="U192">
        <v>2.65273</v>
      </c>
      <c r="V192">
        <f>-(Table5295[[#This Row],[time]]-2)*2</f>
        <v>-1.3054600000000001</v>
      </c>
      <c r="W192">
        <v>80.559700000000007</v>
      </c>
      <c r="X192">
        <v>3.2471599999999998E-3</v>
      </c>
      <c r="Y192">
        <f>Table5295[[#This Row],[CFNM]]/Table5295[[#This Row],[CAREA]]</f>
        <v>4.0307498662482602E-5</v>
      </c>
      <c r="Z192">
        <v>2.65273</v>
      </c>
      <c r="AA192">
        <f>-(Table6296[[#This Row],[time]]-2)*2</f>
        <v>-1.3054600000000001</v>
      </c>
      <c r="AB192">
        <v>74.625200000000007</v>
      </c>
      <c r="AC192">
        <v>36.996499999999997</v>
      </c>
      <c r="AD192">
        <f>Table6296[[#This Row],[CFNM]]/Table6296[[#This Row],[CAREA]]</f>
        <v>0.49576416545617291</v>
      </c>
      <c r="AE192">
        <v>2.65273</v>
      </c>
      <c r="AF192">
        <f>-(Table7297[[#This Row],[time]]-2)*2</f>
        <v>-1.3054600000000001</v>
      </c>
      <c r="AG192">
        <v>74.199100000000001</v>
      </c>
      <c r="AH192">
        <v>3.1723499999999998</v>
      </c>
      <c r="AI192">
        <f>Table7297[[#This Row],[CFNM]]/Table7297[[#This Row],[CAREA]]</f>
        <v>4.2754561713012687E-2</v>
      </c>
      <c r="AJ192">
        <v>2.65273</v>
      </c>
      <c r="AK192">
        <f>-(Table8[[#This Row],[time]]-2)*2</f>
        <v>-1.3054600000000001</v>
      </c>
      <c r="AL192">
        <v>82.313999999999993</v>
      </c>
      <c r="AM192">
        <v>48.740400000000001</v>
      </c>
      <c r="AN192">
        <f>Table8[[#This Row],[CFNM]]/Table8[[#This Row],[CAREA]]</f>
        <v>0.59212770610102783</v>
      </c>
    </row>
    <row r="193" spans="1:40" x14ac:dyDescent="0.25">
      <c r="A193">
        <v>2.7006199999999998</v>
      </c>
      <c r="B193">
        <f>-(Table1291[[#This Row],[time]]-2)*2</f>
        <v>-1.4012399999999996</v>
      </c>
      <c r="C193">
        <v>59.4024</v>
      </c>
      <c r="D193">
        <v>1.77793E-3</v>
      </c>
      <c r="E193">
        <f>Table1291[[#This Row],[CFNM]]/Table1291[[#This Row],[CAREA]]</f>
        <v>2.9930272177555118E-5</v>
      </c>
      <c r="F193">
        <v>2.7006199999999998</v>
      </c>
      <c r="G193">
        <f>-(Table2292[[#This Row],[time]]-2)*2</f>
        <v>-1.4012399999999996</v>
      </c>
      <c r="H193">
        <v>80.879900000000006</v>
      </c>
      <c r="I193">
        <v>39.2301</v>
      </c>
      <c r="J193">
        <f>Table2292[[#This Row],[CFNM]]/Table2292[[#This Row],[CAREA]]</f>
        <v>0.48504140089193976</v>
      </c>
      <c r="K193">
        <v>2.7006199999999998</v>
      </c>
      <c r="L193">
        <f>-(Table3293[[#This Row],[time]]-2)*2</f>
        <v>-1.4012399999999996</v>
      </c>
      <c r="M193">
        <v>49.909599999999998</v>
      </c>
      <c r="N193">
        <v>8.2004599999999995E-4</v>
      </c>
      <c r="O193">
        <f>Table3293[[#This Row],[CFNM]]/Table3293[[#This Row],[CAREA]]</f>
        <v>1.6430626572843703E-5</v>
      </c>
      <c r="P193">
        <v>2.7006199999999998</v>
      </c>
      <c r="Q193">
        <f>-(Table4294[[#This Row],[time]]-2)*2</f>
        <v>-1.4012399999999996</v>
      </c>
      <c r="R193">
        <v>73.819000000000003</v>
      </c>
      <c r="S193">
        <v>38.915300000000002</v>
      </c>
      <c r="T193">
        <f>Table4294[[#This Row],[CFNM]]/Table4294[[#This Row],[CAREA]]</f>
        <v>0.52717186632167867</v>
      </c>
      <c r="U193">
        <v>2.7006199999999998</v>
      </c>
      <c r="V193">
        <f>-(Table5295[[#This Row],[time]]-2)*2</f>
        <v>-1.4012399999999996</v>
      </c>
      <c r="W193">
        <v>80.159000000000006</v>
      </c>
      <c r="X193">
        <v>3.0834399999999998E-3</v>
      </c>
      <c r="Y193">
        <f>Table5295[[#This Row],[CFNM]]/Table5295[[#This Row],[CAREA]]</f>
        <v>3.8466547736373951E-5</v>
      </c>
      <c r="Z193">
        <v>2.7006199999999998</v>
      </c>
      <c r="AA193">
        <f>-(Table6296[[#This Row],[time]]-2)*2</f>
        <v>-1.4012399999999996</v>
      </c>
      <c r="AB193">
        <v>73.91</v>
      </c>
      <c r="AC193">
        <v>39.1175</v>
      </c>
      <c r="AD193">
        <f>Table6296[[#This Row],[CFNM]]/Table6296[[#This Row],[CAREA]]</f>
        <v>0.52925855770531727</v>
      </c>
      <c r="AE193">
        <v>2.7006199999999998</v>
      </c>
      <c r="AF193">
        <f>-(Table7297[[#This Row],[time]]-2)*2</f>
        <v>-1.4012399999999996</v>
      </c>
      <c r="AG193">
        <v>73.553799999999995</v>
      </c>
      <c r="AH193">
        <v>2.5326599999999999</v>
      </c>
      <c r="AI193">
        <f>Table7297[[#This Row],[CFNM]]/Table7297[[#This Row],[CAREA]]</f>
        <v>3.4432755343707599E-2</v>
      </c>
      <c r="AJ193">
        <v>2.7006199999999998</v>
      </c>
      <c r="AK193">
        <f>-(Table8[[#This Row],[time]]-2)*2</f>
        <v>-1.4012399999999996</v>
      </c>
      <c r="AL193">
        <v>82.181299999999993</v>
      </c>
      <c r="AM193">
        <v>50.8063</v>
      </c>
      <c r="AN193">
        <f>Table8[[#This Row],[CFNM]]/Table8[[#This Row],[CAREA]]</f>
        <v>0.61822215029453176</v>
      </c>
    </row>
    <row r="194" spans="1:40" x14ac:dyDescent="0.25">
      <c r="A194">
        <v>2.75176</v>
      </c>
      <c r="B194">
        <f>-(Table1291[[#This Row],[time]]-2)*2</f>
        <v>-1.50352</v>
      </c>
      <c r="C194">
        <v>55.181100000000001</v>
      </c>
      <c r="D194">
        <v>1.6168700000000001E-3</v>
      </c>
      <c r="E194">
        <f>Table1291[[#This Row],[CFNM]]/Table1291[[#This Row],[CAREA]]</f>
        <v>2.9301155649307461E-5</v>
      </c>
      <c r="F194">
        <v>2.75176</v>
      </c>
      <c r="G194">
        <f>-(Table2292[[#This Row],[time]]-2)*2</f>
        <v>-1.50352</v>
      </c>
      <c r="H194">
        <v>80.148499999999999</v>
      </c>
      <c r="I194">
        <v>40.974499999999999</v>
      </c>
      <c r="J194">
        <f>Table2292[[#This Row],[CFNM]]/Table2292[[#This Row],[CAREA]]</f>
        <v>0.51123227508936542</v>
      </c>
      <c r="K194">
        <v>2.75176</v>
      </c>
      <c r="L194">
        <f>-(Table3293[[#This Row],[time]]-2)*2</f>
        <v>-1.50352</v>
      </c>
      <c r="M194">
        <v>48.748600000000003</v>
      </c>
      <c r="N194">
        <v>7.0605099999999997E-4</v>
      </c>
      <c r="O194">
        <f>Table3293[[#This Row],[CFNM]]/Table3293[[#This Row],[CAREA]]</f>
        <v>1.4483513372691727E-5</v>
      </c>
      <c r="P194">
        <v>2.75176</v>
      </c>
      <c r="Q194">
        <f>-(Table4294[[#This Row],[time]]-2)*2</f>
        <v>-1.50352</v>
      </c>
      <c r="R194">
        <v>73.128399999999999</v>
      </c>
      <c r="S194">
        <v>40.836799999999997</v>
      </c>
      <c r="T194">
        <f>Table4294[[#This Row],[CFNM]]/Table4294[[#This Row],[CAREA]]</f>
        <v>0.55842600138933707</v>
      </c>
      <c r="U194">
        <v>2.75176</v>
      </c>
      <c r="V194">
        <f>-(Table5295[[#This Row],[time]]-2)*2</f>
        <v>-1.50352</v>
      </c>
      <c r="W194">
        <v>79.710599999999999</v>
      </c>
      <c r="X194">
        <v>2.9143699999999999E-3</v>
      </c>
      <c r="Y194">
        <f>Table5295[[#This Row],[CFNM]]/Table5295[[#This Row],[CAREA]]</f>
        <v>3.6561887628496086E-5</v>
      </c>
      <c r="Z194">
        <v>2.75176</v>
      </c>
      <c r="AA194">
        <f>-(Table6296[[#This Row],[time]]-2)*2</f>
        <v>-1.50352</v>
      </c>
      <c r="AB194">
        <v>73.105900000000005</v>
      </c>
      <c r="AC194">
        <v>41.219299999999997</v>
      </c>
      <c r="AD194">
        <f>Table6296[[#This Row],[CFNM]]/Table6296[[#This Row],[CAREA]]</f>
        <v>0.56383000551255091</v>
      </c>
      <c r="AE194">
        <v>2.75176</v>
      </c>
      <c r="AF194">
        <f>-(Table7297[[#This Row],[time]]-2)*2</f>
        <v>-1.50352</v>
      </c>
      <c r="AG194">
        <v>72.919300000000007</v>
      </c>
      <c r="AH194">
        <v>2.00664</v>
      </c>
      <c r="AI194">
        <f>Table7297[[#This Row],[CFNM]]/Table7297[[#This Row],[CAREA]]</f>
        <v>2.7518640469669894E-2</v>
      </c>
      <c r="AJ194">
        <v>2.75176</v>
      </c>
      <c r="AK194">
        <f>-(Table8[[#This Row],[time]]-2)*2</f>
        <v>-1.50352</v>
      </c>
      <c r="AL194">
        <v>82.075900000000004</v>
      </c>
      <c r="AM194">
        <v>52.812100000000001</v>
      </c>
      <c r="AN194">
        <f>Table8[[#This Row],[CFNM]]/Table8[[#This Row],[CAREA]]</f>
        <v>0.6434544123183541</v>
      </c>
    </row>
    <row r="195" spans="1:40" x14ac:dyDescent="0.25">
      <c r="A195">
        <v>2.80444</v>
      </c>
      <c r="B195">
        <f>-(Table1291[[#This Row],[time]]-2)*2</f>
        <v>-1.6088800000000001</v>
      </c>
      <c r="C195">
        <v>53.613500000000002</v>
      </c>
      <c r="D195">
        <v>1.4636600000000001E-3</v>
      </c>
      <c r="E195">
        <f>Table1291[[#This Row],[CFNM]]/Table1291[[#This Row],[CAREA]]</f>
        <v>2.7300213565613141E-5</v>
      </c>
      <c r="F195">
        <v>2.80444</v>
      </c>
      <c r="G195">
        <f>-(Table2292[[#This Row],[time]]-2)*2</f>
        <v>-1.6088800000000001</v>
      </c>
      <c r="H195">
        <v>79.443100000000001</v>
      </c>
      <c r="I195">
        <v>42.694200000000002</v>
      </c>
      <c r="J195">
        <f>Table2292[[#This Row],[CFNM]]/Table2292[[#This Row],[CAREA]]</f>
        <v>0.53741860526590735</v>
      </c>
      <c r="K195">
        <v>2.80444</v>
      </c>
      <c r="L195">
        <f>-(Table3293[[#This Row],[time]]-2)*2</f>
        <v>-1.6088800000000001</v>
      </c>
      <c r="M195">
        <v>42.024799999999999</v>
      </c>
      <c r="N195">
        <v>6.0162900000000001E-4</v>
      </c>
      <c r="O195">
        <f>Table3293[[#This Row],[CFNM]]/Table3293[[#This Row],[CAREA]]</f>
        <v>1.4316046715272887E-5</v>
      </c>
      <c r="P195">
        <v>2.80444</v>
      </c>
      <c r="Q195">
        <f>-(Table4294[[#This Row],[time]]-2)*2</f>
        <v>-1.6088800000000001</v>
      </c>
      <c r="R195">
        <v>72.4666</v>
      </c>
      <c r="S195">
        <v>42.668900000000001</v>
      </c>
      <c r="T195">
        <f>Table4294[[#This Row],[CFNM]]/Table4294[[#This Row],[CAREA]]</f>
        <v>0.58880780939080901</v>
      </c>
      <c r="U195">
        <v>2.80444</v>
      </c>
      <c r="V195">
        <f>-(Table5295[[#This Row],[time]]-2)*2</f>
        <v>-1.6088800000000001</v>
      </c>
      <c r="W195">
        <v>79.200500000000005</v>
      </c>
      <c r="X195">
        <v>2.73902E-3</v>
      </c>
      <c r="Y195">
        <f>Table5295[[#This Row],[CFNM]]/Table5295[[#This Row],[CAREA]]</f>
        <v>3.4583367529245391E-5</v>
      </c>
      <c r="Z195">
        <v>2.80444</v>
      </c>
      <c r="AA195">
        <f>-(Table6296[[#This Row],[time]]-2)*2</f>
        <v>-1.6088800000000001</v>
      </c>
      <c r="AB195">
        <v>72.290400000000005</v>
      </c>
      <c r="AC195">
        <v>43.338000000000001</v>
      </c>
      <c r="AD195">
        <f>Table6296[[#This Row],[CFNM]]/Table6296[[#This Row],[CAREA]]</f>
        <v>0.59949868862255562</v>
      </c>
      <c r="AE195">
        <v>2.80444</v>
      </c>
      <c r="AF195">
        <f>-(Table7297[[#This Row],[time]]-2)*2</f>
        <v>-1.6088800000000001</v>
      </c>
      <c r="AG195">
        <v>72.308700000000002</v>
      </c>
      <c r="AH195">
        <v>1.6151199999999999</v>
      </c>
      <c r="AI195">
        <f>Table7297[[#This Row],[CFNM]]/Table7297[[#This Row],[CAREA]]</f>
        <v>2.2336454672812537E-2</v>
      </c>
      <c r="AJ195">
        <v>2.80444</v>
      </c>
      <c r="AK195">
        <f>-(Table8[[#This Row],[time]]-2)*2</f>
        <v>-1.6088800000000001</v>
      </c>
      <c r="AL195">
        <v>82.1053</v>
      </c>
      <c r="AM195">
        <v>54.756999999999998</v>
      </c>
      <c r="AN195">
        <f>Table8[[#This Row],[CFNM]]/Table8[[#This Row],[CAREA]]</f>
        <v>0.66691188023184855</v>
      </c>
    </row>
    <row r="196" spans="1:40" x14ac:dyDescent="0.25">
      <c r="A196">
        <v>2.8583699999999999</v>
      </c>
      <c r="B196">
        <f>-(Table1291[[#This Row],[time]]-2)*2</f>
        <v>-1.7167399999999997</v>
      </c>
      <c r="C196">
        <v>50.4131</v>
      </c>
      <c r="D196">
        <v>1.31886E-3</v>
      </c>
      <c r="E196">
        <f>Table1291[[#This Row],[CFNM]]/Table1291[[#This Row],[CAREA]]</f>
        <v>2.6161057344222038E-5</v>
      </c>
      <c r="F196">
        <v>2.8583699999999999</v>
      </c>
      <c r="G196">
        <f>-(Table2292[[#This Row],[time]]-2)*2</f>
        <v>-1.7167399999999997</v>
      </c>
      <c r="H196">
        <v>78.742500000000007</v>
      </c>
      <c r="I196">
        <v>44.3855</v>
      </c>
      <c r="J196">
        <f>Table2292[[#This Row],[CFNM]]/Table2292[[#This Row],[CAREA]]</f>
        <v>0.56367908054735372</v>
      </c>
      <c r="K196">
        <v>2.8583699999999999</v>
      </c>
      <c r="L196">
        <f>-(Table3293[[#This Row],[time]]-2)*2</f>
        <v>-1.7167399999999997</v>
      </c>
      <c r="M196">
        <v>39.731499999999997</v>
      </c>
      <c r="N196">
        <v>5.0875699999999998E-4</v>
      </c>
      <c r="O196">
        <f>Table3293[[#This Row],[CFNM]]/Table3293[[#This Row],[CAREA]]</f>
        <v>1.2804877741842116E-5</v>
      </c>
      <c r="P196">
        <v>2.8583699999999999</v>
      </c>
      <c r="Q196">
        <f>-(Table4294[[#This Row],[time]]-2)*2</f>
        <v>-1.7167399999999997</v>
      </c>
      <c r="R196">
        <v>71.785300000000007</v>
      </c>
      <c r="S196">
        <v>44.436100000000003</v>
      </c>
      <c r="T196">
        <f>Table4294[[#This Row],[CFNM]]/Table4294[[#This Row],[CAREA]]</f>
        <v>0.61901392067735317</v>
      </c>
      <c r="U196">
        <v>2.8583699999999999</v>
      </c>
      <c r="V196">
        <f>-(Table5295[[#This Row],[time]]-2)*2</f>
        <v>-1.7167399999999997</v>
      </c>
      <c r="W196">
        <v>78.117400000000004</v>
      </c>
      <c r="X196">
        <v>2.56529E-3</v>
      </c>
      <c r="Y196">
        <f>Table5295[[#This Row],[CFNM]]/Table5295[[#This Row],[CAREA]]</f>
        <v>3.2838906568831011E-5</v>
      </c>
      <c r="Z196">
        <v>2.8583699999999999</v>
      </c>
      <c r="AA196">
        <f>-(Table6296[[#This Row],[time]]-2)*2</f>
        <v>-1.7167399999999997</v>
      </c>
      <c r="AB196">
        <v>71.833699999999993</v>
      </c>
      <c r="AC196">
        <v>45.429299999999998</v>
      </c>
      <c r="AD196">
        <f>Table6296[[#This Row],[CFNM]]/Table6296[[#This Row],[CAREA]]</f>
        <v>0.63242322196963263</v>
      </c>
      <c r="AE196">
        <v>2.8583699999999999</v>
      </c>
      <c r="AF196">
        <f>-(Table7297[[#This Row],[time]]-2)*2</f>
        <v>-1.7167399999999997</v>
      </c>
      <c r="AG196">
        <v>71.741399999999999</v>
      </c>
      <c r="AH196">
        <v>1.22061</v>
      </c>
      <c r="AI196">
        <f>Table7297[[#This Row],[CFNM]]/Table7297[[#This Row],[CAREA]]</f>
        <v>1.7014025374469971E-2</v>
      </c>
      <c r="AJ196">
        <v>2.8583699999999999</v>
      </c>
      <c r="AK196">
        <f>-(Table8[[#This Row],[time]]-2)*2</f>
        <v>-1.7167399999999997</v>
      </c>
      <c r="AL196">
        <v>81.951400000000007</v>
      </c>
      <c r="AM196">
        <v>56.670699999999997</v>
      </c>
      <c r="AN196">
        <f>Table8[[#This Row],[CFNM]]/Table8[[#This Row],[CAREA]]</f>
        <v>0.69151594725654464</v>
      </c>
    </row>
    <row r="197" spans="1:40" x14ac:dyDescent="0.25">
      <c r="A197">
        <v>2.9134199999999999</v>
      </c>
      <c r="B197">
        <f>-(Table1291[[#This Row],[time]]-2)*2</f>
        <v>-1.8268399999999998</v>
      </c>
      <c r="C197">
        <v>42.413800000000002</v>
      </c>
      <c r="D197">
        <v>1.1285399999999999E-3</v>
      </c>
      <c r="E197">
        <f>Table1291[[#This Row],[CFNM]]/Table1291[[#This Row],[CAREA]]</f>
        <v>2.6607849332057017E-5</v>
      </c>
      <c r="F197">
        <v>2.9134199999999999</v>
      </c>
      <c r="G197">
        <f>-(Table2292[[#This Row],[time]]-2)*2</f>
        <v>-1.8268399999999998</v>
      </c>
      <c r="H197">
        <v>77.709000000000003</v>
      </c>
      <c r="I197">
        <v>46.794800000000002</v>
      </c>
      <c r="J197">
        <f>Table2292[[#This Row],[CFNM]]/Table2292[[#This Row],[CAREA]]</f>
        <v>0.6021799276789046</v>
      </c>
      <c r="K197">
        <v>2.9134199999999999</v>
      </c>
      <c r="L197">
        <f>-(Table3293[[#This Row],[time]]-2)*2</f>
        <v>-1.8268399999999998</v>
      </c>
      <c r="M197">
        <v>35.793500000000002</v>
      </c>
      <c r="N197">
        <v>3.9009500000000003E-4</v>
      </c>
      <c r="O197">
        <f>Table3293[[#This Row],[CFNM]]/Table3293[[#This Row],[CAREA]]</f>
        <v>1.0898487155489125E-5</v>
      </c>
      <c r="P197">
        <v>2.9134199999999999</v>
      </c>
      <c r="Q197">
        <f>-(Table4294[[#This Row],[time]]-2)*2</f>
        <v>-1.8268399999999998</v>
      </c>
      <c r="R197">
        <v>70.897400000000005</v>
      </c>
      <c r="S197">
        <v>46.888599999999997</v>
      </c>
      <c r="T197">
        <f>Table4294[[#This Row],[CFNM]]/Table4294[[#This Row],[CAREA]]</f>
        <v>0.6613585265468126</v>
      </c>
      <c r="U197">
        <v>2.9134199999999999</v>
      </c>
      <c r="V197">
        <f>-(Table5295[[#This Row],[time]]-2)*2</f>
        <v>-1.8268399999999998</v>
      </c>
      <c r="W197">
        <v>76.588300000000004</v>
      </c>
      <c r="X197">
        <v>2.3194299999999999E-3</v>
      </c>
      <c r="Y197">
        <f>Table5295[[#This Row],[CFNM]]/Table5295[[#This Row],[CAREA]]</f>
        <v>3.0284390696751329E-5</v>
      </c>
      <c r="Z197">
        <v>2.9134199999999999</v>
      </c>
      <c r="AA197">
        <f>-(Table6296[[#This Row],[time]]-2)*2</f>
        <v>-1.8268399999999998</v>
      </c>
      <c r="AB197">
        <v>70.251599999999996</v>
      </c>
      <c r="AC197">
        <v>48.409399999999998</v>
      </c>
      <c r="AD197">
        <f>Table6296[[#This Row],[CFNM]]/Table6296[[#This Row],[CAREA]]</f>
        <v>0.68908608487208833</v>
      </c>
      <c r="AE197">
        <v>2.9134199999999999</v>
      </c>
      <c r="AF197">
        <f>-(Table7297[[#This Row],[time]]-2)*2</f>
        <v>-1.8268399999999998</v>
      </c>
      <c r="AG197">
        <v>71.035399999999996</v>
      </c>
      <c r="AH197">
        <v>0.72108700000000003</v>
      </c>
      <c r="AI197">
        <f>Table7297[[#This Row],[CFNM]]/Table7297[[#This Row],[CAREA]]</f>
        <v>1.0151093680052481E-2</v>
      </c>
      <c r="AJ197">
        <v>2.9134199999999999</v>
      </c>
      <c r="AK197">
        <f>-(Table8[[#This Row],[time]]-2)*2</f>
        <v>-1.8268399999999998</v>
      </c>
      <c r="AL197">
        <v>81.993899999999996</v>
      </c>
      <c r="AM197">
        <v>59.345700000000001</v>
      </c>
      <c r="AN197">
        <f>Table8[[#This Row],[CFNM]]/Table8[[#This Row],[CAREA]]</f>
        <v>0.72378189109189839</v>
      </c>
    </row>
    <row r="198" spans="1:40" x14ac:dyDescent="0.25">
      <c r="A198">
        <v>2.9619599999999999</v>
      </c>
      <c r="B198">
        <f>-(Table1291[[#This Row],[time]]-2)*2</f>
        <v>-1.9239199999999999</v>
      </c>
      <c r="C198">
        <v>37.994399999999999</v>
      </c>
      <c r="D198">
        <v>1.03012E-3</v>
      </c>
      <c r="E198">
        <f>Table1291[[#This Row],[CFNM]]/Table1291[[#This Row],[CAREA]]</f>
        <v>2.7112416566651928E-5</v>
      </c>
      <c r="F198">
        <v>2.9619599999999999</v>
      </c>
      <c r="G198">
        <f>-(Table2292[[#This Row],[time]]-2)*2</f>
        <v>-1.9239199999999999</v>
      </c>
      <c r="H198">
        <v>77.061199999999999</v>
      </c>
      <c r="I198">
        <v>48.168300000000002</v>
      </c>
      <c r="J198">
        <f>Table2292[[#This Row],[CFNM]]/Table2292[[#This Row],[CAREA]]</f>
        <v>0.62506553233014805</v>
      </c>
      <c r="K198">
        <v>2.9619599999999999</v>
      </c>
      <c r="L198">
        <f>-(Table3293[[#This Row],[time]]-2)*2</f>
        <v>-1.9239199999999999</v>
      </c>
      <c r="M198">
        <v>33.064799999999998</v>
      </c>
      <c r="N198">
        <v>3.2432000000000001E-4</v>
      </c>
      <c r="O198">
        <f>Table3293[[#This Row],[CFNM]]/Table3293[[#This Row],[CAREA]]</f>
        <v>9.8086182284483812E-6</v>
      </c>
      <c r="P198">
        <v>2.9619599999999999</v>
      </c>
      <c r="Q198">
        <f>-(Table4294[[#This Row],[time]]-2)*2</f>
        <v>-1.9239199999999999</v>
      </c>
      <c r="R198">
        <v>70.405600000000007</v>
      </c>
      <c r="S198">
        <v>48.276600000000002</v>
      </c>
      <c r="T198">
        <f>Table4294[[#This Row],[CFNM]]/Table4294[[#This Row],[CAREA]]</f>
        <v>0.68569261536014181</v>
      </c>
      <c r="U198">
        <v>2.9619599999999999</v>
      </c>
      <c r="V198">
        <f>-(Table5295[[#This Row],[time]]-2)*2</f>
        <v>-1.9239199999999999</v>
      </c>
      <c r="W198">
        <v>75.837199999999996</v>
      </c>
      <c r="X198">
        <v>2.1789000000000001E-3</v>
      </c>
      <c r="Y198">
        <f>Table5295[[#This Row],[CFNM]]/Table5295[[#This Row],[CAREA]]</f>
        <v>2.8731282273079707E-5</v>
      </c>
      <c r="Z198">
        <v>2.9619599999999999</v>
      </c>
      <c r="AA198">
        <f>-(Table6296[[#This Row],[time]]-2)*2</f>
        <v>-1.9239199999999999</v>
      </c>
      <c r="AB198">
        <v>69.8232</v>
      </c>
      <c r="AC198">
        <v>50.164700000000003</v>
      </c>
      <c r="AD198">
        <f>Table6296[[#This Row],[CFNM]]/Table6296[[#This Row],[CAREA]]</f>
        <v>0.71845317888610094</v>
      </c>
      <c r="AE198">
        <v>2.9619599999999999</v>
      </c>
      <c r="AF198">
        <f>-(Table7297[[#This Row],[time]]-2)*2</f>
        <v>-1.9239199999999999</v>
      </c>
      <c r="AG198">
        <v>70.587500000000006</v>
      </c>
      <c r="AH198">
        <v>0.50962399999999997</v>
      </c>
      <c r="AI198">
        <f>Table7297[[#This Row],[CFNM]]/Table7297[[#This Row],[CAREA]]</f>
        <v>7.2197485390472806E-3</v>
      </c>
      <c r="AJ198">
        <v>2.9619599999999999</v>
      </c>
      <c r="AK198">
        <f>-(Table8[[#This Row],[time]]-2)*2</f>
        <v>-1.9239199999999999</v>
      </c>
      <c r="AL198">
        <v>82.040199999999999</v>
      </c>
      <c r="AM198">
        <v>60.863700000000001</v>
      </c>
      <c r="AN198">
        <f>Table8[[#This Row],[CFNM]]/Table8[[#This Row],[CAREA]]</f>
        <v>0.74187654345064979</v>
      </c>
    </row>
    <row r="199" spans="1:40" x14ac:dyDescent="0.25">
      <c r="A199">
        <v>3</v>
      </c>
      <c r="B199">
        <f>-(Table1291[[#This Row],[time]]-2)*2</f>
        <v>-2</v>
      </c>
      <c r="C199">
        <v>34.3874</v>
      </c>
      <c r="D199">
        <v>9.6608700000000002E-4</v>
      </c>
      <c r="E199">
        <f>Table1291[[#This Row],[CFNM]]/Table1291[[#This Row],[CAREA]]</f>
        <v>2.8094214741445995E-5</v>
      </c>
      <c r="F199">
        <v>3</v>
      </c>
      <c r="G199">
        <f>-(Table2292[[#This Row],[time]]-2)*2</f>
        <v>-2</v>
      </c>
      <c r="H199">
        <v>76.614199999999997</v>
      </c>
      <c r="I199">
        <v>49.148600000000002</v>
      </c>
      <c r="J199">
        <f>Table2292[[#This Row],[CFNM]]/Table2292[[#This Row],[CAREA]]</f>
        <v>0.64150771005897089</v>
      </c>
      <c r="K199">
        <v>3</v>
      </c>
      <c r="L199">
        <f>-(Table3293[[#This Row],[time]]-2)*2</f>
        <v>-2</v>
      </c>
      <c r="M199">
        <v>30.396599999999999</v>
      </c>
      <c r="N199">
        <v>2.79468E-4</v>
      </c>
      <c r="O199">
        <f>Table3293[[#This Row],[CFNM]]/Table3293[[#This Row],[CAREA]]</f>
        <v>9.1940545982116418E-6</v>
      </c>
      <c r="P199">
        <v>3</v>
      </c>
      <c r="Q199">
        <f>-(Table4294[[#This Row],[time]]-2)*2</f>
        <v>-2</v>
      </c>
      <c r="R199">
        <v>70.039199999999994</v>
      </c>
      <c r="S199">
        <v>49.3095</v>
      </c>
      <c r="T199">
        <f>Table4294[[#This Row],[CFNM]]/Table4294[[#This Row],[CAREA]]</f>
        <v>0.70402717335435017</v>
      </c>
      <c r="U199">
        <v>3</v>
      </c>
      <c r="V199">
        <f>-(Table5295[[#This Row],[time]]-2)*2</f>
        <v>-2</v>
      </c>
      <c r="W199">
        <v>75.340100000000007</v>
      </c>
      <c r="X199">
        <v>2.07872E-3</v>
      </c>
      <c r="Y199">
        <f>Table5295[[#This Row],[CFNM]]/Table5295[[#This Row],[CAREA]]</f>
        <v>2.7591149998473587E-5</v>
      </c>
      <c r="Z199">
        <v>3</v>
      </c>
      <c r="AA199">
        <f>-(Table6296[[#This Row],[time]]-2)*2</f>
        <v>-2</v>
      </c>
      <c r="AB199">
        <v>69.171099999999996</v>
      </c>
      <c r="AC199">
        <v>51.4542</v>
      </c>
      <c r="AD199">
        <f>Table6296[[#This Row],[CFNM]]/Table6296[[#This Row],[CAREA]]</f>
        <v>0.74386846529836892</v>
      </c>
      <c r="AE199">
        <v>3</v>
      </c>
      <c r="AF199">
        <f>-(Table7297[[#This Row],[time]]-2)*2</f>
        <v>-2</v>
      </c>
      <c r="AG199">
        <v>70.263599999999997</v>
      </c>
      <c r="AH199">
        <v>0.40327600000000002</v>
      </c>
      <c r="AI199">
        <f>Table7297[[#This Row],[CFNM]]/Table7297[[#This Row],[CAREA]]</f>
        <v>5.7394725006973749E-3</v>
      </c>
      <c r="AJ199">
        <v>3</v>
      </c>
      <c r="AK199">
        <f>-(Table8[[#This Row],[time]]-2)*2</f>
        <v>-2</v>
      </c>
      <c r="AL199">
        <v>82.037199999999999</v>
      </c>
      <c r="AM199">
        <v>61.942300000000003</v>
      </c>
      <c r="AN199">
        <f>Table8[[#This Row],[CFNM]]/Table8[[#This Row],[CAREA]]</f>
        <v>0.75505136694085129</v>
      </c>
    </row>
    <row r="201" spans="1:40" x14ac:dyDescent="0.25">
      <c r="A201" t="s">
        <v>44</v>
      </c>
      <c r="E201" t="s">
        <v>1</v>
      </c>
    </row>
    <row r="202" spans="1:40" x14ac:dyDescent="0.25">
      <c r="A202" t="s">
        <v>45</v>
      </c>
      <c r="E202" t="s">
        <v>2</v>
      </c>
      <c r="F202" t="s">
        <v>3</v>
      </c>
    </row>
    <row r="204" spans="1:40" x14ac:dyDescent="0.25">
      <c r="A204" t="s">
        <v>4</v>
      </c>
      <c r="F204" t="s">
        <v>5</v>
      </c>
      <c r="K204" t="s">
        <v>6</v>
      </c>
      <c r="P204" t="s">
        <v>7</v>
      </c>
      <c r="U204" t="s">
        <v>8</v>
      </c>
      <c r="Z204" t="s">
        <v>9</v>
      </c>
      <c r="AE204" t="s">
        <v>10</v>
      </c>
      <c r="AJ204" t="s">
        <v>11</v>
      </c>
    </row>
    <row r="205" spans="1:40" x14ac:dyDescent="0.25">
      <c r="A205" t="s">
        <v>12</v>
      </c>
      <c r="B205" t="s">
        <v>13</v>
      </c>
      <c r="C205" t="s">
        <v>14</v>
      </c>
      <c r="D205" t="s">
        <v>15</v>
      </c>
      <c r="E205" t="s">
        <v>16</v>
      </c>
      <c r="F205" t="s">
        <v>12</v>
      </c>
      <c r="G205" t="s">
        <v>13</v>
      </c>
      <c r="H205" t="s">
        <v>14</v>
      </c>
      <c r="I205" t="s">
        <v>15</v>
      </c>
      <c r="J205" t="s">
        <v>16</v>
      </c>
      <c r="K205" t="s">
        <v>12</v>
      </c>
      <c r="L205" t="s">
        <v>13</v>
      </c>
      <c r="M205" t="s">
        <v>14</v>
      </c>
      <c r="N205" t="s">
        <v>15</v>
      </c>
      <c r="O205" t="s">
        <v>16</v>
      </c>
      <c r="P205" t="s">
        <v>12</v>
      </c>
      <c r="Q205" t="s">
        <v>13</v>
      </c>
      <c r="R205" t="s">
        <v>14</v>
      </c>
      <c r="S205" t="s">
        <v>15</v>
      </c>
      <c r="T205" t="s">
        <v>16</v>
      </c>
      <c r="U205" t="s">
        <v>12</v>
      </c>
      <c r="V205" t="s">
        <v>13</v>
      </c>
      <c r="W205" t="s">
        <v>14</v>
      </c>
      <c r="X205" t="s">
        <v>15</v>
      </c>
      <c r="Y205" t="s">
        <v>16</v>
      </c>
      <c r="Z205" t="s">
        <v>12</v>
      </c>
      <c r="AA205" t="s">
        <v>13</v>
      </c>
      <c r="AB205" t="s">
        <v>14</v>
      </c>
      <c r="AC205" t="s">
        <v>15</v>
      </c>
      <c r="AD205" t="s">
        <v>16</v>
      </c>
      <c r="AE205" t="s">
        <v>12</v>
      </c>
      <c r="AF205" t="s">
        <v>13</v>
      </c>
      <c r="AG205" t="s">
        <v>14</v>
      </c>
      <c r="AH205" t="s">
        <v>15</v>
      </c>
      <c r="AI205" t="s">
        <v>16</v>
      </c>
      <c r="AJ205" t="s">
        <v>12</v>
      </c>
      <c r="AK205" t="s">
        <v>13</v>
      </c>
      <c r="AL205" t="s">
        <v>14</v>
      </c>
      <c r="AM205" t="s">
        <v>15</v>
      </c>
      <c r="AN205" t="s">
        <v>16</v>
      </c>
    </row>
    <row r="206" spans="1:40" x14ac:dyDescent="0.25">
      <c r="A206">
        <v>2</v>
      </c>
      <c r="B206">
        <f>(Table110298[[#This Row],[time]]-2)*2</f>
        <v>0</v>
      </c>
      <c r="C206">
        <v>80.560199999999995</v>
      </c>
      <c r="D206">
        <v>3.9786999999999999</v>
      </c>
      <c r="E206" s="2">
        <f>Table110298[[#This Row],[CFNM]]/Table110298[[#This Row],[CAREA]]</f>
        <v>4.9387911152157023E-2</v>
      </c>
      <c r="F206">
        <v>2</v>
      </c>
      <c r="G206">
        <f>(Table211299[[#This Row],[time]]-2)*2</f>
        <v>0</v>
      </c>
      <c r="H206">
        <v>87.831100000000006</v>
      </c>
      <c r="I206">
        <v>3.8477199999999998E-3</v>
      </c>
      <c r="J206" s="2">
        <f>Table211299[[#This Row],[CFNM]]/Table211299[[#This Row],[CAREA]]</f>
        <v>4.3808172731526752E-5</v>
      </c>
      <c r="K206">
        <v>2</v>
      </c>
      <c r="L206">
        <f>(Table312300[[#This Row],[time]]-2)*2</f>
        <v>0</v>
      </c>
      <c r="M206">
        <v>85.165199999999999</v>
      </c>
      <c r="N206">
        <v>3.6992800000000001E-3</v>
      </c>
      <c r="O206">
        <f>Table312300[[#This Row],[CFNM]]/Table312300[[#This Row],[CAREA]]</f>
        <v>4.3436521020322855E-5</v>
      </c>
      <c r="P206">
        <v>2</v>
      </c>
      <c r="Q206">
        <f>(Table413301[[#This Row],[time]]-2)*2</f>
        <v>0</v>
      </c>
      <c r="R206">
        <v>79.099999999999994</v>
      </c>
      <c r="S206">
        <v>4.5241600000000002E-3</v>
      </c>
      <c r="T206">
        <f>Table413301[[#This Row],[CFNM]]/Table413301[[#This Row],[CAREA]]</f>
        <v>5.7195448798988631E-5</v>
      </c>
      <c r="U206">
        <v>2</v>
      </c>
      <c r="V206">
        <f>(Table514302[[#This Row],[time]]-2)*2</f>
        <v>0</v>
      </c>
      <c r="W206">
        <v>83.228300000000004</v>
      </c>
      <c r="X206">
        <v>3.5028600000000001</v>
      </c>
      <c r="Y206">
        <f>Table514302[[#This Row],[CFNM]]/Table514302[[#This Row],[CAREA]]</f>
        <v>4.2087366917262517E-2</v>
      </c>
      <c r="Z206">
        <v>2</v>
      </c>
      <c r="AA206">
        <f>(Table615303[[#This Row],[time]]-2)*2</f>
        <v>0</v>
      </c>
      <c r="AB206">
        <v>84.265100000000004</v>
      </c>
      <c r="AC206">
        <v>6.2692600000000001</v>
      </c>
      <c r="AD206">
        <f>Table615303[[#This Row],[CFNM]]/Table615303[[#This Row],[CAREA]]</f>
        <v>7.4399247137901692E-2</v>
      </c>
      <c r="AE206">
        <v>2</v>
      </c>
      <c r="AF206">
        <f>(Table716304[[#This Row],[time]]-2)*2</f>
        <v>0</v>
      </c>
      <c r="AG206">
        <v>78.459599999999995</v>
      </c>
      <c r="AH206">
        <v>14.705299999999999</v>
      </c>
      <c r="AI206">
        <f>Table716304[[#This Row],[CFNM]]/Table716304[[#This Row],[CAREA]]</f>
        <v>0.18742512069906042</v>
      </c>
      <c r="AJ206">
        <v>2</v>
      </c>
      <c r="AK206">
        <f>(Table817305[[#This Row],[time]]-2)*2</f>
        <v>0</v>
      </c>
      <c r="AL206">
        <v>83.005899999999997</v>
      </c>
      <c r="AM206">
        <v>14.6465</v>
      </c>
      <c r="AN206">
        <f>Table817305[[#This Row],[CFNM]]/Table817305[[#This Row],[CAREA]]</f>
        <v>0.17645131249706347</v>
      </c>
    </row>
    <row r="207" spans="1:40" x14ac:dyDescent="0.25">
      <c r="A207">
        <v>2.0512600000000001</v>
      </c>
      <c r="B207">
        <f>(Table110298[[#This Row],[time]]-2)*2</f>
        <v>0.10252000000000017</v>
      </c>
      <c r="C207">
        <v>89.004199999999997</v>
      </c>
      <c r="D207">
        <v>12.4152</v>
      </c>
      <c r="E207">
        <f>Table110298[[#This Row],[CFNM]]/Table110298[[#This Row],[CAREA]]</f>
        <v>0.13949004653712971</v>
      </c>
      <c r="F207">
        <v>2.0512600000000001</v>
      </c>
      <c r="G207">
        <f>(Table211299[[#This Row],[time]]-2)*2</f>
        <v>0.10252000000000017</v>
      </c>
      <c r="H207">
        <v>95.588099999999997</v>
      </c>
      <c r="I207">
        <v>0.74331000000000003</v>
      </c>
      <c r="J207">
        <f>Table211299[[#This Row],[CFNM]]/Table211299[[#This Row],[CAREA]]</f>
        <v>7.7761771601276737E-3</v>
      </c>
      <c r="K207">
        <v>2.0512600000000001</v>
      </c>
      <c r="L207">
        <f>(Table312300[[#This Row],[time]]-2)*2</f>
        <v>0.10252000000000017</v>
      </c>
      <c r="M207">
        <v>87.149199999999993</v>
      </c>
      <c r="N207">
        <v>6.26525</v>
      </c>
      <c r="O207">
        <f>Table312300[[#This Row],[CFNM]]/Table312300[[#This Row],[CAREA]]</f>
        <v>7.1891078747710821E-2</v>
      </c>
      <c r="P207">
        <v>2.0512600000000001</v>
      </c>
      <c r="Q207">
        <f>(Table413301[[#This Row],[time]]-2)*2</f>
        <v>0.10252000000000017</v>
      </c>
      <c r="R207">
        <v>87.622299999999996</v>
      </c>
      <c r="S207">
        <v>3.7723499999999999</v>
      </c>
      <c r="T207">
        <f>Table413301[[#This Row],[CFNM]]/Table413301[[#This Row],[CAREA]]</f>
        <v>4.3052396478978523E-2</v>
      </c>
      <c r="U207">
        <v>2.0512600000000001</v>
      </c>
      <c r="V207">
        <f>(Table514302[[#This Row],[time]]-2)*2</f>
        <v>0.10252000000000017</v>
      </c>
      <c r="W207">
        <v>81.278099999999995</v>
      </c>
      <c r="X207">
        <v>10.678599999999999</v>
      </c>
      <c r="Y207">
        <f>Table514302[[#This Row],[CFNM]]/Table514302[[#This Row],[CAREA]]</f>
        <v>0.13138348460409385</v>
      </c>
      <c r="Z207">
        <v>2.0512600000000001</v>
      </c>
      <c r="AA207">
        <f>(Table615303[[#This Row],[time]]-2)*2</f>
        <v>0.10252000000000017</v>
      </c>
      <c r="AB207">
        <v>88.992699999999999</v>
      </c>
      <c r="AC207">
        <v>15.439500000000001</v>
      </c>
      <c r="AD207">
        <f>Table615303[[#This Row],[CFNM]]/Table615303[[#This Row],[CAREA]]</f>
        <v>0.17349175831276048</v>
      </c>
      <c r="AE207">
        <v>2.0512600000000001</v>
      </c>
      <c r="AF207">
        <f>(Table716304[[#This Row],[time]]-2)*2</f>
        <v>0.10252000000000017</v>
      </c>
      <c r="AG207">
        <v>78.5381</v>
      </c>
      <c r="AH207">
        <v>22.643000000000001</v>
      </c>
      <c r="AI207">
        <f>Table716304[[#This Row],[CFNM]]/Table716304[[#This Row],[CAREA]]</f>
        <v>0.28830593049742737</v>
      </c>
      <c r="AJ207">
        <v>2.0512600000000001</v>
      </c>
      <c r="AK207">
        <f>(Table817305[[#This Row],[time]]-2)*2</f>
        <v>0.10252000000000017</v>
      </c>
      <c r="AL207">
        <v>83.215199999999996</v>
      </c>
      <c r="AM207">
        <v>17.664100000000001</v>
      </c>
      <c r="AN207">
        <f>Table817305[[#This Row],[CFNM]]/Table817305[[#This Row],[CAREA]]</f>
        <v>0.2122701141137677</v>
      </c>
    </row>
    <row r="208" spans="1:40" x14ac:dyDescent="0.25">
      <c r="A208">
        <v>2.1153300000000002</v>
      </c>
      <c r="B208">
        <f>(Table110298[[#This Row],[time]]-2)*2</f>
        <v>0.23066000000000031</v>
      </c>
      <c r="C208">
        <v>86.912000000000006</v>
      </c>
      <c r="D208">
        <v>15.317500000000001</v>
      </c>
      <c r="E208">
        <f>Table110298[[#This Row],[CFNM]]/Table110298[[#This Row],[CAREA]]</f>
        <v>0.17624148564064801</v>
      </c>
      <c r="F208">
        <v>2.1153300000000002</v>
      </c>
      <c r="G208">
        <f>(Table211299[[#This Row],[time]]-2)*2</f>
        <v>0.23066000000000031</v>
      </c>
      <c r="H208">
        <v>94.724299999999999</v>
      </c>
      <c r="I208">
        <v>5.4045100000000004E-3</v>
      </c>
      <c r="J208">
        <f>Table211299[[#This Row],[CFNM]]/Table211299[[#This Row],[CAREA]]</f>
        <v>5.7055159024664214E-5</v>
      </c>
      <c r="K208">
        <v>2.1153300000000002</v>
      </c>
      <c r="L208">
        <f>(Table312300[[#This Row],[time]]-2)*2</f>
        <v>0.23066000000000031</v>
      </c>
      <c r="M208">
        <v>85.537099999999995</v>
      </c>
      <c r="N208">
        <v>9.9305800000000009</v>
      </c>
      <c r="O208">
        <f>Table312300[[#This Row],[CFNM]]/Table312300[[#This Row],[CAREA]]</f>
        <v>0.11609675801494324</v>
      </c>
      <c r="P208">
        <v>2.1153300000000002</v>
      </c>
      <c r="Q208">
        <f>(Table413301[[#This Row],[time]]-2)*2</f>
        <v>0.23066000000000031</v>
      </c>
      <c r="R208">
        <v>88.565899999999999</v>
      </c>
      <c r="S208">
        <v>1.5739300000000001</v>
      </c>
      <c r="T208">
        <f>Table413301[[#This Row],[CFNM]]/Table413301[[#This Row],[CAREA]]</f>
        <v>1.7771286691604785E-2</v>
      </c>
      <c r="U208">
        <v>2.1153300000000002</v>
      </c>
      <c r="V208">
        <f>(Table514302[[#This Row],[time]]-2)*2</f>
        <v>0.23066000000000031</v>
      </c>
      <c r="W208">
        <v>77.918199999999999</v>
      </c>
      <c r="X208">
        <v>13.2135</v>
      </c>
      <c r="Y208">
        <f>Table514302[[#This Row],[CFNM]]/Table514302[[#This Row],[CAREA]]</f>
        <v>0.16958168951541489</v>
      </c>
      <c r="Z208">
        <v>2.1153300000000002</v>
      </c>
      <c r="AA208">
        <f>(Table615303[[#This Row],[time]]-2)*2</f>
        <v>0.23066000000000031</v>
      </c>
      <c r="AB208">
        <v>91.261799999999994</v>
      </c>
      <c r="AC208">
        <v>14.279500000000001</v>
      </c>
      <c r="AD208">
        <f>Table615303[[#This Row],[CFNM]]/Table615303[[#This Row],[CAREA]]</f>
        <v>0.15646743763546195</v>
      </c>
      <c r="AE208">
        <v>2.1153300000000002</v>
      </c>
      <c r="AF208">
        <f>(Table716304[[#This Row],[time]]-2)*2</f>
        <v>0.23066000000000031</v>
      </c>
      <c r="AG208">
        <v>77.880700000000004</v>
      </c>
      <c r="AH208">
        <v>25.740600000000001</v>
      </c>
      <c r="AI208">
        <f>Table716304[[#This Row],[CFNM]]/Table716304[[#This Row],[CAREA]]</f>
        <v>0.33051320802201317</v>
      </c>
      <c r="AJ208">
        <v>2.1153300000000002</v>
      </c>
      <c r="AK208">
        <f>(Table817305[[#This Row],[time]]-2)*2</f>
        <v>0.23066000000000031</v>
      </c>
      <c r="AL208">
        <v>83.103899999999996</v>
      </c>
      <c r="AM208">
        <v>16.2742</v>
      </c>
      <c r="AN208">
        <f>Table817305[[#This Row],[CFNM]]/Table817305[[#This Row],[CAREA]]</f>
        <v>0.19582955793891743</v>
      </c>
    </row>
    <row r="209" spans="1:40" x14ac:dyDescent="0.25">
      <c r="A209">
        <v>2.16533</v>
      </c>
      <c r="B209">
        <f>(Table110298[[#This Row],[time]]-2)*2</f>
        <v>0.33065999999999995</v>
      </c>
      <c r="C209">
        <v>85.002899999999997</v>
      </c>
      <c r="D209">
        <v>18.042400000000001</v>
      </c>
      <c r="E209">
        <f>Table110298[[#This Row],[CFNM]]/Table110298[[#This Row],[CAREA]]</f>
        <v>0.21225628772665406</v>
      </c>
      <c r="F209">
        <v>2.16533</v>
      </c>
      <c r="G209">
        <f>(Table211299[[#This Row],[time]]-2)*2</f>
        <v>0.33065999999999995</v>
      </c>
      <c r="H209">
        <v>94.830600000000004</v>
      </c>
      <c r="I209">
        <v>4.5324199999999997E-3</v>
      </c>
      <c r="J209">
        <f>Table211299[[#This Row],[CFNM]]/Table211299[[#This Row],[CAREA]]</f>
        <v>4.7794910081766848E-5</v>
      </c>
      <c r="K209">
        <v>2.16533</v>
      </c>
      <c r="L209">
        <f>(Table312300[[#This Row],[time]]-2)*2</f>
        <v>0.33065999999999995</v>
      </c>
      <c r="M209">
        <v>83.952799999999996</v>
      </c>
      <c r="N209">
        <v>13.4838</v>
      </c>
      <c r="O209">
        <f>Table312300[[#This Row],[CFNM]]/Table312300[[#This Row],[CAREA]]</f>
        <v>0.16061167703757351</v>
      </c>
      <c r="P209">
        <v>2.16533</v>
      </c>
      <c r="Q209">
        <f>(Table413301[[#This Row],[time]]-2)*2</f>
        <v>0.33065999999999995</v>
      </c>
      <c r="R209">
        <v>88.698099999999997</v>
      </c>
      <c r="S209">
        <v>5.7304499999999998E-3</v>
      </c>
      <c r="T209">
        <f>Table413301[[#This Row],[CFNM]]/Table413301[[#This Row],[CAREA]]</f>
        <v>6.4606231700566297E-5</v>
      </c>
      <c r="U209">
        <v>2.16533</v>
      </c>
      <c r="V209">
        <f>(Table514302[[#This Row],[time]]-2)*2</f>
        <v>0.33065999999999995</v>
      </c>
      <c r="W209">
        <v>75.754199999999997</v>
      </c>
      <c r="X209">
        <v>16.195699999999999</v>
      </c>
      <c r="Y209">
        <f>Table514302[[#This Row],[CFNM]]/Table514302[[#This Row],[CAREA]]</f>
        <v>0.21379276660567995</v>
      </c>
      <c r="Z209">
        <v>2.16533</v>
      </c>
      <c r="AA209">
        <f>(Table615303[[#This Row],[time]]-2)*2</f>
        <v>0.33065999999999995</v>
      </c>
      <c r="AB209">
        <v>91.774900000000002</v>
      </c>
      <c r="AC209">
        <v>13.251200000000001</v>
      </c>
      <c r="AD209">
        <f>Table615303[[#This Row],[CFNM]]/Table615303[[#This Row],[CAREA]]</f>
        <v>0.14438806253125855</v>
      </c>
      <c r="AE209">
        <v>2.16533</v>
      </c>
      <c r="AF209">
        <f>(Table716304[[#This Row],[time]]-2)*2</f>
        <v>0.33065999999999995</v>
      </c>
      <c r="AG209">
        <v>77.653000000000006</v>
      </c>
      <c r="AH209">
        <v>28.668700000000001</v>
      </c>
      <c r="AI209">
        <f>Table716304[[#This Row],[CFNM]]/Table716304[[#This Row],[CAREA]]</f>
        <v>0.36918985744272598</v>
      </c>
      <c r="AJ209">
        <v>2.16533</v>
      </c>
      <c r="AK209">
        <f>(Table817305[[#This Row],[time]]-2)*2</f>
        <v>0.33065999999999995</v>
      </c>
      <c r="AL209">
        <v>82.932500000000005</v>
      </c>
      <c r="AM209">
        <v>15.0893</v>
      </c>
      <c r="AN209">
        <f>Table817305[[#This Row],[CFNM]]/Table817305[[#This Row],[CAREA]]</f>
        <v>0.18194676393452505</v>
      </c>
    </row>
    <row r="210" spans="1:40" x14ac:dyDescent="0.25">
      <c r="A210">
        <v>2.2246999999999999</v>
      </c>
      <c r="B210">
        <f>(Table110298[[#This Row],[time]]-2)*2</f>
        <v>0.4493999999999998</v>
      </c>
      <c r="C210">
        <v>84.048400000000001</v>
      </c>
      <c r="D210">
        <v>20.385200000000001</v>
      </c>
      <c r="E210">
        <f>Table110298[[#This Row],[CFNM]]/Table110298[[#This Row],[CAREA]]</f>
        <v>0.2425412024500169</v>
      </c>
      <c r="F210">
        <v>2.2246999999999999</v>
      </c>
      <c r="G210">
        <f>(Table211299[[#This Row],[time]]-2)*2</f>
        <v>0.4493999999999998</v>
      </c>
      <c r="H210">
        <v>94.759799999999998</v>
      </c>
      <c r="I210">
        <v>3.9659600000000001E-3</v>
      </c>
      <c r="J210">
        <f>Table211299[[#This Row],[CFNM]]/Table211299[[#This Row],[CAREA]]</f>
        <v>4.1852768790140969E-5</v>
      </c>
      <c r="K210">
        <v>2.2246999999999999</v>
      </c>
      <c r="L210">
        <f>(Table312300[[#This Row],[time]]-2)*2</f>
        <v>0.4493999999999998</v>
      </c>
      <c r="M210">
        <v>83.268699999999995</v>
      </c>
      <c r="N210">
        <v>15.8797</v>
      </c>
      <c r="O210">
        <f>Table312300[[#This Row],[CFNM]]/Table312300[[#This Row],[CAREA]]</f>
        <v>0.19070431026304002</v>
      </c>
      <c r="P210">
        <v>2.2246999999999999</v>
      </c>
      <c r="Q210">
        <f>(Table413301[[#This Row],[time]]-2)*2</f>
        <v>0.4493999999999998</v>
      </c>
      <c r="R210">
        <v>88.615499999999997</v>
      </c>
      <c r="S210">
        <v>4.5392799999999997E-3</v>
      </c>
      <c r="T210">
        <f>Table413301[[#This Row],[CFNM]]/Table413301[[#This Row],[CAREA]]</f>
        <v>5.1224447190389939E-5</v>
      </c>
      <c r="U210">
        <v>2.2246999999999999</v>
      </c>
      <c r="V210">
        <f>(Table514302[[#This Row],[time]]-2)*2</f>
        <v>0.4493999999999998</v>
      </c>
      <c r="W210">
        <v>74.128600000000006</v>
      </c>
      <c r="X210">
        <v>18.664400000000001</v>
      </c>
      <c r="Y210">
        <f>Table514302[[#This Row],[CFNM]]/Table514302[[#This Row],[CAREA]]</f>
        <v>0.25178406175214424</v>
      </c>
      <c r="Z210">
        <v>2.2246999999999999</v>
      </c>
      <c r="AA210">
        <f>(Table615303[[#This Row],[time]]-2)*2</f>
        <v>0.4493999999999998</v>
      </c>
      <c r="AB210">
        <v>91.537199999999999</v>
      </c>
      <c r="AC210">
        <v>12.7188</v>
      </c>
      <c r="AD210">
        <f>Table615303[[#This Row],[CFNM]]/Table615303[[#This Row],[CAREA]]</f>
        <v>0.13894678884650175</v>
      </c>
      <c r="AE210">
        <v>2.2246999999999999</v>
      </c>
      <c r="AF210">
        <f>(Table716304[[#This Row],[time]]-2)*2</f>
        <v>0.4493999999999998</v>
      </c>
      <c r="AG210">
        <v>77.748900000000006</v>
      </c>
      <c r="AH210">
        <v>31.116900000000001</v>
      </c>
      <c r="AI210">
        <f>Table716304[[#This Row],[CFNM]]/Table716304[[#This Row],[CAREA]]</f>
        <v>0.40022302566338558</v>
      </c>
      <c r="AJ210">
        <v>2.2246999999999999</v>
      </c>
      <c r="AK210">
        <f>(Table817305[[#This Row],[time]]-2)*2</f>
        <v>0.4493999999999998</v>
      </c>
      <c r="AL210">
        <v>82.448999999999998</v>
      </c>
      <c r="AM210">
        <v>14.2362</v>
      </c>
      <c r="AN210">
        <f>Table817305[[#This Row],[CFNM]]/Table817305[[#This Row],[CAREA]]</f>
        <v>0.17266673943892588</v>
      </c>
    </row>
    <row r="211" spans="1:40" x14ac:dyDescent="0.25">
      <c r="A211">
        <v>2.2668900000000001</v>
      </c>
      <c r="B211">
        <f>(Table110298[[#This Row],[time]]-2)*2</f>
        <v>0.53378000000000014</v>
      </c>
      <c r="C211">
        <v>82.881</v>
      </c>
      <c r="D211">
        <v>22.919499999999999</v>
      </c>
      <c r="E211">
        <f>Table110298[[#This Row],[CFNM]]/Table110298[[#This Row],[CAREA]]</f>
        <v>0.27653503215453479</v>
      </c>
      <c r="F211">
        <v>2.2668900000000001</v>
      </c>
      <c r="G211">
        <f>(Table211299[[#This Row],[time]]-2)*2</f>
        <v>0.53378000000000014</v>
      </c>
      <c r="H211">
        <v>94.541899999999998</v>
      </c>
      <c r="I211">
        <v>3.3912600000000001E-3</v>
      </c>
      <c r="J211">
        <f>Table211299[[#This Row],[CFNM]]/Table211299[[#This Row],[CAREA]]</f>
        <v>3.5870444744605307E-5</v>
      </c>
      <c r="K211">
        <v>2.2668900000000001</v>
      </c>
      <c r="L211">
        <f>(Table312300[[#This Row],[time]]-2)*2</f>
        <v>0.53378000000000014</v>
      </c>
      <c r="M211">
        <v>82.541300000000007</v>
      </c>
      <c r="N211">
        <v>18.342500000000001</v>
      </c>
      <c r="O211">
        <f>Table312300[[#This Row],[CFNM]]/Table312300[[#This Row],[CAREA]]</f>
        <v>0.22222208760947548</v>
      </c>
      <c r="P211">
        <v>2.2668900000000001</v>
      </c>
      <c r="Q211">
        <f>(Table413301[[#This Row],[time]]-2)*2</f>
        <v>0.53378000000000014</v>
      </c>
      <c r="R211">
        <v>87.789100000000005</v>
      </c>
      <c r="S211">
        <v>3.8443599999999998E-3</v>
      </c>
      <c r="T211">
        <f>Table413301[[#This Row],[CFNM]]/Table413301[[#This Row],[CAREA]]</f>
        <v>4.3790857862764277E-5</v>
      </c>
      <c r="U211">
        <v>2.2668900000000001</v>
      </c>
      <c r="V211">
        <f>(Table514302[[#This Row],[time]]-2)*2</f>
        <v>0.53378000000000014</v>
      </c>
      <c r="W211">
        <v>72.961799999999997</v>
      </c>
      <c r="X211">
        <v>21.1496</v>
      </c>
      <c r="Y211">
        <f>Table514302[[#This Row],[CFNM]]/Table514302[[#This Row],[CAREA]]</f>
        <v>0.2898722345117582</v>
      </c>
      <c r="Z211">
        <v>2.2668900000000001</v>
      </c>
      <c r="AA211">
        <f>(Table615303[[#This Row],[time]]-2)*2</f>
        <v>0.53378000000000014</v>
      </c>
      <c r="AB211">
        <v>92.387500000000003</v>
      </c>
      <c r="AC211">
        <v>12.3873</v>
      </c>
      <c r="AD211">
        <f>Table615303[[#This Row],[CFNM]]/Table615303[[#This Row],[CAREA]]</f>
        <v>0.13407982681639832</v>
      </c>
      <c r="AE211">
        <v>2.2668900000000001</v>
      </c>
      <c r="AF211">
        <f>(Table716304[[#This Row],[time]]-2)*2</f>
        <v>0.53378000000000014</v>
      </c>
      <c r="AG211">
        <v>77.756100000000004</v>
      </c>
      <c r="AH211">
        <v>33.767000000000003</v>
      </c>
      <c r="AI211">
        <f>Table716304[[#This Row],[CFNM]]/Table716304[[#This Row],[CAREA]]</f>
        <v>0.43426817960262926</v>
      </c>
      <c r="AJ211">
        <v>2.2668900000000001</v>
      </c>
      <c r="AK211">
        <f>(Table817305[[#This Row],[time]]-2)*2</f>
        <v>0.53378000000000014</v>
      </c>
      <c r="AL211">
        <v>81.91</v>
      </c>
      <c r="AM211">
        <v>13.514799999999999</v>
      </c>
      <c r="AN211">
        <f>Table817305[[#This Row],[CFNM]]/Table817305[[#This Row],[CAREA]]</f>
        <v>0.16499572701745818</v>
      </c>
    </row>
    <row r="212" spans="1:40" x14ac:dyDescent="0.25">
      <c r="A212">
        <v>2.3262700000000001</v>
      </c>
      <c r="B212">
        <f>(Table110298[[#This Row],[time]]-2)*2</f>
        <v>0.65254000000000012</v>
      </c>
      <c r="C212">
        <v>81.846900000000005</v>
      </c>
      <c r="D212">
        <v>25.861699999999999</v>
      </c>
      <c r="E212">
        <f>Table110298[[#This Row],[CFNM]]/Table110298[[#This Row],[CAREA]]</f>
        <v>0.3159765366800697</v>
      </c>
      <c r="F212">
        <v>2.3262700000000001</v>
      </c>
      <c r="G212">
        <f>(Table211299[[#This Row],[time]]-2)*2</f>
        <v>0.65254000000000012</v>
      </c>
      <c r="H212">
        <v>91.9161</v>
      </c>
      <c r="I212">
        <v>2.8437699999999998E-3</v>
      </c>
      <c r="J212">
        <f>Table211299[[#This Row],[CFNM]]/Table211299[[#This Row],[CAREA]]</f>
        <v>3.0938758280649413E-5</v>
      </c>
      <c r="K212">
        <v>2.3262700000000001</v>
      </c>
      <c r="L212">
        <f>(Table312300[[#This Row],[time]]-2)*2</f>
        <v>0.65254000000000012</v>
      </c>
      <c r="M212">
        <v>81.688199999999995</v>
      </c>
      <c r="N212">
        <v>21.01</v>
      </c>
      <c r="O212">
        <f>Table312300[[#This Row],[CFNM]]/Table312300[[#This Row],[CAREA]]</f>
        <v>0.25719748996795133</v>
      </c>
      <c r="P212">
        <v>2.3262700000000001</v>
      </c>
      <c r="Q212">
        <f>(Table413301[[#This Row],[time]]-2)*2</f>
        <v>0.65254000000000012</v>
      </c>
      <c r="R212">
        <v>86.299099999999996</v>
      </c>
      <c r="S212">
        <v>3.23669E-3</v>
      </c>
      <c r="T212">
        <f>Table413301[[#This Row],[CFNM]]/Table413301[[#This Row],[CAREA]]</f>
        <v>3.7505489628512926E-5</v>
      </c>
      <c r="U212">
        <v>2.3262700000000001</v>
      </c>
      <c r="V212">
        <f>(Table514302[[#This Row],[time]]-2)*2</f>
        <v>0.65254000000000012</v>
      </c>
      <c r="W212">
        <v>70.747799999999998</v>
      </c>
      <c r="X212">
        <v>23.9697</v>
      </c>
      <c r="Y212">
        <f>Table514302[[#This Row],[CFNM]]/Table514302[[#This Row],[CAREA]]</f>
        <v>0.33880488156522182</v>
      </c>
      <c r="Z212">
        <v>2.3262700000000001</v>
      </c>
      <c r="AA212">
        <f>(Table615303[[#This Row],[time]]-2)*2</f>
        <v>0.65254000000000012</v>
      </c>
      <c r="AB212">
        <v>92.929400000000001</v>
      </c>
      <c r="AC212">
        <v>12.0524</v>
      </c>
      <c r="AD212">
        <f>Table615303[[#This Row],[CFNM]]/Table615303[[#This Row],[CAREA]]</f>
        <v>0.12969415491760411</v>
      </c>
      <c r="AE212">
        <v>2.3262700000000001</v>
      </c>
      <c r="AF212">
        <f>(Table716304[[#This Row],[time]]-2)*2</f>
        <v>0.65254000000000012</v>
      </c>
      <c r="AG212">
        <v>77.787300000000002</v>
      </c>
      <c r="AH212">
        <v>36.805399999999999</v>
      </c>
      <c r="AI212">
        <f>Table716304[[#This Row],[CFNM]]/Table716304[[#This Row],[CAREA]]</f>
        <v>0.47315435810215806</v>
      </c>
      <c r="AJ212">
        <v>2.3262700000000001</v>
      </c>
      <c r="AK212">
        <f>(Table817305[[#This Row],[time]]-2)*2</f>
        <v>0.65254000000000012</v>
      </c>
      <c r="AL212">
        <v>81.3553</v>
      </c>
      <c r="AM212">
        <v>12.793100000000001</v>
      </c>
      <c r="AN212">
        <f>Table817305[[#This Row],[CFNM]]/Table817305[[#This Row],[CAREA]]</f>
        <v>0.1572497427948763</v>
      </c>
    </row>
    <row r="213" spans="1:40" x14ac:dyDescent="0.25">
      <c r="A213">
        <v>2.3684599999999998</v>
      </c>
      <c r="B213">
        <f>(Table110298[[#This Row],[time]]-2)*2</f>
        <v>0.73691999999999958</v>
      </c>
      <c r="C213">
        <v>79.598200000000006</v>
      </c>
      <c r="D213">
        <v>28.8645</v>
      </c>
      <c r="E213">
        <f>Table110298[[#This Row],[CFNM]]/Table110298[[#This Row],[CAREA]]</f>
        <v>0.36262754685407456</v>
      </c>
      <c r="F213">
        <v>2.3684599999999998</v>
      </c>
      <c r="G213">
        <f>(Table211299[[#This Row],[time]]-2)*2</f>
        <v>0.73691999999999958</v>
      </c>
      <c r="H213">
        <v>90.082999999999998</v>
      </c>
      <c r="I213">
        <v>2.4816600000000001E-3</v>
      </c>
      <c r="J213">
        <f>Table211299[[#This Row],[CFNM]]/Table211299[[#This Row],[CAREA]]</f>
        <v>2.7548594074353653E-5</v>
      </c>
      <c r="K213">
        <v>2.3684599999999998</v>
      </c>
      <c r="L213">
        <f>(Table312300[[#This Row],[time]]-2)*2</f>
        <v>0.73691999999999958</v>
      </c>
      <c r="M213">
        <v>80.750100000000003</v>
      </c>
      <c r="N213">
        <v>23.529599999999999</v>
      </c>
      <c r="O213">
        <f>Table312300[[#This Row],[CFNM]]/Table312300[[#This Row],[CAREA]]</f>
        <v>0.29138787444226072</v>
      </c>
      <c r="P213">
        <v>2.3684599999999998</v>
      </c>
      <c r="Q213">
        <f>(Table413301[[#This Row],[time]]-2)*2</f>
        <v>0.73691999999999958</v>
      </c>
      <c r="R213">
        <v>85.1053</v>
      </c>
      <c r="S213">
        <v>2.9475899999999999E-3</v>
      </c>
      <c r="T213">
        <f>Table413301[[#This Row],[CFNM]]/Table413301[[#This Row],[CAREA]]</f>
        <v>3.4634623225580546E-5</v>
      </c>
      <c r="U213">
        <v>2.3684599999999998</v>
      </c>
      <c r="V213">
        <f>(Table514302[[#This Row],[time]]-2)*2</f>
        <v>0.73691999999999958</v>
      </c>
      <c r="W213">
        <v>69.505399999999995</v>
      </c>
      <c r="X213">
        <v>26.8931</v>
      </c>
      <c r="Y213">
        <f>Table514302[[#This Row],[CFNM]]/Table514302[[#This Row],[CAREA]]</f>
        <v>0.38692101620881258</v>
      </c>
      <c r="Z213">
        <v>2.3684599999999998</v>
      </c>
      <c r="AA213">
        <f>(Table615303[[#This Row],[time]]-2)*2</f>
        <v>0.73691999999999958</v>
      </c>
      <c r="AB213">
        <v>93.036199999999994</v>
      </c>
      <c r="AC213">
        <v>11.6335</v>
      </c>
      <c r="AD213">
        <f>Table615303[[#This Row],[CFNM]]/Table615303[[#This Row],[CAREA]]</f>
        <v>0.12504272530477384</v>
      </c>
      <c r="AE213">
        <v>2.3684599999999998</v>
      </c>
      <c r="AF213">
        <f>(Table716304[[#This Row],[time]]-2)*2</f>
        <v>0.73691999999999958</v>
      </c>
      <c r="AG213">
        <v>77.781400000000005</v>
      </c>
      <c r="AH213">
        <v>39.996000000000002</v>
      </c>
      <c r="AI213">
        <f>Table716304[[#This Row],[CFNM]]/Table716304[[#This Row],[CAREA]]</f>
        <v>0.51421033820424933</v>
      </c>
      <c r="AJ213">
        <v>2.3684599999999998</v>
      </c>
      <c r="AK213">
        <f>(Table817305[[#This Row],[time]]-2)*2</f>
        <v>0.73691999999999958</v>
      </c>
      <c r="AL213">
        <v>80.8489</v>
      </c>
      <c r="AM213">
        <v>12.0899</v>
      </c>
      <c r="AN213">
        <f>Table817305[[#This Row],[CFNM]]/Table817305[[#This Row],[CAREA]]</f>
        <v>0.14953697576590405</v>
      </c>
    </row>
    <row r="214" spans="1:40" x14ac:dyDescent="0.25">
      <c r="A214">
        <v>2.4278300000000002</v>
      </c>
      <c r="B214">
        <f>(Table110298[[#This Row],[time]]-2)*2</f>
        <v>0.85566000000000031</v>
      </c>
      <c r="C214">
        <v>78.721400000000003</v>
      </c>
      <c r="D214">
        <v>30.9376</v>
      </c>
      <c r="E214">
        <f>Table110298[[#This Row],[CFNM]]/Table110298[[#This Row],[CAREA]]</f>
        <v>0.39300114073174508</v>
      </c>
      <c r="F214">
        <v>2.4278300000000002</v>
      </c>
      <c r="G214">
        <f>(Table211299[[#This Row],[time]]-2)*2</f>
        <v>0.85566000000000031</v>
      </c>
      <c r="H214">
        <v>84.646500000000003</v>
      </c>
      <c r="I214">
        <v>2.2376399999999999E-3</v>
      </c>
      <c r="J214">
        <f>Table211299[[#This Row],[CFNM]]/Table211299[[#This Row],[CAREA]]</f>
        <v>2.6435115450727436E-5</v>
      </c>
      <c r="K214">
        <v>2.4278300000000002</v>
      </c>
      <c r="L214">
        <f>(Table312300[[#This Row],[time]]-2)*2</f>
        <v>0.85566000000000031</v>
      </c>
      <c r="M214">
        <v>80.297200000000004</v>
      </c>
      <c r="N214">
        <v>25.2498</v>
      </c>
      <c r="O214">
        <f>Table312300[[#This Row],[CFNM]]/Table312300[[#This Row],[CAREA]]</f>
        <v>0.31445430226707782</v>
      </c>
      <c r="P214">
        <v>2.4278300000000002</v>
      </c>
      <c r="Q214">
        <f>(Table413301[[#This Row],[time]]-2)*2</f>
        <v>0.85566000000000031</v>
      </c>
      <c r="R214">
        <v>84.711799999999997</v>
      </c>
      <c r="S214">
        <v>2.7586899999999998E-3</v>
      </c>
      <c r="T214">
        <f>Table413301[[#This Row],[CFNM]]/Table413301[[#This Row],[CAREA]]</f>
        <v>3.2565592987045484E-5</v>
      </c>
      <c r="U214">
        <v>2.4278300000000002</v>
      </c>
      <c r="V214">
        <f>(Table514302[[#This Row],[time]]-2)*2</f>
        <v>0.85566000000000031</v>
      </c>
      <c r="W214">
        <v>68.898399999999995</v>
      </c>
      <c r="X214">
        <v>28.9877</v>
      </c>
      <c r="Y214">
        <f>Table514302[[#This Row],[CFNM]]/Table514302[[#This Row],[CAREA]]</f>
        <v>0.4207311055118842</v>
      </c>
      <c r="Z214">
        <v>2.4278300000000002</v>
      </c>
      <c r="AA214">
        <f>(Table615303[[#This Row],[time]]-2)*2</f>
        <v>0.85566000000000031</v>
      </c>
      <c r="AB214">
        <v>93.082599999999999</v>
      </c>
      <c r="AC214">
        <v>11.3262</v>
      </c>
      <c r="AD214">
        <f>Table615303[[#This Row],[CFNM]]/Table615303[[#This Row],[CAREA]]</f>
        <v>0.12167902486608669</v>
      </c>
      <c r="AE214">
        <v>2.4278300000000002</v>
      </c>
      <c r="AF214">
        <f>(Table716304[[#This Row],[time]]-2)*2</f>
        <v>0.85566000000000031</v>
      </c>
      <c r="AG214">
        <v>77.677099999999996</v>
      </c>
      <c r="AH214">
        <v>42.26</v>
      </c>
      <c r="AI214">
        <f>Table716304[[#This Row],[CFNM]]/Table716304[[#This Row],[CAREA]]</f>
        <v>0.54404708723677897</v>
      </c>
      <c r="AJ214">
        <v>2.4278300000000002</v>
      </c>
      <c r="AK214">
        <f>(Table817305[[#This Row],[time]]-2)*2</f>
        <v>0.85566000000000031</v>
      </c>
      <c r="AL214">
        <v>80.449600000000004</v>
      </c>
      <c r="AM214">
        <v>11.6112</v>
      </c>
      <c r="AN214">
        <f>Table817305[[#This Row],[CFNM]]/Table817305[[#This Row],[CAREA]]</f>
        <v>0.1443288717408166</v>
      </c>
    </row>
    <row r="215" spans="1:40" x14ac:dyDescent="0.25">
      <c r="A215">
        <v>2.4542000000000002</v>
      </c>
      <c r="B215">
        <f>(Table110298[[#This Row],[time]]-2)*2</f>
        <v>0.90840000000000032</v>
      </c>
      <c r="C215">
        <v>77.661600000000007</v>
      </c>
      <c r="D215">
        <v>33.135399999999997</v>
      </c>
      <c r="E215">
        <f>Table110298[[#This Row],[CFNM]]/Table110298[[#This Row],[CAREA]]</f>
        <v>0.42666388536934591</v>
      </c>
      <c r="F215">
        <v>2.4542000000000002</v>
      </c>
      <c r="G215">
        <f>(Table211299[[#This Row],[time]]-2)*2</f>
        <v>0.90840000000000032</v>
      </c>
      <c r="H215">
        <v>80.833299999999994</v>
      </c>
      <c r="I215">
        <v>1.9734900000000001E-3</v>
      </c>
      <c r="J215">
        <f>Table211299[[#This Row],[CFNM]]/Table211299[[#This Row],[CAREA]]</f>
        <v>2.4414319346111072E-5</v>
      </c>
      <c r="K215">
        <v>2.4542000000000002</v>
      </c>
      <c r="L215">
        <f>(Table312300[[#This Row],[time]]-2)*2</f>
        <v>0.90840000000000032</v>
      </c>
      <c r="M215">
        <v>79.730800000000002</v>
      </c>
      <c r="N215">
        <v>27.123799999999999</v>
      </c>
      <c r="O215">
        <f>Table312300[[#This Row],[CFNM]]/Table312300[[#This Row],[CAREA]]</f>
        <v>0.34019224691085503</v>
      </c>
      <c r="P215">
        <v>2.4542000000000002</v>
      </c>
      <c r="Q215">
        <f>(Table413301[[#This Row],[time]]-2)*2</f>
        <v>0.90840000000000032</v>
      </c>
      <c r="R215">
        <v>83.035799999999995</v>
      </c>
      <c r="S215">
        <v>2.53958E-3</v>
      </c>
      <c r="T215">
        <f>Table413301[[#This Row],[CFNM]]/Table413301[[#This Row],[CAREA]]</f>
        <v>3.058415767656842E-5</v>
      </c>
      <c r="U215">
        <v>2.4542000000000002</v>
      </c>
      <c r="V215">
        <f>(Table514302[[#This Row],[time]]-2)*2</f>
        <v>0.90840000000000032</v>
      </c>
      <c r="W215">
        <v>67.885099999999994</v>
      </c>
      <c r="X215">
        <v>31.260400000000001</v>
      </c>
      <c r="Y215">
        <f>Table514302[[#This Row],[CFNM]]/Table514302[[#This Row],[CAREA]]</f>
        <v>0.46048985712623247</v>
      </c>
      <c r="Z215">
        <v>2.4542000000000002</v>
      </c>
      <c r="AA215">
        <f>(Table615303[[#This Row],[time]]-2)*2</f>
        <v>0.90840000000000032</v>
      </c>
      <c r="AB215">
        <v>92.799000000000007</v>
      </c>
      <c r="AC215">
        <v>10.8302</v>
      </c>
      <c r="AD215">
        <f>Table615303[[#This Row],[CFNM]]/Table615303[[#This Row],[CAREA]]</f>
        <v>0.11670599898705804</v>
      </c>
      <c r="AE215">
        <v>2.4542000000000002</v>
      </c>
      <c r="AF215">
        <f>(Table716304[[#This Row],[time]]-2)*2</f>
        <v>0.90840000000000032</v>
      </c>
      <c r="AG215">
        <v>77.444199999999995</v>
      </c>
      <c r="AH215">
        <v>44.790999999999997</v>
      </c>
      <c r="AI215">
        <f>Table716304[[#This Row],[CFNM]]/Table716304[[#This Row],[CAREA]]</f>
        <v>0.5783648097598012</v>
      </c>
      <c r="AJ215">
        <v>2.4542000000000002</v>
      </c>
      <c r="AK215">
        <f>(Table817305[[#This Row],[time]]-2)*2</f>
        <v>0.90840000000000032</v>
      </c>
      <c r="AL215">
        <v>80.046199999999999</v>
      </c>
      <c r="AM215">
        <v>11.076000000000001</v>
      </c>
      <c r="AN215">
        <f>Table817305[[#This Row],[CFNM]]/Table817305[[#This Row],[CAREA]]</f>
        <v>0.13837009127229027</v>
      </c>
    </row>
    <row r="216" spans="1:40" x14ac:dyDescent="0.25">
      <c r="A216">
        <v>2.5061499999999999</v>
      </c>
      <c r="B216">
        <f>(Table110298[[#This Row],[time]]-2)*2</f>
        <v>1.0122999999999998</v>
      </c>
      <c r="C216">
        <v>76.754199999999997</v>
      </c>
      <c r="D216">
        <v>35.525199999999998</v>
      </c>
      <c r="E216">
        <f>Table110298[[#This Row],[CFNM]]/Table110298[[#This Row],[CAREA]]</f>
        <v>0.46284372711851596</v>
      </c>
      <c r="F216">
        <v>2.5061499999999999</v>
      </c>
      <c r="G216">
        <f>(Table211299[[#This Row],[time]]-2)*2</f>
        <v>1.0122999999999998</v>
      </c>
      <c r="H216">
        <v>72.7577</v>
      </c>
      <c r="I216">
        <v>1.6865700000000001E-3</v>
      </c>
      <c r="J216">
        <f>Table211299[[#This Row],[CFNM]]/Table211299[[#This Row],[CAREA]]</f>
        <v>2.3180639300032849E-5</v>
      </c>
      <c r="K216">
        <v>2.5061499999999999</v>
      </c>
      <c r="L216">
        <f>(Table312300[[#This Row],[time]]-2)*2</f>
        <v>1.0122999999999998</v>
      </c>
      <c r="M216">
        <v>79.248599999999996</v>
      </c>
      <c r="N216">
        <v>29.235900000000001</v>
      </c>
      <c r="O216">
        <f>Table312300[[#This Row],[CFNM]]/Table312300[[#This Row],[CAREA]]</f>
        <v>0.36891377260923225</v>
      </c>
      <c r="P216">
        <v>2.5061499999999999</v>
      </c>
      <c r="Q216">
        <f>(Table413301[[#This Row],[time]]-2)*2</f>
        <v>1.0122999999999998</v>
      </c>
      <c r="R216">
        <v>81.957700000000003</v>
      </c>
      <c r="S216">
        <v>2.2738799999999998E-3</v>
      </c>
      <c r="T216">
        <f>Table413301[[#This Row],[CFNM]]/Table413301[[#This Row],[CAREA]]</f>
        <v>2.7744556033173207E-5</v>
      </c>
      <c r="U216">
        <v>2.5061499999999999</v>
      </c>
      <c r="V216">
        <f>(Table514302[[#This Row],[time]]-2)*2</f>
        <v>1.0122999999999998</v>
      </c>
      <c r="W216">
        <v>67.037000000000006</v>
      </c>
      <c r="X216">
        <v>33.766399999999997</v>
      </c>
      <c r="Y216">
        <f>Table514302[[#This Row],[CFNM]]/Table514302[[#This Row],[CAREA]]</f>
        <v>0.50369795784417548</v>
      </c>
      <c r="Z216">
        <v>2.5061499999999999</v>
      </c>
      <c r="AA216">
        <f>(Table615303[[#This Row],[time]]-2)*2</f>
        <v>1.0122999999999998</v>
      </c>
      <c r="AB216">
        <v>91.986599999999996</v>
      </c>
      <c r="AC216">
        <v>10.111700000000001</v>
      </c>
      <c r="AD216">
        <f>Table615303[[#This Row],[CFNM]]/Table615303[[#This Row],[CAREA]]</f>
        <v>0.1099257935394938</v>
      </c>
      <c r="AE216">
        <v>2.5061499999999999</v>
      </c>
      <c r="AF216">
        <f>(Table716304[[#This Row],[time]]-2)*2</f>
        <v>1.0122999999999998</v>
      </c>
      <c r="AG216">
        <v>77.400800000000004</v>
      </c>
      <c r="AH216">
        <v>47.698799999999999</v>
      </c>
      <c r="AI216">
        <f>Table716304[[#This Row],[CFNM]]/Table716304[[#This Row],[CAREA]]</f>
        <v>0.61625719630804843</v>
      </c>
      <c r="AJ216">
        <v>2.5061499999999999</v>
      </c>
      <c r="AK216">
        <f>(Table817305[[#This Row],[time]]-2)*2</f>
        <v>1.0122999999999998</v>
      </c>
      <c r="AL216">
        <v>79.527900000000002</v>
      </c>
      <c r="AM216">
        <v>10.482200000000001</v>
      </c>
      <c r="AN216">
        <f>Table817305[[#This Row],[CFNM]]/Table817305[[#This Row],[CAREA]]</f>
        <v>0.13180531612176355</v>
      </c>
    </row>
    <row r="217" spans="1:40" x14ac:dyDescent="0.25">
      <c r="A217">
        <v>2.5507599999999999</v>
      </c>
      <c r="B217">
        <f>(Table110298[[#This Row],[time]]-2)*2</f>
        <v>1.1015199999999998</v>
      </c>
      <c r="C217">
        <v>76.016499999999994</v>
      </c>
      <c r="D217">
        <v>37.879800000000003</v>
      </c>
      <c r="E217">
        <f>Table110298[[#This Row],[CFNM]]/Table110298[[#This Row],[CAREA]]</f>
        <v>0.49831023527786739</v>
      </c>
      <c r="F217">
        <v>2.5507599999999999</v>
      </c>
      <c r="G217">
        <f>(Table211299[[#This Row],[time]]-2)*2</f>
        <v>1.1015199999999998</v>
      </c>
      <c r="H217">
        <v>66.657600000000002</v>
      </c>
      <c r="I217">
        <v>1.4256500000000001E-3</v>
      </c>
      <c r="J217">
        <f>Table211299[[#This Row],[CFNM]]/Table211299[[#This Row],[CAREA]]</f>
        <v>2.1387658721586135E-5</v>
      </c>
      <c r="K217">
        <v>2.5507599999999999</v>
      </c>
      <c r="L217">
        <f>(Table312300[[#This Row],[time]]-2)*2</f>
        <v>1.1015199999999998</v>
      </c>
      <c r="M217">
        <v>78.762600000000006</v>
      </c>
      <c r="N217">
        <v>31.3156</v>
      </c>
      <c r="O217">
        <f>Table312300[[#This Row],[CFNM]]/Table312300[[#This Row],[CAREA]]</f>
        <v>0.39759479753080773</v>
      </c>
      <c r="P217">
        <v>2.5507599999999999</v>
      </c>
      <c r="Q217">
        <f>(Table413301[[#This Row],[time]]-2)*2</f>
        <v>1.1015199999999998</v>
      </c>
      <c r="R217">
        <v>80.101500000000001</v>
      </c>
      <c r="S217">
        <v>2.0084600000000001E-3</v>
      </c>
      <c r="T217">
        <f>Table413301[[#This Row],[CFNM]]/Table413301[[#This Row],[CAREA]]</f>
        <v>2.5073937441870629E-5</v>
      </c>
      <c r="U217">
        <v>2.5507599999999999</v>
      </c>
      <c r="V217">
        <f>(Table514302[[#This Row],[time]]-2)*2</f>
        <v>1.1015199999999998</v>
      </c>
      <c r="W217">
        <v>66.073700000000002</v>
      </c>
      <c r="X217">
        <v>36.372999999999998</v>
      </c>
      <c r="Y217">
        <f>Table514302[[#This Row],[CFNM]]/Table514302[[#This Row],[CAREA]]</f>
        <v>0.55049134527050847</v>
      </c>
      <c r="Z217">
        <v>2.5507599999999999</v>
      </c>
      <c r="AA217">
        <f>(Table615303[[#This Row],[time]]-2)*2</f>
        <v>1.1015199999999998</v>
      </c>
      <c r="AB217">
        <v>92.010499999999993</v>
      </c>
      <c r="AC217">
        <v>9.3212799999999998</v>
      </c>
      <c r="AD217">
        <f>Table615303[[#This Row],[CFNM]]/Table615303[[#This Row],[CAREA]]</f>
        <v>0.10130669869199711</v>
      </c>
      <c r="AE217">
        <v>2.5507599999999999</v>
      </c>
      <c r="AF217">
        <f>(Table716304[[#This Row],[time]]-2)*2</f>
        <v>1.1015199999999998</v>
      </c>
      <c r="AG217">
        <v>77.341700000000003</v>
      </c>
      <c r="AH217">
        <v>50.699599999999997</v>
      </c>
      <c r="AI217">
        <f>Table716304[[#This Row],[CFNM]]/Table716304[[#This Row],[CAREA]]</f>
        <v>0.65552735458362044</v>
      </c>
      <c r="AJ217">
        <v>2.5507599999999999</v>
      </c>
      <c r="AK217">
        <f>(Table817305[[#This Row],[time]]-2)*2</f>
        <v>1.1015199999999998</v>
      </c>
      <c r="AL217">
        <v>78.902699999999996</v>
      </c>
      <c r="AM217">
        <v>9.8321100000000001</v>
      </c>
      <c r="AN217">
        <f>Table817305[[#This Row],[CFNM]]/Table817305[[#This Row],[CAREA]]</f>
        <v>0.12461056465748321</v>
      </c>
    </row>
    <row r="218" spans="1:40" x14ac:dyDescent="0.25">
      <c r="A218">
        <v>2.60453</v>
      </c>
      <c r="B218">
        <f>(Table110298[[#This Row],[time]]-2)*2</f>
        <v>1.20906</v>
      </c>
      <c r="C218">
        <v>75.268199999999993</v>
      </c>
      <c r="D218">
        <v>39.088099999999997</v>
      </c>
      <c r="E218">
        <f>Table110298[[#This Row],[CFNM]]/Table110298[[#This Row],[CAREA]]</f>
        <v>0.51931758697564179</v>
      </c>
      <c r="F218">
        <v>2.60453</v>
      </c>
      <c r="G218">
        <f>(Table211299[[#This Row],[time]]-2)*2</f>
        <v>1.20906</v>
      </c>
      <c r="H218">
        <v>62.242400000000004</v>
      </c>
      <c r="I218">
        <v>1.3035900000000001E-3</v>
      </c>
      <c r="J218">
        <f>Table211299[[#This Row],[CFNM]]/Table211299[[#This Row],[CAREA]]</f>
        <v>2.0943761808670616E-5</v>
      </c>
      <c r="K218">
        <v>2.60453</v>
      </c>
      <c r="L218">
        <f>(Table312300[[#This Row],[time]]-2)*2</f>
        <v>1.20906</v>
      </c>
      <c r="M218">
        <v>78.484399999999994</v>
      </c>
      <c r="N218">
        <v>32.3705</v>
      </c>
      <c r="O218">
        <f>Table312300[[#This Row],[CFNM]]/Table312300[[#This Row],[CAREA]]</f>
        <v>0.4124450209213551</v>
      </c>
      <c r="P218">
        <v>2.60453</v>
      </c>
      <c r="Q218">
        <f>(Table413301[[#This Row],[time]]-2)*2</f>
        <v>1.20906</v>
      </c>
      <c r="R218">
        <v>78.217500000000001</v>
      </c>
      <c r="S218">
        <v>1.8765399999999999E-3</v>
      </c>
      <c r="T218">
        <f>Table413301[[#This Row],[CFNM]]/Table413301[[#This Row],[CAREA]]</f>
        <v>2.3991306293348674E-5</v>
      </c>
      <c r="U218">
        <v>2.60453</v>
      </c>
      <c r="V218">
        <f>(Table514302[[#This Row],[time]]-2)*2</f>
        <v>1.20906</v>
      </c>
      <c r="W218">
        <v>64.508600000000001</v>
      </c>
      <c r="X218">
        <v>37.757300000000001</v>
      </c>
      <c r="Y218">
        <f>Table514302[[#This Row],[CFNM]]/Table514302[[#This Row],[CAREA]]</f>
        <v>0.58530645526332925</v>
      </c>
      <c r="Z218">
        <v>2.60453</v>
      </c>
      <c r="AA218">
        <f>(Table615303[[#This Row],[time]]-2)*2</f>
        <v>1.20906</v>
      </c>
      <c r="AB218">
        <v>91.815200000000004</v>
      </c>
      <c r="AC218">
        <v>8.8755000000000006</v>
      </c>
      <c r="AD218">
        <f>Table615303[[#This Row],[CFNM]]/Table615303[[#This Row],[CAREA]]</f>
        <v>9.6667000670912884E-2</v>
      </c>
      <c r="AE218">
        <v>2.60453</v>
      </c>
      <c r="AF218">
        <f>(Table716304[[#This Row],[time]]-2)*2</f>
        <v>1.20906</v>
      </c>
      <c r="AG218">
        <v>77.213800000000006</v>
      </c>
      <c r="AH218">
        <v>52.308300000000003</v>
      </c>
      <c r="AI218">
        <f>Table716304[[#This Row],[CFNM]]/Table716304[[#This Row],[CAREA]]</f>
        <v>0.67744755471172247</v>
      </c>
      <c r="AJ218">
        <v>2.60453</v>
      </c>
      <c r="AK218">
        <f>(Table817305[[#This Row],[time]]-2)*2</f>
        <v>1.20906</v>
      </c>
      <c r="AL218">
        <v>78.490499999999997</v>
      </c>
      <c r="AM218">
        <v>9.4425899999999992</v>
      </c>
      <c r="AN218">
        <f>Table817305[[#This Row],[CFNM]]/Table817305[[#This Row],[CAREA]]</f>
        <v>0.12030232958128691</v>
      </c>
    </row>
    <row r="219" spans="1:40" x14ac:dyDescent="0.25">
      <c r="A219">
        <v>2.65273</v>
      </c>
      <c r="B219">
        <f>(Table110298[[#This Row],[time]]-2)*2</f>
        <v>1.3054600000000001</v>
      </c>
      <c r="C219">
        <v>73.392300000000006</v>
      </c>
      <c r="D219">
        <v>41.591099999999997</v>
      </c>
      <c r="E219">
        <f>Table110298[[#This Row],[CFNM]]/Table110298[[#This Row],[CAREA]]</f>
        <v>0.56669568878479071</v>
      </c>
      <c r="F219">
        <v>2.65273</v>
      </c>
      <c r="G219">
        <f>(Table211299[[#This Row],[time]]-2)*2</f>
        <v>1.3054600000000001</v>
      </c>
      <c r="H219">
        <v>55.919199999999996</v>
      </c>
      <c r="I219">
        <v>1.0797199999999999E-3</v>
      </c>
      <c r="J219">
        <f>Table211299[[#This Row],[CFNM]]/Table211299[[#This Row],[CAREA]]</f>
        <v>1.9308573799339046E-5</v>
      </c>
      <c r="K219">
        <v>2.65273</v>
      </c>
      <c r="L219">
        <f>(Table312300[[#This Row],[time]]-2)*2</f>
        <v>1.3054600000000001</v>
      </c>
      <c r="M219">
        <v>78.009500000000003</v>
      </c>
      <c r="N219">
        <v>34.466200000000001</v>
      </c>
      <c r="O219">
        <f>Table312300[[#This Row],[CFNM]]/Table312300[[#This Row],[CAREA]]</f>
        <v>0.44182054749742017</v>
      </c>
      <c r="P219">
        <v>2.65273</v>
      </c>
      <c r="Q219">
        <f>(Table413301[[#This Row],[time]]-2)*2</f>
        <v>1.3054600000000001</v>
      </c>
      <c r="R219">
        <v>74.845200000000006</v>
      </c>
      <c r="S219">
        <v>1.6169299999999999E-3</v>
      </c>
      <c r="T219">
        <f>Table413301[[#This Row],[CFNM]]/Table413301[[#This Row],[CAREA]]</f>
        <v>2.1603656613917792E-5</v>
      </c>
      <c r="U219">
        <v>2.65273</v>
      </c>
      <c r="V219">
        <f>(Table514302[[#This Row],[time]]-2)*2</f>
        <v>1.3054600000000001</v>
      </c>
      <c r="W219">
        <v>63.499400000000001</v>
      </c>
      <c r="X219">
        <v>40.576599999999999</v>
      </c>
      <c r="Y219">
        <f>Table514302[[#This Row],[CFNM]]/Table514302[[#This Row],[CAREA]]</f>
        <v>0.63900761267035588</v>
      </c>
      <c r="Z219">
        <v>2.65273</v>
      </c>
      <c r="AA219">
        <f>(Table615303[[#This Row],[time]]-2)*2</f>
        <v>1.3054600000000001</v>
      </c>
      <c r="AB219">
        <v>91.032799999999995</v>
      </c>
      <c r="AC219">
        <v>7.8820800000000002</v>
      </c>
      <c r="AD219">
        <f>Table615303[[#This Row],[CFNM]]/Table615303[[#This Row],[CAREA]]</f>
        <v>8.6585055057078336E-2</v>
      </c>
      <c r="AE219">
        <v>2.65273</v>
      </c>
      <c r="AF219">
        <f>(Table716304[[#This Row],[time]]-2)*2</f>
        <v>1.3054600000000001</v>
      </c>
      <c r="AG219">
        <v>76.896199999999993</v>
      </c>
      <c r="AH219">
        <v>55.5533</v>
      </c>
      <c r="AI219">
        <f>Table716304[[#This Row],[CFNM]]/Table716304[[#This Row],[CAREA]]</f>
        <v>0.72244532239564507</v>
      </c>
      <c r="AJ219">
        <v>2.65273</v>
      </c>
      <c r="AK219">
        <f>(Table817305[[#This Row],[time]]-2)*2</f>
        <v>1.3054600000000001</v>
      </c>
      <c r="AL219">
        <v>77.695099999999996</v>
      </c>
      <c r="AM219">
        <v>8.5948899999999995</v>
      </c>
      <c r="AN219">
        <f>Table817305[[#This Row],[CFNM]]/Table817305[[#This Row],[CAREA]]</f>
        <v>0.11062332116182359</v>
      </c>
    </row>
    <row r="220" spans="1:40" x14ac:dyDescent="0.25">
      <c r="A220">
        <v>2.7006199999999998</v>
      </c>
      <c r="B220">
        <f>(Table110298[[#This Row],[time]]-2)*2</f>
        <v>1.4012399999999996</v>
      </c>
      <c r="C220">
        <v>72.435500000000005</v>
      </c>
      <c r="D220">
        <v>42.943600000000004</v>
      </c>
      <c r="E220">
        <f>Table110298[[#This Row],[CFNM]]/Table110298[[#This Row],[CAREA]]</f>
        <v>0.59285295193655041</v>
      </c>
      <c r="F220">
        <v>2.7006199999999998</v>
      </c>
      <c r="G220">
        <f>(Table211299[[#This Row],[time]]-2)*2</f>
        <v>1.4012399999999996</v>
      </c>
      <c r="H220">
        <v>54.665799999999997</v>
      </c>
      <c r="I220">
        <v>9.6050400000000005E-4</v>
      </c>
      <c r="J220">
        <f>Table211299[[#This Row],[CFNM]]/Table211299[[#This Row],[CAREA]]</f>
        <v>1.7570473678241243E-5</v>
      </c>
      <c r="K220">
        <v>2.7006199999999998</v>
      </c>
      <c r="L220">
        <f>(Table312300[[#This Row],[time]]-2)*2</f>
        <v>1.4012399999999996</v>
      </c>
      <c r="M220">
        <v>77.728399999999993</v>
      </c>
      <c r="N220">
        <v>35.618699999999997</v>
      </c>
      <c r="O220">
        <f>Table312300[[#This Row],[CFNM]]/Table312300[[#This Row],[CAREA]]</f>
        <v>0.45824563480015029</v>
      </c>
      <c r="P220">
        <v>2.7006199999999998</v>
      </c>
      <c r="Q220">
        <f>(Table413301[[#This Row],[time]]-2)*2</f>
        <v>1.4012399999999996</v>
      </c>
      <c r="R220">
        <v>71.827799999999996</v>
      </c>
      <c r="S220">
        <v>1.4784900000000001E-3</v>
      </c>
      <c r="T220">
        <f>Table413301[[#This Row],[CFNM]]/Table413301[[#This Row],[CAREA]]</f>
        <v>2.0583812952645078E-5</v>
      </c>
      <c r="U220">
        <v>2.7006199999999998</v>
      </c>
      <c r="V220">
        <f>(Table514302[[#This Row],[time]]-2)*2</f>
        <v>1.4012399999999996</v>
      </c>
      <c r="W220">
        <v>62.572099999999999</v>
      </c>
      <c r="X220">
        <v>42.141800000000003</v>
      </c>
      <c r="Y220">
        <f>Table514302[[#This Row],[CFNM]]/Table514302[[#This Row],[CAREA]]</f>
        <v>0.67349185979054571</v>
      </c>
      <c r="Z220">
        <v>2.7006199999999998</v>
      </c>
      <c r="AA220">
        <f>(Table615303[[#This Row],[time]]-2)*2</f>
        <v>1.4012399999999996</v>
      </c>
      <c r="AB220">
        <v>90.765799999999999</v>
      </c>
      <c r="AC220">
        <v>7.3352199999999996</v>
      </c>
      <c r="AD220">
        <f>Table615303[[#This Row],[CFNM]]/Table615303[[#This Row],[CAREA]]</f>
        <v>8.0814800288214278E-2</v>
      </c>
      <c r="AE220">
        <v>2.7006199999999998</v>
      </c>
      <c r="AF220">
        <f>(Table716304[[#This Row],[time]]-2)*2</f>
        <v>1.4012399999999996</v>
      </c>
      <c r="AG220">
        <v>76.308000000000007</v>
      </c>
      <c r="AH220">
        <v>57.306899999999999</v>
      </c>
      <c r="AI220">
        <f>Table716304[[#This Row],[CFNM]]/Table716304[[#This Row],[CAREA]]</f>
        <v>0.75099465324736581</v>
      </c>
      <c r="AJ220">
        <v>2.7006199999999998</v>
      </c>
      <c r="AK220">
        <f>(Table817305[[#This Row],[time]]-2)*2</f>
        <v>1.4012399999999996</v>
      </c>
      <c r="AL220">
        <v>77.253799999999998</v>
      </c>
      <c r="AM220">
        <v>8.0981900000000007</v>
      </c>
      <c r="AN220">
        <f>Table817305[[#This Row],[CFNM]]/Table817305[[#This Row],[CAREA]]</f>
        <v>0.10482578203272849</v>
      </c>
    </row>
    <row r="221" spans="1:40" x14ac:dyDescent="0.25">
      <c r="A221">
        <v>2.75176</v>
      </c>
      <c r="B221">
        <f>(Table110298[[#This Row],[time]]-2)*2</f>
        <v>1.50352</v>
      </c>
      <c r="C221">
        <v>71.828199999999995</v>
      </c>
      <c r="D221">
        <v>44.923900000000003</v>
      </c>
      <c r="E221">
        <f>Table110298[[#This Row],[CFNM]]/Table110298[[#This Row],[CAREA]]</f>
        <v>0.62543541394605473</v>
      </c>
      <c r="F221">
        <v>2.75176</v>
      </c>
      <c r="G221">
        <f>(Table211299[[#This Row],[time]]-2)*2</f>
        <v>1.50352</v>
      </c>
      <c r="H221">
        <v>48.5869</v>
      </c>
      <c r="I221">
        <v>7.8576399999999999E-4</v>
      </c>
      <c r="J221">
        <f>Table211299[[#This Row],[CFNM]]/Table211299[[#This Row],[CAREA]]</f>
        <v>1.6172342750823783E-5</v>
      </c>
      <c r="K221">
        <v>2.75176</v>
      </c>
      <c r="L221">
        <f>(Table312300[[#This Row],[time]]-2)*2</f>
        <v>1.50352</v>
      </c>
      <c r="M221">
        <v>77.237399999999994</v>
      </c>
      <c r="N221">
        <v>37.383499999999998</v>
      </c>
      <c r="O221">
        <f>Table312300[[#This Row],[CFNM]]/Table312300[[#This Row],[CAREA]]</f>
        <v>0.48400774754199394</v>
      </c>
      <c r="P221">
        <v>2.75176</v>
      </c>
      <c r="Q221">
        <f>(Table413301[[#This Row],[time]]-2)*2</f>
        <v>1.50352</v>
      </c>
      <c r="R221">
        <v>63.371400000000001</v>
      </c>
      <c r="S221">
        <v>1.28432E-3</v>
      </c>
      <c r="T221">
        <f>Table413301[[#This Row],[CFNM]]/Table413301[[#This Row],[CAREA]]</f>
        <v>2.0266555575543543E-5</v>
      </c>
      <c r="U221">
        <v>2.75176</v>
      </c>
      <c r="V221">
        <f>(Table514302[[#This Row],[time]]-2)*2</f>
        <v>1.50352</v>
      </c>
      <c r="W221">
        <v>61.829700000000003</v>
      </c>
      <c r="X221">
        <v>44.566400000000002</v>
      </c>
      <c r="Y221">
        <f>Table514302[[#This Row],[CFNM]]/Table514302[[#This Row],[CAREA]]</f>
        <v>0.72079275817285215</v>
      </c>
      <c r="Z221">
        <v>2.75176</v>
      </c>
      <c r="AA221">
        <f>(Table615303[[#This Row],[time]]-2)*2</f>
        <v>1.50352</v>
      </c>
      <c r="AB221">
        <v>90.2821</v>
      </c>
      <c r="AC221">
        <v>6.5457400000000003</v>
      </c>
      <c r="AD221">
        <f>Table615303[[#This Row],[CFNM]]/Table615303[[#This Row],[CAREA]]</f>
        <v>7.2503187232020525E-2</v>
      </c>
      <c r="AE221">
        <v>2.75176</v>
      </c>
      <c r="AF221">
        <f>(Table716304[[#This Row],[time]]-2)*2</f>
        <v>1.50352</v>
      </c>
      <c r="AG221">
        <v>75.956500000000005</v>
      </c>
      <c r="AH221">
        <v>59.955599999999997</v>
      </c>
      <c r="AI221">
        <f>Table716304[[#This Row],[CFNM]]/Table716304[[#This Row],[CAREA]]</f>
        <v>0.78934126769927515</v>
      </c>
      <c r="AJ221">
        <v>2.75176</v>
      </c>
      <c r="AK221">
        <f>(Table817305[[#This Row],[time]]-2)*2</f>
        <v>1.50352</v>
      </c>
      <c r="AL221">
        <v>76.723200000000006</v>
      </c>
      <c r="AM221">
        <v>7.3648600000000002</v>
      </c>
      <c r="AN221">
        <f>Table817305[[#This Row],[CFNM]]/Table817305[[#This Row],[CAREA]]</f>
        <v>9.5992607190523854E-2</v>
      </c>
    </row>
    <row r="222" spans="1:40" x14ac:dyDescent="0.25">
      <c r="A222">
        <v>2.80444</v>
      </c>
      <c r="B222">
        <f>(Table110298[[#This Row],[time]]-2)*2</f>
        <v>1.6088800000000001</v>
      </c>
      <c r="C222">
        <v>70.940600000000003</v>
      </c>
      <c r="D222">
        <v>46.523899999999998</v>
      </c>
      <c r="E222">
        <f>Table110298[[#This Row],[CFNM]]/Table110298[[#This Row],[CAREA]]</f>
        <v>0.65581486483057649</v>
      </c>
      <c r="F222">
        <v>2.80444</v>
      </c>
      <c r="G222">
        <f>(Table211299[[#This Row],[time]]-2)*2</f>
        <v>1.6088800000000001</v>
      </c>
      <c r="H222">
        <v>44.516399999999997</v>
      </c>
      <c r="I222">
        <v>6.5544699999999997E-4</v>
      </c>
      <c r="J222">
        <f>Table211299[[#This Row],[CFNM]]/Table211299[[#This Row],[CAREA]]</f>
        <v>1.4723719797647609E-5</v>
      </c>
      <c r="K222">
        <v>2.80444</v>
      </c>
      <c r="L222">
        <f>(Table312300[[#This Row],[time]]-2)*2</f>
        <v>1.6088800000000001</v>
      </c>
      <c r="M222">
        <v>76.879300000000001</v>
      </c>
      <c r="N222">
        <v>38.895600000000002</v>
      </c>
      <c r="O222">
        <f>Table312300[[#This Row],[CFNM]]/Table312300[[#This Row],[CAREA]]</f>
        <v>0.50593072517569748</v>
      </c>
      <c r="P222">
        <v>2.80444</v>
      </c>
      <c r="Q222">
        <f>(Table413301[[#This Row],[time]]-2)*2</f>
        <v>1.6088800000000001</v>
      </c>
      <c r="R222">
        <v>57.0154</v>
      </c>
      <c r="S222">
        <v>1.1419399999999999E-3</v>
      </c>
      <c r="T222">
        <f>Table413301[[#This Row],[CFNM]]/Table413301[[#This Row],[CAREA]]</f>
        <v>2.0028623845487359E-5</v>
      </c>
      <c r="U222">
        <v>2.80444</v>
      </c>
      <c r="V222">
        <f>(Table514302[[#This Row],[time]]-2)*2</f>
        <v>1.6088800000000001</v>
      </c>
      <c r="W222">
        <v>61.221499999999999</v>
      </c>
      <c r="X222">
        <v>46.587299999999999</v>
      </c>
      <c r="Y222">
        <f>Table514302[[#This Row],[CFNM]]/Table514302[[#This Row],[CAREA]]</f>
        <v>0.76096306036278105</v>
      </c>
      <c r="Z222">
        <v>2.80444</v>
      </c>
      <c r="AA222">
        <f>(Table615303[[#This Row],[time]]-2)*2</f>
        <v>1.6088800000000001</v>
      </c>
      <c r="AB222">
        <v>89.617000000000004</v>
      </c>
      <c r="AC222">
        <v>5.9144899999999998</v>
      </c>
      <c r="AD222">
        <f>Table615303[[#This Row],[CFNM]]/Table615303[[#This Row],[CAREA]]</f>
        <v>6.5997411205463249E-2</v>
      </c>
      <c r="AE222">
        <v>2.80444</v>
      </c>
      <c r="AF222">
        <f>(Table716304[[#This Row],[time]]-2)*2</f>
        <v>1.6088800000000001</v>
      </c>
      <c r="AG222">
        <v>75.644999999999996</v>
      </c>
      <c r="AH222">
        <v>62.148400000000002</v>
      </c>
      <c r="AI222">
        <f>Table716304[[#This Row],[CFNM]]/Table716304[[#This Row],[CAREA]]</f>
        <v>0.82157974750479223</v>
      </c>
      <c r="AJ222">
        <v>2.80444</v>
      </c>
      <c r="AK222">
        <f>(Table817305[[#This Row],[time]]-2)*2</f>
        <v>1.6088800000000001</v>
      </c>
      <c r="AL222">
        <v>76.144499999999994</v>
      </c>
      <c r="AM222">
        <v>6.7514099999999999</v>
      </c>
      <c r="AN222">
        <f>Table817305[[#This Row],[CFNM]]/Table817305[[#This Row],[CAREA]]</f>
        <v>8.8665760494848617E-2</v>
      </c>
    </row>
    <row r="223" spans="1:40" x14ac:dyDescent="0.25">
      <c r="A223">
        <v>2.8583699999999999</v>
      </c>
      <c r="B223">
        <f>(Table110298[[#This Row],[time]]-2)*2</f>
        <v>1.7167399999999997</v>
      </c>
      <c r="C223">
        <v>70.548599999999993</v>
      </c>
      <c r="D223">
        <v>47.636099999999999</v>
      </c>
      <c r="E223">
        <f>Table110298[[#This Row],[CFNM]]/Table110298[[#This Row],[CAREA]]</f>
        <v>0.67522388821323176</v>
      </c>
      <c r="F223">
        <v>2.8583699999999999</v>
      </c>
      <c r="G223">
        <f>(Table211299[[#This Row],[time]]-2)*2</f>
        <v>1.7167399999999997</v>
      </c>
      <c r="H223">
        <v>40.815199999999997</v>
      </c>
      <c r="I223">
        <v>5.6906600000000002E-4</v>
      </c>
      <c r="J223">
        <f>Table211299[[#This Row],[CFNM]]/Table211299[[#This Row],[CAREA]]</f>
        <v>1.3942501813050041E-5</v>
      </c>
      <c r="K223">
        <v>2.8583699999999999</v>
      </c>
      <c r="L223">
        <f>(Table312300[[#This Row],[time]]-2)*2</f>
        <v>1.7167399999999997</v>
      </c>
      <c r="M223">
        <v>76.599699999999999</v>
      </c>
      <c r="N223">
        <v>39.946100000000001</v>
      </c>
      <c r="O223">
        <f>Table312300[[#This Row],[CFNM]]/Table312300[[#This Row],[CAREA]]</f>
        <v>0.52149159853106475</v>
      </c>
      <c r="P223">
        <v>2.8583699999999999</v>
      </c>
      <c r="Q223">
        <f>(Table413301[[#This Row],[time]]-2)*2</f>
        <v>1.7167399999999997</v>
      </c>
      <c r="R223">
        <v>50.417200000000001</v>
      </c>
      <c r="S223">
        <v>1.0547200000000001E-3</v>
      </c>
      <c r="T223">
        <f>Table413301[[#This Row],[CFNM]]/Table413301[[#This Row],[CAREA]]</f>
        <v>2.091984481486477E-5</v>
      </c>
      <c r="U223">
        <v>2.8583699999999999</v>
      </c>
      <c r="V223">
        <f>(Table514302[[#This Row],[time]]-2)*2</f>
        <v>1.7167399999999997</v>
      </c>
      <c r="W223">
        <v>60.7804</v>
      </c>
      <c r="X223">
        <v>48.041600000000003</v>
      </c>
      <c r="Y223">
        <f>Table514302[[#This Row],[CFNM]]/Table514302[[#This Row],[CAREA]]</f>
        <v>0.7904126988305441</v>
      </c>
      <c r="Z223">
        <v>2.8583699999999999</v>
      </c>
      <c r="AA223">
        <f>(Table615303[[#This Row],[time]]-2)*2</f>
        <v>1.7167399999999997</v>
      </c>
      <c r="AB223">
        <v>89.330799999999996</v>
      </c>
      <c r="AC223">
        <v>5.5076299999999998</v>
      </c>
      <c r="AD223">
        <f>Table615303[[#This Row],[CFNM]]/Table615303[[#This Row],[CAREA]]</f>
        <v>6.1654323033041233E-2</v>
      </c>
      <c r="AE223">
        <v>2.8583699999999999</v>
      </c>
      <c r="AF223">
        <f>(Table716304[[#This Row],[time]]-2)*2</f>
        <v>1.7167399999999997</v>
      </c>
      <c r="AG223">
        <v>75.031000000000006</v>
      </c>
      <c r="AH223">
        <v>63.684199999999997</v>
      </c>
      <c r="AI223">
        <f>Table716304[[#This Row],[CFNM]]/Table716304[[#This Row],[CAREA]]</f>
        <v>0.848771840972398</v>
      </c>
      <c r="AJ223">
        <v>2.8583699999999999</v>
      </c>
      <c r="AK223">
        <f>(Table817305[[#This Row],[time]]-2)*2</f>
        <v>1.7167399999999997</v>
      </c>
      <c r="AL223">
        <v>75.756</v>
      </c>
      <c r="AM223">
        <v>6.3112599999999999</v>
      </c>
      <c r="AN223">
        <f>Table817305[[#This Row],[CFNM]]/Table817305[[#This Row],[CAREA]]</f>
        <v>8.3310364855589E-2</v>
      </c>
    </row>
    <row r="224" spans="1:40" x14ac:dyDescent="0.25">
      <c r="A224">
        <v>2.9134199999999999</v>
      </c>
      <c r="B224">
        <f>(Table110298[[#This Row],[time]]-2)*2</f>
        <v>1.8268399999999998</v>
      </c>
      <c r="C224">
        <v>69.683899999999994</v>
      </c>
      <c r="D224">
        <v>49.230600000000003</v>
      </c>
      <c r="E224">
        <f>Table110298[[#This Row],[CFNM]]/Table110298[[#This Row],[CAREA]]</f>
        <v>0.70648456817141414</v>
      </c>
      <c r="F224">
        <v>2.9134199999999999</v>
      </c>
      <c r="G224">
        <f>(Table211299[[#This Row],[time]]-2)*2</f>
        <v>1.8268399999999998</v>
      </c>
      <c r="H224">
        <v>33.387500000000003</v>
      </c>
      <c r="I224">
        <v>4.62237E-4</v>
      </c>
      <c r="J224">
        <f>Table211299[[#This Row],[CFNM]]/Table211299[[#This Row],[CAREA]]</f>
        <v>1.3844612504679895E-5</v>
      </c>
      <c r="K224">
        <v>2.9134199999999999</v>
      </c>
      <c r="L224">
        <f>(Table312300[[#This Row],[time]]-2)*2</f>
        <v>1.8268399999999998</v>
      </c>
      <c r="M224">
        <v>76.188699999999997</v>
      </c>
      <c r="N224">
        <v>41.448799999999999</v>
      </c>
      <c r="O224">
        <f>Table312300[[#This Row],[CFNM]]/Table312300[[#This Row],[CAREA]]</f>
        <v>0.54402818265700814</v>
      </c>
      <c r="P224">
        <v>2.9134199999999999</v>
      </c>
      <c r="Q224">
        <f>(Table413301[[#This Row],[time]]-2)*2</f>
        <v>1.8268399999999998</v>
      </c>
      <c r="R224">
        <v>47.750100000000003</v>
      </c>
      <c r="S224">
        <v>9.4756300000000001E-4</v>
      </c>
      <c r="T224">
        <f>Table413301[[#This Row],[CFNM]]/Table413301[[#This Row],[CAREA]]</f>
        <v>1.9844209750346071E-5</v>
      </c>
      <c r="U224">
        <v>2.9134199999999999</v>
      </c>
      <c r="V224">
        <f>(Table514302[[#This Row],[time]]-2)*2</f>
        <v>1.8268399999999998</v>
      </c>
      <c r="W224">
        <v>60.164099999999998</v>
      </c>
      <c r="X224">
        <v>50.113700000000001</v>
      </c>
      <c r="Y224">
        <f>Table514302[[#This Row],[CFNM]]/Table514302[[#This Row],[CAREA]]</f>
        <v>0.83295021449668494</v>
      </c>
      <c r="Z224">
        <v>2.9134199999999999</v>
      </c>
      <c r="AA224">
        <f>(Table615303[[#This Row],[time]]-2)*2</f>
        <v>1.8268399999999998</v>
      </c>
      <c r="AB224">
        <v>88.456699999999998</v>
      </c>
      <c r="AC224">
        <v>4.9844200000000001</v>
      </c>
      <c r="AD224">
        <f>Table615303[[#This Row],[CFNM]]/Table615303[[#This Row],[CAREA]]</f>
        <v>5.6348699420168291E-2</v>
      </c>
      <c r="AE224">
        <v>2.9134199999999999</v>
      </c>
      <c r="AF224">
        <f>(Table716304[[#This Row],[time]]-2)*2</f>
        <v>1.8268399999999998</v>
      </c>
      <c r="AG224">
        <v>74.622799999999998</v>
      </c>
      <c r="AH224">
        <v>65.808999999999997</v>
      </c>
      <c r="AI224">
        <f>Table716304[[#This Row],[CFNM]]/Table716304[[#This Row],[CAREA]]</f>
        <v>0.88188864529339561</v>
      </c>
      <c r="AJ224">
        <v>2.9134199999999999</v>
      </c>
      <c r="AK224">
        <f>(Table817305[[#This Row],[time]]-2)*2</f>
        <v>1.8268399999999998</v>
      </c>
      <c r="AL224">
        <v>75.205799999999996</v>
      </c>
      <c r="AM224">
        <v>5.7101800000000003</v>
      </c>
      <c r="AN224">
        <f>Table817305[[#This Row],[CFNM]]/Table817305[[#This Row],[CAREA]]</f>
        <v>7.5927388579072372E-2</v>
      </c>
    </row>
    <row r="225" spans="1:40" x14ac:dyDescent="0.25">
      <c r="A225">
        <v>2.9619599999999999</v>
      </c>
      <c r="B225">
        <f>(Table110298[[#This Row],[time]]-2)*2</f>
        <v>1.9239199999999999</v>
      </c>
      <c r="C225">
        <v>69.099100000000007</v>
      </c>
      <c r="D225">
        <v>50.968400000000003</v>
      </c>
      <c r="E225">
        <f>Table110298[[#This Row],[CFNM]]/Table110298[[#This Row],[CAREA]]</f>
        <v>0.73761308034402762</v>
      </c>
      <c r="F225">
        <v>2.9619599999999999</v>
      </c>
      <c r="G225">
        <f>(Table211299[[#This Row],[time]]-2)*2</f>
        <v>1.9239199999999999</v>
      </c>
      <c r="H225">
        <v>28.7363</v>
      </c>
      <c r="I225">
        <v>3.7476499999999999E-4</v>
      </c>
      <c r="J225">
        <f>Table211299[[#This Row],[CFNM]]/Table211299[[#This Row],[CAREA]]</f>
        <v>1.3041518915100413E-5</v>
      </c>
      <c r="K225">
        <v>2.9619599999999999</v>
      </c>
      <c r="L225">
        <f>(Table312300[[#This Row],[time]]-2)*2</f>
        <v>1.9239199999999999</v>
      </c>
      <c r="M225">
        <v>75.874799999999993</v>
      </c>
      <c r="N225">
        <v>42.938899999999997</v>
      </c>
      <c r="O225">
        <f>Table312300[[#This Row],[CFNM]]/Table312300[[#This Row],[CAREA]]</f>
        <v>0.56591780143077808</v>
      </c>
      <c r="P225">
        <v>2.9619599999999999</v>
      </c>
      <c r="Q225">
        <f>(Table413301[[#This Row],[time]]-2)*2</f>
        <v>1.9239199999999999</v>
      </c>
      <c r="R225">
        <v>43.006700000000002</v>
      </c>
      <c r="S225">
        <v>8.4332999999999999E-4</v>
      </c>
      <c r="T225">
        <f>Table413301[[#This Row],[CFNM]]/Table413301[[#This Row],[CAREA]]</f>
        <v>1.9609270183483037E-5</v>
      </c>
      <c r="U225">
        <v>2.9619599999999999</v>
      </c>
      <c r="V225">
        <f>(Table514302[[#This Row],[time]]-2)*2</f>
        <v>1.9239199999999999</v>
      </c>
      <c r="W225">
        <v>59.543100000000003</v>
      </c>
      <c r="X225">
        <v>52.180100000000003</v>
      </c>
      <c r="Y225">
        <f>Table514302[[#This Row],[CFNM]]/Table514302[[#This Row],[CAREA]]</f>
        <v>0.87634167518990447</v>
      </c>
      <c r="Z225">
        <v>2.9619599999999999</v>
      </c>
      <c r="AA225">
        <f>(Table615303[[#This Row],[time]]-2)*2</f>
        <v>1.9239199999999999</v>
      </c>
      <c r="AB225">
        <v>88.428700000000006</v>
      </c>
      <c r="AC225">
        <v>4.5200800000000001</v>
      </c>
      <c r="AD225">
        <f>Table615303[[#This Row],[CFNM]]/Table615303[[#This Row],[CAREA]]</f>
        <v>5.1115531495996208E-2</v>
      </c>
      <c r="AE225">
        <v>2.9619599999999999</v>
      </c>
      <c r="AF225">
        <f>(Table716304[[#This Row],[time]]-2)*2</f>
        <v>1.9239199999999999</v>
      </c>
      <c r="AG225">
        <v>74.155100000000004</v>
      </c>
      <c r="AH225">
        <v>67.930400000000006</v>
      </c>
      <c r="AI225">
        <f>Table716304[[#This Row],[CFNM]]/Table716304[[#This Row],[CAREA]]</f>
        <v>0.91605836955246511</v>
      </c>
      <c r="AJ225">
        <v>2.9619599999999999</v>
      </c>
      <c r="AK225">
        <f>(Table817305[[#This Row],[time]]-2)*2</f>
        <v>1.9239199999999999</v>
      </c>
      <c r="AL225">
        <v>74.5625</v>
      </c>
      <c r="AM225">
        <v>5.0881299999999996</v>
      </c>
      <c r="AN225">
        <f>Table817305[[#This Row],[CFNM]]/Table817305[[#This Row],[CAREA]]</f>
        <v>6.8239798826487841E-2</v>
      </c>
    </row>
    <row r="226" spans="1:40" x14ac:dyDescent="0.25">
      <c r="A226">
        <v>3</v>
      </c>
      <c r="B226">
        <f>(Table110298[[#This Row],[time]]-2)*2</f>
        <v>2</v>
      </c>
      <c r="C226">
        <v>68.476799999999997</v>
      </c>
      <c r="D226">
        <v>52.616799999999998</v>
      </c>
      <c r="E226">
        <f>Table110298[[#This Row],[CFNM]]/Table110298[[#This Row],[CAREA]]</f>
        <v>0.76838870975279217</v>
      </c>
      <c r="F226">
        <v>3</v>
      </c>
      <c r="G226">
        <f>(Table211299[[#This Row],[time]]-2)*2</f>
        <v>2</v>
      </c>
      <c r="H226">
        <v>24.8489</v>
      </c>
      <c r="I226">
        <v>3.0510599999999998E-4</v>
      </c>
      <c r="J226">
        <f>Table211299[[#This Row],[CFNM]]/Table211299[[#This Row],[CAREA]]</f>
        <v>1.2278450957587658E-5</v>
      </c>
      <c r="K226">
        <v>3</v>
      </c>
      <c r="L226">
        <f>(Table312300[[#This Row],[time]]-2)*2</f>
        <v>2</v>
      </c>
      <c r="M226">
        <v>75.628600000000006</v>
      </c>
      <c r="N226">
        <v>44.318600000000004</v>
      </c>
      <c r="O226">
        <f>Table312300[[#This Row],[CFNM]]/Table312300[[#This Row],[CAREA]]</f>
        <v>0.58600317869165897</v>
      </c>
      <c r="P226">
        <v>3</v>
      </c>
      <c r="Q226">
        <f>(Table413301[[#This Row],[time]]-2)*2</f>
        <v>2</v>
      </c>
      <c r="R226">
        <v>39.825400000000002</v>
      </c>
      <c r="S226">
        <v>7.48629E-4</v>
      </c>
      <c r="T226">
        <f>Table413301[[#This Row],[CFNM]]/Table413301[[#This Row],[CAREA]]</f>
        <v>1.8797777297905355E-5</v>
      </c>
      <c r="U226">
        <v>3</v>
      </c>
      <c r="V226">
        <f>(Table514302[[#This Row],[time]]-2)*2</f>
        <v>2</v>
      </c>
      <c r="W226">
        <v>58.434100000000001</v>
      </c>
      <c r="X226">
        <v>54.160699999999999</v>
      </c>
      <c r="Y226">
        <f>Table514302[[#This Row],[CFNM]]/Table514302[[#This Row],[CAREA]]</f>
        <v>0.9268680445151033</v>
      </c>
      <c r="Z226">
        <v>3</v>
      </c>
      <c r="AA226">
        <f>(Table615303[[#This Row],[time]]-2)*2</f>
        <v>2</v>
      </c>
      <c r="AB226">
        <v>88.059200000000004</v>
      </c>
      <c r="AC226">
        <v>4.05661</v>
      </c>
      <c r="AD226">
        <f>Table615303[[#This Row],[CFNM]]/Table615303[[#This Row],[CAREA]]</f>
        <v>4.6066850482402742E-2</v>
      </c>
      <c r="AE226">
        <v>3</v>
      </c>
      <c r="AF226">
        <f>(Table716304[[#This Row],[time]]-2)*2</f>
        <v>2</v>
      </c>
      <c r="AG226">
        <v>73.733699999999999</v>
      </c>
      <c r="AH226">
        <v>69.959999999999994</v>
      </c>
      <c r="AI226">
        <f>Table716304[[#This Row],[CFNM]]/Table716304[[#This Row],[CAREA]]</f>
        <v>0.9488198747655413</v>
      </c>
      <c r="AJ226">
        <v>3</v>
      </c>
      <c r="AK226">
        <f>(Table817305[[#This Row],[time]]-2)*2</f>
        <v>2</v>
      </c>
      <c r="AL226">
        <v>74.073300000000003</v>
      </c>
      <c r="AM226">
        <v>4.4617000000000004</v>
      </c>
      <c r="AN226">
        <f>Table817305[[#This Row],[CFNM]]/Table817305[[#This Row],[CAREA]]</f>
        <v>6.0233579440905162E-2</v>
      </c>
    </row>
    <row r="229" spans="1:40" x14ac:dyDescent="0.25">
      <c r="A229" s="1" t="s">
        <v>22</v>
      </c>
    </row>
    <row r="230" spans="1:40" x14ac:dyDescent="0.25">
      <c r="A230" t="s">
        <v>46</v>
      </c>
      <c r="F230" t="s">
        <v>1</v>
      </c>
    </row>
    <row r="231" spans="1:40" x14ac:dyDescent="0.25">
      <c r="F231" t="s">
        <v>2</v>
      </c>
      <c r="G231" t="s">
        <v>3</v>
      </c>
    </row>
    <row r="234" spans="1:40" x14ac:dyDescent="0.25">
      <c r="A234" t="s">
        <v>4</v>
      </c>
      <c r="F234" t="s">
        <v>5</v>
      </c>
      <c r="K234" t="s">
        <v>6</v>
      </c>
      <c r="P234" t="s">
        <v>7</v>
      </c>
      <c r="U234" t="s">
        <v>8</v>
      </c>
      <c r="Z234" t="s">
        <v>9</v>
      </c>
      <c r="AE234" t="s">
        <v>10</v>
      </c>
      <c r="AJ234" t="s">
        <v>11</v>
      </c>
    </row>
    <row r="235" spans="1:40" x14ac:dyDescent="0.25">
      <c r="A235" t="s">
        <v>12</v>
      </c>
      <c r="B235" t="s">
        <v>13</v>
      </c>
      <c r="C235" t="s">
        <v>14</v>
      </c>
      <c r="D235" t="s">
        <v>15</v>
      </c>
      <c r="E235" t="s">
        <v>16</v>
      </c>
      <c r="F235" t="s">
        <v>12</v>
      </c>
      <c r="G235" t="s">
        <v>13</v>
      </c>
      <c r="H235" t="s">
        <v>14</v>
      </c>
      <c r="I235" t="s">
        <v>15</v>
      </c>
      <c r="J235" t="s">
        <v>16</v>
      </c>
      <c r="K235" t="s">
        <v>12</v>
      </c>
      <c r="L235" t="s">
        <v>13</v>
      </c>
      <c r="M235" t="s">
        <v>14</v>
      </c>
      <c r="N235" t="s">
        <v>15</v>
      </c>
      <c r="O235" t="s">
        <v>16</v>
      </c>
      <c r="P235" t="s">
        <v>12</v>
      </c>
      <c r="Q235" t="s">
        <v>13</v>
      </c>
      <c r="R235" t="s">
        <v>14</v>
      </c>
      <c r="S235" t="s">
        <v>15</v>
      </c>
      <c r="T235" t="s">
        <v>16</v>
      </c>
      <c r="U235" t="s">
        <v>12</v>
      </c>
      <c r="V235" t="s">
        <v>13</v>
      </c>
      <c r="W235" t="s">
        <v>14</v>
      </c>
      <c r="X235" t="s">
        <v>15</v>
      </c>
      <c r="Y235" t="s">
        <v>16</v>
      </c>
      <c r="Z235" t="s">
        <v>12</v>
      </c>
      <c r="AA235" t="s">
        <v>13</v>
      </c>
      <c r="AB235" t="s">
        <v>14</v>
      </c>
      <c r="AC235" t="s">
        <v>15</v>
      </c>
      <c r="AD235" t="s">
        <v>16</v>
      </c>
      <c r="AE235" t="s">
        <v>12</v>
      </c>
      <c r="AF235" t="s">
        <v>13</v>
      </c>
      <c r="AG235" t="s">
        <v>14</v>
      </c>
      <c r="AH235" t="s">
        <v>15</v>
      </c>
      <c r="AI235" t="s">
        <v>16</v>
      </c>
      <c r="AJ235" t="s">
        <v>12</v>
      </c>
      <c r="AK235" t="s">
        <v>13</v>
      </c>
      <c r="AL235" t="s">
        <v>14</v>
      </c>
      <c r="AM235" t="s">
        <v>15</v>
      </c>
      <c r="AN235" t="s">
        <v>16</v>
      </c>
    </row>
    <row r="236" spans="1:40" x14ac:dyDescent="0.25">
      <c r="A236">
        <v>2</v>
      </c>
      <c r="B236">
        <f>-(Table1307[[#This Row],[time]]-2)*2</f>
        <v>0</v>
      </c>
      <c r="C236">
        <v>91.084699999999998</v>
      </c>
      <c r="D236">
        <v>10.2044</v>
      </c>
      <c r="E236" s="2">
        <f>Table1307[[#This Row],[CFNM]]/Table1307[[#This Row],[CAREA]]</f>
        <v>0.11203198780914907</v>
      </c>
      <c r="F236">
        <v>2</v>
      </c>
      <c r="G236">
        <f>-(Table2308[[#This Row],[time]]-2)*2</f>
        <v>0</v>
      </c>
      <c r="H236">
        <v>95.836600000000004</v>
      </c>
      <c r="I236">
        <v>3.5649700000000002</v>
      </c>
      <c r="J236" s="2">
        <f>Table2308[[#This Row],[CFNM]]/Table2308[[#This Row],[CAREA]]</f>
        <v>3.7198418975631441E-2</v>
      </c>
      <c r="K236">
        <v>2</v>
      </c>
      <c r="L236">
        <f>-(Table3309[[#This Row],[time]]-2)*2</f>
        <v>0</v>
      </c>
      <c r="M236">
        <v>89.259799999999998</v>
      </c>
      <c r="N236">
        <v>3.64472</v>
      </c>
      <c r="O236">
        <f>Table3309[[#This Row],[CFNM]]/Table3309[[#This Row],[CAREA]]</f>
        <v>4.0832715287284979E-2</v>
      </c>
      <c r="P236">
        <v>2</v>
      </c>
      <c r="Q236">
        <f>-(Table4310[[#This Row],[time]]-2)*2</f>
        <v>0</v>
      </c>
      <c r="R236">
        <v>86.405299999999997</v>
      </c>
      <c r="S236">
        <v>6.4305199999999996</v>
      </c>
      <c r="T236">
        <f>Table4310[[#This Row],[CFNM]]/Table4310[[#This Row],[CAREA]]</f>
        <v>7.4422749530410753E-2</v>
      </c>
      <c r="U236">
        <v>2</v>
      </c>
      <c r="V236">
        <f>-(Table5311[[#This Row],[time]]-2)*2</f>
        <v>0</v>
      </c>
      <c r="W236">
        <v>82.680099999999996</v>
      </c>
      <c r="X236">
        <v>8.5651600000000006</v>
      </c>
      <c r="Y236">
        <f>Table5311[[#This Row],[CFNM]]/Table5311[[#This Row],[CAREA]]</f>
        <v>0.10359397243109286</v>
      </c>
      <c r="Z236">
        <v>2</v>
      </c>
      <c r="AA236">
        <f>-(Table6312[[#This Row],[time]]-2)*2</f>
        <v>0</v>
      </c>
      <c r="AB236">
        <v>88.826700000000002</v>
      </c>
      <c r="AC236">
        <v>15.1248</v>
      </c>
      <c r="AD236">
        <f>Table6312[[#This Row],[CFNM]]/Table6312[[#This Row],[CAREA]]</f>
        <v>0.17027312733671296</v>
      </c>
      <c r="AE236">
        <v>2</v>
      </c>
      <c r="AF236">
        <f>-(Table7313[[#This Row],[time]]-2)*2</f>
        <v>0</v>
      </c>
      <c r="AG236">
        <v>78.953400000000002</v>
      </c>
      <c r="AH236">
        <v>19.615500000000001</v>
      </c>
      <c r="AI236">
        <f>Table7313[[#This Row],[CFNM]]/Table7313[[#This Row],[CAREA]]</f>
        <v>0.2484440188769578</v>
      </c>
      <c r="AJ236">
        <v>2</v>
      </c>
      <c r="AK236">
        <f>-(Table8314[[#This Row],[time]]-2)*2</f>
        <v>0</v>
      </c>
      <c r="AL236">
        <v>83.136899999999997</v>
      </c>
      <c r="AM236">
        <v>19.233499999999999</v>
      </c>
      <c r="AN236">
        <f>Table8314[[#This Row],[CFNM]]/Table8314[[#This Row],[CAREA]]</f>
        <v>0.23134733193082735</v>
      </c>
    </row>
    <row r="237" spans="1:40" x14ac:dyDescent="0.25">
      <c r="A237">
        <v>2.0512600000000001</v>
      </c>
      <c r="B237">
        <f>-(Table1307[[#This Row],[time]]-2)*2</f>
        <v>-0.10252000000000017</v>
      </c>
      <c r="C237">
        <v>88.846500000000006</v>
      </c>
      <c r="D237">
        <v>8.0800699999999992</v>
      </c>
      <c r="E237">
        <f>Table1307[[#This Row],[CFNM]]/Table1307[[#This Row],[CAREA]]</f>
        <v>9.0944156494628364E-2</v>
      </c>
      <c r="F237">
        <v>2.0512600000000001</v>
      </c>
      <c r="G237">
        <f>-(Table2308[[#This Row],[time]]-2)*2</f>
        <v>-0.10252000000000017</v>
      </c>
      <c r="H237">
        <v>94.681799999999996</v>
      </c>
      <c r="I237">
        <v>6.1878000000000002</v>
      </c>
      <c r="J237">
        <f>Table2308[[#This Row],[CFNM]]/Table2308[[#This Row],[CAREA]]</f>
        <v>6.5353637129839104E-2</v>
      </c>
      <c r="K237">
        <v>2.0512600000000001</v>
      </c>
      <c r="L237">
        <f>-(Table3309[[#This Row],[time]]-2)*2</f>
        <v>-0.10252000000000017</v>
      </c>
      <c r="M237">
        <v>88.784700000000001</v>
      </c>
      <c r="N237">
        <v>0.63650300000000004</v>
      </c>
      <c r="O237">
        <f>Table3309[[#This Row],[CFNM]]/Table3309[[#This Row],[CAREA]]</f>
        <v>7.1690617865465562E-3</v>
      </c>
      <c r="P237">
        <v>2.0512600000000001</v>
      </c>
      <c r="Q237">
        <f>-(Table4310[[#This Row],[time]]-2)*2</f>
        <v>-0.10252000000000017</v>
      </c>
      <c r="R237">
        <v>84.481300000000005</v>
      </c>
      <c r="S237">
        <v>8.5227000000000004</v>
      </c>
      <c r="T237">
        <f>Table4310[[#This Row],[CFNM]]/Table4310[[#This Row],[CAREA]]</f>
        <v>0.10088268054587228</v>
      </c>
      <c r="U237">
        <v>2.0512600000000001</v>
      </c>
      <c r="V237">
        <f>-(Table5311[[#This Row],[time]]-2)*2</f>
        <v>-0.10252000000000017</v>
      </c>
      <c r="W237">
        <v>82.455399999999997</v>
      </c>
      <c r="X237">
        <v>4.5009499999999996</v>
      </c>
      <c r="Y237">
        <f>Table5311[[#This Row],[CFNM]]/Table5311[[#This Row],[CAREA]]</f>
        <v>5.4586479478602977E-2</v>
      </c>
      <c r="Z237">
        <v>2.0512600000000001</v>
      </c>
      <c r="AA237">
        <f>-(Table6312[[#This Row],[time]]-2)*2</f>
        <v>-0.10252000000000017</v>
      </c>
      <c r="AB237">
        <v>88.339399999999998</v>
      </c>
      <c r="AC237">
        <v>13.498699999999999</v>
      </c>
      <c r="AD237">
        <f>Table6312[[#This Row],[CFNM]]/Table6312[[#This Row],[CAREA]]</f>
        <v>0.15280497716760585</v>
      </c>
      <c r="AE237">
        <v>2.0512600000000001</v>
      </c>
      <c r="AF237">
        <f>-(Table7313[[#This Row],[time]]-2)*2</f>
        <v>-0.10252000000000017</v>
      </c>
      <c r="AG237">
        <v>79.307500000000005</v>
      </c>
      <c r="AH237">
        <v>17.4861</v>
      </c>
      <c r="AI237">
        <f>Table7313[[#This Row],[CFNM]]/Table7313[[#This Row],[CAREA]]</f>
        <v>0.22048482173817105</v>
      </c>
      <c r="AJ237">
        <v>2.0512600000000001</v>
      </c>
      <c r="AK237">
        <f>-(Table8314[[#This Row],[time]]-2)*2</f>
        <v>-0.10252000000000017</v>
      </c>
      <c r="AL237">
        <v>83.159599999999998</v>
      </c>
      <c r="AM237">
        <v>21.560199999999998</v>
      </c>
      <c r="AN237">
        <f>Table8314[[#This Row],[CFNM]]/Table8314[[#This Row],[CAREA]]</f>
        <v>0.25926291131751472</v>
      </c>
    </row>
    <row r="238" spans="1:40" x14ac:dyDescent="0.25">
      <c r="A238">
        <v>2.1153300000000002</v>
      </c>
      <c r="B238">
        <f>-(Table1307[[#This Row],[time]]-2)*2</f>
        <v>-0.23066000000000031</v>
      </c>
      <c r="C238">
        <v>86.224800000000002</v>
      </c>
      <c r="D238">
        <v>5.9320700000000004</v>
      </c>
      <c r="E238">
        <f>Table1307[[#This Row],[CFNM]]/Table1307[[#This Row],[CAREA]]</f>
        <v>6.8797724088661263E-2</v>
      </c>
      <c r="F238">
        <v>2.1153300000000002</v>
      </c>
      <c r="G238">
        <f>-(Table2308[[#This Row],[time]]-2)*2</f>
        <v>-0.23066000000000031</v>
      </c>
      <c r="H238">
        <v>92.947599999999994</v>
      </c>
      <c r="I238">
        <v>9.6316500000000005</v>
      </c>
      <c r="J238">
        <f>Table2308[[#This Row],[CFNM]]/Table2308[[#This Row],[CAREA]]</f>
        <v>0.10362451531830839</v>
      </c>
      <c r="K238">
        <v>2.1153300000000002</v>
      </c>
      <c r="L238">
        <f>-(Table3309[[#This Row],[time]]-2)*2</f>
        <v>-0.23066000000000031</v>
      </c>
      <c r="M238">
        <v>88.533199999999994</v>
      </c>
      <c r="N238">
        <v>4.1069699999999997E-3</v>
      </c>
      <c r="O238">
        <f>Table3309[[#This Row],[CFNM]]/Table3309[[#This Row],[CAREA]]</f>
        <v>4.6389038236503366E-5</v>
      </c>
      <c r="P238">
        <v>2.1153300000000002</v>
      </c>
      <c r="Q238">
        <f>-(Table4310[[#This Row],[time]]-2)*2</f>
        <v>-0.23066000000000031</v>
      </c>
      <c r="R238">
        <v>82.096999999999994</v>
      </c>
      <c r="S238">
        <v>11.1929</v>
      </c>
      <c r="T238">
        <f>Table4310[[#This Row],[CFNM]]/Table4310[[#This Row],[CAREA]]</f>
        <v>0.13633750319743718</v>
      </c>
      <c r="U238">
        <v>2.1153300000000002</v>
      </c>
      <c r="V238">
        <f>-(Table5311[[#This Row],[time]]-2)*2</f>
        <v>-0.23066000000000031</v>
      </c>
      <c r="W238">
        <v>82.051000000000002</v>
      </c>
      <c r="X238">
        <v>1.1224700000000001</v>
      </c>
      <c r="Y238">
        <f>Table5311[[#This Row],[CFNM]]/Table5311[[#This Row],[CAREA]]</f>
        <v>1.3680150150516143E-2</v>
      </c>
      <c r="Z238">
        <v>2.1153300000000002</v>
      </c>
      <c r="AA238">
        <f>-(Table6312[[#This Row],[time]]-2)*2</f>
        <v>-0.23066000000000031</v>
      </c>
      <c r="AB238">
        <v>85.391199999999998</v>
      </c>
      <c r="AC238">
        <v>11.566700000000001</v>
      </c>
      <c r="AD238">
        <f>Table6312[[#This Row],[CFNM]]/Table6312[[#This Row],[CAREA]]</f>
        <v>0.13545540992514452</v>
      </c>
      <c r="AE238">
        <v>2.1153300000000002</v>
      </c>
      <c r="AF238">
        <f>-(Table7313[[#This Row],[time]]-2)*2</f>
        <v>-0.23066000000000031</v>
      </c>
      <c r="AG238">
        <v>79.722899999999996</v>
      </c>
      <c r="AH238">
        <v>15.1395</v>
      </c>
      <c r="AI238">
        <f>Table7313[[#This Row],[CFNM]]/Table7313[[#This Row],[CAREA]]</f>
        <v>0.18990152139473102</v>
      </c>
      <c r="AJ238">
        <v>2.1153300000000002</v>
      </c>
      <c r="AK238">
        <f>-(Table8314[[#This Row],[time]]-2)*2</f>
        <v>-0.23066000000000031</v>
      </c>
      <c r="AL238">
        <v>83.001000000000005</v>
      </c>
      <c r="AM238">
        <v>24.182300000000001</v>
      </c>
      <c r="AN238">
        <f>Table8314[[#This Row],[CFNM]]/Table8314[[#This Row],[CAREA]]</f>
        <v>0.29134950181323116</v>
      </c>
    </row>
    <row r="239" spans="1:40" x14ac:dyDescent="0.25">
      <c r="A239">
        <v>2.16533</v>
      </c>
      <c r="B239">
        <f>-(Table1307[[#This Row],[time]]-2)*2</f>
        <v>-0.33065999999999995</v>
      </c>
      <c r="C239">
        <v>83.981999999999999</v>
      </c>
      <c r="D239">
        <v>4.2526799999999998</v>
      </c>
      <c r="E239">
        <f>Table1307[[#This Row],[CFNM]]/Table1307[[#This Row],[CAREA]]</f>
        <v>5.0637993855826249E-2</v>
      </c>
      <c r="F239">
        <v>2.16533</v>
      </c>
      <c r="G239">
        <f>-(Table2308[[#This Row],[time]]-2)*2</f>
        <v>-0.33065999999999995</v>
      </c>
      <c r="H239">
        <v>91.369399999999999</v>
      </c>
      <c r="I239">
        <v>13.3025</v>
      </c>
      <c r="J239">
        <f>Table2308[[#This Row],[CFNM]]/Table2308[[#This Row],[CAREA]]</f>
        <v>0.14559031798392022</v>
      </c>
      <c r="K239">
        <v>2.16533</v>
      </c>
      <c r="L239">
        <f>-(Table3309[[#This Row],[time]]-2)*2</f>
        <v>-0.33065999999999995</v>
      </c>
      <c r="M239">
        <v>82.703599999999994</v>
      </c>
      <c r="N239">
        <v>3.1334100000000001E-3</v>
      </c>
      <c r="O239">
        <f>Table3309[[#This Row],[CFNM]]/Table3309[[#This Row],[CAREA]]</f>
        <v>3.7887226190879237E-5</v>
      </c>
      <c r="P239">
        <v>2.16533</v>
      </c>
      <c r="Q239">
        <f>-(Table4310[[#This Row],[time]]-2)*2</f>
        <v>-0.33065999999999995</v>
      </c>
      <c r="R239">
        <v>81.059799999999996</v>
      </c>
      <c r="S239">
        <v>14.218500000000001</v>
      </c>
      <c r="T239">
        <f>Table4310[[#This Row],[CFNM]]/Table4310[[#This Row],[CAREA]]</f>
        <v>0.17540753863197295</v>
      </c>
      <c r="U239">
        <v>2.16533</v>
      </c>
      <c r="V239">
        <f>-(Table5311[[#This Row],[time]]-2)*2</f>
        <v>-0.33065999999999995</v>
      </c>
      <c r="W239">
        <v>82.275999999999996</v>
      </c>
      <c r="X239">
        <v>5.08897E-3</v>
      </c>
      <c r="Y239">
        <f>Table5311[[#This Row],[CFNM]]/Table5311[[#This Row],[CAREA]]</f>
        <v>6.1852423550002434E-5</v>
      </c>
      <c r="Z239">
        <v>2.16533</v>
      </c>
      <c r="AA239">
        <f>-(Table6312[[#This Row],[time]]-2)*2</f>
        <v>-0.33065999999999995</v>
      </c>
      <c r="AB239">
        <v>84.129099999999994</v>
      </c>
      <c r="AC239">
        <v>12.5105</v>
      </c>
      <c r="AD239">
        <f>Table6312[[#This Row],[CFNM]]/Table6312[[#This Row],[CAREA]]</f>
        <v>0.14870597688552475</v>
      </c>
      <c r="AE239">
        <v>2.16533</v>
      </c>
      <c r="AF239">
        <f>-(Table7313[[#This Row],[time]]-2)*2</f>
        <v>-0.33065999999999995</v>
      </c>
      <c r="AG239">
        <v>80.087500000000006</v>
      </c>
      <c r="AH239">
        <v>13.0726</v>
      </c>
      <c r="AI239">
        <f>Table7313[[#This Row],[CFNM]]/Table7313[[#This Row],[CAREA]]</f>
        <v>0.16322896831590447</v>
      </c>
      <c r="AJ239">
        <v>2.16533</v>
      </c>
      <c r="AK239">
        <f>-(Table8314[[#This Row],[time]]-2)*2</f>
        <v>-0.33065999999999995</v>
      </c>
      <c r="AL239">
        <v>82.887799999999999</v>
      </c>
      <c r="AM239">
        <v>26.897200000000002</v>
      </c>
      <c r="AN239">
        <f>Table8314[[#This Row],[CFNM]]/Table8314[[#This Row],[CAREA]]</f>
        <v>0.32450131382422986</v>
      </c>
    </row>
    <row r="240" spans="1:40" x14ac:dyDescent="0.25">
      <c r="A240">
        <v>2.2246999999999999</v>
      </c>
      <c r="B240">
        <f>-(Table1307[[#This Row],[time]]-2)*2</f>
        <v>-0.4493999999999998</v>
      </c>
      <c r="C240">
        <v>82.504400000000004</v>
      </c>
      <c r="D240">
        <v>3.1777000000000002</v>
      </c>
      <c r="E240">
        <f>Table1307[[#This Row],[CFNM]]/Table1307[[#This Row],[CAREA]]</f>
        <v>3.8515521596423949E-2</v>
      </c>
      <c r="F240">
        <v>2.2246999999999999</v>
      </c>
      <c r="G240">
        <f>-(Table2308[[#This Row],[time]]-2)*2</f>
        <v>-0.4493999999999998</v>
      </c>
      <c r="H240">
        <v>90.446600000000004</v>
      </c>
      <c r="I240">
        <v>16.064499999999999</v>
      </c>
      <c r="J240">
        <f>Table2308[[#This Row],[CFNM]]/Table2308[[#This Row],[CAREA]]</f>
        <v>0.17761308882810409</v>
      </c>
      <c r="K240">
        <v>2.2246999999999999</v>
      </c>
      <c r="L240">
        <f>-(Table3309[[#This Row],[time]]-2)*2</f>
        <v>-0.4493999999999998</v>
      </c>
      <c r="M240">
        <v>77.268799999999999</v>
      </c>
      <c r="N240">
        <v>2.7982599999999999E-3</v>
      </c>
      <c r="O240">
        <f>Table3309[[#This Row],[CFNM]]/Table3309[[#This Row],[CAREA]]</f>
        <v>3.6214617025241755E-5</v>
      </c>
      <c r="P240">
        <v>2.2246999999999999</v>
      </c>
      <c r="Q240">
        <f>-(Table4310[[#This Row],[time]]-2)*2</f>
        <v>-0.4493999999999998</v>
      </c>
      <c r="R240">
        <v>80.400999999999996</v>
      </c>
      <c r="S240">
        <v>16.444400000000002</v>
      </c>
      <c r="T240">
        <f>Table4310[[#This Row],[CFNM]]/Table4310[[#This Row],[CAREA]]</f>
        <v>0.20452979440554225</v>
      </c>
      <c r="U240">
        <v>2.2246999999999999</v>
      </c>
      <c r="V240">
        <f>-(Table5311[[#This Row],[time]]-2)*2</f>
        <v>-0.4493999999999998</v>
      </c>
      <c r="W240">
        <v>82.175899999999999</v>
      </c>
      <c r="X240">
        <v>4.5744799999999997E-3</v>
      </c>
      <c r="Y240">
        <f>Table5311[[#This Row],[CFNM]]/Table5311[[#This Row],[CAREA]]</f>
        <v>5.5666929111819889E-5</v>
      </c>
      <c r="Z240">
        <v>2.2246999999999999</v>
      </c>
      <c r="AA240">
        <f>-(Table6312[[#This Row],[time]]-2)*2</f>
        <v>-0.4493999999999998</v>
      </c>
      <c r="AB240">
        <v>83.578800000000001</v>
      </c>
      <c r="AC240">
        <v>14.268000000000001</v>
      </c>
      <c r="AD240">
        <f>Table6312[[#This Row],[CFNM]]/Table6312[[#This Row],[CAREA]]</f>
        <v>0.17071314735315654</v>
      </c>
      <c r="AE240">
        <v>2.2246999999999999</v>
      </c>
      <c r="AF240">
        <f>-(Table7313[[#This Row],[time]]-2)*2</f>
        <v>-0.4493999999999998</v>
      </c>
      <c r="AG240">
        <v>80.138599999999997</v>
      </c>
      <c r="AH240">
        <v>11.7491</v>
      </c>
      <c r="AI240">
        <f>Table7313[[#This Row],[CFNM]]/Table7313[[#This Row],[CAREA]]</f>
        <v>0.14660974861053228</v>
      </c>
      <c r="AJ240">
        <v>2.2246999999999999</v>
      </c>
      <c r="AK240">
        <f>-(Table8314[[#This Row],[time]]-2)*2</f>
        <v>-0.4493999999999998</v>
      </c>
      <c r="AL240">
        <v>82.790700000000001</v>
      </c>
      <c r="AM240">
        <v>28.883400000000002</v>
      </c>
      <c r="AN240">
        <f>Table8314[[#This Row],[CFNM]]/Table8314[[#This Row],[CAREA]]</f>
        <v>0.3488725182900978</v>
      </c>
    </row>
    <row r="241" spans="1:40" x14ac:dyDescent="0.25">
      <c r="A241">
        <v>2.2668900000000001</v>
      </c>
      <c r="B241">
        <f>-(Table1307[[#This Row],[time]]-2)*2</f>
        <v>-0.53378000000000014</v>
      </c>
      <c r="C241">
        <v>78.482600000000005</v>
      </c>
      <c r="D241">
        <v>2.0003000000000002</v>
      </c>
      <c r="E241">
        <f>Table1307[[#This Row],[CFNM]]/Table1307[[#This Row],[CAREA]]</f>
        <v>2.5487178049656868E-2</v>
      </c>
      <c r="F241">
        <v>2.2668900000000001</v>
      </c>
      <c r="G241">
        <f>-(Table2308[[#This Row],[time]]-2)*2</f>
        <v>-0.53378000000000014</v>
      </c>
      <c r="H241">
        <v>89.054299999999998</v>
      </c>
      <c r="I241">
        <v>19.572099999999999</v>
      </c>
      <c r="J241">
        <f>Table2308[[#This Row],[CFNM]]/Table2308[[#This Row],[CAREA]]</f>
        <v>0.21977714720120195</v>
      </c>
      <c r="K241">
        <v>2.2668900000000001</v>
      </c>
      <c r="L241">
        <f>-(Table3309[[#This Row],[time]]-2)*2</f>
        <v>-0.53378000000000014</v>
      </c>
      <c r="M241">
        <v>74.4619</v>
      </c>
      <c r="N241">
        <v>2.4190100000000001E-3</v>
      </c>
      <c r="O241">
        <f>Table3309[[#This Row],[CFNM]]/Table3309[[#This Row],[CAREA]]</f>
        <v>3.2486546811188004E-5</v>
      </c>
      <c r="P241">
        <v>2.2668900000000001</v>
      </c>
      <c r="Q241">
        <f>-(Table4310[[#This Row],[time]]-2)*2</f>
        <v>-0.53378000000000014</v>
      </c>
      <c r="R241">
        <v>79.537800000000004</v>
      </c>
      <c r="S241">
        <v>19.3048</v>
      </c>
      <c r="T241">
        <f>Table4310[[#This Row],[CFNM]]/Table4310[[#This Row],[CAREA]]</f>
        <v>0.2427122701407381</v>
      </c>
      <c r="U241">
        <v>2.2668900000000001</v>
      </c>
      <c r="V241">
        <f>-(Table5311[[#This Row],[time]]-2)*2</f>
        <v>-0.53378000000000014</v>
      </c>
      <c r="W241">
        <v>82.736500000000007</v>
      </c>
      <c r="X241">
        <v>4.3151999999999999E-3</v>
      </c>
      <c r="Y241">
        <f>Table5311[[#This Row],[CFNM]]/Table5311[[#This Row],[CAREA]]</f>
        <v>5.215594084835592E-5</v>
      </c>
      <c r="Z241">
        <v>2.2668900000000001</v>
      </c>
      <c r="AA241">
        <f>-(Table6312[[#This Row],[time]]-2)*2</f>
        <v>-0.53378000000000014</v>
      </c>
      <c r="AB241">
        <v>82.842299999999994</v>
      </c>
      <c r="AC241">
        <v>17.12</v>
      </c>
      <c r="AD241">
        <f>Table6312[[#This Row],[CFNM]]/Table6312[[#This Row],[CAREA]]</f>
        <v>0.2066577098897544</v>
      </c>
      <c r="AE241">
        <v>2.2668900000000001</v>
      </c>
      <c r="AF241">
        <f>-(Table7313[[#This Row],[time]]-2)*2</f>
        <v>-0.53378000000000014</v>
      </c>
      <c r="AG241">
        <v>79.803100000000001</v>
      </c>
      <c r="AH241">
        <v>10.232100000000001</v>
      </c>
      <c r="AI241">
        <f>Table7313[[#This Row],[CFNM]]/Table7313[[#This Row],[CAREA]]</f>
        <v>0.12821682365722636</v>
      </c>
      <c r="AJ241">
        <v>2.2668900000000001</v>
      </c>
      <c r="AK241">
        <f>-(Table8314[[#This Row],[time]]-2)*2</f>
        <v>-0.53378000000000014</v>
      </c>
      <c r="AL241">
        <v>82.832800000000006</v>
      </c>
      <c r="AM241">
        <v>31.5078</v>
      </c>
      <c r="AN241">
        <f>Table8314[[#This Row],[CFNM]]/Table8314[[#This Row],[CAREA]]</f>
        <v>0.38037830424662689</v>
      </c>
    </row>
    <row r="242" spans="1:40" x14ac:dyDescent="0.25">
      <c r="A242">
        <v>2.3262700000000001</v>
      </c>
      <c r="B242">
        <f>-(Table1307[[#This Row],[time]]-2)*2</f>
        <v>-0.65254000000000012</v>
      </c>
      <c r="C242">
        <v>76.605199999999996</v>
      </c>
      <c r="D242">
        <v>1.1991700000000001</v>
      </c>
      <c r="E242">
        <f>Table1307[[#This Row],[CFNM]]/Table1307[[#This Row],[CAREA]]</f>
        <v>1.5653898168792722E-2</v>
      </c>
      <c r="F242">
        <v>2.3262700000000001</v>
      </c>
      <c r="G242">
        <f>-(Table2308[[#This Row],[time]]-2)*2</f>
        <v>-0.65254000000000012</v>
      </c>
      <c r="H242">
        <v>87.918599999999998</v>
      </c>
      <c r="I242">
        <v>22.314599999999999</v>
      </c>
      <c r="J242">
        <f>Table2308[[#This Row],[CFNM]]/Table2308[[#This Row],[CAREA]]</f>
        <v>0.25380977404098792</v>
      </c>
      <c r="K242">
        <v>2.3262700000000001</v>
      </c>
      <c r="L242">
        <f>-(Table3309[[#This Row],[time]]-2)*2</f>
        <v>-0.65254000000000012</v>
      </c>
      <c r="M242">
        <v>71.215400000000002</v>
      </c>
      <c r="N242">
        <v>2.1404900000000001E-3</v>
      </c>
      <c r="O242">
        <f>Table3309[[#This Row],[CFNM]]/Table3309[[#This Row],[CAREA]]</f>
        <v>3.0056560800051675E-5</v>
      </c>
      <c r="P242">
        <v>2.3262700000000001</v>
      </c>
      <c r="Q242">
        <f>-(Table4310[[#This Row],[time]]-2)*2</f>
        <v>-0.65254000000000012</v>
      </c>
      <c r="R242">
        <v>79.046499999999995</v>
      </c>
      <c r="S242">
        <v>21.616</v>
      </c>
      <c r="T242">
        <f>Table4310[[#This Row],[CFNM]]/Table4310[[#This Row],[CAREA]]</f>
        <v>0.27345929294782184</v>
      </c>
      <c r="U242">
        <v>2.3262700000000001</v>
      </c>
      <c r="V242">
        <f>-(Table5311[[#This Row],[time]]-2)*2</f>
        <v>-0.65254000000000012</v>
      </c>
      <c r="W242">
        <v>82.590100000000007</v>
      </c>
      <c r="X242">
        <v>4.1177100000000001E-3</v>
      </c>
      <c r="Y242">
        <f>Table5311[[#This Row],[CFNM]]/Table5311[[#This Row],[CAREA]]</f>
        <v>4.9857186272931013E-5</v>
      </c>
      <c r="Z242">
        <v>2.3262700000000001</v>
      </c>
      <c r="AA242">
        <f>-(Table6312[[#This Row],[time]]-2)*2</f>
        <v>-0.65254000000000012</v>
      </c>
      <c r="AB242">
        <v>81.683000000000007</v>
      </c>
      <c r="AC242">
        <v>19.642900000000001</v>
      </c>
      <c r="AD242">
        <f>Table6312[[#This Row],[CFNM]]/Table6312[[#This Row],[CAREA]]</f>
        <v>0.24047721068031291</v>
      </c>
      <c r="AE242">
        <v>2.3262700000000001</v>
      </c>
      <c r="AF242">
        <f>-(Table7313[[#This Row],[time]]-2)*2</f>
        <v>-0.65254000000000012</v>
      </c>
      <c r="AG242">
        <v>79.361000000000004</v>
      </c>
      <c r="AH242">
        <v>9.0602099999999997</v>
      </c>
      <c r="AI242">
        <f>Table7313[[#This Row],[CFNM]]/Table7313[[#This Row],[CAREA]]</f>
        <v>0.11416451405602247</v>
      </c>
      <c r="AJ242">
        <v>2.3262700000000001</v>
      </c>
      <c r="AK242">
        <f>-(Table8314[[#This Row],[time]]-2)*2</f>
        <v>-0.65254000000000012</v>
      </c>
      <c r="AL242">
        <v>82.881600000000006</v>
      </c>
      <c r="AM242">
        <v>33.6569</v>
      </c>
      <c r="AN242">
        <f>Table8314[[#This Row],[CFNM]]/Table8314[[#This Row],[CAREA]]</f>
        <v>0.4060841006930368</v>
      </c>
    </row>
    <row r="243" spans="1:40" x14ac:dyDescent="0.25">
      <c r="A243">
        <v>2.3684599999999998</v>
      </c>
      <c r="B243">
        <f>-(Table1307[[#This Row],[time]]-2)*2</f>
        <v>-0.73691999999999958</v>
      </c>
      <c r="C243">
        <v>75.334900000000005</v>
      </c>
      <c r="D243">
        <v>0.68401800000000001</v>
      </c>
      <c r="E243">
        <f>Table1307[[#This Row],[CFNM]]/Table1307[[#This Row],[CAREA]]</f>
        <v>9.0796961302132204E-3</v>
      </c>
      <c r="F243">
        <v>2.3684599999999998</v>
      </c>
      <c r="G243">
        <f>-(Table2308[[#This Row],[time]]-2)*2</f>
        <v>-0.73691999999999958</v>
      </c>
      <c r="H243">
        <v>87.014399999999995</v>
      </c>
      <c r="I243">
        <v>24.525500000000001</v>
      </c>
      <c r="J243">
        <f>Table2308[[#This Row],[CFNM]]/Table2308[[#This Row],[CAREA]]</f>
        <v>0.28185564688143572</v>
      </c>
      <c r="K243">
        <v>2.3684599999999998</v>
      </c>
      <c r="L243">
        <f>-(Table3309[[#This Row],[time]]-2)*2</f>
        <v>-0.73691999999999958</v>
      </c>
      <c r="M243">
        <v>70.172499999999999</v>
      </c>
      <c r="N243">
        <v>1.93257E-3</v>
      </c>
      <c r="O243">
        <f>Table3309[[#This Row],[CFNM]]/Table3309[[#This Row],[CAREA]]</f>
        <v>2.7540275749046993E-5</v>
      </c>
      <c r="P243">
        <v>2.3684599999999998</v>
      </c>
      <c r="Q243">
        <f>-(Table4310[[#This Row],[time]]-2)*2</f>
        <v>-0.73691999999999958</v>
      </c>
      <c r="R243">
        <v>78.452799999999996</v>
      </c>
      <c r="S243">
        <v>23.592300000000002</v>
      </c>
      <c r="T243">
        <f>Table4310[[#This Row],[CFNM]]/Table4310[[#This Row],[CAREA]]</f>
        <v>0.30071966838659681</v>
      </c>
      <c r="U243">
        <v>2.3684599999999998</v>
      </c>
      <c r="V243">
        <f>-(Table5311[[#This Row],[time]]-2)*2</f>
        <v>-0.73691999999999958</v>
      </c>
      <c r="W243">
        <v>82.546499999999995</v>
      </c>
      <c r="X243">
        <v>3.9765699999999996E-3</v>
      </c>
      <c r="Y243">
        <f>Table5311[[#This Row],[CFNM]]/Table5311[[#This Row],[CAREA]]</f>
        <v>4.8173696037990707E-5</v>
      </c>
      <c r="Z243">
        <v>2.3684599999999998</v>
      </c>
      <c r="AA243">
        <f>-(Table6312[[#This Row],[time]]-2)*2</f>
        <v>-0.73691999999999958</v>
      </c>
      <c r="AB243">
        <v>80.9422</v>
      </c>
      <c r="AC243">
        <v>21.786999999999999</v>
      </c>
      <c r="AD243">
        <f>Table6312[[#This Row],[CFNM]]/Table6312[[#This Row],[CAREA]]</f>
        <v>0.26916738116829042</v>
      </c>
      <c r="AE243">
        <v>2.3684599999999998</v>
      </c>
      <c r="AF243">
        <f>-(Table7313[[#This Row],[time]]-2)*2</f>
        <v>-0.73691999999999958</v>
      </c>
      <c r="AG243">
        <v>78.815299999999993</v>
      </c>
      <c r="AH243">
        <v>8.1575299999999995</v>
      </c>
      <c r="AI243">
        <f>Table7313[[#This Row],[CFNM]]/Table7313[[#This Row],[CAREA]]</f>
        <v>0.10350185814175675</v>
      </c>
      <c r="AJ243">
        <v>2.3684599999999998</v>
      </c>
      <c r="AK243">
        <f>-(Table8314[[#This Row],[time]]-2)*2</f>
        <v>-0.73691999999999958</v>
      </c>
      <c r="AL243">
        <v>83.034300000000002</v>
      </c>
      <c r="AM243">
        <v>35.529299999999999</v>
      </c>
      <c r="AN243">
        <f>Table8314[[#This Row],[CFNM]]/Table8314[[#This Row],[CAREA]]</f>
        <v>0.42788702981779819</v>
      </c>
    </row>
    <row r="244" spans="1:40" x14ac:dyDescent="0.25">
      <c r="A244">
        <v>2.4278300000000002</v>
      </c>
      <c r="B244">
        <f>-(Table1307[[#This Row],[time]]-2)*2</f>
        <v>-0.85566000000000031</v>
      </c>
      <c r="C244">
        <v>73.8643</v>
      </c>
      <c r="D244">
        <v>0.175839</v>
      </c>
      <c r="E244">
        <f>Table1307[[#This Row],[CFNM]]/Table1307[[#This Row],[CAREA]]</f>
        <v>2.3805681499723141E-3</v>
      </c>
      <c r="F244">
        <v>2.4278300000000002</v>
      </c>
      <c r="G244">
        <f>-(Table2308[[#This Row],[time]]-2)*2</f>
        <v>-0.85566000000000031</v>
      </c>
      <c r="H244">
        <v>85.829499999999996</v>
      </c>
      <c r="I244">
        <v>27.229099999999999</v>
      </c>
      <c r="J244">
        <f>Table2308[[#This Row],[CFNM]]/Table2308[[#This Row],[CAREA]]</f>
        <v>0.31724640129559184</v>
      </c>
      <c r="K244">
        <v>2.4278300000000002</v>
      </c>
      <c r="L244">
        <f>-(Table3309[[#This Row],[time]]-2)*2</f>
        <v>-0.85566000000000031</v>
      </c>
      <c r="M244">
        <v>67.003799999999998</v>
      </c>
      <c r="N244">
        <v>1.69432E-3</v>
      </c>
      <c r="O244">
        <f>Table3309[[#This Row],[CFNM]]/Table3309[[#This Row],[CAREA]]</f>
        <v>2.5286924025204542E-5</v>
      </c>
      <c r="P244">
        <v>2.4278300000000002</v>
      </c>
      <c r="Q244">
        <f>-(Table4310[[#This Row],[time]]-2)*2</f>
        <v>-0.85566000000000031</v>
      </c>
      <c r="R244">
        <v>77.839200000000005</v>
      </c>
      <c r="S244">
        <v>26.170400000000001</v>
      </c>
      <c r="T244">
        <f>Table4310[[#This Row],[CFNM]]/Table4310[[#This Row],[CAREA]]</f>
        <v>0.33621106075088131</v>
      </c>
      <c r="U244">
        <v>2.4278300000000002</v>
      </c>
      <c r="V244">
        <f>-(Table5311[[#This Row],[time]]-2)*2</f>
        <v>-0.85566000000000031</v>
      </c>
      <c r="W244">
        <v>82.366799999999998</v>
      </c>
      <c r="X244">
        <v>3.78175E-3</v>
      </c>
      <c r="Y244">
        <f>Table5311[[#This Row],[CFNM]]/Table5311[[#This Row],[CAREA]]</f>
        <v>4.5913523409917586E-5</v>
      </c>
      <c r="Z244">
        <v>2.4278300000000002</v>
      </c>
      <c r="AA244">
        <f>-(Table6312[[#This Row],[time]]-2)*2</f>
        <v>-0.85566000000000031</v>
      </c>
      <c r="AB244">
        <v>79.508099999999999</v>
      </c>
      <c r="AC244">
        <v>24.464600000000001</v>
      </c>
      <c r="AD244">
        <f>Table6312[[#This Row],[CFNM]]/Table6312[[#This Row],[CAREA]]</f>
        <v>0.3076994670983208</v>
      </c>
      <c r="AE244">
        <v>2.4278300000000002</v>
      </c>
      <c r="AF244">
        <f>-(Table7313[[#This Row],[time]]-2)*2</f>
        <v>-0.85566000000000031</v>
      </c>
      <c r="AG244">
        <v>77.873900000000006</v>
      </c>
      <c r="AH244">
        <v>7.0489899999999999</v>
      </c>
      <c r="AI244">
        <f>Table7313[[#This Row],[CFNM]]/Table7313[[#This Row],[CAREA]]</f>
        <v>9.0518004106639058E-2</v>
      </c>
      <c r="AJ244">
        <v>2.4278300000000002</v>
      </c>
      <c r="AK244">
        <f>-(Table8314[[#This Row],[time]]-2)*2</f>
        <v>-0.85566000000000031</v>
      </c>
      <c r="AL244">
        <v>83.108199999999997</v>
      </c>
      <c r="AM244">
        <v>37.927599999999998</v>
      </c>
      <c r="AN244">
        <f>Table8314[[#This Row],[CFNM]]/Table8314[[#This Row],[CAREA]]</f>
        <v>0.4563641132884601</v>
      </c>
    </row>
    <row r="245" spans="1:40" x14ac:dyDescent="0.25">
      <c r="A245">
        <v>2.4542000000000002</v>
      </c>
      <c r="B245">
        <f>-(Table1307[[#This Row],[time]]-2)*2</f>
        <v>-0.90840000000000032</v>
      </c>
      <c r="C245">
        <v>72.534700000000001</v>
      </c>
      <c r="D245">
        <v>3.0121100000000001E-3</v>
      </c>
      <c r="E245">
        <f>Table1307[[#This Row],[CFNM]]/Table1307[[#This Row],[CAREA]]</f>
        <v>4.152646940016296E-5</v>
      </c>
      <c r="F245">
        <v>2.4542000000000002</v>
      </c>
      <c r="G245">
        <f>-(Table2308[[#This Row],[time]]-2)*2</f>
        <v>-0.90840000000000032</v>
      </c>
      <c r="H245">
        <v>84.851600000000005</v>
      </c>
      <c r="I245">
        <v>29.3964</v>
      </c>
      <c r="J245">
        <f>Table2308[[#This Row],[CFNM]]/Table2308[[#This Row],[CAREA]]</f>
        <v>0.34644485195329255</v>
      </c>
      <c r="K245">
        <v>2.4542000000000002</v>
      </c>
      <c r="L245">
        <f>-(Table3309[[#This Row],[time]]-2)*2</f>
        <v>-0.90840000000000032</v>
      </c>
      <c r="M245">
        <v>62.873399999999997</v>
      </c>
      <c r="N245">
        <v>1.5215199999999999E-3</v>
      </c>
      <c r="O245">
        <f>Table3309[[#This Row],[CFNM]]/Table3309[[#This Row],[CAREA]]</f>
        <v>2.4199741066969498E-5</v>
      </c>
      <c r="P245">
        <v>2.4542000000000002</v>
      </c>
      <c r="Q245">
        <f>-(Table4310[[#This Row],[time]]-2)*2</f>
        <v>-0.90840000000000032</v>
      </c>
      <c r="R245">
        <v>77.239199999999997</v>
      </c>
      <c r="S245">
        <v>28.361999999999998</v>
      </c>
      <c r="T245">
        <f>Table4310[[#This Row],[CFNM]]/Table4310[[#This Row],[CAREA]]</f>
        <v>0.36719696734300716</v>
      </c>
      <c r="U245">
        <v>2.4542000000000002</v>
      </c>
      <c r="V245">
        <f>-(Table5311[[#This Row],[time]]-2)*2</f>
        <v>-0.90840000000000032</v>
      </c>
      <c r="W245">
        <v>82.724000000000004</v>
      </c>
      <c r="X245">
        <v>3.6076200000000002E-3</v>
      </c>
      <c r="Y245">
        <f>Table5311[[#This Row],[CFNM]]/Table5311[[#This Row],[CAREA]]</f>
        <v>4.3610318649968571E-5</v>
      </c>
      <c r="Z245">
        <v>2.4542000000000002</v>
      </c>
      <c r="AA245">
        <f>-(Table6312[[#This Row],[time]]-2)*2</f>
        <v>-0.90840000000000032</v>
      </c>
      <c r="AB245">
        <v>78.6327</v>
      </c>
      <c r="AC245">
        <v>26.740600000000001</v>
      </c>
      <c r="AD245">
        <f>Table6312[[#This Row],[CFNM]]/Table6312[[#This Row],[CAREA]]</f>
        <v>0.34006971654286322</v>
      </c>
      <c r="AE245">
        <v>2.4542000000000002</v>
      </c>
      <c r="AF245">
        <f>-(Table7313[[#This Row],[time]]-2)*2</f>
        <v>-0.90840000000000032</v>
      </c>
      <c r="AG245">
        <v>77.1143</v>
      </c>
      <c r="AH245">
        <v>6.1671199999999997</v>
      </c>
      <c r="AI245">
        <f>Table7313[[#This Row],[CFNM]]/Table7313[[#This Row],[CAREA]]</f>
        <v>7.9973753246803767E-2</v>
      </c>
      <c r="AJ245">
        <v>2.4542000000000002</v>
      </c>
      <c r="AK245">
        <f>-(Table8314[[#This Row],[time]]-2)*2</f>
        <v>-0.90840000000000032</v>
      </c>
      <c r="AL245">
        <v>83.006900000000002</v>
      </c>
      <c r="AM245">
        <v>40.043799999999997</v>
      </c>
      <c r="AN245">
        <f>Table8314[[#This Row],[CFNM]]/Table8314[[#This Row],[CAREA]]</f>
        <v>0.48241531728085252</v>
      </c>
    </row>
    <row r="246" spans="1:40" x14ac:dyDescent="0.25">
      <c r="A246">
        <v>2.5061499999999999</v>
      </c>
      <c r="B246">
        <f>-(Table1307[[#This Row],[time]]-2)*2</f>
        <v>-1.0122999999999998</v>
      </c>
      <c r="C246">
        <v>70.094300000000004</v>
      </c>
      <c r="D246">
        <v>2.5102599999999998E-3</v>
      </c>
      <c r="E246">
        <f>Table1307[[#This Row],[CFNM]]/Table1307[[#This Row],[CAREA]]</f>
        <v>3.581261243781591E-5</v>
      </c>
      <c r="F246">
        <v>2.5061499999999999</v>
      </c>
      <c r="G246">
        <f>-(Table2308[[#This Row],[time]]-2)*2</f>
        <v>-1.0122999999999998</v>
      </c>
      <c r="H246">
        <v>84.018799999999999</v>
      </c>
      <c r="I246">
        <v>31.407399999999999</v>
      </c>
      <c r="J246">
        <f>Table2308[[#This Row],[CFNM]]/Table2308[[#This Row],[CAREA]]</f>
        <v>0.37381395592415029</v>
      </c>
      <c r="K246">
        <v>2.5061499999999999</v>
      </c>
      <c r="L246">
        <f>-(Table3309[[#This Row],[time]]-2)*2</f>
        <v>-1.0122999999999998</v>
      </c>
      <c r="M246">
        <v>61.372300000000003</v>
      </c>
      <c r="N246">
        <v>1.36461E-3</v>
      </c>
      <c r="O246">
        <f>Table3309[[#This Row],[CFNM]]/Table3309[[#This Row],[CAREA]]</f>
        <v>2.2234949643405902E-5</v>
      </c>
      <c r="P246">
        <v>2.5061499999999999</v>
      </c>
      <c r="Q246">
        <f>-(Table4310[[#This Row],[time]]-2)*2</f>
        <v>-1.0122999999999998</v>
      </c>
      <c r="R246">
        <v>76.580399999999997</v>
      </c>
      <c r="S246">
        <v>30.473099999999999</v>
      </c>
      <c r="T246">
        <f>Table4310[[#This Row],[CFNM]]/Table4310[[#This Row],[CAREA]]</f>
        <v>0.39792296723443599</v>
      </c>
      <c r="U246">
        <v>2.5061499999999999</v>
      </c>
      <c r="V246">
        <f>-(Table5311[[#This Row],[time]]-2)*2</f>
        <v>-1.0122999999999998</v>
      </c>
      <c r="W246">
        <v>82.447299999999998</v>
      </c>
      <c r="X246">
        <v>3.4239700000000001E-3</v>
      </c>
      <c r="Y246">
        <f>Table5311[[#This Row],[CFNM]]/Table5311[[#This Row],[CAREA]]</f>
        <v>4.1529195013056825E-5</v>
      </c>
      <c r="Z246">
        <v>2.5061499999999999</v>
      </c>
      <c r="AA246">
        <f>-(Table6312[[#This Row],[time]]-2)*2</f>
        <v>-1.0122999999999998</v>
      </c>
      <c r="AB246">
        <v>77.959699999999998</v>
      </c>
      <c r="AC246">
        <v>28.9693</v>
      </c>
      <c r="AD246">
        <f>Table6312[[#This Row],[CFNM]]/Table6312[[#This Row],[CAREA]]</f>
        <v>0.37159327190843477</v>
      </c>
      <c r="AE246">
        <v>2.5061499999999999</v>
      </c>
      <c r="AF246">
        <f>-(Table7313[[#This Row],[time]]-2)*2</f>
        <v>-1.0122999999999998</v>
      </c>
      <c r="AG246">
        <v>76.438000000000002</v>
      </c>
      <c r="AH246">
        <v>5.3663600000000002</v>
      </c>
      <c r="AI246">
        <f>Table7313[[#This Row],[CFNM]]/Table7313[[#This Row],[CAREA]]</f>
        <v>7.0205395222271649E-2</v>
      </c>
      <c r="AJ246">
        <v>2.5061499999999999</v>
      </c>
      <c r="AK246">
        <f>-(Table8314[[#This Row],[time]]-2)*2</f>
        <v>-1.0122999999999998</v>
      </c>
      <c r="AL246">
        <v>83.093000000000004</v>
      </c>
      <c r="AM246">
        <v>42.118600000000001</v>
      </c>
      <c r="AN246">
        <f>Table8314[[#This Row],[CFNM]]/Table8314[[#This Row],[CAREA]]</f>
        <v>0.50688505650295446</v>
      </c>
    </row>
    <row r="247" spans="1:40" x14ac:dyDescent="0.25">
      <c r="A247">
        <v>2.5507599999999999</v>
      </c>
      <c r="B247">
        <f>-(Table1307[[#This Row],[time]]-2)*2</f>
        <v>-1.1015199999999998</v>
      </c>
      <c r="C247">
        <v>67.752799999999993</v>
      </c>
      <c r="D247">
        <v>2.3110299999999999E-3</v>
      </c>
      <c r="E247">
        <f>Table1307[[#This Row],[CFNM]]/Table1307[[#This Row],[CAREA]]</f>
        <v>3.4109734210246665E-5</v>
      </c>
      <c r="F247">
        <v>2.5507599999999999</v>
      </c>
      <c r="G247">
        <f>-(Table2308[[#This Row],[time]]-2)*2</f>
        <v>-1.1015199999999998</v>
      </c>
      <c r="H247">
        <v>83.132099999999994</v>
      </c>
      <c r="I247">
        <v>33.658799999999999</v>
      </c>
      <c r="J247">
        <f>Table2308[[#This Row],[CFNM]]/Table2308[[#This Row],[CAREA]]</f>
        <v>0.40488331222235457</v>
      </c>
      <c r="K247">
        <v>2.5507599999999999</v>
      </c>
      <c r="L247">
        <f>-(Table3309[[#This Row],[time]]-2)*2</f>
        <v>-1.1015199999999998</v>
      </c>
      <c r="M247">
        <v>57.373399999999997</v>
      </c>
      <c r="N247">
        <v>1.1985399999999999E-3</v>
      </c>
      <c r="O247">
        <f>Table3309[[#This Row],[CFNM]]/Table3309[[#This Row],[CAREA]]</f>
        <v>2.0890168614723897E-5</v>
      </c>
      <c r="P247">
        <v>2.5507599999999999</v>
      </c>
      <c r="Q247">
        <f>-(Table4310[[#This Row],[time]]-2)*2</f>
        <v>-1.1015199999999998</v>
      </c>
      <c r="R247">
        <v>75.811300000000003</v>
      </c>
      <c r="S247">
        <v>32.837299999999999</v>
      </c>
      <c r="T247">
        <f>Table4310[[#This Row],[CFNM]]/Table4310[[#This Row],[CAREA]]</f>
        <v>0.43314519075652308</v>
      </c>
      <c r="U247">
        <v>2.5507599999999999</v>
      </c>
      <c r="V247">
        <f>-(Table5311[[#This Row],[time]]-2)*2</f>
        <v>-1.1015199999999998</v>
      </c>
      <c r="W247">
        <v>81.951499999999996</v>
      </c>
      <c r="X247">
        <v>3.2186799999999998E-3</v>
      </c>
      <c r="Y247">
        <f>Table5311[[#This Row],[CFNM]]/Table5311[[#This Row],[CAREA]]</f>
        <v>3.9275425098991475E-5</v>
      </c>
      <c r="Z247">
        <v>2.5507599999999999</v>
      </c>
      <c r="AA247">
        <f>-(Table6312[[#This Row],[time]]-2)*2</f>
        <v>-1.1015199999999998</v>
      </c>
      <c r="AB247">
        <v>76.938699999999997</v>
      </c>
      <c r="AC247">
        <v>31.4285</v>
      </c>
      <c r="AD247">
        <f>Table6312[[#This Row],[CFNM]]/Table6312[[#This Row],[CAREA]]</f>
        <v>0.40848753618140154</v>
      </c>
      <c r="AE247">
        <v>2.5507599999999999</v>
      </c>
      <c r="AF247">
        <f>-(Table7313[[#This Row],[time]]-2)*2</f>
        <v>-1.1015199999999998</v>
      </c>
      <c r="AG247">
        <v>75.659499999999994</v>
      </c>
      <c r="AH247">
        <v>4.5120500000000003</v>
      </c>
      <c r="AI247">
        <f>Table7313[[#This Row],[CFNM]]/Table7313[[#This Row],[CAREA]]</f>
        <v>5.9636265108809872E-2</v>
      </c>
      <c r="AJ247">
        <v>2.5507599999999999</v>
      </c>
      <c r="AK247">
        <f>-(Table8314[[#This Row],[time]]-2)*2</f>
        <v>-1.1015199999999998</v>
      </c>
      <c r="AL247">
        <v>83.120599999999996</v>
      </c>
      <c r="AM247">
        <v>44.520600000000002</v>
      </c>
      <c r="AN247">
        <f>Table8314[[#This Row],[CFNM]]/Table8314[[#This Row],[CAREA]]</f>
        <v>0.5356145167383296</v>
      </c>
    </row>
    <row r="248" spans="1:40" x14ac:dyDescent="0.25">
      <c r="A248">
        <v>2.60453</v>
      </c>
      <c r="B248">
        <f>-(Table1307[[#This Row],[time]]-2)*2</f>
        <v>-1.20906</v>
      </c>
      <c r="C248">
        <v>66.307000000000002</v>
      </c>
      <c r="D248">
        <v>2.1259400000000002E-3</v>
      </c>
      <c r="E248">
        <f>Table1307[[#This Row],[CFNM]]/Table1307[[#This Row],[CAREA]]</f>
        <v>3.2062074894053421E-5</v>
      </c>
      <c r="F248">
        <v>2.60453</v>
      </c>
      <c r="G248">
        <f>-(Table2308[[#This Row],[time]]-2)*2</f>
        <v>-1.20906</v>
      </c>
      <c r="H248">
        <v>82.278499999999994</v>
      </c>
      <c r="I248">
        <v>35.676200000000001</v>
      </c>
      <c r="J248">
        <f>Table2308[[#This Row],[CFNM]]/Table2308[[#This Row],[CAREA]]</f>
        <v>0.43360294609162786</v>
      </c>
      <c r="K248">
        <v>2.60453</v>
      </c>
      <c r="L248">
        <f>-(Table3309[[#This Row],[time]]-2)*2</f>
        <v>-1.20906</v>
      </c>
      <c r="M248">
        <v>56.4084</v>
      </c>
      <c r="N248">
        <v>1.0613300000000001E-3</v>
      </c>
      <c r="O248">
        <f>Table3309[[#This Row],[CFNM]]/Table3309[[#This Row],[CAREA]]</f>
        <v>1.8815105551655427E-5</v>
      </c>
      <c r="P248">
        <v>2.60453</v>
      </c>
      <c r="Q248">
        <f>-(Table4310[[#This Row],[time]]-2)*2</f>
        <v>-1.20906</v>
      </c>
      <c r="R248">
        <v>75.107799999999997</v>
      </c>
      <c r="S248">
        <v>35.035600000000002</v>
      </c>
      <c r="T248">
        <f>Table4310[[#This Row],[CFNM]]/Table4310[[#This Row],[CAREA]]</f>
        <v>0.46647085921835019</v>
      </c>
      <c r="U248">
        <v>2.60453</v>
      </c>
      <c r="V248">
        <f>-(Table5311[[#This Row],[time]]-2)*2</f>
        <v>-1.20906</v>
      </c>
      <c r="W248">
        <v>79.910399999999996</v>
      </c>
      <c r="X248">
        <v>3.0330700000000001E-3</v>
      </c>
      <c r="Y248">
        <f>Table5311[[#This Row],[CFNM]]/Table5311[[#This Row],[CAREA]]</f>
        <v>3.7955885591862889E-5</v>
      </c>
      <c r="Z248">
        <v>2.60453</v>
      </c>
      <c r="AA248">
        <f>-(Table6312[[#This Row],[time]]-2)*2</f>
        <v>-1.20906</v>
      </c>
      <c r="AB248">
        <v>76.281300000000002</v>
      </c>
      <c r="AC248">
        <v>33.712400000000002</v>
      </c>
      <c r="AD248">
        <f>Table6312[[#This Row],[CFNM]]/Table6312[[#This Row],[CAREA]]</f>
        <v>0.4419484198617486</v>
      </c>
      <c r="AE248">
        <v>2.60453</v>
      </c>
      <c r="AF248">
        <f>-(Table7313[[#This Row],[time]]-2)*2</f>
        <v>-1.20906</v>
      </c>
      <c r="AG248">
        <v>74.864099999999993</v>
      </c>
      <c r="AH248">
        <v>3.7927900000000001</v>
      </c>
      <c r="AI248">
        <f>Table7313[[#This Row],[CFNM]]/Table7313[[#This Row],[CAREA]]</f>
        <v>5.0662333481602005E-2</v>
      </c>
      <c r="AJ248">
        <v>2.60453</v>
      </c>
      <c r="AK248">
        <f>-(Table8314[[#This Row],[time]]-2)*2</f>
        <v>-1.20906</v>
      </c>
      <c r="AL248">
        <v>83.014600000000002</v>
      </c>
      <c r="AM248">
        <v>46.790399999999998</v>
      </c>
      <c r="AN248">
        <f>Table8314[[#This Row],[CFNM]]/Table8314[[#This Row],[CAREA]]</f>
        <v>0.56364061261513032</v>
      </c>
    </row>
    <row r="249" spans="1:40" x14ac:dyDescent="0.25">
      <c r="A249">
        <v>2.65273</v>
      </c>
      <c r="B249">
        <f>-(Table1307[[#This Row],[time]]-2)*2</f>
        <v>-1.3054600000000001</v>
      </c>
      <c r="C249">
        <v>61.798099999999998</v>
      </c>
      <c r="D249">
        <v>1.9168799999999999E-3</v>
      </c>
      <c r="E249">
        <f>Table1307[[#This Row],[CFNM]]/Table1307[[#This Row],[CAREA]]</f>
        <v>3.1018429369187727E-5</v>
      </c>
      <c r="F249">
        <v>2.65273</v>
      </c>
      <c r="G249">
        <f>-(Table2308[[#This Row],[time]]-2)*2</f>
        <v>-1.3054600000000001</v>
      </c>
      <c r="H249">
        <v>81.345600000000005</v>
      </c>
      <c r="I249">
        <v>37.858600000000003</v>
      </c>
      <c r="J249">
        <f>Table2308[[#This Row],[CFNM]]/Table2308[[#This Row],[CAREA]]</f>
        <v>0.46540439802521588</v>
      </c>
      <c r="K249">
        <v>2.65273</v>
      </c>
      <c r="L249">
        <f>-(Table3309[[#This Row],[time]]-2)*2</f>
        <v>-1.3054600000000001</v>
      </c>
      <c r="M249">
        <v>52.009399999999999</v>
      </c>
      <c r="N249">
        <v>9.1538800000000005E-4</v>
      </c>
      <c r="O249">
        <f>Table3309[[#This Row],[CFNM]]/Table3309[[#This Row],[CAREA]]</f>
        <v>1.7600433767741985E-5</v>
      </c>
      <c r="P249">
        <v>2.65273</v>
      </c>
      <c r="Q249">
        <f>-(Table4310[[#This Row],[time]]-2)*2</f>
        <v>-1.3054600000000001</v>
      </c>
      <c r="R249">
        <v>74.282700000000006</v>
      </c>
      <c r="S249">
        <v>37.464700000000001</v>
      </c>
      <c r="T249">
        <f>Table4310[[#This Row],[CFNM]]/Table4310[[#This Row],[CAREA]]</f>
        <v>0.5043529650914681</v>
      </c>
      <c r="U249">
        <v>2.65273</v>
      </c>
      <c r="V249">
        <f>-(Table5311[[#This Row],[time]]-2)*2</f>
        <v>-1.3054600000000001</v>
      </c>
      <c r="W249">
        <v>79.340599999999995</v>
      </c>
      <c r="X249">
        <v>2.8276E-3</v>
      </c>
      <c r="Y249">
        <f>Table5311[[#This Row],[CFNM]]/Table5311[[#This Row],[CAREA]]</f>
        <v>3.563875241679544E-5</v>
      </c>
      <c r="Z249">
        <v>2.65273</v>
      </c>
      <c r="AA249">
        <f>-(Table6312[[#This Row],[time]]-2)*2</f>
        <v>-1.3054600000000001</v>
      </c>
      <c r="AB249">
        <v>74.584999999999994</v>
      </c>
      <c r="AC249">
        <v>36.224800000000002</v>
      </c>
      <c r="AD249">
        <f>Table6312[[#This Row],[CFNM]]/Table6312[[#This Row],[CAREA]]</f>
        <v>0.48568478916672259</v>
      </c>
      <c r="AE249">
        <v>2.65273</v>
      </c>
      <c r="AF249">
        <f>-(Table7313[[#This Row],[time]]-2)*2</f>
        <v>-1.3054600000000001</v>
      </c>
      <c r="AG249">
        <v>74.019199999999998</v>
      </c>
      <c r="AH249">
        <v>3.0203899999999999</v>
      </c>
      <c r="AI249">
        <f>Table7313[[#This Row],[CFNM]]/Table7313[[#This Row],[CAREA]]</f>
        <v>4.0805493709740175E-2</v>
      </c>
      <c r="AJ249">
        <v>2.65273</v>
      </c>
      <c r="AK249">
        <f>-(Table8314[[#This Row],[time]]-2)*2</f>
        <v>-1.3054600000000001</v>
      </c>
      <c r="AL249">
        <v>82.271500000000003</v>
      </c>
      <c r="AM249">
        <v>49.300199999999997</v>
      </c>
      <c r="AN249">
        <f>Table8314[[#This Row],[CFNM]]/Table8314[[#This Row],[CAREA]]</f>
        <v>0.59923788918398224</v>
      </c>
    </row>
    <row r="250" spans="1:40" x14ac:dyDescent="0.25">
      <c r="A250">
        <v>2.7006199999999998</v>
      </c>
      <c r="B250">
        <f>-(Table1307[[#This Row],[time]]-2)*2</f>
        <v>-1.4012399999999996</v>
      </c>
      <c r="C250">
        <v>58.295999999999999</v>
      </c>
      <c r="D250">
        <v>1.74585E-3</v>
      </c>
      <c r="E250">
        <f>Table1307[[#This Row],[CFNM]]/Table1307[[#This Row],[CAREA]]</f>
        <v>2.9948023878139153E-5</v>
      </c>
      <c r="F250">
        <v>2.7006199999999998</v>
      </c>
      <c r="G250">
        <f>-(Table2308[[#This Row],[time]]-2)*2</f>
        <v>-1.4012399999999996</v>
      </c>
      <c r="H250">
        <v>80.618600000000001</v>
      </c>
      <c r="I250">
        <v>39.638599999999997</v>
      </c>
      <c r="J250">
        <f>Table2308[[#This Row],[CFNM]]/Table2308[[#This Row],[CAREA]]</f>
        <v>0.491680579915801</v>
      </c>
      <c r="K250">
        <v>2.7006199999999998</v>
      </c>
      <c r="L250">
        <f>-(Table3309[[#This Row],[time]]-2)*2</f>
        <v>-1.4012399999999996</v>
      </c>
      <c r="M250">
        <v>50.160899999999998</v>
      </c>
      <c r="N250">
        <v>8.0009600000000003E-4</v>
      </c>
      <c r="O250">
        <f>Table3309[[#This Row],[CFNM]]/Table3309[[#This Row],[CAREA]]</f>
        <v>1.5950590998167896E-5</v>
      </c>
      <c r="P250">
        <v>2.7006199999999998</v>
      </c>
      <c r="Q250">
        <f>-(Table4310[[#This Row],[time]]-2)*2</f>
        <v>-1.4012399999999996</v>
      </c>
      <c r="R250">
        <v>73.5869</v>
      </c>
      <c r="S250">
        <v>39.420099999999998</v>
      </c>
      <c r="T250">
        <f>Table4310[[#This Row],[CFNM]]/Table4310[[#This Row],[CAREA]]</f>
        <v>0.53569453258664246</v>
      </c>
      <c r="U250">
        <v>2.7006199999999998</v>
      </c>
      <c r="V250">
        <f>-(Table5311[[#This Row],[time]]-2)*2</f>
        <v>-1.4012399999999996</v>
      </c>
      <c r="W250">
        <v>78.952699999999993</v>
      </c>
      <c r="X250">
        <v>2.6511799999999999E-3</v>
      </c>
      <c r="Y250">
        <f>Table5311[[#This Row],[CFNM]]/Table5311[[#This Row],[CAREA]]</f>
        <v>3.357934560819326E-5</v>
      </c>
      <c r="Z250">
        <v>2.7006199999999998</v>
      </c>
      <c r="AA250">
        <f>-(Table6312[[#This Row],[time]]-2)*2</f>
        <v>-1.4012399999999996</v>
      </c>
      <c r="AB250">
        <v>73.8947</v>
      </c>
      <c r="AC250">
        <v>38.320700000000002</v>
      </c>
      <c r="AD250">
        <f>Table6312[[#This Row],[CFNM]]/Table6312[[#This Row],[CAREA]]</f>
        <v>0.51858523006386115</v>
      </c>
      <c r="AE250">
        <v>2.7006199999999998</v>
      </c>
      <c r="AF250">
        <f>-(Table7313[[#This Row],[time]]-2)*2</f>
        <v>-1.4012399999999996</v>
      </c>
      <c r="AG250">
        <v>73.378</v>
      </c>
      <c r="AH250">
        <v>2.3854899999999999</v>
      </c>
      <c r="AI250">
        <f>Table7313[[#This Row],[CFNM]]/Table7313[[#This Row],[CAREA]]</f>
        <v>3.2509607784349533E-2</v>
      </c>
      <c r="AJ250">
        <v>2.7006199999999998</v>
      </c>
      <c r="AK250">
        <f>-(Table8314[[#This Row],[time]]-2)*2</f>
        <v>-1.4012399999999996</v>
      </c>
      <c r="AL250">
        <v>82.145600000000002</v>
      </c>
      <c r="AM250">
        <v>51.353499999999997</v>
      </c>
      <c r="AN250">
        <f>Table8314[[#This Row],[CFNM]]/Table8314[[#This Row],[CAREA]]</f>
        <v>0.6251521688319277</v>
      </c>
    </row>
    <row r="251" spans="1:40" x14ac:dyDescent="0.25">
      <c r="A251">
        <v>2.75176</v>
      </c>
      <c r="B251">
        <f>-(Table1307[[#This Row],[time]]-2)*2</f>
        <v>-1.50352</v>
      </c>
      <c r="C251">
        <v>55.212600000000002</v>
      </c>
      <c r="D251">
        <v>1.5869600000000001E-3</v>
      </c>
      <c r="E251">
        <f>Table1307[[#This Row],[CFNM]]/Table1307[[#This Row],[CAREA]]</f>
        <v>2.8742714525307632E-5</v>
      </c>
      <c r="F251">
        <v>2.75176</v>
      </c>
      <c r="G251">
        <f>-(Table2308[[#This Row],[time]]-2)*2</f>
        <v>-1.50352</v>
      </c>
      <c r="H251">
        <v>79.903000000000006</v>
      </c>
      <c r="I251">
        <v>41.374000000000002</v>
      </c>
      <c r="J251">
        <f>Table2308[[#This Row],[CFNM]]/Table2308[[#This Row],[CAREA]]</f>
        <v>0.51780283593857557</v>
      </c>
      <c r="K251">
        <v>2.75176</v>
      </c>
      <c r="L251">
        <f>-(Table3309[[#This Row],[time]]-2)*2</f>
        <v>-1.50352</v>
      </c>
      <c r="M251">
        <v>46.699199999999998</v>
      </c>
      <c r="N251">
        <v>6.8510800000000003E-4</v>
      </c>
      <c r="O251">
        <f>Table3309[[#This Row],[CFNM]]/Table3309[[#This Row],[CAREA]]</f>
        <v>1.4670658169733102E-5</v>
      </c>
      <c r="P251">
        <v>2.75176</v>
      </c>
      <c r="Q251">
        <f>-(Table4310[[#This Row],[time]]-2)*2</f>
        <v>-1.50352</v>
      </c>
      <c r="R251">
        <v>72.916600000000003</v>
      </c>
      <c r="S251">
        <v>41.321300000000001</v>
      </c>
      <c r="T251">
        <f>Table4310[[#This Row],[CFNM]]/Table4310[[#This Row],[CAREA]]</f>
        <v>0.56669263240469248</v>
      </c>
      <c r="U251">
        <v>2.75176</v>
      </c>
      <c r="V251">
        <f>-(Table5311[[#This Row],[time]]-2)*2</f>
        <v>-1.50352</v>
      </c>
      <c r="W251">
        <v>78.473399999999998</v>
      </c>
      <c r="X251">
        <v>2.4722699999999999E-3</v>
      </c>
      <c r="Y251">
        <f>Table5311[[#This Row],[CFNM]]/Table5311[[#This Row],[CAREA]]</f>
        <v>3.1504560781105446E-5</v>
      </c>
      <c r="Z251">
        <v>2.75176</v>
      </c>
      <c r="AA251">
        <f>-(Table6312[[#This Row],[time]]-2)*2</f>
        <v>-1.50352</v>
      </c>
      <c r="AB251">
        <v>73.092100000000002</v>
      </c>
      <c r="AC251">
        <v>40.396000000000001</v>
      </c>
      <c r="AD251">
        <f>Table6312[[#This Row],[CFNM]]/Table6312[[#This Row],[CAREA]]</f>
        <v>0.55267258705113143</v>
      </c>
      <c r="AE251">
        <v>2.75176</v>
      </c>
      <c r="AF251">
        <f>-(Table7313[[#This Row],[time]]-2)*2</f>
        <v>-1.50352</v>
      </c>
      <c r="AG251">
        <v>72.759699999999995</v>
      </c>
      <c r="AH251">
        <v>1.91727</v>
      </c>
      <c r="AI251">
        <f>Table7313[[#This Row],[CFNM]]/Table7313[[#This Row],[CAREA]]</f>
        <v>2.6350713375673622E-2</v>
      </c>
      <c r="AJ251">
        <v>2.75176</v>
      </c>
      <c r="AK251">
        <f>-(Table8314[[#This Row],[time]]-2)*2</f>
        <v>-1.50352</v>
      </c>
      <c r="AL251">
        <v>82.087900000000005</v>
      </c>
      <c r="AM251">
        <v>53.3401</v>
      </c>
      <c r="AN251">
        <f>Table8314[[#This Row],[CFNM]]/Table8314[[#This Row],[CAREA]]</f>
        <v>0.64979247855043187</v>
      </c>
    </row>
    <row r="252" spans="1:40" x14ac:dyDescent="0.25">
      <c r="A252">
        <v>2.80444</v>
      </c>
      <c r="B252">
        <f>-(Table1307[[#This Row],[time]]-2)*2</f>
        <v>-1.6088800000000001</v>
      </c>
      <c r="C252">
        <v>52.705100000000002</v>
      </c>
      <c r="D252">
        <v>1.4344399999999999E-3</v>
      </c>
      <c r="E252">
        <f>Table1307[[#This Row],[CFNM]]/Table1307[[#This Row],[CAREA]]</f>
        <v>2.721634149256903E-5</v>
      </c>
      <c r="F252">
        <v>2.80444</v>
      </c>
      <c r="G252">
        <f>-(Table2308[[#This Row],[time]]-2)*2</f>
        <v>-1.6088800000000001</v>
      </c>
      <c r="H252">
        <v>79.188999999999993</v>
      </c>
      <c r="I252">
        <v>43.088700000000003</v>
      </c>
      <c r="J252">
        <f>Table2308[[#This Row],[CFNM]]/Table2308[[#This Row],[CAREA]]</f>
        <v>0.54412481531525847</v>
      </c>
      <c r="K252">
        <v>2.80444</v>
      </c>
      <c r="L252">
        <f>-(Table3309[[#This Row],[time]]-2)*2</f>
        <v>-1.6088800000000001</v>
      </c>
      <c r="M252">
        <v>42.046399999999998</v>
      </c>
      <c r="N252">
        <v>5.8428400000000002E-4</v>
      </c>
      <c r="O252">
        <f>Table3309[[#This Row],[CFNM]]/Table3309[[#This Row],[CAREA]]</f>
        <v>1.3896171848243845E-5</v>
      </c>
      <c r="P252">
        <v>2.80444</v>
      </c>
      <c r="Q252">
        <f>-(Table4310[[#This Row],[time]]-2)*2</f>
        <v>-1.6088800000000001</v>
      </c>
      <c r="R252">
        <v>72.259799999999998</v>
      </c>
      <c r="S252">
        <v>43.138100000000001</v>
      </c>
      <c r="T252">
        <f>Table4310[[#This Row],[CFNM]]/Table4310[[#This Row],[CAREA]]</f>
        <v>0.59698615274329581</v>
      </c>
      <c r="U252">
        <v>2.80444</v>
      </c>
      <c r="V252">
        <f>-(Table5311[[#This Row],[time]]-2)*2</f>
        <v>-1.6088800000000001</v>
      </c>
      <c r="W252">
        <v>77.061199999999999</v>
      </c>
      <c r="X252">
        <v>2.2882100000000002E-3</v>
      </c>
      <c r="Y252">
        <f>Table5311[[#This Row],[CFNM]]/Table5311[[#This Row],[CAREA]]</f>
        <v>2.9693412508499739E-5</v>
      </c>
      <c r="Z252">
        <v>2.80444</v>
      </c>
      <c r="AA252">
        <f>-(Table6312[[#This Row],[time]]-2)*2</f>
        <v>-1.6088800000000001</v>
      </c>
      <c r="AB252">
        <v>72.287000000000006</v>
      </c>
      <c r="AC252">
        <v>42.471299999999999</v>
      </c>
      <c r="AD252">
        <f>Table6312[[#This Row],[CFNM]]/Table6312[[#This Row],[CAREA]]</f>
        <v>0.58753717819248263</v>
      </c>
      <c r="AE252">
        <v>2.80444</v>
      </c>
      <c r="AF252">
        <f>-(Table7313[[#This Row],[time]]-2)*2</f>
        <v>-1.6088800000000001</v>
      </c>
      <c r="AG252">
        <v>72.163899999999998</v>
      </c>
      <c r="AH252">
        <v>1.52536</v>
      </c>
      <c r="AI252">
        <f>Table7313[[#This Row],[CFNM]]/Table7313[[#This Row],[CAREA]]</f>
        <v>2.1137438525356864E-2</v>
      </c>
      <c r="AJ252">
        <v>2.80444</v>
      </c>
      <c r="AK252">
        <f>-(Table8314[[#This Row],[time]]-2)*2</f>
        <v>-1.6088800000000001</v>
      </c>
      <c r="AL252">
        <v>81.880099999999999</v>
      </c>
      <c r="AM252">
        <v>55.278199999999998</v>
      </c>
      <c r="AN252">
        <f>Table8314[[#This Row],[CFNM]]/Table8314[[#This Row],[CAREA]]</f>
        <v>0.67511153503720678</v>
      </c>
    </row>
    <row r="253" spans="1:40" x14ac:dyDescent="0.25">
      <c r="A253">
        <v>2.8583699999999999</v>
      </c>
      <c r="B253">
        <f>-(Table1307[[#This Row],[time]]-2)*2</f>
        <v>-1.7167399999999997</v>
      </c>
      <c r="C253">
        <v>49.122900000000001</v>
      </c>
      <c r="D253">
        <v>1.29009E-3</v>
      </c>
      <c r="E253">
        <f>Table1307[[#This Row],[CFNM]]/Table1307[[#This Row],[CAREA]]</f>
        <v>2.6262496717416927E-5</v>
      </c>
      <c r="F253">
        <v>2.8583699999999999</v>
      </c>
      <c r="G253">
        <f>-(Table2308[[#This Row],[time]]-2)*2</f>
        <v>-1.7167399999999997</v>
      </c>
      <c r="H253">
        <v>78.504000000000005</v>
      </c>
      <c r="I253">
        <v>44.7804</v>
      </c>
      <c r="J253">
        <f>Table2308[[#This Row],[CFNM]]/Table2308[[#This Row],[CAREA]]</f>
        <v>0.57042188933047999</v>
      </c>
      <c r="K253">
        <v>2.8583699999999999</v>
      </c>
      <c r="L253">
        <f>-(Table3309[[#This Row],[time]]-2)*2</f>
        <v>-1.7167399999999997</v>
      </c>
      <c r="M253">
        <v>37.891100000000002</v>
      </c>
      <c r="N253">
        <v>4.9281100000000001E-4</v>
      </c>
      <c r="O253">
        <f>Table3309[[#This Row],[CFNM]]/Table3309[[#This Row],[CAREA]]</f>
        <v>1.3005982935306707E-5</v>
      </c>
      <c r="P253">
        <v>2.8583699999999999</v>
      </c>
      <c r="Q253">
        <f>-(Table4310[[#This Row],[time]]-2)*2</f>
        <v>-1.7167399999999997</v>
      </c>
      <c r="R253">
        <v>71.584100000000007</v>
      </c>
      <c r="S253">
        <v>44.896500000000003</v>
      </c>
      <c r="T253">
        <f>Table4310[[#This Row],[CFNM]]/Table4310[[#This Row],[CAREA]]</f>
        <v>0.62718536658280255</v>
      </c>
      <c r="U253">
        <v>2.8583699999999999</v>
      </c>
      <c r="V253">
        <f>-(Table5311[[#This Row],[time]]-2)*2</f>
        <v>-1.7167399999999997</v>
      </c>
      <c r="W253">
        <v>75.618799999999993</v>
      </c>
      <c r="X253">
        <v>2.1061999999999999E-3</v>
      </c>
      <c r="Y253">
        <f>Table5311[[#This Row],[CFNM]]/Table5311[[#This Row],[CAREA]]</f>
        <v>2.785286198670172E-5</v>
      </c>
      <c r="Z253">
        <v>2.8583699999999999</v>
      </c>
      <c r="AA253">
        <f>-(Table6312[[#This Row],[time]]-2)*2</f>
        <v>-1.7167399999999997</v>
      </c>
      <c r="AB253">
        <v>71.841200000000001</v>
      </c>
      <c r="AC253">
        <v>44.508699999999997</v>
      </c>
      <c r="AD253">
        <f>Table6312[[#This Row],[CFNM]]/Table6312[[#This Row],[CAREA]]</f>
        <v>0.61954282500849089</v>
      </c>
      <c r="AE253">
        <v>2.8583699999999999</v>
      </c>
      <c r="AF253">
        <f>-(Table7313[[#This Row],[time]]-2)*2</f>
        <v>-1.7167399999999997</v>
      </c>
      <c r="AG253">
        <v>71.620699999999999</v>
      </c>
      <c r="AH253">
        <v>1.13452</v>
      </c>
      <c r="AI253">
        <f>Table7313[[#This Row],[CFNM]]/Table7313[[#This Row],[CAREA]]</f>
        <v>1.5840671761097002E-2</v>
      </c>
      <c r="AJ253">
        <v>2.8583699999999999</v>
      </c>
      <c r="AK253">
        <f>-(Table8314[[#This Row],[time]]-2)*2</f>
        <v>-1.7167399999999997</v>
      </c>
      <c r="AL253">
        <v>81.954899999999995</v>
      </c>
      <c r="AM253">
        <v>57.182099999999998</v>
      </c>
      <c r="AN253">
        <f>Table8314[[#This Row],[CFNM]]/Table8314[[#This Row],[CAREA]]</f>
        <v>0.69772643246468491</v>
      </c>
    </row>
    <row r="254" spans="1:40" x14ac:dyDescent="0.25">
      <c r="A254">
        <v>2.9134199999999999</v>
      </c>
      <c r="B254">
        <f>-(Table1307[[#This Row],[time]]-2)*2</f>
        <v>-1.8268399999999998</v>
      </c>
      <c r="C254">
        <v>42.789000000000001</v>
      </c>
      <c r="D254">
        <v>1.1327900000000001E-3</v>
      </c>
      <c r="E254">
        <f>Table1307[[#This Row],[CFNM]]/Table1307[[#This Row],[CAREA]]</f>
        <v>2.6473860104232396E-5</v>
      </c>
      <c r="F254">
        <v>2.9134199999999999</v>
      </c>
      <c r="G254">
        <f>-(Table2308[[#This Row],[time]]-2)*2</f>
        <v>-1.8268399999999998</v>
      </c>
      <c r="H254">
        <v>77.641900000000007</v>
      </c>
      <c r="I254">
        <v>46.767400000000002</v>
      </c>
      <c r="J254">
        <f>Table2308[[#This Row],[CFNM]]/Table2308[[#This Row],[CAREA]]</f>
        <v>0.60234744384153394</v>
      </c>
      <c r="K254">
        <v>2.9134199999999999</v>
      </c>
      <c r="L254">
        <f>-(Table3309[[#This Row],[time]]-2)*2</f>
        <v>-1.8268399999999998</v>
      </c>
      <c r="M254">
        <v>35.803400000000003</v>
      </c>
      <c r="N254">
        <v>3.9477700000000002E-4</v>
      </c>
      <c r="O254">
        <f>Table3309[[#This Row],[CFNM]]/Table3309[[#This Row],[CAREA]]</f>
        <v>1.1026243317673739E-5</v>
      </c>
      <c r="P254">
        <v>2.9134199999999999</v>
      </c>
      <c r="Q254">
        <f>-(Table4310[[#This Row],[time]]-2)*2</f>
        <v>-1.8268399999999998</v>
      </c>
      <c r="R254">
        <v>70.8596</v>
      </c>
      <c r="S254">
        <v>46.918599999999998</v>
      </c>
      <c r="T254">
        <f>Table4310[[#This Row],[CFNM]]/Table4310[[#This Row],[CAREA]]</f>
        <v>0.66213470016765541</v>
      </c>
      <c r="U254">
        <v>2.9134199999999999</v>
      </c>
      <c r="V254">
        <f>-(Table5311[[#This Row],[time]]-2)*2</f>
        <v>-1.8268399999999998</v>
      </c>
      <c r="W254">
        <v>73.473100000000002</v>
      </c>
      <c r="X254">
        <v>1.90054E-3</v>
      </c>
      <c r="Y254">
        <f>Table5311[[#This Row],[CFNM]]/Table5311[[#This Row],[CAREA]]</f>
        <v>2.5867154101296937E-5</v>
      </c>
      <c r="Z254">
        <v>2.9134199999999999</v>
      </c>
      <c r="AA254">
        <f>-(Table6312[[#This Row],[time]]-2)*2</f>
        <v>-1.8268399999999998</v>
      </c>
      <c r="AB254">
        <v>70.385900000000007</v>
      </c>
      <c r="AC254">
        <v>46.909399999999998</v>
      </c>
      <c r="AD254">
        <f>Table6312[[#This Row],[CFNM]]/Table6312[[#This Row],[CAREA]]</f>
        <v>0.66646018591791811</v>
      </c>
      <c r="AE254">
        <v>2.9134199999999999</v>
      </c>
      <c r="AF254">
        <f>-(Table7313[[#This Row],[time]]-2)*2</f>
        <v>-1.8268399999999998</v>
      </c>
      <c r="AG254">
        <v>71.029799999999994</v>
      </c>
      <c r="AH254">
        <v>0.72838499999999995</v>
      </c>
      <c r="AI254">
        <f>Table7313[[#This Row],[CFNM]]/Table7313[[#This Row],[CAREA]]</f>
        <v>1.0254639601969878E-2</v>
      </c>
      <c r="AJ254">
        <v>2.9134199999999999</v>
      </c>
      <c r="AK254">
        <f>-(Table8314[[#This Row],[time]]-2)*2</f>
        <v>-1.8268399999999998</v>
      </c>
      <c r="AL254">
        <v>81.995800000000003</v>
      </c>
      <c r="AM254">
        <v>59.385300000000001</v>
      </c>
      <c r="AN254">
        <f>Table8314[[#This Row],[CFNM]]/Table8314[[#This Row],[CAREA]]</f>
        <v>0.72424807124267343</v>
      </c>
    </row>
    <row r="255" spans="1:40" x14ac:dyDescent="0.25">
      <c r="A255">
        <v>2.9619599999999999</v>
      </c>
      <c r="B255">
        <f>-(Table1307[[#This Row],[time]]-2)*2</f>
        <v>-1.9239199999999999</v>
      </c>
      <c r="C255">
        <v>38.0045</v>
      </c>
      <c r="D255">
        <v>1.0336500000000001E-3</v>
      </c>
      <c r="E255">
        <f>Table1307[[#This Row],[CFNM]]/Table1307[[#This Row],[CAREA]]</f>
        <v>2.7198094962438662E-5</v>
      </c>
      <c r="F255">
        <v>2.9619599999999999</v>
      </c>
      <c r="G255">
        <f>-(Table2308[[#This Row],[time]]-2)*2</f>
        <v>-1.9239199999999999</v>
      </c>
      <c r="H255">
        <v>76.993899999999996</v>
      </c>
      <c r="I255">
        <v>48.14</v>
      </c>
      <c r="J255">
        <f>Table2308[[#This Row],[CFNM]]/Table2308[[#This Row],[CAREA]]</f>
        <v>0.62524433753842845</v>
      </c>
      <c r="K255">
        <v>2.9619599999999999</v>
      </c>
      <c r="L255">
        <f>-(Table3309[[#This Row],[time]]-2)*2</f>
        <v>-1.9239199999999999</v>
      </c>
      <c r="M255">
        <v>33.068100000000001</v>
      </c>
      <c r="N255">
        <v>3.2840700000000002E-4</v>
      </c>
      <c r="O255">
        <f>Table3309[[#This Row],[CFNM]]/Table3309[[#This Row],[CAREA]]</f>
        <v>9.9312328195451204E-6</v>
      </c>
      <c r="P255">
        <v>2.9619599999999999</v>
      </c>
      <c r="Q255">
        <f>-(Table4310[[#This Row],[time]]-2)*2</f>
        <v>-1.9239199999999999</v>
      </c>
      <c r="R255">
        <v>70.368200000000002</v>
      </c>
      <c r="S255">
        <v>48.308900000000001</v>
      </c>
      <c r="T255">
        <f>Table4310[[#This Row],[CFNM]]/Table4310[[#This Row],[CAREA]]</f>
        <v>0.68651606833768664</v>
      </c>
      <c r="U255">
        <v>2.9619599999999999</v>
      </c>
      <c r="V255">
        <f>-(Table5311[[#This Row],[time]]-2)*2</f>
        <v>-1.9239199999999999</v>
      </c>
      <c r="W255">
        <v>73.182000000000002</v>
      </c>
      <c r="X255">
        <v>1.75895E-3</v>
      </c>
      <c r="Y255">
        <f>Table5311[[#This Row],[CFNM]]/Table5311[[#This Row],[CAREA]]</f>
        <v>2.4035281899920744E-5</v>
      </c>
      <c r="Z255">
        <v>2.9619599999999999</v>
      </c>
      <c r="AA255">
        <f>-(Table6312[[#This Row],[time]]-2)*2</f>
        <v>-1.9239199999999999</v>
      </c>
      <c r="AB255">
        <v>69.990399999999994</v>
      </c>
      <c r="AC255">
        <v>48.634700000000002</v>
      </c>
      <c r="AD255">
        <f>Table6312[[#This Row],[CFNM]]/Table6312[[#This Row],[CAREA]]</f>
        <v>0.69487672595098771</v>
      </c>
      <c r="AE255">
        <v>2.9619599999999999</v>
      </c>
      <c r="AF255">
        <f>-(Table7313[[#This Row],[time]]-2)*2</f>
        <v>-1.9239199999999999</v>
      </c>
      <c r="AG255">
        <v>70.582599999999999</v>
      </c>
      <c r="AH255">
        <v>0.51424800000000004</v>
      </c>
      <c r="AI255">
        <f>Table7313[[#This Row],[CFNM]]/Table7313[[#This Row],[CAREA]]</f>
        <v>7.2857616466381241E-3</v>
      </c>
      <c r="AJ255">
        <v>2.9619599999999999</v>
      </c>
      <c r="AK255">
        <f>-(Table8314[[#This Row],[time]]-2)*2</f>
        <v>-1.9239199999999999</v>
      </c>
      <c r="AL255">
        <v>82.042299999999997</v>
      </c>
      <c r="AM255">
        <v>60.902700000000003</v>
      </c>
      <c r="AN255">
        <f>Table8314[[#This Row],[CFNM]]/Table8314[[#This Row],[CAREA]]</f>
        <v>0.74233291850667282</v>
      </c>
    </row>
    <row r="256" spans="1:40" x14ac:dyDescent="0.25">
      <c r="A256">
        <v>3</v>
      </c>
      <c r="B256">
        <f>-(Table1307[[#This Row],[time]]-2)*2</f>
        <v>-2</v>
      </c>
      <c r="C256">
        <v>34.900100000000002</v>
      </c>
      <c r="D256">
        <v>9.7055500000000001E-4</v>
      </c>
      <c r="E256">
        <f>Table1307[[#This Row],[CFNM]]/Table1307[[#This Row],[CAREA]]</f>
        <v>2.7809519170432174E-5</v>
      </c>
      <c r="F256">
        <v>3</v>
      </c>
      <c r="G256">
        <f>-(Table2308[[#This Row],[time]]-2)*2</f>
        <v>-2</v>
      </c>
      <c r="H256">
        <v>76.563400000000001</v>
      </c>
      <c r="I256">
        <v>49.101399999999998</v>
      </c>
      <c r="J256">
        <f>Table2308[[#This Row],[CFNM]]/Table2308[[#This Row],[CAREA]]</f>
        <v>0.64131686941802479</v>
      </c>
      <c r="K256">
        <v>3</v>
      </c>
      <c r="L256">
        <f>-(Table3309[[#This Row],[time]]-2)*2</f>
        <v>-2</v>
      </c>
      <c r="M256">
        <v>30.400700000000001</v>
      </c>
      <c r="N256">
        <v>2.83813E-4</v>
      </c>
      <c r="O256">
        <f>Table3309[[#This Row],[CFNM]]/Table3309[[#This Row],[CAREA]]</f>
        <v>9.3357389796945461E-6</v>
      </c>
      <c r="P256">
        <v>3</v>
      </c>
      <c r="Q256">
        <f>-(Table4310[[#This Row],[time]]-2)*2</f>
        <v>-2</v>
      </c>
      <c r="R256">
        <v>70.010599999999997</v>
      </c>
      <c r="S256">
        <v>49.323399999999999</v>
      </c>
      <c r="T256">
        <f>Table4310[[#This Row],[CFNM]]/Table4310[[#This Row],[CAREA]]</f>
        <v>0.70451331655492166</v>
      </c>
      <c r="U256">
        <v>3</v>
      </c>
      <c r="V256">
        <f>-(Table5311[[#This Row],[time]]-2)*2</f>
        <v>-2</v>
      </c>
      <c r="W256">
        <v>71.217500000000001</v>
      </c>
      <c r="X256">
        <v>1.6602800000000001E-3</v>
      </c>
      <c r="Y256">
        <f>Table5311[[#This Row],[CFNM]]/Table5311[[#This Row],[CAREA]]</f>
        <v>2.3312809351634079E-5</v>
      </c>
      <c r="Z256">
        <v>3</v>
      </c>
      <c r="AA256">
        <f>-(Table6312[[#This Row],[time]]-2)*2</f>
        <v>-2</v>
      </c>
      <c r="AB256">
        <v>69.358900000000006</v>
      </c>
      <c r="AC256">
        <v>49.872599999999998</v>
      </c>
      <c r="AD256">
        <f>Table6312[[#This Row],[CFNM]]/Table6312[[#This Row],[CAREA]]</f>
        <v>0.71905119602531176</v>
      </c>
      <c r="AE256">
        <v>3</v>
      </c>
      <c r="AF256">
        <f>-(Table7313[[#This Row],[time]]-2)*2</f>
        <v>-2</v>
      </c>
      <c r="AG256">
        <v>70.265100000000004</v>
      </c>
      <c r="AH256">
        <v>0.40982400000000002</v>
      </c>
      <c r="AI256">
        <f>Table7313[[#This Row],[CFNM]]/Table7313[[#This Row],[CAREA]]</f>
        <v>5.8325399095710386E-3</v>
      </c>
      <c r="AJ256">
        <v>3</v>
      </c>
      <c r="AK256">
        <f>-(Table8314[[#This Row],[time]]-2)*2</f>
        <v>-2</v>
      </c>
      <c r="AL256">
        <v>82.036600000000007</v>
      </c>
      <c r="AM256">
        <v>61.958599999999997</v>
      </c>
      <c r="AN256">
        <f>Table8314[[#This Row],[CFNM]]/Table8314[[#This Row],[CAREA]]</f>
        <v>0.75525558104553325</v>
      </c>
    </row>
    <row r="258" spans="1:40" x14ac:dyDescent="0.25">
      <c r="A258" t="s">
        <v>47</v>
      </c>
      <c r="E258" t="s">
        <v>1</v>
      </c>
    </row>
    <row r="259" spans="1:40" x14ac:dyDescent="0.25">
      <c r="A259" t="s">
        <v>48</v>
      </c>
      <c r="E259" t="s">
        <v>2</v>
      </c>
      <c r="F259" t="s">
        <v>3</v>
      </c>
    </row>
    <row r="261" spans="1:40" x14ac:dyDescent="0.25">
      <c r="A261" t="s">
        <v>4</v>
      </c>
      <c r="F261" t="s">
        <v>5</v>
      </c>
      <c r="K261" t="s">
        <v>6</v>
      </c>
      <c r="P261" t="s">
        <v>7</v>
      </c>
      <c r="U261" t="s">
        <v>8</v>
      </c>
      <c r="Z261" t="s">
        <v>9</v>
      </c>
      <c r="AE261" t="s">
        <v>10</v>
      </c>
      <c r="AJ261" t="s">
        <v>11</v>
      </c>
    </row>
    <row r="262" spans="1:40" x14ac:dyDescent="0.25">
      <c r="A262" t="s">
        <v>12</v>
      </c>
      <c r="B262" t="s">
        <v>13</v>
      </c>
      <c r="C262" t="s">
        <v>14</v>
      </c>
      <c r="D262" t="s">
        <v>15</v>
      </c>
      <c r="E262" t="s">
        <v>16</v>
      </c>
      <c r="F262" t="s">
        <v>12</v>
      </c>
      <c r="G262" t="s">
        <v>13</v>
      </c>
      <c r="H262" t="s">
        <v>14</v>
      </c>
      <c r="I262" t="s">
        <v>15</v>
      </c>
      <c r="J262" t="s">
        <v>16</v>
      </c>
      <c r="K262" t="s">
        <v>12</v>
      </c>
      <c r="L262" t="s">
        <v>13</v>
      </c>
      <c r="M262" t="s">
        <v>14</v>
      </c>
      <c r="N262" t="s">
        <v>15</v>
      </c>
      <c r="O262" t="s">
        <v>16</v>
      </c>
      <c r="P262" t="s">
        <v>12</v>
      </c>
      <c r="Q262" t="s">
        <v>13</v>
      </c>
      <c r="R262" t="s">
        <v>14</v>
      </c>
      <c r="S262" t="s">
        <v>15</v>
      </c>
      <c r="T262" t="s">
        <v>16</v>
      </c>
      <c r="U262" t="s">
        <v>12</v>
      </c>
      <c r="V262" t="s">
        <v>13</v>
      </c>
      <c r="W262" t="s">
        <v>14</v>
      </c>
      <c r="X262" t="s">
        <v>15</v>
      </c>
      <c r="Y262" t="s">
        <v>16</v>
      </c>
      <c r="Z262" t="s">
        <v>12</v>
      </c>
      <c r="AA262" t="s">
        <v>13</v>
      </c>
      <c r="AB262" t="s">
        <v>14</v>
      </c>
      <c r="AC262" t="s">
        <v>15</v>
      </c>
      <c r="AD262" t="s">
        <v>16</v>
      </c>
      <c r="AE262" t="s">
        <v>12</v>
      </c>
      <c r="AF262" t="s">
        <v>13</v>
      </c>
      <c r="AG262" t="s">
        <v>14</v>
      </c>
      <c r="AH262" t="s">
        <v>15</v>
      </c>
      <c r="AI262" t="s">
        <v>16</v>
      </c>
      <c r="AJ262" t="s">
        <v>12</v>
      </c>
      <c r="AK262" t="s">
        <v>13</v>
      </c>
      <c r="AL262" t="s">
        <v>14</v>
      </c>
      <c r="AM262" t="s">
        <v>15</v>
      </c>
      <c r="AN262" t="s">
        <v>16</v>
      </c>
    </row>
    <row r="263" spans="1:40" x14ac:dyDescent="0.25">
      <c r="A263">
        <v>2</v>
      </c>
      <c r="B263">
        <f>(Table110[[#This Row],[time]]-2)*2</f>
        <v>0</v>
      </c>
      <c r="C263">
        <v>91.084699999999998</v>
      </c>
      <c r="D263">
        <v>10.2044</v>
      </c>
      <c r="E263" s="2">
        <f>Table110[[#This Row],[CFNM]]/Table110[[#This Row],[CAREA]]</f>
        <v>0.11203198780914907</v>
      </c>
      <c r="F263">
        <v>2</v>
      </c>
      <c r="G263">
        <f>(Table211[[#This Row],[time]]-2)*2</f>
        <v>0</v>
      </c>
      <c r="H263">
        <v>95.836600000000004</v>
      </c>
      <c r="I263">
        <v>3.5649700000000002</v>
      </c>
      <c r="J263" s="2">
        <f>Table211[[#This Row],[CFNM]]/Table211[[#This Row],[CAREA]]</f>
        <v>3.7198418975631441E-2</v>
      </c>
      <c r="K263">
        <v>2</v>
      </c>
      <c r="L263">
        <f>(Table312[[#This Row],[time]]-2)*2</f>
        <v>0</v>
      </c>
      <c r="M263">
        <v>89.259799999999998</v>
      </c>
      <c r="N263">
        <v>3.64472</v>
      </c>
      <c r="O263">
        <f>Table312[[#This Row],[CFNM]]/Table312[[#This Row],[CAREA]]</f>
        <v>4.0832715287284979E-2</v>
      </c>
      <c r="P263">
        <v>2</v>
      </c>
      <c r="Q263">
        <f>(Table413[[#This Row],[time]]-2)*2</f>
        <v>0</v>
      </c>
      <c r="R263">
        <v>86.405299999999997</v>
      </c>
      <c r="S263">
        <v>6.4305199999999996</v>
      </c>
      <c r="T263">
        <f>Table413[[#This Row],[CFNM]]/Table413[[#This Row],[CAREA]]</f>
        <v>7.4422749530410753E-2</v>
      </c>
      <c r="U263">
        <v>2</v>
      </c>
      <c r="V263">
        <f>(Table514[[#This Row],[time]]-2)*2</f>
        <v>0</v>
      </c>
      <c r="W263">
        <v>82.680099999999996</v>
      </c>
      <c r="X263">
        <v>8.5651600000000006</v>
      </c>
      <c r="Y263">
        <f>Table514[[#This Row],[CFNM]]/Table514[[#This Row],[CAREA]]</f>
        <v>0.10359397243109286</v>
      </c>
      <c r="Z263">
        <v>2</v>
      </c>
      <c r="AA263">
        <f>(Table615[[#This Row],[time]]-2)*2</f>
        <v>0</v>
      </c>
      <c r="AB263">
        <v>88.826700000000002</v>
      </c>
      <c r="AC263">
        <v>15.1248</v>
      </c>
      <c r="AD263">
        <f>Table615[[#This Row],[CFNM]]/Table615[[#This Row],[CAREA]]</f>
        <v>0.17027312733671296</v>
      </c>
      <c r="AE263">
        <v>2</v>
      </c>
      <c r="AF263">
        <f>(Table716[[#This Row],[time]]-2)*2</f>
        <v>0</v>
      </c>
      <c r="AG263">
        <v>78.953400000000002</v>
      </c>
      <c r="AH263">
        <v>19.615500000000001</v>
      </c>
      <c r="AI263">
        <f>Table716[[#This Row],[CFNM]]/Table716[[#This Row],[CAREA]]</f>
        <v>0.2484440188769578</v>
      </c>
      <c r="AJ263">
        <v>2</v>
      </c>
      <c r="AK263">
        <f>(Table817[[#This Row],[time]]-2)*2</f>
        <v>0</v>
      </c>
      <c r="AL263">
        <v>83.136899999999997</v>
      </c>
      <c r="AM263">
        <v>19.233499999999999</v>
      </c>
      <c r="AN263">
        <f>Table817[[#This Row],[CFNM]]/Table817[[#This Row],[CAREA]]</f>
        <v>0.23134733193082735</v>
      </c>
    </row>
    <row r="264" spans="1:40" x14ac:dyDescent="0.25">
      <c r="A264">
        <v>2.0512600000000001</v>
      </c>
      <c r="B264">
        <f>(Table110[[#This Row],[time]]-2)*2</f>
        <v>0.10252000000000017</v>
      </c>
      <c r="C264">
        <v>91.070300000000003</v>
      </c>
      <c r="D264">
        <v>11.016299999999999</v>
      </c>
      <c r="E264">
        <f>Table110[[#This Row],[CFNM]]/Table110[[#This Row],[CAREA]]</f>
        <v>0.12096479313233842</v>
      </c>
      <c r="F264">
        <v>2.0512600000000001</v>
      </c>
      <c r="G264">
        <f>(Table211[[#This Row],[time]]-2)*2</f>
        <v>0.10252000000000017</v>
      </c>
      <c r="H264">
        <v>95.822900000000004</v>
      </c>
      <c r="I264">
        <v>3.0045199999999999</v>
      </c>
      <c r="J264">
        <f>Table211[[#This Row],[CFNM]]/Table211[[#This Row],[CAREA]]</f>
        <v>3.1354926640709053E-2</v>
      </c>
      <c r="K264">
        <v>2.0512600000000001</v>
      </c>
      <c r="L264">
        <f>(Table312[[#This Row],[time]]-2)*2</f>
        <v>0.10252000000000017</v>
      </c>
      <c r="M264">
        <v>89.197900000000004</v>
      </c>
      <c r="N264">
        <v>4.6615700000000002</v>
      </c>
      <c r="O264">
        <f>Table312[[#This Row],[CFNM]]/Table312[[#This Row],[CAREA]]</f>
        <v>5.2260983722710957E-2</v>
      </c>
      <c r="P264">
        <v>2.0512600000000001</v>
      </c>
      <c r="Q264">
        <f>(Table413[[#This Row],[time]]-2)*2</f>
        <v>0.10252000000000017</v>
      </c>
      <c r="R264">
        <v>86.440299999999993</v>
      </c>
      <c r="S264">
        <v>5.65686</v>
      </c>
      <c r="T264">
        <f>Table413[[#This Row],[CFNM]]/Table413[[#This Row],[CAREA]]</f>
        <v>6.5442392032420069E-2</v>
      </c>
      <c r="U264">
        <v>2.0512600000000001</v>
      </c>
      <c r="V264">
        <f>(Table514[[#This Row],[time]]-2)*2</f>
        <v>0.10252000000000017</v>
      </c>
      <c r="W264">
        <v>82.73</v>
      </c>
      <c r="X264">
        <v>9.9250000000000007</v>
      </c>
      <c r="Y264">
        <f>Table514[[#This Row],[CFNM]]/Table514[[#This Row],[CAREA]]</f>
        <v>0.11996857246464403</v>
      </c>
      <c r="Z264">
        <v>2.0512600000000001</v>
      </c>
      <c r="AA264">
        <f>(Table615[[#This Row],[time]]-2)*2</f>
        <v>0.10252000000000017</v>
      </c>
      <c r="AB264">
        <v>88.743899999999996</v>
      </c>
      <c r="AC264">
        <v>14.759399999999999</v>
      </c>
      <c r="AD264">
        <f>Table615[[#This Row],[CFNM]]/Table615[[#This Row],[CAREA]]</f>
        <v>0.16631452978739947</v>
      </c>
      <c r="AE264">
        <v>2.0512600000000001</v>
      </c>
      <c r="AF264">
        <f>(Table716[[#This Row],[time]]-2)*2</f>
        <v>0.10252000000000017</v>
      </c>
      <c r="AG264">
        <v>78.8185</v>
      </c>
      <c r="AH264">
        <v>21.395299999999999</v>
      </c>
      <c r="AI264">
        <f>Table716[[#This Row],[CFNM]]/Table716[[#This Row],[CAREA]]</f>
        <v>0.27145023059307138</v>
      </c>
      <c r="AJ264">
        <v>2.0512600000000001</v>
      </c>
      <c r="AK264">
        <f>(Table817[[#This Row],[time]]-2)*2</f>
        <v>0.10252000000000017</v>
      </c>
      <c r="AL264">
        <v>83.061999999999998</v>
      </c>
      <c r="AM264">
        <v>17.960999999999999</v>
      </c>
      <c r="AN264">
        <f>Table817[[#This Row],[CFNM]]/Table817[[#This Row],[CAREA]]</f>
        <v>0.21623606462642361</v>
      </c>
    </row>
    <row r="265" spans="1:40" x14ac:dyDescent="0.25">
      <c r="A265">
        <v>2.1153300000000002</v>
      </c>
      <c r="B265">
        <f>(Table110[[#This Row],[time]]-2)*2</f>
        <v>0.23066000000000031</v>
      </c>
      <c r="C265">
        <v>91.082599999999999</v>
      </c>
      <c r="D265">
        <v>13.0448</v>
      </c>
      <c r="E265">
        <f>Table110[[#This Row],[CFNM]]/Table110[[#This Row],[CAREA]]</f>
        <v>0.14321945135514358</v>
      </c>
      <c r="F265">
        <v>2.1153300000000002</v>
      </c>
      <c r="G265">
        <f>(Table211[[#This Row],[time]]-2)*2</f>
        <v>0.23066000000000031</v>
      </c>
      <c r="H265">
        <v>95.257599999999996</v>
      </c>
      <c r="I265">
        <v>1.4565999999999999</v>
      </c>
      <c r="J265">
        <f>Table211[[#This Row],[CFNM]]/Table211[[#This Row],[CAREA]]</f>
        <v>1.5291168368718086E-2</v>
      </c>
      <c r="K265">
        <v>2.1153300000000002</v>
      </c>
      <c r="L265">
        <f>(Table312[[#This Row],[time]]-2)*2</f>
        <v>0.23066000000000031</v>
      </c>
      <c r="M265">
        <v>89.037099999999995</v>
      </c>
      <c r="N265">
        <v>7.1657099999999998</v>
      </c>
      <c r="O265">
        <f>Table312[[#This Row],[CFNM]]/Table312[[#This Row],[CAREA]]</f>
        <v>8.0480047081497488E-2</v>
      </c>
      <c r="P265">
        <v>2.1153300000000002</v>
      </c>
      <c r="Q265">
        <f>(Table413[[#This Row],[time]]-2)*2</f>
        <v>0.23066000000000031</v>
      </c>
      <c r="R265">
        <v>86.610500000000002</v>
      </c>
      <c r="S265">
        <v>3.5605500000000001</v>
      </c>
      <c r="T265">
        <f>Table413[[#This Row],[CFNM]]/Table413[[#This Row],[CAREA]]</f>
        <v>4.1109911615797162E-2</v>
      </c>
      <c r="U265">
        <v>2.1153300000000002</v>
      </c>
      <c r="V265">
        <f>(Table514[[#This Row],[time]]-2)*2</f>
        <v>0.23066000000000031</v>
      </c>
      <c r="W265">
        <v>83.327299999999994</v>
      </c>
      <c r="X265">
        <v>12.751200000000001</v>
      </c>
      <c r="Y265">
        <f>Table514[[#This Row],[CFNM]]/Table514[[#This Row],[CAREA]]</f>
        <v>0.15302547904468286</v>
      </c>
      <c r="Z265">
        <v>2.1153300000000002</v>
      </c>
      <c r="AA265">
        <f>(Table615[[#This Row],[time]]-2)*2</f>
        <v>0.23066000000000031</v>
      </c>
      <c r="AB265">
        <v>89.176699999999997</v>
      </c>
      <c r="AC265">
        <v>14.3832</v>
      </c>
      <c r="AD265">
        <f>Table615[[#This Row],[CFNM]]/Table615[[#This Row],[CAREA]]</f>
        <v>0.16128876713311888</v>
      </c>
      <c r="AE265">
        <v>2.1153300000000002</v>
      </c>
      <c r="AF265">
        <f>(Table716[[#This Row],[time]]-2)*2</f>
        <v>0.23066000000000031</v>
      </c>
      <c r="AG265">
        <v>78.530799999999999</v>
      </c>
      <c r="AH265">
        <v>24.4024</v>
      </c>
      <c r="AI265">
        <f>Table716[[#This Row],[CFNM]]/Table716[[#This Row],[CAREA]]</f>
        <v>0.31073667911188985</v>
      </c>
      <c r="AJ265">
        <v>2.1153300000000002</v>
      </c>
      <c r="AK265">
        <f>(Table817[[#This Row],[time]]-2)*2</f>
        <v>0.23066000000000031</v>
      </c>
      <c r="AL265">
        <v>83.161299999999997</v>
      </c>
      <c r="AM265">
        <v>16.2241</v>
      </c>
      <c r="AN265">
        <f>Table817[[#This Row],[CFNM]]/Table817[[#This Row],[CAREA]]</f>
        <v>0.19509194781707356</v>
      </c>
    </row>
    <row r="266" spans="1:40" x14ac:dyDescent="0.25">
      <c r="A266">
        <v>2.16533</v>
      </c>
      <c r="B266">
        <f>(Table110[[#This Row],[time]]-2)*2</f>
        <v>0.33065999999999995</v>
      </c>
      <c r="C266">
        <v>90.994799999999998</v>
      </c>
      <c r="D266">
        <v>14.792899999999999</v>
      </c>
      <c r="E266">
        <f>Table110[[#This Row],[CFNM]]/Table110[[#This Row],[CAREA]]</f>
        <v>0.16256863029535754</v>
      </c>
      <c r="F266">
        <v>2.16533</v>
      </c>
      <c r="G266">
        <f>(Table211[[#This Row],[time]]-2)*2</f>
        <v>0.33065999999999995</v>
      </c>
      <c r="H266">
        <v>95.04</v>
      </c>
      <c r="I266">
        <v>0.31700200000000001</v>
      </c>
      <c r="J266">
        <f>Table211[[#This Row],[CFNM]]/Table211[[#This Row],[CAREA]]</f>
        <v>3.335458754208754E-3</v>
      </c>
      <c r="K266">
        <v>2.16533</v>
      </c>
      <c r="L266">
        <f>(Table312[[#This Row],[time]]-2)*2</f>
        <v>0.33065999999999995</v>
      </c>
      <c r="M266">
        <v>88.817800000000005</v>
      </c>
      <c r="N266">
        <v>9.5318699999999996</v>
      </c>
      <c r="O266">
        <f>Table312[[#This Row],[CFNM]]/Table312[[#This Row],[CAREA]]</f>
        <v>0.10731936616308892</v>
      </c>
      <c r="P266">
        <v>2.16533</v>
      </c>
      <c r="Q266">
        <f>(Table413[[#This Row],[time]]-2)*2</f>
        <v>0.33065999999999995</v>
      </c>
      <c r="R266">
        <v>86.845200000000006</v>
      </c>
      <c r="S266">
        <v>2.0634800000000002</v>
      </c>
      <c r="T266">
        <f>Table413[[#This Row],[CFNM]]/Table413[[#This Row],[CAREA]]</f>
        <v>2.3760438112872099E-2</v>
      </c>
      <c r="U266">
        <v>2.16533</v>
      </c>
      <c r="V266">
        <f>(Table514[[#This Row],[time]]-2)*2</f>
        <v>0.33065999999999995</v>
      </c>
      <c r="W266">
        <v>82.584299999999999</v>
      </c>
      <c r="X266">
        <v>15.067600000000001</v>
      </c>
      <c r="Y266">
        <f>Table514[[#This Row],[CFNM]]/Table514[[#This Row],[CAREA]]</f>
        <v>0.18245114386148459</v>
      </c>
      <c r="Z266">
        <v>2.16533</v>
      </c>
      <c r="AA266">
        <f>(Table615[[#This Row],[time]]-2)*2</f>
        <v>0.33065999999999995</v>
      </c>
      <c r="AB266">
        <v>88.604100000000003</v>
      </c>
      <c r="AC266">
        <v>14.256</v>
      </c>
      <c r="AD266">
        <f>Table615[[#This Row],[CFNM]]/Table615[[#This Row],[CAREA]]</f>
        <v>0.16089548903493178</v>
      </c>
      <c r="AE266">
        <v>2.16533</v>
      </c>
      <c r="AF266">
        <f>(Table716[[#This Row],[time]]-2)*2</f>
        <v>0.33065999999999995</v>
      </c>
      <c r="AG266">
        <v>77.983999999999995</v>
      </c>
      <c r="AH266">
        <v>26.854199999999999</v>
      </c>
      <c r="AI266">
        <f>Table716[[#This Row],[CFNM]]/Table716[[#This Row],[CAREA]]</f>
        <v>0.34435525235945835</v>
      </c>
      <c r="AJ266">
        <v>2.16533</v>
      </c>
      <c r="AK266">
        <f>(Table817[[#This Row],[time]]-2)*2</f>
        <v>0.33065999999999995</v>
      </c>
      <c r="AL266">
        <v>83.0916</v>
      </c>
      <c r="AM266">
        <v>15.017200000000001</v>
      </c>
      <c r="AN266">
        <f>Table817[[#This Row],[CFNM]]/Table817[[#This Row],[CAREA]]</f>
        <v>0.18073066350870606</v>
      </c>
    </row>
    <row r="267" spans="1:40" x14ac:dyDescent="0.25">
      <c r="A267">
        <v>2.2246999999999999</v>
      </c>
      <c r="B267">
        <f>(Table110[[#This Row],[time]]-2)*2</f>
        <v>0.4493999999999998</v>
      </c>
      <c r="C267">
        <v>90.939899999999994</v>
      </c>
      <c r="D267">
        <v>16.046299999999999</v>
      </c>
      <c r="E267">
        <f>Table110[[#This Row],[CFNM]]/Table110[[#This Row],[CAREA]]</f>
        <v>0.17644950126402162</v>
      </c>
      <c r="F267">
        <v>2.2246999999999999</v>
      </c>
      <c r="G267">
        <f>(Table211[[#This Row],[time]]-2)*2</f>
        <v>0.4493999999999998</v>
      </c>
      <c r="H267">
        <v>94.387299999999996</v>
      </c>
      <c r="I267">
        <v>5.9985300000000002E-3</v>
      </c>
      <c r="J267">
        <f>Table211[[#This Row],[CFNM]]/Table211[[#This Row],[CAREA]]</f>
        <v>6.3552299938657005E-5</v>
      </c>
      <c r="K267">
        <v>2.2246999999999999</v>
      </c>
      <c r="L267">
        <f>(Table312[[#This Row],[time]]-2)*2</f>
        <v>0.4493999999999998</v>
      </c>
      <c r="M267">
        <v>88.343699999999998</v>
      </c>
      <c r="N267">
        <v>11.374000000000001</v>
      </c>
      <c r="O267">
        <f>Table312[[#This Row],[CFNM]]/Table312[[#This Row],[CAREA]]</f>
        <v>0.12874715457921732</v>
      </c>
      <c r="P267">
        <v>2.2246999999999999</v>
      </c>
      <c r="Q267">
        <f>(Table413[[#This Row],[time]]-2)*2</f>
        <v>0.4493999999999998</v>
      </c>
      <c r="R267">
        <v>87.038799999999995</v>
      </c>
      <c r="S267">
        <v>1.25952</v>
      </c>
      <c r="T267">
        <f>Table413[[#This Row],[CFNM]]/Table413[[#This Row],[CAREA]]</f>
        <v>1.4470787740639807E-2</v>
      </c>
      <c r="U267">
        <v>2.2246999999999999</v>
      </c>
      <c r="V267">
        <f>(Table514[[#This Row],[time]]-2)*2</f>
        <v>0.4493999999999998</v>
      </c>
      <c r="W267">
        <v>82.328800000000001</v>
      </c>
      <c r="X267">
        <v>16.747800000000002</v>
      </c>
      <c r="Y267">
        <f>Table514[[#This Row],[CFNM]]/Table514[[#This Row],[CAREA]]</f>
        <v>0.20342577567023934</v>
      </c>
      <c r="Z267">
        <v>2.2246999999999999</v>
      </c>
      <c r="AA267">
        <f>(Table615[[#This Row],[time]]-2)*2</f>
        <v>0.4493999999999998</v>
      </c>
      <c r="AB267">
        <v>88.665400000000005</v>
      </c>
      <c r="AC267">
        <v>14.212</v>
      </c>
      <c r="AD267">
        <f>Table615[[#This Row],[CFNM]]/Table615[[#This Row],[CAREA]]</f>
        <v>0.16028800411434449</v>
      </c>
      <c r="AE267">
        <v>2.2246999999999999</v>
      </c>
      <c r="AF267">
        <f>(Table716[[#This Row],[time]]-2)*2</f>
        <v>0.4493999999999998</v>
      </c>
      <c r="AG267">
        <v>77.881100000000004</v>
      </c>
      <c r="AH267">
        <v>28.741599999999998</v>
      </c>
      <c r="AI267">
        <f>Table716[[#This Row],[CFNM]]/Table716[[#This Row],[CAREA]]</f>
        <v>0.36904460774180126</v>
      </c>
      <c r="AJ267">
        <v>2.2246999999999999</v>
      </c>
      <c r="AK267">
        <f>(Table817[[#This Row],[time]]-2)*2</f>
        <v>0.4493999999999998</v>
      </c>
      <c r="AL267">
        <v>83.081599999999995</v>
      </c>
      <c r="AM267">
        <v>14.1868</v>
      </c>
      <c r="AN267">
        <f>Table817[[#This Row],[CFNM]]/Table817[[#This Row],[CAREA]]</f>
        <v>0.17075742402649927</v>
      </c>
    </row>
    <row r="268" spans="1:40" x14ac:dyDescent="0.25">
      <c r="A268">
        <v>2.2668900000000001</v>
      </c>
      <c r="B268">
        <f>(Table110[[#This Row],[time]]-2)*2</f>
        <v>0.53378000000000014</v>
      </c>
      <c r="C268">
        <v>90.841999999999999</v>
      </c>
      <c r="D268">
        <v>17.679099999999998</v>
      </c>
      <c r="E268">
        <f>Table110[[#This Row],[CFNM]]/Table110[[#This Row],[CAREA]]</f>
        <v>0.19461372492899759</v>
      </c>
      <c r="F268">
        <v>2.2668900000000001</v>
      </c>
      <c r="G268">
        <f>(Table211[[#This Row],[time]]-2)*2</f>
        <v>0.53378000000000014</v>
      </c>
      <c r="H268">
        <v>93.086600000000004</v>
      </c>
      <c r="I268">
        <v>4.8903200000000001E-3</v>
      </c>
      <c r="J268">
        <f>Table211[[#This Row],[CFNM]]/Table211[[#This Row],[CAREA]]</f>
        <v>5.2535166178590688E-5</v>
      </c>
      <c r="K268">
        <v>2.2668900000000001</v>
      </c>
      <c r="L268">
        <f>(Table312[[#This Row],[time]]-2)*2</f>
        <v>0.53378000000000014</v>
      </c>
      <c r="M268">
        <v>87.906400000000005</v>
      </c>
      <c r="N268">
        <v>13.94</v>
      </c>
      <c r="O268">
        <f>Table312[[#This Row],[CFNM]]/Table312[[#This Row],[CAREA]]</f>
        <v>0.15857775998107076</v>
      </c>
      <c r="P268">
        <v>2.2668900000000001</v>
      </c>
      <c r="Q268">
        <f>(Table413[[#This Row],[time]]-2)*2</f>
        <v>0.53378000000000014</v>
      </c>
      <c r="R268">
        <v>87.335800000000006</v>
      </c>
      <c r="S268">
        <v>0.34165899999999999</v>
      </c>
      <c r="T268">
        <f>Table413[[#This Row],[CFNM]]/Table413[[#This Row],[CAREA]]</f>
        <v>3.9120154621587024E-3</v>
      </c>
      <c r="U268">
        <v>2.2668900000000001</v>
      </c>
      <c r="V268">
        <f>(Table514[[#This Row],[time]]-2)*2</f>
        <v>0.53378000000000014</v>
      </c>
      <c r="W268">
        <v>81.703900000000004</v>
      </c>
      <c r="X268">
        <v>18.9358</v>
      </c>
      <c r="Y268">
        <f>Table514[[#This Row],[CFNM]]/Table514[[#This Row],[CAREA]]</f>
        <v>0.23176127455360146</v>
      </c>
      <c r="Z268">
        <v>2.2668900000000001</v>
      </c>
      <c r="AA268">
        <f>(Table615[[#This Row],[time]]-2)*2</f>
        <v>0.53378000000000014</v>
      </c>
      <c r="AB268">
        <v>89.101600000000005</v>
      </c>
      <c r="AC268">
        <v>14.0198</v>
      </c>
      <c r="AD268">
        <f>Table615[[#This Row],[CFNM]]/Table615[[#This Row],[CAREA]]</f>
        <v>0.15734622049435701</v>
      </c>
      <c r="AE268">
        <v>2.2668900000000001</v>
      </c>
      <c r="AF268">
        <f>(Table716[[#This Row],[time]]-2)*2</f>
        <v>0.53378000000000014</v>
      </c>
      <c r="AG268">
        <v>77.718000000000004</v>
      </c>
      <c r="AH268">
        <v>31.292300000000001</v>
      </c>
      <c r="AI268">
        <f>Table716[[#This Row],[CFNM]]/Table716[[#This Row],[CAREA]]</f>
        <v>0.40263902828173653</v>
      </c>
      <c r="AJ268">
        <v>2.2668900000000001</v>
      </c>
      <c r="AK268">
        <f>(Table817[[#This Row],[time]]-2)*2</f>
        <v>0.53378000000000014</v>
      </c>
      <c r="AL268">
        <v>82.767499999999998</v>
      </c>
      <c r="AM268">
        <v>13.271699999999999</v>
      </c>
      <c r="AN268">
        <f>Table817[[#This Row],[CFNM]]/Table817[[#This Row],[CAREA]]</f>
        <v>0.16034917087020872</v>
      </c>
    </row>
    <row r="269" spans="1:40" x14ac:dyDescent="0.25">
      <c r="A269">
        <v>2.3262700000000001</v>
      </c>
      <c r="B269">
        <f>(Table110[[#This Row],[time]]-2)*2</f>
        <v>0.65254000000000012</v>
      </c>
      <c r="C269">
        <v>90.689099999999996</v>
      </c>
      <c r="D269">
        <v>19.957699999999999</v>
      </c>
      <c r="E269">
        <f>Table110[[#This Row],[CFNM]]/Table110[[#This Row],[CAREA]]</f>
        <v>0.22006724071580819</v>
      </c>
      <c r="F269">
        <v>2.3262700000000001</v>
      </c>
      <c r="G269">
        <f>(Table211[[#This Row],[time]]-2)*2</f>
        <v>0.65254000000000012</v>
      </c>
      <c r="H269">
        <v>92.227999999999994</v>
      </c>
      <c r="I269">
        <v>4.0089599999999998E-3</v>
      </c>
      <c r="J269">
        <f>Table211[[#This Row],[CFNM]]/Table211[[#This Row],[CAREA]]</f>
        <v>4.3467927310578133E-5</v>
      </c>
      <c r="K269">
        <v>2.3262700000000001</v>
      </c>
      <c r="L269">
        <f>(Table312[[#This Row],[time]]-2)*2</f>
        <v>0.65254000000000012</v>
      </c>
      <c r="M269">
        <v>87.1785</v>
      </c>
      <c r="N269">
        <v>17.366099999999999</v>
      </c>
      <c r="O269">
        <f>Table312[[#This Row],[CFNM]]/Table312[[#This Row],[CAREA]]</f>
        <v>0.19920163801854815</v>
      </c>
      <c r="P269">
        <v>2.3262700000000001</v>
      </c>
      <c r="Q269">
        <f>(Table413[[#This Row],[time]]-2)*2</f>
        <v>0.65254000000000012</v>
      </c>
      <c r="R269">
        <v>87.348699999999994</v>
      </c>
      <c r="S269">
        <v>4.77788E-3</v>
      </c>
      <c r="T269">
        <f>Table413[[#This Row],[CFNM]]/Table413[[#This Row],[CAREA]]</f>
        <v>5.4698925112795042E-5</v>
      </c>
      <c r="U269">
        <v>2.3262700000000001</v>
      </c>
      <c r="V269">
        <f>(Table514[[#This Row],[time]]-2)*2</f>
        <v>0.65254000000000012</v>
      </c>
      <c r="W269">
        <v>80.733999999999995</v>
      </c>
      <c r="X269">
        <v>22.032599999999999</v>
      </c>
      <c r="Y269">
        <f>Table514[[#This Row],[CFNM]]/Table514[[#This Row],[CAREA]]</f>
        <v>0.27290360938390268</v>
      </c>
      <c r="Z269">
        <v>2.3262700000000001</v>
      </c>
      <c r="AA269">
        <f>(Table615[[#This Row],[time]]-2)*2</f>
        <v>0.65254000000000012</v>
      </c>
      <c r="AB269">
        <v>91.670500000000004</v>
      </c>
      <c r="AC269">
        <v>13.4968</v>
      </c>
      <c r="AD269">
        <f>Table615[[#This Row],[CFNM]]/Table615[[#This Row],[CAREA]]</f>
        <v>0.14723166122143982</v>
      </c>
      <c r="AE269">
        <v>2.3262700000000001</v>
      </c>
      <c r="AF269">
        <f>(Table716[[#This Row],[time]]-2)*2</f>
        <v>0.65254000000000012</v>
      </c>
      <c r="AG269">
        <v>77.728099999999998</v>
      </c>
      <c r="AH269">
        <v>34.576000000000001</v>
      </c>
      <c r="AI269">
        <f>Table716[[#This Row],[CFNM]]/Table716[[#This Row],[CAREA]]</f>
        <v>0.44483269242397538</v>
      </c>
      <c r="AJ269">
        <v>2.3262700000000001</v>
      </c>
      <c r="AK269">
        <f>(Table817[[#This Row],[time]]-2)*2</f>
        <v>0.65254000000000012</v>
      </c>
      <c r="AL269">
        <v>82.130600000000001</v>
      </c>
      <c r="AM269">
        <v>12.3672</v>
      </c>
      <c r="AN269">
        <f>Table817[[#This Row],[CFNM]]/Table817[[#This Row],[CAREA]]</f>
        <v>0.1505796864993072</v>
      </c>
    </row>
    <row r="270" spans="1:40" x14ac:dyDescent="0.25">
      <c r="A270">
        <v>2.3684599999999998</v>
      </c>
      <c r="B270">
        <f>(Table110[[#This Row],[time]]-2)*2</f>
        <v>0.73691999999999958</v>
      </c>
      <c r="C270">
        <v>90.625299999999996</v>
      </c>
      <c r="D270">
        <v>21.764700000000001</v>
      </c>
      <c r="E270">
        <f>Table110[[#This Row],[CFNM]]/Table110[[#This Row],[CAREA]]</f>
        <v>0.24016141187946416</v>
      </c>
      <c r="F270">
        <v>2.3684599999999998</v>
      </c>
      <c r="G270">
        <f>(Table211[[#This Row],[time]]-2)*2</f>
        <v>0.73691999999999958</v>
      </c>
      <c r="H270">
        <v>89.720100000000002</v>
      </c>
      <c r="I270">
        <v>3.46818E-3</v>
      </c>
      <c r="J270">
        <f>Table211[[#This Row],[CFNM]]/Table211[[#This Row],[CAREA]]</f>
        <v>3.8655552100365468E-5</v>
      </c>
      <c r="K270">
        <v>2.3684599999999998</v>
      </c>
      <c r="L270">
        <f>(Table312[[#This Row],[time]]-2)*2</f>
        <v>0.73691999999999958</v>
      </c>
      <c r="M270">
        <v>86.394800000000004</v>
      </c>
      <c r="N270">
        <v>19.936800000000002</v>
      </c>
      <c r="O270">
        <f>Table312[[#This Row],[CFNM]]/Table312[[#This Row],[CAREA]]</f>
        <v>0.23076388856736749</v>
      </c>
      <c r="P270">
        <v>2.3684599999999998</v>
      </c>
      <c r="Q270">
        <f>(Table413[[#This Row],[time]]-2)*2</f>
        <v>0.73691999999999958</v>
      </c>
      <c r="R270">
        <v>87.797499999999999</v>
      </c>
      <c r="S270">
        <v>4.1599999999999996E-3</v>
      </c>
      <c r="T270">
        <f>Table413[[#This Row],[CFNM]]/Table413[[#This Row],[CAREA]]</f>
        <v>4.7381759161707333E-5</v>
      </c>
      <c r="U270">
        <v>2.3684599999999998</v>
      </c>
      <c r="V270">
        <f>(Table514[[#This Row],[time]]-2)*2</f>
        <v>0.73691999999999958</v>
      </c>
      <c r="W270">
        <v>77.899500000000003</v>
      </c>
      <c r="X270">
        <v>24.1296</v>
      </c>
      <c r="Y270">
        <f>Table514[[#This Row],[CFNM]]/Table514[[#This Row],[CAREA]]</f>
        <v>0.30975295091752836</v>
      </c>
      <c r="Z270">
        <v>2.3684599999999998</v>
      </c>
      <c r="AA270">
        <f>(Table615[[#This Row],[time]]-2)*2</f>
        <v>0.73691999999999958</v>
      </c>
      <c r="AB270">
        <v>91.418899999999994</v>
      </c>
      <c r="AC270">
        <v>12.6937</v>
      </c>
      <c r="AD270">
        <f>Table615[[#This Row],[CFNM]]/Table615[[#This Row],[CAREA]]</f>
        <v>0.13885203169147736</v>
      </c>
      <c r="AE270">
        <v>2.3684599999999998</v>
      </c>
      <c r="AF270">
        <f>(Table716[[#This Row],[time]]-2)*2</f>
        <v>0.73691999999999958</v>
      </c>
      <c r="AG270">
        <v>77.732299999999995</v>
      </c>
      <c r="AH270">
        <v>36.746400000000001</v>
      </c>
      <c r="AI270">
        <f>Table716[[#This Row],[CFNM]]/Table716[[#This Row],[CAREA]]</f>
        <v>0.47273012634387512</v>
      </c>
      <c r="AJ270">
        <v>2.3684599999999998</v>
      </c>
      <c r="AK270">
        <f>(Table817[[#This Row],[time]]-2)*2</f>
        <v>0.73691999999999958</v>
      </c>
      <c r="AL270">
        <v>81.686599999999999</v>
      </c>
      <c r="AM270">
        <v>11.856</v>
      </c>
      <c r="AN270">
        <f>Table817[[#This Row],[CFNM]]/Table817[[#This Row],[CAREA]]</f>
        <v>0.14514008417537272</v>
      </c>
    </row>
    <row r="271" spans="1:40" x14ac:dyDescent="0.25">
      <c r="A271">
        <v>2.4278300000000002</v>
      </c>
      <c r="B271">
        <f>(Table110[[#This Row],[time]]-2)*2</f>
        <v>0.85566000000000031</v>
      </c>
      <c r="C271">
        <v>90.345200000000006</v>
      </c>
      <c r="D271">
        <v>24.4101</v>
      </c>
      <c r="E271">
        <f>Table110[[#This Row],[CFNM]]/Table110[[#This Row],[CAREA]]</f>
        <v>0.27018701602298739</v>
      </c>
      <c r="F271">
        <v>2.4278300000000002</v>
      </c>
      <c r="G271">
        <f>(Table211[[#This Row],[time]]-2)*2</f>
        <v>0.85566000000000031</v>
      </c>
      <c r="H271">
        <v>84.857699999999994</v>
      </c>
      <c r="I271">
        <v>2.7913500000000002E-3</v>
      </c>
      <c r="J271">
        <f>Table211[[#This Row],[CFNM]]/Table211[[#This Row],[CAREA]]</f>
        <v>3.2894480995831849E-5</v>
      </c>
      <c r="K271">
        <v>2.4278300000000002</v>
      </c>
      <c r="L271">
        <f>(Table312[[#This Row],[time]]-2)*2</f>
        <v>0.85566000000000031</v>
      </c>
      <c r="M271">
        <v>85.479900000000001</v>
      </c>
      <c r="N271">
        <v>23.892499999999998</v>
      </c>
      <c r="O271">
        <f>Table312[[#This Row],[CFNM]]/Table312[[#This Row],[CAREA]]</f>
        <v>0.27951015384903349</v>
      </c>
      <c r="P271">
        <v>2.4278300000000002</v>
      </c>
      <c r="Q271">
        <f>(Table413[[#This Row],[time]]-2)*2</f>
        <v>0.85566000000000031</v>
      </c>
      <c r="R271">
        <v>86.767200000000003</v>
      </c>
      <c r="S271">
        <v>3.28058E-3</v>
      </c>
      <c r="T271">
        <f>Table413[[#This Row],[CFNM]]/Table413[[#This Row],[CAREA]]</f>
        <v>3.7808987728081577E-5</v>
      </c>
      <c r="U271">
        <v>2.4278300000000002</v>
      </c>
      <c r="V271">
        <f>(Table514[[#This Row],[time]]-2)*2</f>
        <v>0.85566000000000031</v>
      </c>
      <c r="W271">
        <v>76.163399999999996</v>
      </c>
      <c r="X271">
        <v>27.013200000000001</v>
      </c>
      <c r="Y271">
        <f>Table514[[#This Row],[CFNM]]/Table514[[#This Row],[CAREA]]</f>
        <v>0.35467429237665338</v>
      </c>
      <c r="Z271">
        <v>2.4278300000000002</v>
      </c>
      <c r="AA271">
        <f>(Table615[[#This Row],[time]]-2)*2</f>
        <v>0.85566000000000031</v>
      </c>
      <c r="AB271">
        <v>90.937100000000001</v>
      </c>
      <c r="AC271">
        <v>11.400399999999999</v>
      </c>
      <c r="AD271">
        <f>Table615[[#This Row],[CFNM]]/Table615[[#This Row],[CAREA]]</f>
        <v>0.12536577480478264</v>
      </c>
      <c r="AE271">
        <v>2.4278300000000002</v>
      </c>
      <c r="AF271">
        <f>(Table716[[#This Row],[time]]-2)*2</f>
        <v>0.85566000000000031</v>
      </c>
      <c r="AG271">
        <v>77.708799999999997</v>
      </c>
      <c r="AH271">
        <v>39.65</v>
      </c>
      <c r="AI271">
        <f>Table716[[#This Row],[CFNM]]/Table716[[#This Row],[CAREA]]</f>
        <v>0.51023822269807284</v>
      </c>
      <c r="AJ271">
        <v>2.4278300000000002</v>
      </c>
      <c r="AK271">
        <f>(Table817[[#This Row],[time]]-2)*2</f>
        <v>0.85566000000000031</v>
      </c>
      <c r="AL271">
        <v>81.1357</v>
      </c>
      <c r="AM271">
        <v>11.1142</v>
      </c>
      <c r="AN271">
        <f>Table817[[#This Row],[CFNM]]/Table817[[#This Row],[CAREA]]</f>
        <v>0.13698285711468564</v>
      </c>
    </row>
    <row r="272" spans="1:40" x14ac:dyDescent="0.25">
      <c r="A272">
        <v>2.4542000000000002</v>
      </c>
      <c r="B272">
        <f>(Table110[[#This Row],[time]]-2)*2</f>
        <v>0.90840000000000032</v>
      </c>
      <c r="C272">
        <v>90.074700000000007</v>
      </c>
      <c r="D272">
        <v>27.1632</v>
      </c>
      <c r="E272">
        <f>Table110[[#This Row],[CFNM]]/Table110[[#This Row],[CAREA]]</f>
        <v>0.30156303601344214</v>
      </c>
      <c r="F272">
        <v>2.4542000000000002</v>
      </c>
      <c r="G272">
        <f>(Table211[[#This Row],[time]]-2)*2</f>
        <v>0.90840000000000032</v>
      </c>
      <c r="H272">
        <v>71.110799999999998</v>
      </c>
      <c r="I272">
        <v>2.1483700000000001E-3</v>
      </c>
      <c r="J272">
        <f>Table211[[#This Row],[CFNM]]/Table211[[#This Row],[CAREA]]</f>
        <v>3.0211585300685695E-5</v>
      </c>
      <c r="K272">
        <v>2.4542000000000002</v>
      </c>
      <c r="L272">
        <f>(Table312[[#This Row],[time]]-2)*2</f>
        <v>0.90840000000000032</v>
      </c>
      <c r="M272">
        <v>84.673199999999994</v>
      </c>
      <c r="N272">
        <v>27.299099999999999</v>
      </c>
      <c r="O272">
        <f>Table312[[#This Row],[CFNM]]/Table312[[#This Row],[CAREA]]</f>
        <v>0.32240543643088959</v>
      </c>
      <c r="P272">
        <v>2.4542000000000002</v>
      </c>
      <c r="Q272">
        <f>(Table413[[#This Row],[time]]-2)*2</f>
        <v>0.90840000000000032</v>
      </c>
      <c r="R272">
        <v>86.118399999999994</v>
      </c>
      <c r="S272">
        <v>2.7142999999999998E-3</v>
      </c>
      <c r="T272">
        <f>Table413[[#This Row],[CFNM]]/Table413[[#This Row],[CAREA]]</f>
        <v>3.1518235359690842E-5</v>
      </c>
      <c r="U272">
        <v>2.4542000000000002</v>
      </c>
      <c r="V272">
        <f>(Table514[[#This Row],[time]]-2)*2</f>
        <v>0.90840000000000032</v>
      </c>
      <c r="W272">
        <v>74.502099999999999</v>
      </c>
      <c r="X272">
        <v>29.976400000000002</v>
      </c>
      <c r="Y272">
        <f>Table514[[#This Row],[CFNM]]/Table514[[#This Row],[CAREA]]</f>
        <v>0.40235644364387047</v>
      </c>
      <c r="Z272">
        <v>2.4542000000000002</v>
      </c>
      <c r="AA272">
        <f>(Table615[[#This Row],[time]]-2)*2</f>
        <v>0.90840000000000032</v>
      </c>
      <c r="AB272">
        <v>91.859899999999996</v>
      </c>
      <c r="AC272">
        <v>9.5943100000000001</v>
      </c>
      <c r="AD272">
        <f>Table615[[#This Row],[CFNM]]/Table615[[#This Row],[CAREA]]</f>
        <v>0.10444502987701924</v>
      </c>
      <c r="AE272">
        <v>2.4542000000000002</v>
      </c>
      <c r="AF272">
        <f>(Table716[[#This Row],[time]]-2)*2</f>
        <v>0.90840000000000032</v>
      </c>
      <c r="AG272">
        <v>77.641599999999997</v>
      </c>
      <c r="AH272">
        <v>42.5306</v>
      </c>
      <c r="AI272">
        <f>Table716[[#This Row],[CFNM]]/Table716[[#This Row],[CAREA]]</f>
        <v>0.54778108642789436</v>
      </c>
      <c r="AJ272">
        <v>2.4542000000000002</v>
      </c>
      <c r="AK272">
        <f>(Table817[[#This Row],[time]]-2)*2</f>
        <v>0.90840000000000032</v>
      </c>
      <c r="AL272">
        <v>80.717699999999994</v>
      </c>
      <c r="AM272">
        <v>10.450100000000001</v>
      </c>
      <c r="AN272">
        <f>Table817[[#This Row],[CFNM]]/Table817[[#This Row],[CAREA]]</f>
        <v>0.12946478901157987</v>
      </c>
    </row>
    <row r="273" spans="1:40" x14ac:dyDescent="0.25">
      <c r="A273">
        <v>2.5061499999999999</v>
      </c>
      <c r="B273">
        <f>(Table110[[#This Row],[time]]-2)*2</f>
        <v>1.0122999999999998</v>
      </c>
      <c r="C273">
        <v>89.484899999999996</v>
      </c>
      <c r="D273">
        <v>30.121300000000002</v>
      </c>
      <c r="E273">
        <f>Table110[[#This Row],[CFNM]]/Table110[[#This Row],[CAREA]]</f>
        <v>0.33660762877312267</v>
      </c>
      <c r="F273">
        <v>2.5061499999999999</v>
      </c>
      <c r="G273">
        <f>(Table211[[#This Row],[time]]-2)*2</f>
        <v>1.0122999999999998</v>
      </c>
      <c r="H273">
        <v>61.397399999999998</v>
      </c>
      <c r="I273">
        <v>1.6528000000000001E-3</v>
      </c>
      <c r="J273">
        <f>Table211[[#This Row],[CFNM]]/Table211[[#This Row],[CAREA]]</f>
        <v>2.6919706697677754E-5</v>
      </c>
      <c r="K273">
        <v>2.5061499999999999</v>
      </c>
      <c r="L273">
        <f>(Table312[[#This Row],[time]]-2)*2</f>
        <v>1.0122999999999998</v>
      </c>
      <c r="M273">
        <v>83.8352</v>
      </c>
      <c r="N273">
        <v>30.526900000000001</v>
      </c>
      <c r="O273">
        <f>Table312[[#This Row],[CFNM]]/Table312[[#This Row],[CAREA]]</f>
        <v>0.36412986430520833</v>
      </c>
      <c r="P273">
        <v>2.5061499999999999</v>
      </c>
      <c r="Q273">
        <f>(Table413[[#This Row],[time]]-2)*2</f>
        <v>1.0122999999999998</v>
      </c>
      <c r="R273">
        <v>82.970699999999994</v>
      </c>
      <c r="S273">
        <v>2.2348699999999999E-3</v>
      </c>
      <c r="T273">
        <f>Table413[[#This Row],[CFNM]]/Table413[[#This Row],[CAREA]]</f>
        <v>2.6935653188414705E-5</v>
      </c>
      <c r="U273">
        <v>2.5061499999999999</v>
      </c>
      <c r="V273">
        <f>(Table514[[#This Row],[time]]-2)*2</f>
        <v>1.0122999999999998</v>
      </c>
      <c r="W273">
        <v>73.133399999999995</v>
      </c>
      <c r="X273">
        <v>32.9465</v>
      </c>
      <c r="Y273">
        <f>Table514[[#This Row],[CFNM]]/Table514[[#This Row],[CAREA]]</f>
        <v>0.45049867775872587</v>
      </c>
      <c r="Z273">
        <v>2.5061499999999999</v>
      </c>
      <c r="AA273">
        <f>(Table615[[#This Row],[time]]-2)*2</f>
        <v>1.0122999999999998</v>
      </c>
      <c r="AB273">
        <v>91.854600000000005</v>
      </c>
      <c r="AC273">
        <v>7.9398200000000001</v>
      </c>
      <c r="AD273">
        <f>Table615[[#This Row],[CFNM]]/Table615[[#This Row],[CAREA]]</f>
        <v>8.6439002510489402E-2</v>
      </c>
      <c r="AE273">
        <v>2.5061499999999999</v>
      </c>
      <c r="AF273">
        <f>(Table716[[#This Row],[time]]-2)*2</f>
        <v>1.0122999999999998</v>
      </c>
      <c r="AG273">
        <v>77.522000000000006</v>
      </c>
      <c r="AH273">
        <v>45.390900000000002</v>
      </c>
      <c r="AI273">
        <f>Table716[[#This Row],[CFNM]]/Table716[[#This Row],[CAREA]]</f>
        <v>0.58552281932870665</v>
      </c>
      <c r="AJ273">
        <v>2.5061499999999999</v>
      </c>
      <c r="AK273">
        <f>(Table817[[#This Row],[time]]-2)*2</f>
        <v>1.0122999999999998</v>
      </c>
      <c r="AL273">
        <v>80.248699999999999</v>
      </c>
      <c r="AM273">
        <v>9.8703400000000006</v>
      </c>
      <c r="AN273">
        <f>Table817[[#This Row],[CFNM]]/Table817[[#This Row],[CAREA]]</f>
        <v>0.12299688343861023</v>
      </c>
    </row>
    <row r="274" spans="1:40" x14ac:dyDescent="0.25">
      <c r="A274">
        <v>2.5507599999999999</v>
      </c>
      <c r="B274">
        <f>(Table110[[#This Row],[time]]-2)*2</f>
        <v>1.1015199999999998</v>
      </c>
      <c r="C274">
        <v>88.871600000000001</v>
      </c>
      <c r="D274">
        <v>33.427199999999999</v>
      </c>
      <c r="E274">
        <f>Table110[[#This Row],[CFNM]]/Table110[[#This Row],[CAREA]]</f>
        <v>0.37612915712106004</v>
      </c>
      <c r="F274">
        <v>2.5507599999999999</v>
      </c>
      <c r="G274">
        <f>(Table211[[#This Row],[time]]-2)*2</f>
        <v>1.1015199999999998</v>
      </c>
      <c r="H274">
        <v>54.386699999999998</v>
      </c>
      <c r="I274">
        <v>1.23058E-3</v>
      </c>
      <c r="J274">
        <f>Table211[[#This Row],[CFNM]]/Table211[[#This Row],[CAREA]]</f>
        <v>2.2626487725859448E-5</v>
      </c>
      <c r="K274">
        <v>2.5507599999999999</v>
      </c>
      <c r="L274">
        <f>(Table312[[#This Row],[time]]-2)*2</f>
        <v>1.1015199999999998</v>
      </c>
      <c r="M274">
        <v>83.172499999999999</v>
      </c>
      <c r="N274">
        <v>33.925199999999997</v>
      </c>
      <c r="O274">
        <f>Table312[[#This Row],[CFNM]]/Table312[[#This Row],[CAREA]]</f>
        <v>0.40788962698007147</v>
      </c>
      <c r="P274">
        <v>2.5507599999999999</v>
      </c>
      <c r="Q274">
        <f>(Table413[[#This Row],[time]]-2)*2</f>
        <v>1.1015199999999998</v>
      </c>
      <c r="R274">
        <v>77.563699999999997</v>
      </c>
      <c r="S274">
        <v>1.7672E-3</v>
      </c>
      <c r="T274">
        <f>Table413[[#This Row],[CFNM]]/Table413[[#This Row],[CAREA]]</f>
        <v>2.2783853787274202E-5</v>
      </c>
      <c r="U274">
        <v>2.5507599999999999</v>
      </c>
      <c r="V274">
        <f>(Table514[[#This Row],[time]]-2)*2</f>
        <v>1.1015199999999998</v>
      </c>
      <c r="W274">
        <v>70.839799999999997</v>
      </c>
      <c r="X274">
        <v>36.218800000000002</v>
      </c>
      <c r="Y274">
        <f>Table514[[#This Row],[CFNM]]/Table514[[#This Row],[CAREA]]</f>
        <v>0.51127755866052704</v>
      </c>
      <c r="Z274">
        <v>2.5507599999999999</v>
      </c>
      <c r="AA274">
        <f>(Table615[[#This Row],[time]]-2)*2</f>
        <v>1.1015199999999998</v>
      </c>
      <c r="AB274">
        <v>92.006799999999998</v>
      </c>
      <c r="AC274">
        <v>6.4231600000000002</v>
      </c>
      <c r="AD274">
        <f>Table615[[#This Row],[CFNM]]/Table615[[#This Row],[CAREA]]</f>
        <v>6.9811796519387695E-2</v>
      </c>
      <c r="AE274">
        <v>2.5507599999999999</v>
      </c>
      <c r="AF274">
        <f>(Table716[[#This Row],[time]]-2)*2</f>
        <v>1.1015199999999998</v>
      </c>
      <c r="AG274">
        <v>77.242900000000006</v>
      </c>
      <c r="AH274">
        <v>48.420999999999999</v>
      </c>
      <c r="AI274">
        <f>Table716[[#This Row],[CFNM]]/Table716[[#This Row],[CAREA]]</f>
        <v>0.62686667641945082</v>
      </c>
      <c r="AJ274">
        <v>2.5507599999999999</v>
      </c>
      <c r="AK274">
        <f>(Table817[[#This Row],[time]]-2)*2</f>
        <v>1.1015199999999998</v>
      </c>
      <c r="AL274">
        <v>79.694000000000003</v>
      </c>
      <c r="AM274">
        <v>9.1341699999999992</v>
      </c>
      <c r="AN274">
        <f>Table817[[#This Row],[CFNM]]/Table817[[#This Row],[CAREA]]</f>
        <v>0.11461552939995481</v>
      </c>
    </row>
    <row r="275" spans="1:40" x14ac:dyDescent="0.25">
      <c r="A275">
        <v>2.60453</v>
      </c>
      <c r="B275">
        <f>(Table110[[#This Row],[time]]-2)*2</f>
        <v>1.20906</v>
      </c>
      <c r="C275">
        <v>88.0411</v>
      </c>
      <c r="D275">
        <v>36.485399999999998</v>
      </c>
      <c r="E275">
        <f>Table110[[#This Row],[CFNM]]/Table110[[#This Row],[CAREA]]</f>
        <v>0.41441326834853265</v>
      </c>
      <c r="F275">
        <v>2.60453</v>
      </c>
      <c r="G275">
        <f>(Table211[[#This Row],[time]]-2)*2</f>
        <v>1.20906</v>
      </c>
      <c r="H275">
        <v>48.217500000000001</v>
      </c>
      <c r="I275">
        <v>9.4081199999999996E-4</v>
      </c>
      <c r="J275">
        <f>Table211[[#This Row],[CFNM]]/Table211[[#This Row],[CAREA]]</f>
        <v>1.9511836988645201E-5</v>
      </c>
      <c r="K275">
        <v>2.60453</v>
      </c>
      <c r="L275">
        <f>(Table312[[#This Row],[time]]-2)*2</f>
        <v>1.20906</v>
      </c>
      <c r="M275">
        <v>82.569699999999997</v>
      </c>
      <c r="N275">
        <v>36.803199999999997</v>
      </c>
      <c r="O275">
        <f>Table312[[#This Row],[CFNM]]/Table312[[#This Row],[CAREA]]</f>
        <v>0.44572282568545118</v>
      </c>
      <c r="P275">
        <v>2.60453</v>
      </c>
      <c r="Q275">
        <f>(Table413[[#This Row],[time]]-2)*2</f>
        <v>1.20906</v>
      </c>
      <c r="R275">
        <v>72.090500000000006</v>
      </c>
      <c r="S275">
        <v>1.4658099999999999E-3</v>
      </c>
      <c r="T275">
        <f>Table413[[#This Row],[CFNM]]/Table413[[#This Row],[CAREA]]</f>
        <v>2.0332914877827174E-5</v>
      </c>
      <c r="U275">
        <v>2.60453</v>
      </c>
      <c r="V275">
        <f>(Table514[[#This Row],[time]]-2)*2</f>
        <v>1.20906</v>
      </c>
      <c r="W275">
        <v>69.501800000000003</v>
      </c>
      <c r="X275">
        <v>39.174700000000001</v>
      </c>
      <c r="Y275">
        <f>Table514[[#This Row],[CFNM]]/Table514[[#This Row],[CAREA]]</f>
        <v>0.56365015006805574</v>
      </c>
      <c r="Z275">
        <v>2.60453</v>
      </c>
      <c r="AA275">
        <f>(Table615[[#This Row],[time]]-2)*2</f>
        <v>1.20906</v>
      </c>
      <c r="AB275">
        <v>91.379000000000005</v>
      </c>
      <c r="AC275">
        <v>5.4581799999999996</v>
      </c>
      <c r="AD275">
        <f>Table615[[#This Row],[CFNM]]/Table615[[#This Row],[CAREA]]</f>
        <v>5.9731229275873002E-2</v>
      </c>
      <c r="AE275">
        <v>2.60453</v>
      </c>
      <c r="AF275">
        <f>(Table716[[#This Row],[time]]-2)*2</f>
        <v>1.20906</v>
      </c>
      <c r="AG275">
        <v>77.199299999999994</v>
      </c>
      <c r="AH275">
        <v>50.995100000000001</v>
      </c>
      <c r="AI275">
        <f>Table716[[#This Row],[CFNM]]/Table716[[#This Row],[CAREA]]</f>
        <v>0.66056427972792509</v>
      </c>
      <c r="AJ275">
        <v>2.60453</v>
      </c>
      <c r="AK275">
        <f>(Table817[[#This Row],[time]]-2)*2</f>
        <v>1.20906</v>
      </c>
      <c r="AL275">
        <v>79.206699999999998</v>
      </c>
      <c r="AM275">
        <v>8.4611800000000006</v>
      </c>
      <c r="AN275">
        <f>Table817[[#This Row],[CFNM]]/Table817[[#This Row],[CAREA]]</f>
        <v>0.10682404392557701</v>
      </c>
    </row>
    <row r="276" spans="1:40" x14ac:dyDescent="0.25">
      <c r="A276">
        <v>2.65273</v>
      </c>
      <c r="B276">
        <f>(Table110[[#This Row],[time]]-2)*2</f>
        <v>1.3054600000000001</v>
      </c>
      <c r="C276">
        <v>86.884399999999999</v>
      </c>
      <c r="D276">
        <v>40.450800000000001</v>
      </c>
      <c r="E276">
        <f>Table110[[#This Row],[CFNM]]/Table110[[#This Row],[CAREA]]</f>
        <v>0.46557034404334957</v>
      </c>
      <c r="F276">
        <v>2.65273</v>
      </c>
      <c r="G276">
        <f>(Table211[[#This Row],[time]]-2)*2</f>
        <v>1.3054600000000001</v>
      </c>
      <c r="H276">
        <v>39.661299999999997</v>
      </c>
      <c r="I276">
        <v>6.7470599999999996E-4</v>
      </c>
      <c r="J276">
        <f>Table211[[#This Row],[CFNM]]/Table211[[#This Row],[CAREA]]</f>
        <v>1.7011696540456315E-5</v>
      </c>
      <c r="K276">
        <v>2.65273</v>
      </c>
      <c r="L276">
        <f>(Table312[[#This Row],[time]]-2)*2</f>
        <v>1.3054600000000001</v>
      </c>
      <c r="M276">
        <v>82.001900000000006</v>
      </c>
      <c r="N276">
        <v>40.043100000000003</v>
      </c>
      <c r="O276">
        <f>Table312[[#This Row],[CFNM]]/Table312[[#This Row],[CAREA]]</f>
        <v>0.4883191730923308</v>
      </c>
      <c r="P276">
        <v>2.65273</v>
      </c>
      <c r="Q276">
        <f>(Table413[[#This Row],[time]]-2)*2</f>
        <v>1.3054600000000001</v>
      </c>
      <c r="R276">
        <v>63.097999999999999</v>
      </c>
      <c r="S276">
        <v>1.18066E-3</v>
      </c>
      <c r="T276">
        <f>Table413[[#This Row],[CFNM]]/Table413[[#This Row],[CAREA]]</f>
        <v>1.871152809914736E-5</v>
      </c>
      <c r="U276">
        <v>2.65273</v>
      </c>
      <c r="V276">
        <f>(Table514[[#This Row],[time]]-2)*2</f>
        <v>1.3054600000000001</v>
      </c>
      <c r="W276">
        <v>68.684100000000001</v>
      </c>
      <c r="X276">
        <v>42.5931</v>
      </c>
      <c r="Y276">
        <f>Table514[[#This Row],[CFNM]]/Table514[[#This Row],[CAREA]]</f>
        <v>0.62013042319838219</v>
      </c>
      <c r="Z276">
        <v>2.65273</v>
      </c>
      <c r="AA276">
        <f>(Table615[[#This Row],[time]]-2)*2</f>
        <v>1.3054600000000001</v>
      </c>
      <c r="AB276">
        <v>90.9178</v>
      </c>
      <c r="AC276">
        <v>4.6184599999999998</v>
      </c>
      <c r="AD276">
        <f>Table615[[#This Row],[CFNM]]/Table615[[#This Row],[CAREA]]</f>
        <v>5.0798193533059532E-2</v>
      </c>
      <c r="AE276">
        <v>2.65273</v>
      </c>
      <c r="AF276">
        <f>(Table716[[#This Row],[time]]-2)*2</f>
        <v>1.3054600000000001</v>
      </c>
      <c r="AG276">
        <v>77.225499999999997</v>
      </c>
      <c r="AH276">
        <v>54.065399999999997</v>
      </c>
      <c r="AI276">
        <f>Table716[[#This Row],[CFNM]]/Table716[[#This Row],[CAREA]]</f>
        <v>0.70009776563440829</v>
      </c>
      <c r="AJ276">
        <v>2.65273</v>
      </c>
      <c r="AK276">
        <f>(Table817[[#This Row],[time]]-2)*2</f>
        <v>1.3054600000000001</v>
      </c>
      <c r="AL276">
        <v>78.372299999999996</v>
      </c>
      <c r="AM276">
        <v>7.6952600000000002</v>
      </c>
      <c r="AN276">
        <f>Table817[[#This Row],[CFNM]]/Table817[[#This Row],[CAREA]]</f>
        <v>9.8188518137147948E-2</v>
      </c>
    </row>
    <row r="277" spans="1:40" x14ac:dyDescent="0.25">
      <c r="A277">
        <v>2.7006199999999998</v>
      </c>
      <c r="B277">
        <f>(Table110[[#This Row],[time]]-2)*2</f>
        <v>1.4012399999999996</v>
      </c>
      <c r="C277">
        <v>84.787599999999998</v>
      </c>
      <c r="D277">
        <v>44.480600000000003</v>
      </c>
      <c r="E277">
        <f>Table110[[#This Row],[CFNM]]/Table110[[#This Row],[CAREA]]</f>
        <v>0.5246120895036539</v>
      </c>
      <c r="F277">
        <v>2.7006199999999998</v>
      </c>
      <c r="G277">
        <f>(Table211[[#This Row],[time]]-2)*2</f>
        <v>1.4012399999999996</v>
      </c>
      <c r="H277">
        <v>32.932099999999998</v>
      </c>
      <c r="I277">
        <v>4.7141799999999998E-4</v>
      </c>
      <c r="J277">
        <f>Table211[[#This Row],[CFNM]]/Table211[[#This Row],[CAREA]]</f>
        <v>1.4314847823248441E-5</v>
      </c>
      <c r="K277">
        <v>2.7006199999999998</v>
      </c>
      <c r="L277">
        <f>(Table312[[#This Row],[time]]-2)*2</f>
        <v>1.4012399999999996</v>
      </c>
      <c r="M277">
        <v>81.332099999999997</v>
      </c>
      <c r="N277">
        <v>43.165599999999998</v>
      </c>
      <c r="O277">
        <f>Table312[[#This Row],[CFNM]]/Table312[[#This Row],[CAREA]]</f>
        <v>0.53073263815885729</v>
      </c>
      <c r="P277">
        <v>2.7006199999999998</v>
      </c>
      <c r="Q277">
        <f>(Table413[[#This Row],[time]]-2)*2</f>
        <v>1.4012399999999996</v>
      </c>
      <c r="R277">
        <v>51.148200000000003</v>
      </c>
      <c r="S277">
        <v>9.5140199999999996E-4</v>
      </c>
      <c r="T277">
        <f>Table413[[#This Row],[CFNM]]/Table413[[#This Row],[CAREA]]</f>
        <v>1.8600889180850936E-5</v>
      </c>
      <c r="U277">
        <v>2.7006199999999998</v>
      </c>
      <c r="V277">
        <f>(Table514[[#This Row],[time]]-2)*2</f>
        <v>1.4012399999999996</v>
      </c>
      <c r="W277">
        <v>67.777299999999997</v>
      </c>
      <c r="X277">
        <v>45.9848</v>
      </c>
      <c r="Y277">
        <f>Table514[[#This Row],[CFNM]]/Table514[[#This Row],[CAREA]]</f>
        <v>0.67846904494572668</v>
      </c>
      <c r="Z277">
        <v>2.7006199999999998</v>
      </c>
      <c r="AA277">
        <f>(Table615[[#This Row],[time]]-2)*2</f>
        <v>1.4012399999999996</v>
      </c>
      <c r="AB277">
        <v>90.324100000000001</v>
      </c>
      <c r="AC277">
        <v>3.88897</v>
      </c>
      <c r="AD277">
        <f>Table615[[#This Row],[CFNM]]/Table615[[#This Row],[CAREA]]</f>
        <v>4.3055729312553352E-2</v>
      </c>
      <c r="AE277">
        <v>2.7006199999999998</v>
      </c>
      <c r="AF277">
        <f>(Table716[[#This Row],[time]]-2)*2</f>
        <v>1.4012399999999996</v>
      </c>
      <c r="AG277">
        <v>77.061999999999998</v>
      </c>
      <c r="AH277">
        <v>57.255099999999999</v>
      </c>
      <c r="AI277">
        <f>Table716[[#This Row],[CFNM]]/Table716[[#This Row],[CAREA]]</f>
        <v>0.74297448807453736</v>
      </c>
      <c r="AJ277">
        <v>2.7006199999999998</v>
      </c>
      <c r="AK277">
        <f>(Table817[[#This Row],[time]]-2)*2</f>
        <v>1.4012399999999996</v>
      </c>
      <c r="AL277">
        <v>77.629499999999993</v>
      </c>
      <c r="AM277">
        <v>6.8927100000000001</v>
      </c>
      <c r="AN277">
        <f>Table817[[#This Row],[CFNM]]/Table817[[#This Row],[CAREA]]</f>
        <v>8.8789828608969543E-2</v>
      </c>
    </row>
    <row r="278" spans="1:40" x14ac:dyDescent="0.25">
      <c r="A278">
        <v>2.75176</v>
      </c>
      <c r="B278">
        <f>(Table110[[#This Row],[time]]-2)*2</f>
        <v>1.50352</v>
      </c>
      <c r="C278">
        <v>84.156400000000005</v>
      </c>
      <c r="D278">
        <v>46.477499999999999</v>
      </c>
      <c r="E278">
        <f>Table110[[#This Row],[CFNM]]/Table110[[#This Row],[CAREA]]</f>
        <v>0.55227528744100263</v>
      </c>
      <c r="F278">
        <v>2.75176</v>
      </c>
      <c r="G278">
        <f>(Table211[[#This Row],[time]]-2)*2</f>
        <v>1.50352</v>
      </c>
      <c r="H278">
        <v>29.613299999999999</v>
      </c>
      <c r="I278">
        <v>3.9505900000000001E-4</v>
      </c>
      <c r="J278">
        <f>Table211[[#This Row],[CFNM]]/Table211[[#This Row],[CAREA]]</f>
        <v>1.3340593584639335E-5</v>
      </c>
      <c r="K278">
        <v>2.75176</v>
      </c>
      <c r="L278">
        <f>(Table312[[#This Row],[time]]-2)*2</f>
        <v>1.50352</v>
      </c>
      <c r="M278">
        <v>80.934399999999997</v>
      </c>
      <c r="N278">
        <v>44.643900000000002</v>
      </c>
      <c r="O278">
        <f>Table312[[#This Row],[CFNM]]/Table312[[#This Row],[CAREA]]</f>
        <v>0.55160599201328486</v>
      </c>
      <c r="P278">
        <v>2.75176</v>
      </c>
      <c r="Q278">
        <f>(Table413[[#This Row],[time]]-2)*2</f>
        <v>1.50352</v>
      </c>
      <c r="R278">
        <v>46.156999999999996</v>
      </c>
      <c r="S278">
        <v>8.5819800000000001E-4</v>
      </c>
      <c r="T278">
        <f>Table413[[#This Row],[CFNM]]/Table413[[#This Row],[CAREA]]</f>
        <v>1.8593019477002408E-5</v>
      </c>
      <c r="U278">
        <v>2.75176</v>
      </c>
      <c r="V278">
        <f>(Table514[[#This Row],[time]]-2)*2</f>
        <v>1.50352</v>
      </c>
      <c r="W278">
        <v>67.175700000000006</v>
      </c>
      <c r="X278">
        <v>47.644199999999998</v>
      </c>
      <c r="Y278">
        <f>Table514[[#This Row],[CFNM]]/Table514[[#This Row],[CAREA]]</f>
        <v>0.70924754040523574</v>
      </c>
      <c r="Z278">
        <v>2.75176</v>
      </c>
      <c r="AA278">
        <f>(Table615[[#This Row],[time]]-2)*2</f>
        <v>1.50352</v>
      </c>
      <c r="AB278">
        <v>90.127300000000005</v>
      </c>
      <c r="AC278">
        <v>3.5900099999999999</v>
      </c>
      <c r="AD278">
        <f>Table615[[#This Row],[CFNM]]/Table615[[#This Row],[CAREA]]</f>
        <v>3.9832658916887552E-2</v>
      </c>
      <c r="AE278">
        <v>2.75176</v>
      </c>
      <c r="AF278">
        <f>(Table716[[#This Row],[time]]-2)*2</f>
        <v>1.50352</v>
      </c>
      <c r="AG278">
        <v>76.966200000000001</v>
      </c>
      <c r="AH278">
        <v>58.814999999999998</v>
      </c>
      <c r="AI278">
        <f>Table716[[#This Row],[CFNM]]/Table716[[#This Row],[CAREA]]</f>
        <v>0.76416660819944338</v>
      </c>
      <c r="AJ278">
        <v>2.75176</v>
      </c>
      <c r="AK278">
        <f>(Table817[[#This Row],[time]]-2)*2</f>
        <v>1.50352</v>
      </c>
      <c r="AL278">
        <v>77.265000000000001</v>
      </c>
      <c r="AM278">
        <v>6.5313100000000004</v>
      </c>
      <c r="AN278">
        <f>Table817[[#This Row],[CFNM]]/Table817[[#This Row],[CAREA]]</f>
        <v>8.4531288422959941E-2</v>
      </c>
    </row>
    <row r="279" spans="1:40" x14ac:dyDescent="0.25">
      <c r="A279">
        <v>2.80444</v>
      </c>
      <c r="B279">
        <f>(Table110[[#This Row],[time]]-2)*2</f>
        <v>1.6088800000000001</v>
      </c>
      <c r="C279">
        <v>83.125699999999995</v>
      </c>
      <c r="D279">
        <v>49.401899999999998</v>
      </c>
      <c r="E279">
        <f>Table110[[#This Row],[CFNM]]/Table110[[#This Row],[CAREA]]</f>
        <v>0.5943035667669565</v>
      </c>
      <c r="F279">
        <v>2.80444</v>
      </c>
      <c r="G279">
        <f>(Table211[[#This Row],[time]]-2)*2</f>
        <v>1.6088800000000001</v>
      </c>
      <c r="H279">
        <v>22.710999999999999</v>
      </c>
      <c r="I279">
        <v>3.0397699999999998E-4</v>
      </c>
      <c r="J279">
        <f>Table211[[#This Row],[CFNM]]/Table211[[#This Row],[CAREA]]</f>
        <v>1.3384571353088811E-5</v>
      </c>
      <c r="K279">
        <v>2.80444</v>
      </c>
      <c r="L279">
        <f>(Table312[[#This Row],[time]]-2)*2</f>
        <v>1.6088800000000001</v>
      </c>
      <c r="M279">
        <v>80.427999999999997</v>
      </c>
      <c r="N279">
        <v>46.785200000000003</v>
      </c>
      <c r="O279">
        <f>Table312[[#This Row],[CFNM]]/Table312[[#This Row],[CAREA]]</f>
        <v>0.58170288954095595</v>
      </c>
      <c r="P279">
        <v>2.80444</v>
      </c>
      <c r="Q279">
        <f>(Table413[[#This Row],[time]]-2)*2</f>
        <v>1.6088800000000001</v>
      </c>
      <c r="R279">
        <v>40.405799999999999</v>
      </c>
      <c r="S279">
        <v>7.4405399999999996E-4</v>
      </c>
      <c r="T279">
        <f>Table413[[#This Row],[CFNM]]/Table413[[#This Row],[CAREA]]</f>
        <v>1.8414534547020475E-5</v>
      </c>
      <c r="U279">
        <v>2.80444</v>
      </c>
      <c r="V279">
        <f>(Table514[[#This Row],[time]]-2)*2</f>
        <v>1.6088800000000001</v>
      </c>
      <c r="W279">
        <v>66.281499999999994</v>
      </c>
      <c r="X279">
        <v>50.1509</v>
      </c>
      <c r="Y279">
        <f>Table514[[#This Row],[CFNM]]/Table514[[#This Row],[CAREA]]</f>
        <v>0.75663495847257534</v>
      </c>
      <c r="Z279">
        <v>2.80444</v>
      </c>
      <c r="AA279">
        <f>(Table615[[#This Row],[time]]-2)*2</f>
        <v>1.6088800000000001</v>
      </c>
      <c r="AB279">
        <v>90.138199999999998</v>
      </c>
      <c r="AC279">
        <v>3.13585</v>
      </c>
      <c r="AD279">
        <f>Table615[[#This Row],[CFNM]]/Table615[[#This Row],[CAREA]]</f>
        <v>3.4789356787688241E-2</v>
      </c>
      <c r="AE279">
        <v>2.80444</v>
      </c>
      <c r="AF279">
        <f>(Table716[[#This Row],[time]]-2)*2</f>
        <v>1.6088800000000001</v>
      </c>
      <c r="AG279">
        <v>76.7149</v>
      </c>
      <c r="AH279">
        <v>61.215499999999999</v>
      </c>
      <c r="AI279">
        <f>Table716[[#This Row],[CFNM]]/Table716[[#This Row],[CAREA]]</f>
        <v>0.79796102191360474</v>
      </c>
      <c r="AJ279">
        <v>2.80444</v>
      </c>
      <c r="AK279">
        <f>(Table817[[#This Row],[time]]-2)*2</f>
        <v>1.6088800000000001</v>
      </c>
      <c r="AL279">
        <v>76.799899999999994</v>
      </c>
      <c r="AM279">
        <v>5.9939200000000001</v>
      </c>
      <c r="AN279">
        <f>Table817[[#This Row],[CFNM]]/Table817[[#This Row],[CAREA]]</f>
        <v>7.8045934955644478E-2</v>
      </c>
    </row>
    <row r="280" spans="1:40" x14ac:dyDescent="0.25">
      <c r="A280">
        <v>2.8583699999999999</v>
      </c>
      <c r="B280">
        <f>(Table110[[#This Row],[time]]-2)*2</f>
        <v>1.7167399999999997</v>
      </c>
      <c r="C280">
        <v>81.975899999999996</v>
      </c>
      <c r="D280">
        <v>52.164999999999999</v>
      </c>
      <c r="E280">
        <f>Table110[[#This Row],[CFNM]]/Table110[[#This Row],[CAREA]]</f>
        <v>0.63634556009754084</v>
      </c>
      <c r="F280">
        <v>2.8583699999999999</v>
      </c>
      <c r="G280">
        <f>(Table211[[#This Row],[time]]-2)*2</f>
        <v>1.7167399999999997</v>
      </c>
      <c r="H280">
        <v>18.658300000000001</v>
      </c>
      <c r="I280">
        <v>2.408E-4</v>
      </c>
      <c r="J280">
        <f>Table211[[#This Row],[CFNM]]/Table211[[#This Row],[CAREA]]</f>
        <v>1.2905784557006802E-5</v>
      </c>
      <c r="K280">
        <v>2.8583699999999999</v>
      </c>
      <c r="L280">
        <f>(Table312[[#This Row],[time]]-2)*2</f>
        <v>1.7167399999999997</v>
      </c>
      <c r="M280">
        <v>79.989099999999993</v>
      </c>
      <c r="N280">
        <v>48.667999999999999</v>
      </c>
      <c r="O280">
        <f>Table312[[#This Row],[CFNM]]/Table312[[#This Row],[CAREA]]</f>
        <v>0.60843289898248643</v>
      </c>
      <c r="P280">
        <v>2.8583699999999999</v>
      </c>
      <c r="Q280">
        <f>(Table413[[#This Row],[time]]-2)*2</f>
        <v>1.7167399999999997</v>
      </c>
      <c r="R280">
        <v>35.064700000000002</v>
      </c>
      <c r="S280">
        <v>6.4946800000000005E-4</v>
      </c>
      <c r="T280">
        <f>Table413[[#This Row],[CFNM]]/Table413[[#This Row],[CAREA]]</f>
        <v>1.8521989351113798E-5</v>
      </c>
      <c r="U280">
        <v>2.8583699999999999</v>
      </c>
      <c r="V280">
        <f>(Table514[[#This Row],[time]]-2)*2</f>
        <v>1.7167399999999997</v>
      </c>
      <c r="W280">
        <v>64.459599999999995</v>
      </c>
      <c r="X280">
        <v>52.480499999999999</v>
      </c>
      <c r="Y280">
        <f>Table514[[#This Row],[CFNM]]/Table514[[#This Row],[CAREA]]</f>
        <v>0.81416111797156676</v>
      </c>
      <c r="Z280">
        <v>2.8583699999999999</v>
      </c>
      <c r="AA280">
        <f>(Table615[[#This Row],[time]]-2)*2</f>
        <v>1.7167399999999997</v>
      </c>
      <c r="AB280">
        <v>89.536900000000003</v>
      </c>
      <c r="AC280">
        <v>2.6754899999999999</v>
      </c>
      <c r="AD280">
        <f>Table615[[#This Row],[CFNM]]/Table615[[#This Row],[CAREA]]</f>
        <v>2.9881423189768684E-2</v>
      </c>
      <c r="AE280">
        <v>2.8583699999999999</v>
      </c>
      <c r="AF280">
        <f>(Table716[[#This Row],[time]]-2)*2</f>
        <v>1.7167399999999997</v>
      </c>
      <c r="AG280">
        <v>75.986699999999999</v>
      </c>
      <c r="AH280">
        <v>63.526600000000002</v>
      </c>
      <c r="AI280">
        <f>Table716[[#This Row],[CFNM]]/Table716[[#This Row],[CAREA]]</f>
        <v>0.83602261974792957</v>
      </c>
      <c r="AJ280">
        <v>2.8583699999999999</v>
      </c>
      <c r="AK280">
        <f>(Table817[[#This Row],[time]]-2)*2</f>
        <v>1.7167399999999997</v>
      </c>
      <c r="AL280">
        <v>76.138300000000001</v>
      </c>
      <c r="AM280">
        <v>5.4592999999999998</v>
      </c>
      <c r="AN280">
        <f>Table817[[#This Row],[CFNM]]/Table817[[#This Row],[CAREA]]</f>
        <v>7.1702415210216142E-2</v>
      </c>
    </row>
    <row r="281" spans="1:40" x14ac:dyDescent="0.25">
      <c r="A281">
        <v>2.9134199999999999</v>
      </c>
      <c r="B281">
        <f>(Table110[[#This Row],[time]]-2)*2</f>
        <v>1.8268399999999998</v>
      </c>
      <c r="C281">
        <v>79.4846</v>
      </c>
      <c r="D281">
        <v>56.981299999999997</v>
      </c>
      <c r="E281">
        <f>Table110[[#This Row],[CFNM]]/Table110[[#This Row],[CAREA]]</f>
        <v>0.71688478019641533</v>
      </c>
      <c r="F281">
        <v>2.9134199999999999</v>
      </c>
      <c r="G281">
        <f>(Table211[[#This Row],[time]]-2)*2</f>
        <v>1.8268399999999998</v>
      </c>
      <c r="H281">
        <v>12.546099999999999</v>
      </c>
      <c r="I281">
        <v>1.56131E-4</v>
      </c>
      <c r="J281">
        <f>Table211[[#This Row],[CFNM]]/Table211[[#This Row],[CAREA]]</f>
        <v>1.2444584372832992E-5</v>
      </c>
      <c r="K281">
        <v>2.9134199999999999</v>
      </c>
      <c r="L281">
        <f>(Table312[[#This Row],[time]]-2)*2</f>
        <v>1.8268399999999998</v>
      </c>
      <c r="M281">
        <v>79.302400000000006</v>
      </c>
      <c r="N281">
        <v>51.819600000000001</v>
      </c>
      <c r="O281">
        <f>Table312[[#This Row],[CFNM]]/Table312[[#This Row],[CAREA]]</f>
        <v>0.65344302316197234</v>
      </c>
      <c r="P281">
        <v>2.9134199999999999</v>
      </c>
      <c r="Q281">
        <f>(Table413[[#This Row],[time]]-2)*2</f>
        <v>1.8268399999999998</v>
      </c>
      <c r="R281">
        <v>31.3933</v>
      </c>
      <c r="S281">
        <v>5.0915300000000004E-4</v>
      </c>
      <c r="T281">
        <f>Table413[[#This Row],[CFNM]]/Table413[[#This Row],[CAREA]]</f>
        <v>1.6218524334810294E-5</v>
      </c>
      <c r="U281">
        <v>2.9134199999999999</v>
      </c>
      <c r="V281">
        <f>(Table514[[#This Row],[time]]-2)*2</f>
        <v>1.8268399999999998</v>
      </c>
      <c r="W281">
        <v>63.0381</v>
      </c>
      <c r="X281">
        <v>56.575000000000003</v>
      </c>
      <c r="Y281">
        <f>Table514[[#This Row],[CFNM]]/Table514[[#This Row],[CAREA]]</f>
        <v>0.89747311546509179</v>
      </c>
      <c r="Z281">
        <v>2.9134199999999999</v>
      </c>
      <c r="AA281">
        <f>(Table615[[#This Row],[time]]-2)*2</f>
        <v>1.8268399999999998</v>
      </c>
      <c r="AB281">
        <v>88.534599999999998</v>
      </c>
      <c r="AC281">
        <v>1.89723</v>
      </c>
      <c r="AD281">
        <f>Table615[[#This Row],[CFNM]]/Table615[[#This Row],[CAREA]]</f>
        <v>2.1429249129718778E-2</v>
      </c>
      <c r="AE281">
        <v>2.9134199999999999</v>
      </c>
      <c r="AF281">
        <f>(Table716[[#This Row],[time]]-2)*2</f>
        <v>1.8268399999999998</v>
      </c>
      <c r="AG281">
        <v>75.043700000000001</v>
      </c>
      <c r="AH281">
        <v>67.733699999999999</v>
      </c>
      <c r="AI281">
        <f>Table716[[#This Row],[CFNM]]/Table716[[#This Row],[CAREA]]</f>
        <v>0.90259009084040365</v>
      </c>
      <c r="AJ281">
        <v>2.9134199999999999</v>
      </c>
      <c r="AK281">
        <f>(Table817[[#This Row],[time]]-2)*2</f>
        <v>1.8268399999999998</v>
      </c>
      <c r="AL281">
        <v>74.996799999999993</v>
      </c>
      <c r="AM281">
        <v>4.4709199999999996</v>
      </c>
      <c r="AN281">
        <f>Table817[[#This Row],[CFNM]]/Table817[[#This Row],[CAREA]]</f>
        <v>5.961481023190323E-2</v>
      </c>
    </row>
    <row r="282" spans="1:40" x14ac:dyDescent="0.25">
      <c r="A282">
        <v>2.9619599999999999</v>
      </c>
      <c r="B282">
        <f>(Table110[[#This Row],[time]]-2)*2</f>
        <v>1.9239199999999999</v>
      </c>
      <c r="C282">
        <v>79.11</v>
      </c>
      <c r="D282">
        <v>57.558399999999999</v>
      </c>
      <c r="E282">
        <f>Table110[[#This Row],[CFNM]]/Table110[[#This Row],[CAREA]]</f>
        <v>0.72757426368347866</v>
      </c>
      <c r="F282">
        <v>2.9619599999999999</v>
      </c>
      <c r="G282">
        <f>(Table211[[#This Row],[time]]-2)*2</f>
        <v>1.9239199999999999</v>
      </c>
      <c r="H282">
        <v>12.534700000000001</v>
      </c>
      <c r="I282">
        <v>1.47971E-4</v>
      </c>
      <c r="J282">
        <f>Table211[[#This Row],[CFNM]]/Table211[[#This Row],[CAREA]]</f>
        <v>1.1804909571030818E-5</v>
      </c>
      <c r="K282">
        <v>2.9619599999999999</v>
      </c>
      <c r="L282">
        <f>(Table312[[#This Row],[time]]-2)*2</f>
        <v>1.9239199999999999</v>
      </c>
      <c r="M282">
        <v>79.204700000000003</v>
      </c>
      <c r="N282">
        <v>52.175800000000002</v>
      </c>
      <c r="O282">
        <f>Table312[[#This Row],[CFNM]]/Table312[[#This Row],[CAREA]]</f>
        <v>0.65874626126984892</v>
      </c>
      <c r="P282">
        <v>2.9619599999999999</v>
      </c>
      <c r="Q282">
        <f>(Table413[[#This Row],[time]]-2)*2</f>
        <v>1.9239199999999999</v>
      </c>
      <c r="R282">
        <v>31.414100000000001</v>
      </c>
      <c r="S282">
        <v>4.9245400000000003E-4</v>
      </c>
      <c r="T282">
        <f>Table413[[#This Row],[CFNM]]/Table413[[#This Row],[CAREA]]</f>
        <v>1.5676209090822273E-5</v>
      </c>
      <c r="U282">
        <v>2.9619599999999999</v>
      </c>
      <c r="V282">
        <f>(Table514[[#This Row],[time]]-2)*2</f>
        <v>1.9239199999999999</v>
      </c>
      <c r="W282">
        <v>62.5871</v>
      </c>
      <c r="X282">
        <v>57.086599999999997</v>
      </c>
      <c r="Y282">
        <f>Table514[[#This Row],[CFNM]]/Table514[[#This Row],[CAREA]]</f>
        <v>0.91211447726448414</v>
      </c>
      <c r="Z282">
        <v>2.9619599999999999</v>
      </c>
      <c r="AA282">
        <f>(Table615[[#This Row],[time]]-2)*2</f>
        <v>1.9239199999999999</v>
      </c>
      <c r="AB282">
        <v>88.445400000000006</v>
      </c>
      <c r="AC282">
        <v>1.80979</v>
      </c>
      <c r="AD282">
        <f>Table615[[#This Row],[CFNM]]/Table615[[#This Row],[CAREA]]</f>
        <v>2.0462228674413819E-2</v>
      </c>
      <c r="AE282">
        <v>2.9619599999999999</v>
      </c>
      <c r="AF282">
        <f>(Table716[[#This Row],[time]]-2)*2</f>
        <v>1.9239199999999999</v>
      </c>
      <c r="AG282">
        <v>74.972300000000004</v>
      </c>
      <c r="AH282">
        <v>68.280199999999994</v>
      </c>
      <c r="AI282">
        <f>Table716[[#This Row],[CFNM]]/Table716[[#This Row],[CAREA]]</f>
        <v>0.91073903294950254</v>
      </c>
      <c r="AJ282">
        <v>2.9619599999999999</v>
      </c>
      <c r="AK282">
        <f>(Table817[[#This Row],[time]]-2)*2</f>
        <v>1.9239199999999999</v>
      </c>
      <c r="AL282">
        <v>74.821700000000007</v>
      </c>
      <c r="AM282">
        <v>4.34145</v>
      </c>
      <c r="AN282">
        <f>Table817[[#This Row],[CFNM]]/Table817[[#This Row],[CAREA]]</f>
        <v>5.8023942252047198E-2</v>
      </c>
    </row>
    <row r="283" spans="1:40" x14ac:dyDescent="0.25">
      <c r="A283">
        <v>3</v>
      </c>
      <c r="B283">
        <f>(Table110[[#This Row],[time]]-2)*2</f>
        <v>2</v>
      </c>
      <c r="C283">
        <v>77.746600000000001</v>
      </c>
      <c r="D283">
        <v>59.241199999999999</v>
      </c>
      <c r="E283">
        <f>Table110[[#This Row],[CFNM]]/Table110[[#This Row],[CAREA]]</f>
        <v>0.76197801575888846</v>
      </c>
      <c r="F283">
        <v>3</v>
      </c>
      <c r="G283">
        <f>(Table211[[#This Row],[time]]-2)*2</f>
        <v>2</v>
      </c>
      <c r="H283">
        <v>11.012</v>
      </c>
      <c r="I283">
        <v>1.2545500000000001E-4</v>
      </c>
      <c r="J283">
        <f>Table211[[#This Row],[CFNM]]/Table211[[#This Row],[CAREA]]</f>
        <v>1.1392571739920087E-5</v>
      </c>
      <c r="K283">
        <v>3</v>
      </c>
      <c r="L283">
        <f>(Table312[[#This Row],[time]]-2)*2</f>
        <v>2</v>
      </c>
      <c r="M283">
        <v>78.819999999999993</v>
      </c>
      <c r="N283">
        <v>53.229399999999998</v>
      </c>
      <c r="O283">
        <f>Table312[[#This Row],[CFNM]]/Table312[[#This Row],[CAREA]]</f>
        <v>0.67532859680284196</v>
      </c>
      <c r="P283">
        <v>3</v>
      </c>
      <c r="Q283">
        <f>(Table413[[#This Row],[time]]-2)*2</f>
        <v>2</v>
      </c>
      <c r="R283">
        <v>30.154599999999999</v>
      </c>
      <c r="S283">
        <v>4.44723E-4</v>
      </c>
      <c r="T283">
        <f>Table413[[#This Row],[CFNM]]/Table413[[#This Row],[CAREA]]</f>
        <v>1.4748098134281337E-5</v>
      </c>
      <c r="U283">
        <v>3</v>
      </c>
      <c r="V283">
        <f>(Table514[[#This Row],[time]]-2)*2</f>
        <v>2</v>
      </c>
      <c r="W283">
        <v>62.072400000000002</v>
      </c>
      <c r="X283">
        <v>58.658799999999999</v>
      </c>
      <c r="Y283">
        <f>Table514[[#This Row],[CFNM]]/Table514[[#This Row],[CAREA]]</f>
        <v>0.94500615410391731</v>
      </c>
      <c r="Z283">
        <v>3</v>
      </c>
      <c r="AA283">
        <f>(Table615[[#This Row],[time]]-2)*2</f>
        <v>2</v>
      </c>
      <c r="AB283">
        <v>88.131699999999995</v>
      </c>
      <c r="AC283">
        <v>1.5631200000000001</v>
      </c>
      <c r="AD283">
        <f>Table615[[#This Row],[CFNM]]/Table615[[#This Row],[CAREA]]</f>
        <v>1.7736183461796381E-2</v>
      </c>
      <c r="AE283">
        <v>3</v>
      </c>
      <c r="AF283">
        <f>(Table716[[#This Row],[time]]-2)*2</f>
        <v>2</v>
      </c>
      <c r="AG283">
        <v>74.697000000000003</v>
      </c>
      <c r="AH283">
        <v>69.945800000000006</v>
      </c>
      <c r="AI283">
        <f>Table716[[#This Row],[CFNM]]/Table716[[#This Row],[CAREA]]</f>
        <v>0.93639369720336829</v>
      </c>
      <c r="AJ283">
        <v>3</v>
      </c>
      <c r="AK283">
        <f>(Table817[[#This Row],[time]]-2)*2</f>
        <v>2</v>
      </c>
      <c r="AL283">
        <v>74.357799999999997</v>
      </c>
      <c r="AM283">
        <v>3.92442</v>
      </c>
      <c r="AN283">
        <f>Table817[[#This Row],[CFNM]]/Table817[[#This Row],[CAREA]]</f>
        <v>5.2777516279395038E-2</v>
      </c>
    </row>
    <row r="286" spans="1:40" x14ac:dyDescent="0.25">
      <c r="A286" s="1" t="s">
        <v>23</v>
      </c>
    </row>
    <row r="287" spans="1:40" x14ac:dyDescent="0.25">
      <c r="A287" t="s">
        <v>49</v>
      </c>
      <c r="F287" t="s">
        <v>1</v>
      </c>
    </row>
    <row r="288" spans="1:40" x14ac:dyDescent="0.25">
      <c r="F288" t="s">
        <v>2</v>
      </c>
      <c r="G288" t="s">
        <v>3</v>
      </c>
    </row>
    <row r="291" spans="1:40" x14ac:dyDescent="0.25">
      <c r="A291" t="s">
        <v>4</v>
      </c>
      <c r="F291" t="s">
        <v>5</v>
      </c>
      <c r="K291" t="s">
        <v>6</v>
      </c>
      <c r="P291" t="s">
        <v>7</v>
      </c>
      <c r="U291" t="s">
        <v>8</v>
      </c>
      <c r="Z291" t="s">
        <v>9</v>
      </c>
      <c r="AE291" t="s">
        <v>10</v>
      </c>
      <c r="AJ291" t="s">
        <v>11</v>
      </c>
    </row>
    <row r="292" spans="1:40" x14ac:dyDescent="0.25">
      <c r="A292" t="s">
        <v>12</v>
      </c>
      <c r="B292" t="s">
        <v>13</v>
      </c>
      <c r="C292" t="s">
        <v>14</v>
      </c>
      <c r="D292" t="s">
        <v>15</v>
      </c>
      <c r="E292" t="s">
        <v>16</v>
      </c>
      <c r="F292" t="s">
        <v>12</v>
      </c>
      <c r="G292" t="s">
        <v>13</v>
      </c>
      <c r="H292" t="s">
        <v>14</v>
      </c>
      <c r="I292" t="s">
        <v>15</v>
      </c>
      <c r="J292" t="s">
        <v>16</v>
      </c>
      <c r="K292" t="s">
        <v>12</v>
      </c>
      <c r="L292" t="s">
        <v>13</v>
      </c>
      <c r="M292" t="s">
        <v>14</v>
      </c>
      <c r="N292" t="s">
        <v>15</v>
      </c>
      <c r="O292" t="s">
        <v>16</v>
      </c>
      <c r="P292" t="s">
        <v>12</v>
      </c>
      <c r="Q292" t="s">
        <v>13</v>
      </c>
      <c r="R292" t="s">
        <v>14</v>
      </c>
      <c r="S292" t="s">
        <v>15</v>
      </c>
      <c r="T292" t="s">
        <v>16</v>
      </c>
      <c r="U292" t="s">
        <v>12</v>
      </c>
      <c r="V292" t="s">
        <v>13</v>
      </c>
      <c r="W292" t="s">
        <v>14</v>
      </c>
      <c r="X292" t="s">
        <v>15</v>
      </c>
      <c r="Y292" t="s">
        <v>16</v>
      </c>
      <c r="Z292" t="s">
        <v>12</v>
      </c>
      <c r="AA292" t="s">
        <v>13</v>
      </c>
      <c r="AB292" t="s">
        <v>14</v>
      </c>
      <c r="AC292" t="s">
        <v>15</v>
      </c>
      <c r="AD292" t="s">
        <v>16</v>
      </c>
      <c r="AE292" t="s">
        <v>12</v>
      </c>
      <c r="AF292" t="s">
        <v>13</v>
      </c>
      <c r="AG292" t="s">
        <v>14</v>
      </c>
      <c r="AH292" t="s">
        <v>15</v>
      </c>
      <c r="AI292" t="s">
        <v>16</v>
      </c>
      <c r="AJ292" t="s">
        <v>12</v>
      </c>
      <c r="AK292" t="s">
        <v>13</v>
      </c>
      <c r="AL292" t="s">
        <v>14</v>
      </c>
      <c r="AM292" t="s">
        <v>15</v>
      </c>
      <c r="AN292" t="s">
        <v>16</v>
      </c>
    </row>
    <row r="293" spans="1:40" x14ac:dyDescent="0.25">
      <c r="A293">
        <v>2</v>
      </c>
      <c r="B293">
        <f>-(Table1323[[#This Row],[time]]-2)*2</f>
        <v>0</v>
      </c>
      <c r="C293">
        <v>80.561099999999996</v>
      </c>
      <c r="D293">
        <v>3.98237</v>
      </c>
      <c r="E293" s="2">
        <f>Table1323[[#This Row],[CFNM]]/Table1323[[#This Row],[CAREA]]</f>
        <v>4.9432914893168048E-2</v>
      </c>
      <c r="F293">
        <v>2</v>
      </c>
      <c r="G293">
        <f>-(Table2324[[#This Row],[time]]-2)*2</f>
        <v>0</v>
      </c>
      <c r="H293">
        <v>87.831800000000001</v>
      </c>
      <c r="I293">
        <v>3.8491799999999998E-3</v>
      </c>
      <c r="J293" s="2">
        <f>Table2324[[#This Row],[CFNM]]/Table2324[[#This Row],[CAREA]]</f>
        <v>4.38244462711683E-5</v>
      </c>
      <c r="K293">
        <v>2</v>
      </c>
      <c r="L293">
        <f>-(Table3325[[#This Row],[time]]-2)*2</f>
        <v>0</v>
      </c>
      <c r="M293">
        <v>85.166700000000006</v>
      </c>
      <c r="N293">
        <v>3.70054E-3</v>
      </c>
      <c r="O293">
        <f>Table3325[[#This Row],[CFNM]]/Table3325[[#This Row],[CAREA]]</f>
        <v>4.3450550508590793E-5</v>
      </c>
      <c r="P293">
        <v>2</v>
      </c>
      <c r="Q293">
        <f>-(Table4326[[#This Row],[time]]-2)*2</f>
        <v>0</v>
      </c>
      <c r="R293">
        <v>79.101699999999994</v>
      </c>
      <c r="S293">
        <v>4.5258399999999997E-3</v>
      </c>
      <c r="T293">
        <f>Table4326[[#This Row],[CFNM]]/Table4326[[#This Row],[CAREA]]</f>
        <v>5.7215458074858061E-5</v>
      </c>
      <c r="U293">
        <v>2</v>
      </c>
      <c r="V293">
        <f>-(Table5327[[#This Row],[time]]-2)*2</f>
        <v>0</v>
      </c>
      <c r="W293">
        <v>83.227699999999999</v>
      </c>
      <c r="X293">
        <v>3.5063499999999999</v>
      </c>
      <c r="Y293">
        <f>Table5327[[#This Row],[CFNM]]/Table5327[[#This Row],[CAREA]]</f>
        <v>4.2129603485378066E-2</v>
      </c>
      <c r="Z293">
        <v>2</v>
      </c>
      <c r="AA293">
        <f>-(Table6328[[#This Row],[time]]-2)*2</f>
        <v>0</v>
      </c>
      <c r="AB293">
        <v>84.265900000000002</v>
      </c>
      <c r="AC293">
        <v>6.2742399999999998</v>
      </c>
      <c r="AD293">
        <f>Table6328[[#This Row],[CFNM]]/Table6328[[#This Row],[CAREA]]</f>
        <v>7.4457639448460164E-2</v>
      </c>
      <c r="AE293">
        <v>2</v>
      </c>
      <c r="AF293">
        <f>-(Table7329[[#This Row],[time]]-2)*2</f>
        <v>0</v>
      </c>
      <c r="AG293">
        <v>78.459999999999994</v>
      </c>
      <c r="AH293">
        <v>14.707599999999999</v>
      </c>
      <c r="AI293">
        <f>Table7329[[#This Row],[CFNM]]/Table7329[[#This Row],[CAREA]]</f>
        <v>0.1874534794799898</v>
      </c>
      <c r="AJ293">
        <v>2</v>
      </c>
      <c r="AK293">
        <f>-(Table8330[[#This Row],[time]]-2)*2</f>
        <v>0</v>
      </c>
      <c r="AL293">
        <v>83.006</v>
      </c>
      <c r="AM293">
        <v>14.6488</v>
      </c>
      <c r="AN293">
        <f>Table8330[[#This Row],[CFNM]]/Table8330[[#This Row],[CAREA]]</f>
        <v>0.17647880876081246</v>
      </c>
    </row>
    <row r="294" spans="1:40" x14ac:dyDescent="0.25">
      <c r="A294">
        <v>2.0512600000000001</v>
      </c>
      <c r="B294">
        <f>-(Table1323[[#This Row],[time]]-2)*2</f>
        <v>-0.10252000000000017</v>
      </c>
      <c r="C294">
        <v>88.876300000000001</v>
      </c>
      <c r="D294">
        <v>7.5994099999999998</v>
      </c>
      <c r="E294">
        <f>Table1323[[#This Row],[CFNM]]/Table1323[[#This Row],[CAREA]]</f>
        <v>8.5505472212502098E-2</v>
      </c>
      <c r="F294">
        <v>2.0512600000000001</v>
      </c>
      <c r="G294">
        <f>-(Table2324[[#This Row],[time]]-2)*2</f>
        <v>-0.10252000000000017</v>
      </c>
      <c r="H294">
        <v>93.659599999999998</v>
      </c>
      <c r="I294">
        <v>6.7995900000000002</v>
      </c>
      <c r="J294">
        <f>Table2324[[#This Row],[CFNM]]/Table2324[[#This Row],[CAREA]]</f>
        <v>7.2598964761754273E-2</v>
      </c>
      <c r="K294">
        <v>2.0512600000000001</v>
      </c>
      <c r="L294">
        <f>-(Table3325[[#This Row],[time]]-2)*2</f>
        <v>-0.10252000000000017</v>
      </c>
      <c r="M294">
        <v>88.485900000000001</v>
      </c>
      <c r="N294">
        <v>5.8581199999999996E-3</v>
      </c>
      <c r="O294">
        <f>Table3325[[#This Row],[CFNM]]/Table3325[[#This Row],[CAREA]]</f>
        <v>6.620399408267306E-5</v>
      </c>
      <c r="P294">
        <v>2.0512600000000001</v>
      </c>
      <c r="Q294">
        <f>-(Table4326[[#This Row],[time]]-2)*2</f>
        <v>-0.10252000000000017</v>
      </c>
      <c r="R294">
        <v>83.432599999999994</v>
      </c>
      <c r="S294">
        <v>8.7703000000000007</v>
      </c>
      <c r="T294">
        <f>Table4326[[#This Row],[CFNM]]/Table4326[[#This Row],[CAREA]]</f>
        <v>0.10511838298219163</v>
      </c>
      <c r="U294">
        <v>2.0512600000000001</v>
      </c>
      <c r="V294">
        <f>-(Table5327[[#This Row],[time]]-2)*2</f>
        <v>-0.10252000000000017</v>
      </c>
      <c r="W294">
        <v>82.1922</v>
      </c>
      <c r="X294">
        <v>2.8123</v>
      </c>
      <c r="Y294">
        <f>Table5327[[#This Row],[CFNM]]/Table5327[[#This Row],[CAREA]]</f>
        <v>3.4216142164341629E-2</v>
      </c>
      <c r="Z294">
        <v>2.0512600000000001</v>
      </c>
      <c r="AA294">
        <f>-(Table6328[[#This Row],[time]]-2)*2</f>
        <v>-0.10252000000000017</v>
      </c>
      <c r="AB294">
        <v>86.546499999999995</v>
      </c>
      <c r="AC294">
        <v>11.5433</v>
      </c>
      <c r="AD294">
        <f>Table6328[[#This Row],[CFNM]]/Table6328[[#This Row],[CAREA]]</f>
        <v>0.1333768552165599</v>
      </c>
      <c r="AE294">
        <v>2.0512600000000001</v>
      </c>
      <c r="AF294">
        <f>-(Table7329[[#This Row],[time]]-2)*2</f>
        <v>-0.10252000000000017</v>
      </c>
      <c r="AG294">
        <v>79.426000000000002</v>
      </c>
      <c r="AH294">
        <v>17.087800000000001</v>
      </c>
      <c r="AI294">
        <f>Table7329[[#This Row],[CFNM]]/Table7329[[#This Row],[CAREA]]</f>
        <v>0.2151411376627301</v>
      </c>
      <c r="AJ294">
        <v>2.0512600000000001</v>
      </c>
      <c r="AK294">
        <f>-(Table8330[[#This Row],[time]]-2)*2</f>
        <v>-0.10252000000000017</v>
      </c>
      <c r="AL294">
        <v>83.129599999999996</v>
      </c>
      <c r="AM294">
        <v>22.1571</v>
      </c>
      <c r="AN294">
        <f>Table8330[[#This Row],[CFNM]]/Table8330[[#This Row],[CAREA]]</f>
        <v>0.26653682924012628</v>
      </c>
    </row>
    <row r="295" spans="1:40" x14ac:dyDescent="0.25">
      <c r="A295">
        <v>2.1153300000000002</v>
      </c>
      <c r="B295">
        <f>-(Table1323[[#This Row],[time]]-2)*2</f>
        <v>-0.23066000000000031</v>
      </c>
      <c r="C295">
        <v>87.396799999999999</v>
      </c>
      <c r="D295">
        <v>6.0873600000000003</v>
      </c>
      <c r="E295">
        <f>Table1323[[#This Row],[CFNM]]/Table1323[[#This Row],[CAREA]]</f>
        <v>6.9651978104461498E-2</v>
      </c>
      <c r="F295">
        <v>2.1153300000000002</v>
      </c>
      <c r="G295">
        <f>-(Table2324[[#This Row],[time]]-2)*2</f>
        <v>-0.23066000000000031</v>
      </c>
      <c r="H295">
        <v>92.706000000000003</v>
      </c>
      <c r="I295">
        <v>9.2193299999999994</v>
      </c>
      <c r="J295">
        <f>Table2324[[#This Row],[CFNM]]/Table2324[[#This Row],[CAREA]]</f>
        <v>9.9446961361724151E-2</v>
      </c>
      <c r="K295">
        <v>2.1153300000000002</v>
      </c>
      <c r="L295">
        <f>-(Table3325[[#This Row],[time]]-2)*2</f>
        <v>-0.23066000000000031</v>
      </c>
      <c r="M295">
        <v>88.451400000000007</v>
      </c>
      <c r="N295">
        <v>4.1635300000000004E-3</v>
      </c>
      <c r="O295">
        <f>Table3325[[#This Row],[CFNM]]/Table3325[[#This Row],[CAREA]]</f>
        <v>4.7071386094510655E-5</v>
      </c>
      <c r="P295">
        <v>2.1153300000000002</v>
      </c>
      <c r="Q295">
        <f>-(Table4326[[#This Row],[time]]-2)*2</f>
        <v>-0.23066000000000031</v>
      </c>
      <c r="R295">
        <v>81.931899999999999</v>
      </c>
      <c r="S295">
        <v>10.7041</v>
      </c>
      <c r="T295">
        <f>Table4326[[#This Row],[CFNM]]/Table4326[[#This Row],[CAREA]]</f>
        <v>0.13064630504113783</v>
      </c>
      <c r="U295">
        <v>2.1153300000000002</v>
      </c>
      <c r="V295">
        <f>-(Table5327[[#This Row],[time]]-2)*2</f>
        <v>-0.23066000000000031</v>
      </c>
      <c r="W295">
        <v>82.117599999999996</v>
      </c>
      <c r="X295">
        <v>1.0537799999999999</v>
      </c>
      <c r="Y295">
        <f>Table5327[[#This Row],[CFNM]]/Table5327[[#This Row],[CAREA]]</f>
        <v>1.2832571823823394E-2</v>
      </c>
      <c r="Z295">
        <v>2.1153300000000002</v>
      </c>
      <c r="AA295">
        <f>-(Table6328[[#This Row],[time]]-2)*2</f>
        <v>-0.23066000000000031</v>
      </c>
      <c r="AB295">
        <v>85.303100000000001</v>
      </c>
      <c r="AC295">
        <v>10.9802</v>
      </c>
      <c r="AD295">
        <f>Table6328[[#This Row],[CFNM]]/Table6328[[#This Row],[CAREA]]</f>
        <v>0.12871982378131627</v>
      </c>
      <c r="AE295">
        <v>2.1153300000000002</v>
      </c>
      <c r="AF295">
        <f>-(Table7329[[#This Row],[time]]-2)*2</f>
        <v>-0.23066000000000031</v>
      </c>
      <c r="AG295">
        <v>79.681399999999996</v>
      </c>
      <c r="AH295">
        <v>15.4232</v>
      </c>
      <c r="AI295">
        <f>Table7329[[#This Row],[CFNM]]/Table7329[[#This Row],[CAREA]]</f>
        <v>0.19356085610945592</v>
      </c>
      <c r="AJ295">
        <v>2.1153300000000002</v>
      </c>
      <c r="AK295">
        <f>-(Table8330[[#This Row],[time]]-2)*2</f>
        <v>-0.23066000000000031</v>
      </c>
      <c r="AL295">
        <v>83.032899999999998</v>
      </c>
      <c r="AM295">
        <v>23.937100000000001</v>
      </c>
      <c r="AN295">
        <f>Table8330[[#This Row],[CFNM]]/Table8330[[#This Row],[CAREA]]</f>
        <v>0.28828452336363058</v>
      </c>
    </row>
    <row r="296" spans="1:40" x14ac:dyDescent="0.25">
      <c r="A296">
        <v>2.16533</v>
      </c>
      <c r="B296">
        <f>-(Table1323[[#This Row],[time]]-2)*2</f>
        <v>-0.33065999999999995</v>
      </c>
      <c r="C296">
        <v>83.584199999999996</v>
      </c>
      <c r="D296">
        <v>4.0240799999999997</v>
      </c>
      <c r="E296">
        <f>Table1323[[#This Row],[CFNM]]/Table1323[[#This Row],[CAREA]]</f>
        <v>4.8144027220455542E-2</v>
      </c>
      <c r="F296">
        <v>2.16533</v>
      </c>
      <c r="G296">
        <f>-(Table2324[[#This Row],[time]]-2)*2</f>
        <v>-0.33065999999999995</v>
      </c>
      <c r="H296">
        <v>90.991600000000005</v>
      </c>
      <c r="I296">
        <v>13.875</v>
      </c>
      <c r="J296">
        <f>Table2324[[#This Row],[CFNM]]/Table2324[[#This Row],[CAREA]]</f>
        <v>0.15248660315897292</v>
      </c>
      <c r="K296">
        <v>2.16533</v>
      </c>
      <c r="L296">
        <f>-(Table3325[[#This Row],[time]]-2)*2</f>
        <v>-0.33065999999999995</v>
      </c>
      <c r="M296">
        <v>82.355599999999995</v>
      </c>
      <c r="N296">
        <v>3.0572500000000001E-3</v>
      </c>
      <c r="O296">
        <f>Table3325[[#This Row],[CFNM]]/Table3325[[#This Row],[CAREA]]</f>
        <v>3.7122551471909623E-5</v>
      </c>
      <c r="P296">
        <v>2.16533</v>
      </c>
      <c r="Q296">
        <f>-(Table4326[[#This Row],[time]]-2)*2</f>
        <v>-0.33065999999999995</v>
      </c>
      <c r="R296">
        <v>80.835800000000006</v>
      </c>
      <c r="S296">
        <v>14.606299999999999</v>
      </c>
      <c r="T296">
        <f>Table4326[[#This Row],[CFNM]]/Table4326[[#This Row],[CAREA]]</f>
        <v>0.18069098097625061</v>
      </c>
      <c r="U296">
        <v>2.16533</v>
      </c>
      <c r="V296">
        <f>-(Table5327[[#This Row],[time]]-2)*2</f>
        <v>-0.33065999999999995</v>
      </c>
      <c r="W296">
        <v>82.242599999999996</v>
      </c>
      <c r="X296">
        <v>4.83221E-3</v>
      </c>
      <c r="Y296">
        <f>Table5327[[#This Row],[CFNM]]/Table5327[[#This Row],[CAREA]]</f>
        <v>5.8755559770727095E-5</v>
      </c>
      <c r="Z296">
        <v>2.16533</v>
      </c>
      <c r="AA296">
        <f>-(Table6328[[#This Row],[time]]-2)*2</f>
        <v>-0.33065999999999995</v>
      </c>
      <c r="AB296">
        <v>83.997699999999995</v>
      </c>
      <c r="AC296">
        <v>12.770300000000001</v>
      </c>
      <c r="AD296">
        <f>Table6328[[#This Row],[CFNM]]/Table6328[[#This Row],[CAREA]]</f>
        <v>0.15203154372083999</v>
      </c>
      <c r="AE296">
        <v>2.16533</v>
      </c>
      <c r="AF296">
        <f>-(Table7329[[#This Row],[time]]-2)*2</f>
        <v>-0.33065999999999995</v>
      </c>
      <c r="AG296">
        <v>80.121899999999997</v>
      </c>
      <c r="AH296">
        <v>12.845000000000001</v>
      </c>
      <c r="AI296">
        <f>Table7329[[#This Row],[CFNM]]/Table7329[[#This Row],[CAREA]]</f>
        <v>0.16031821511971137</v>
      </c>
      <c r="AJ296">
        <v>2.16533</v>
      </c>
      <c r="AK296">
        <f>-(Table8330[[#This Row],[time]]-2)*2</f>
        <v>-0.33065999999999995</v>
      </c>
      <c r="AL296">
        <v>82.872</v>
      </c>
      <c r="AM296">
        <v>27.284700000000001</v>
      </c>
      <c r="AN296">
        <f>Table8330[[#This Row],[CFNM]]/Table8330[[#This Row],[CAREA]]</f>
        <v>0.32923906747755577</v>
      </c>
    </row>
    <row r="297" spans="1:40" x14ac:dyDescent="0.25">
      <c r="A297">
        <v>2.2246999999999999</v>
      </c>
      <c r="B297">
        <f>-(Table1323[[#This Row],[time]]-2)*2</f>
        <v>-0.4493999999999998</v>
      </c>
      <c r="C297">
        <v>82.555400000000006</v>
      </c>
      <c r="D297">
        <v>3.24214</v>
      </c>
      <c r="E297">
        <f>Table1323[[#This Row],[CFNM]]/Table1323[[#This Row],[CAREA]]</f>
        <v>3.9272294725723571E-2</v>
      </c>
      <c r="F297">
        <v>2.2246999999999999</v>
      </c>
      <c r="G297">
        <f>-(Table2324[[#This Row],[time]]-2)*2</f>
        <v>-0.4493999999999998</v>
      </c>
      <c r="H297">
        <v>90.272599999999997</v>
      </c>
      <c r="I297">
        <v>15.9246</v>
      </c>
      <c r="J297">
        <f>Table2324[[#This Row],[CFNM]]/Table2324[[#This Row],[CAREA]]</f>
        <v>0.1764056867753892</v>
      </c>
      <c r="K297">
        <v>2.2246999999999999</v>
      </c>
      <c r="L297">
        <f>-(Table3325[[#This Row],[time]]-2)*2</f>
        <v>-0.4493999999999998</v>
      </c>
      <c r="M297">
        <v>77.290800000000004</v>
      </c>
      <c r="N297">
        <v>2.8234100000000002E-3</v>
      </c>
      <c r="O297">
        <f>Table3325[[#This Row],[CFNM]]/Table3325[[#This Row],[CAREA]]</f>
        <v>3.6529703405838732E-5</v>
      </c>
      <c r="P297">
        <v>2.2246999999999999</v>
      </c>
      <c r="Q297">
        <f>-(Table4326[[#This Row],[time]]-2)*2</f>
        <v>-0.4493999999999998</v>
      </c>
      <c r="R297">
        <v>80.350800000000007</v>
      </c>
      <c r="S297">
        <v>16.276800000000001</v>
      </c>
      <c r="T297">
        <f>Table4326[[#This Row],[CFNM]]/Table4326[[#This Row],[CAREA]]</f>
        <v>0.20257172299466839</v>
      </c>
      <c r="U297">
        <v>2.2246999999999999</v>
      </c>
      <c r="V297">
        <f>-(Table5327[[#This Row],[time]]-2)*2</f>
        <v>-0.4493999999999998</v>
      </c>
      <c r="W297">
        <v>82.204099999999997</v>
      </c>
      <c r="X297">
        <v>4.6301600000000004E-3</v>
      </c>
      <c r="Y297">
        <f>Table5327[[#This Row],[CFNM]]/Table5327[[#This Row],[CAREA]]</f>
        <v>5.6325171128933968E-5</v>
      </c>
      <c r="Z297">
        <v>2.2246999999999999</v>
      </c>
      <c r="AA297">
        <f>-(Table6328[[#This Row],[time]]-2)*2</f>
        <v>-0.4493999999999998</v>
      </c>
      <c r="AB297">
        <v>83.548100000000005</v>
      </c>
      <c r="AC297">
        <v>14.1996</v>
      </c>
      <c r="AD297">
        <f>Table6328[[#This Row],[CFNM]]/Table6328[[#This Row],[CAREA]]</f>
        <v>0.16995718633936618</v>
      </c>
      <c r="AE297">
        <v>2.2246999999999999</v>
      </c>
      <c r="AF297">
        <f>-(Table7329[[#This Row],[time]]-2)*2</f>
        <v>-0.4493999999999998</v>
      </c>
      <c r="AG297">
        <v>80.149799999999999</v>
      </c>
      <c r="AH297">
        <v>11.8591</v>
      </c>
      <c r="AI297">
        <f>Table7329[[#This Row],[CFNM]]/Table7329[[#This Row],[CAREA]]</f>
        <v>0.14796169173223139</v>
      </c>
      <c r="AJ297">
        <v>2.2246999999999999</v>
      </c>
      <c r="AK297">
        <f>-(Table8330[[#This Row],[time]]-2)*2</f>
        <v>-0.4493999999999998</v>
      </c>
      <c r="AL297">
        <v>82.796400000000006</v>
      </c>
      <c r="AM297">
        <v>28.754200000000001</v>
      </c>
      <c r="AN297">
        <f>Table8330[[#This Row],[CFNM]]/Table8330[[#This Row],[CAREA]]</f>
        <v>0.34728804634017901</v>
      </c>
    </row>
    <row r="298" spans="1:40" x14ac:dyDescent="0.25">
      <c r="A298">
        <v>2.2668900000000001</v>
      </c>
      <c r="B298">
        <f>-(Table1323[[#This Row],[time]]-2)*2</f>
        <v>-0.53378000000000014</v>
      </c>
      <c r="C298">
        <v>78.6601</v>
      </c>
      <c r="D298">
        <v>1.76892</v>
      </c>
      <c r="E298">
        <f>Table1323[[#This Row],[CFNM]]/Table1323[[#This Row],[CAREA]]</f>
        <v>2.2488148375097414E-2</v>
      </c>
      <c r="F298">
        <v>2.2668900000000001</v>
      </c>
      <c r="G298">
        <f>-(Table2324[[#This Row],[time]]-2)*2</f>
        <v>-0.53378000000000014</v>
      </c>
      <c r="H298">
        <v>88.522199999999998</v>
      </c>
      <c r="I298">
        <v>20.316800000000001</v>
      </c>
      <c r="J298">
        <f>Table2324[[#This Row],[CFNM]]/Table2324[[#This Row],[CAREA]]</f>
        <v>0.22951078938390598</v>
      </c>
      <c r="K298">
        <v>2.2668900000000001</v>
      </c>
      <c r="L298">
        <f>-(Table3325[[#This Row],[time]]-2)*2</f>
        <v>-0.53378000000000014</v>
      </c>
      <c r="M298">
        <v>74.440799999999996</v>
      </c>
      <c r="N298">
        <v>2.3551399999999999E-3</v>
      </c>
      <c r="O298">
        <f>Table3325[[#This Row],[CFNM]]/Table3325[[#This Row],[CAREA]]</f>
        <v>3.1637757788739509E-5</v>
      </c>
      <c r="P298">
        <v>2.2668900000000001</v>
      </c>
      <c r="Q298">
        <f>-(Table4326[[#This Row],[time]]-2)*2</f>
        <v>-0.53378000000000014</v>
      </c>
      <c r="R298">
        <v>79.325800000000001</v>
      </c>
      <c r="S298">
        <v>19.8794</v>
      </c>
      <c r="T298">
        <f>Table4326[[#This Row],[CFNM]]/Table4326[[#This Row],[CAREA]]</f>
        <v>0.25060446916387857</v>
      </c>
      <c r="U298">
        <v>2.2668900000000001</v>
      </c>
      <c r="V298">
        <f>-(Table5327[[#This Row],[time]]-2)*2</f>
        <v>-0.53378000000000014</v>
      </c>
      <c r="W298">
        <v>82.747</v>
      </c>
      <c r="X298">
        <v>4.3251899999999996E-3</v>
      </c>
      <c r="Y298">
        <f>Table5327[[#This Row],[CFNM]]/Table5327[[#This Row],[CAREA]]</f>
        <v>5.2270052086480473E-5</v>
      </c>
      <c r="Z298">
        <v>2.2668900000000001</v>
      </c>
      <c r="AA298">
        <f>-(Table6328[[#This Row],[time]]-2)*2</f>
        <v>-0.53378000000000014</v>
      </c>
      <c r="AB298">
        <v>82.051299999999998</v>
      </c>
      <c r="AC298">
        <v>18.005400000000002</v>
      </c>
      <c r="AD298">
        <f>Table6328[[#This Row],[CFNM]]/Table6328[[#This Row],[CAREA]]</f>
        <v>0.2194407644973328</v>
      </c>
      <c r="AE298">
        <v>2.2668900000000001</v>
      </c>
      <c r="AF298">
        <f>-(Table7329[[#This Row],[time]]-2)*2</f>
        <v>-0.53378000000000014</v>
      </c>
      <c r="AG298">
        <v>79.688199999999995</v>
      </c>
      <c r="AH298">
        <v>9.9264500000000009</v>
      </c>
      <c r="AI298">
        <f>Table7329[[#This Row],[CFNM]]/Table7329[[#This Row],[CAREA]]</f>
        <v>0.12456612145838407</v>
      </c>
      <c r="AJ298">
        <v>2.2668900000000001</v>
      </c>
      <c r="AK298">
        <f>-(Table8330[[#This Row],[time]]-2)*2</f>
        <v>-0.53378000000000014</v>
      </c>
      <c r="AL298">
        <v>82.826400000000007</v>
      </c>
      <c r="AM298">
        <v>32.077599999999997</v>
      </c>
      <c r="AN298">
        <f>Table8330[[#This Row],[CFNM]]/Table8330[[#This Row],[CAREA]]</f>
        <v>0.38728714516144602</v>
      </c>
    </row>
    <row r="299" spans="1:40" x14ac:dyDescent="0.25">
      <c r="A299">
        <v>2.3262700000000001</v>
      </c>
      <c r="B299">
        <f>-(Table1323[[#This Row],[time]]-2)*2</f>
        <v>-0.65254000000000012</v>
      </c>
      <c r="C299">
        <v>77.444800000000001</v>
      </c>
      <c r="D299">
        <v>1.33439</v>
      </c>
      <c r="E299">
        <f>Table1323[[#This Row],[CFNM]]/Table1323[[#This Row],[CAREA]]</f>
        <v>1.7230207838357128E-2</v>
      </c>
      <c r="F299">
        <v>2.3262700000000001</v>
      </c>
      <c r="G299">
        <f>-(Table2324[[#This Row],[time]]-2)*2</f>
        <v>-0.65254000000000012</v>
      </c>
      <c r="H299">
        <v>87.905199999999994</v>
      </c>
      <c r="I299">
        <v>21.794499999999999</v>
      </c>
      <c r="J299">
        <f>Table2324[[#This Row],[CFNM]]/Table2324[[#This Row],[CAREA]]</f>
        <v>0.24793186296146305</v>
      </c>
      <c r="K299">
        <v>2.3262700000000001</v>
      </c>
      <c r="L299">
        <f>-(Table3325[[#This Row],[time]]-2)*2</f>
        <v>-0.65254000000000012</v>
      </c>
      <c r="M299">
        <v>71.865399999999994</v>
      </c>
      <c r="N299">
        <v>2.20404E-3</v>
      </c>
      <c r="O299">
        <f>Table3325[[#This Row],[CFNM]]/Table3325[[#This Row],[CAREA]]</f>
        <v>3.0669000659566356E-5</v>
      </c>
      <c r="P299">
        <v>2.3262700000000001</v>
      </c>
      <c r="Q299">
        <f>-(Table4326[[#This Row],[time]]-2)*2</f>
        <v>-0.65254000000000012</v>
      </c>
      <c r="R299">
        <v>79.072299999999998</v>
      </c>
      <c r="S299">
        <v>21.145900000000001</v>
      </c>
      <c r="T299">
        <f>Table4326[[#This Row],[CFNM]]/Table4326[[#This Row],[CAREA]]</f>
        <v>0.26742487571501022</v>
      </c>
      <c r="U299">
        <v>2.3262700000000001</v>
      </c>
      <c r="V299">
        <f>-(Table5327[[#This Row],[time]]-2)*2</f>
        <v>-0.65254000000000012</v>
      </c>
      <c r="W299">
        <v>82.643299999999996</v>
      </c>
      <c r="X299">
        <v>4.2278000000000003E-3</v>
      </c>
      <c r="Y299">
        <f>Table5327[[#This Row],[CFNM]]/Table5327[[#This Row],[CAREA]]</f>
        <v>5.1157202096237692E-5</v>
      </c>
      <c r="Z299">
        <v>2.3262700000000001</v>
      </c>
      <c r="AA299">
        <f>-(Table6328[[#This Row],[time]]-2)*2</f>
        <v>-0.65254000000000012</v>
      </c>
      <c r="AB299">
        <v>81.697199999999995</v>
      </c>
      <c r="AC299">
        <v>19.427</v>
      </c>
      <c r="AD299">
        <f>Table6328[[#This Row],[CFNM]]/Table6328[[#This Row],[CAREA]]</f>
        <v>0.23779272729053139</v>
      </c>
      <c r="AE299">
        <v>2.3262700000000001</v>
      </c>
      <c r="AF299">
        <f>-(Table7329[[#This Row],[time]]-2)*2</f>
        <v>-0.65254000000000012</v>
      </c>
      <c r="AG299">
        <v>79.4375</v>
      </c>
      <c r="AH299">
        <v>9.2848400000000009</v>
      </c>
      <c r="AI299">
        <f>Table7329[[#This Row],[CFNM]]/Table7329[[#This Row],[CAREA]]</f>
        <v>0.11688232887490166</v>
      </c>
      <c r="AJ299">
        <v>2.3262700000000001</v>
      </c>
      <c r="AK299">
        <f>-(Table8330[[#This Row],[time]]-2)*2</f>
        <v>-0.65254000000000012</v>
      </c>
      <c r="AL299">
        <v>82.850200000000001</v>
      </c>
      <c r="AM299">
        <v>33.240699999999997</v>
      </c>
      <c r="AN299">
        <f>Table8330[[#This Row],[CFNM]]/Table8330[[#This Row],[CAREA]]</f>
        <v>0.40121448107548319</v>
      </c>
    </row>
    <row r="300" spans="1:40" x14ac:dyDescent="0.25">
      <c r="A300">
        <v>2.3684599999999998</v>
      </c>
      <c r="B300">
        <f>-(Table1323[[#This Row],[time]]-2)*2</f>
        <v>-0.73691999999999958</v>
      </c>
      <c r="C300">
        <v>76.841099999999997</v>
      </c>
      <c r="D300">
        <v>0.58393200000000001</v>
      </c>
      <c r="E300">
        <f>Table1323[[#This Row],[CFNM]]/Table1323[[#This Row],[CAREA]]</f>
        <v>7.5992144828743993E-3</v>
      </c>
      <c r="F300">
        <v>2.3684599999999998</v>
      </c>
      <c r="G300">
        <f>-(Table2324[[#This Row],[time]]-2)*2</f>
        <v>-0.73691999999999958</v>
      </c>
      <c r="H300">
        <v>86.589200000000005</v>
      </c>
      <c r="I300">
        <v>24.979299999999999</v>
      </c>
      <c r="J300">
        <f>Table2324[[#This Row],[CFNM]]/Table2324[[#This Row],[CAREA]]</f>
        <v>0.28848054953735569</v>
      </c>
      <c r="K300">
        <v>2.3684599999999998</v>
      </c>
      <c r="L300">
        <f>-(Table3325[[#This Row],[time]]-2)*2</f>
        <v>-0.73691999999999958</v>
      </c>
      <c r="M300">
        <v>70.1327</v>
      </c>
      <c r="N300">
        <v>1.8904799999999999E-3</v>
      </c>
      <c r="O300">
        <f>Table3325[[#This Row],[CFNM]]/Table3325[[#This Row],[CAREA]]</f>
        <v>2.695575672974233E-5</v>
      </c>
      <c r="P300">
        <v>2.3684599999999998</v>
      </c>
      <c r="Q300">
        <f>-(Table4326[[#This Row],[time]]-2)*2</f>
        <v>-0.73691999999999958</v>
      </c>
      <c r="R300">
        <v>78.337699999999998</v>
      </c>
      <c r="S300">
        <v>24.049099999999999</v>
      </c>
      <c r="T300">
        <f>Table4326[[#This Row],[CFNM]]/Table4326[[#This Row],[CAREA]]</f>
        <v>0.30699267402540537</v>
      </c>
      <c r="U300">
        <v>2.3684599999999998</v>
      </c>
      <c r="V300">
        <f>-(Table5327[[#This Row],[time]]-2)*2</f>
        <v>-0.73691999999999958</v>
      </c>
      <c r="W300">
        <v>82.553700000000006</v>
      </c>
      <c r="X300">
        <v>4.03608E-3</v>
      </c>
      <c r="Y300">
        <f>Table5327[[#This Row],[CFNM]]/Table5327[[#This Row],[CAREA]]</f>
        <v>4.8890358639285697E-5</v>
      </c>
      <c r="Z300">
        <v>2.3684599999999998</v>
      </c>
      <c r="AA300">
        <f>-(Table6328[[#This Row],[time]]-2)*2</f>
        <v>-0.73691999999999958</v>
      </c>
      <c r="AB300">
        <v>80.037400000000005</v>
      </c>
      <c r="AC300">
        <v>22.640999999999998</v>
      </c>
      <c r="AD300">
        <f>Table6328[[#This Row],[CFNM]]/Table6328[[#This Row],[CAREA]]</f>
        <v>0.28288025348149737</v>
      </c>
      <c r="AE300">
        <v>2.3684599999999998</v>
      </c>
      <c r="AF300">
        <f>-(Table7329[[#This Row],[time]]-2)*2</f>
        <v>-0.73691999999999958</v>
      </c>
      <c r="AG300">
        <v>78.639499999999998</v>
      </c>
      <c r="AH300">
        <v>7.9723899999999999</v>
      </c>
      <c r="AI300">
        <f>Table7329[[#This Row],[CFNM]]/Table7329[[#This Row],[CAREA]]</f>
        <v>0.10137895078173183</v>
      </c>
      <c r="AJ300">
        <v>2.3684599999999998</v>
      </c>
      <c r="AK300">
        <f>-(Table8330[[#This Row],[time]]-2)*2</f>
        <v>-0.73691999999999958</v>
      </c>
      <c r="AL300">
        <v>83.034499999999994</v>
      </c>
      <c r="AM300">
        <v>35.944600000000001</v>
      </c>
      <c r="AN300">
        <f>Table8330[[#This Row],[CFNM]]/Table8330[[#This Row],[CAREA]]</f>
        <v>0.4328875346994322</v>
      </c>
    </row>
    <row r="301" spans="1:40" x14ac:dyDescent="0.25">
      <c r="A301">
        <v>2.4278300000000002</v>
      </c>
      <c r="B301">
        <f>-(Table1323[[#This Row],[time]]-2)*2</f>
        <v>-0.85566000000000031</v>
      </c>
      <c r="C301">
        <v>74.263099999999994</v>
      </c>
      <c r="D301">
        <v>0.147645</v>
      </c>
      <c r="E301">
        <f>Table1323[[#This Row],[CFNM]]/Table1323[[#This Row],[CAREA]]</f>
        <v>1.9881340800478303E-3</v>
      </c>
      <c r="F301">
        <v>2.4278300000000002</v>
      </c>
      <c r="G301">
        <f>-(Table2324[[#This Row],[time]]-2)*2</f>
        <v>-0.85566000000000031</v>
      </c>
      <c r="H301">
        <v>85.525000000000006</v>
      </c>
      <c r="I301">
        <v>27.465499999999999</v>
      </c>
      <c r="J301">
        <f>Table2324[[#This Row],[CFNM]]/Table2324[[#This Row],[CAREA]]</f>
        <v>0.32114001753873134</v>
      </c>
      <c r="K301">
        <v>2.4278300000000002</v>
      </c>
      <c r="L301">
        <f>-(Table3325[[#This Row],[time]]-2)*2</f>
        <v>-0.85566000000000031</v>
      </c>
      <c r="M301">
        <v>66.995900000000006</v>
      </c>
      <c r="N301">
        <v>1.6807899999999999E-3</v>
      </c>
      <c r="O301">
        <f>Table3325[[#This Row],[CFNM]]/Table3325[[#This Row],[CAREA]]</f>
        <v>2.5087953143401308E-5</v>
      </c>
      <c r="P301">
        <v>2.4278300000000002</v>
      </c>
      <c r="Q301">
        <f>-(Table4326[[#This Row],[time]]-2)*2</f>
        <v>-0.85566000000000031</v>
      </c>
      <c r="R301">
        <v>77.698400000000007</v>
      </c>
      <c r="S301">
        <v>26.406700000000001</v>
      </c>
      <c r="T301">
        <f>Table4326[[#This Row],[CFNM]]/Table4326[[#This Row],[CAREA]]</f>
        <v>0.33986156729096095</v>
      </c>
      <c r="U301">
        <v>2.4278300000000002</v>
      </c>
      <c r="V301">
        <f>-(Table5327[[#This Row],[time]]-2)*2</f>
        <v>-0.85566000000000031</v>
      </c>
      <c r="W301">
        <v>83.073999999999998</v>
      </c>
      <c r="X301">
        <v>3.8651200000000001E-3</v>
      </c>
      <c r="Y301">
        <f>Table5327[[#This Row],[CFNM]]/Table5327[[#This Row],[CAREA]]</f>
        <v>4.6526229626597977E-5</v>
      </c>
      <c r="Z301">
        <v>2.4278300000000002</v>
      </c>
      <c r="AA301">
        <f>-(Table6328[[#This Row],[time]]-2)*2</f>
        <v>-0.85566000000000031</v>
      </c>
      <c r="AB301">
        <v>79.219700000000003</v>
      </c>
      <c r="AC301">
        <v>25.225300000000001</v>
      </c>
      <c r="AD301">
        <f>Table6328[[#This Row],[CFNM]]/Table6328[[#This Row],[CAREA]]</f>
        <v>0.31842205915952726</v>
      </c>
      <c r="AE301">
        <v>2.4278300000000002</v>
      </c>
      <c r="AF301">
        <f>-(Table7329[[#This Row],[time]]-2)*2</f>
        <v>-0.85566000000000031</v>
      </c>
      <c r="AG301">
        <v>77.757400000000004</v>
      </c>
      <c r="AH301">
        <v>6.94916</v>
      </c>
      <c r="AI301">
        <f>Table7329[[#This Row],[CFNM]]/Table7329[[#This Row],[CAREA]]</f>
        <v>8.9369757733669078E-2</v>
      </c>
      <c r="AJ301">
        <v>2.4278300000000002</v>
      </c>
      <c r="AK301">
        <f>-(Table8330[[#This Row],[time]]-2)*2</f>
        <v>-0.85566000000000031</v>
      </c>
      <c r="AL301">
        <v>83.135999999999996</v>
      </c>
      <c r="AM301">
        <v>38.190800000000003</v>
      </c>
      <c r="AN301">
        <f>Table8330[[#This Row],[CFNM]]/Table8330[[#This Row],[CAREA]]</f>
        <v>0.45937740569668983</v>
      </c>
    </row>
    <row r="302" spans="1:40" x14ac:dyDescent="0.25">
      <c r="A302">
        <v>2.4542000000000002</v>
      </c>
      <c r="B302">
        <f>-(Table1323[[#This Row],[time]]-2)*2</f>
        <v>-0.90840000000000032</v>
      </c>
      <c r="C302">
        <v>72.374799999999993</v>
      </c>
      <c r="D302">
        <v>2.8589000000000002E-3</v>
      </c>
      <c r="E302">
        <f>Table1323[[#This Row],[CFNM]]/Table1323[[#This Row],[CAREA]]</f>
        <v>3.9501318138357557E-5</v>
      </c>
      <c r="F302">
        <v>2.4542000000000002</v>
      </c>
      <c r="G302">
        <f>-(Table2324[[#This Row],[time]]-2)*2</f>
        <v>-0.90840000000000032</v>
      </c>
      <c r="H302">
        <v>84.517200000000003</v>
      </c>
      <c r="I302">
        <v>29.735099999999999</v>
      </c>
      <c r="J302">
        <f>Table2324[[#This Row],[CFNM]]/Table2324[[#This Row],[CAREA]]</f>
        <v>0.35182306086808363</v>
      </c>
      <c r="K302">
        <v>2.4542000000000002</v>
      </c>
      <c r="L302">
        <f>-(Table3325[[#This Row],[time]]-2)*2</f>
        <v>-0.90840000000000032</v>
      </c>
      <c r="M302">
        <v>62.853000000000002</v>
      </c>
      <c r="N302">
        <v>1.49748E-3</v>
      </c>
      <c r="O302">
        <f>Table3325[[#This Row],[CFNM]]/Table3325[[#This Row],[CAREA]]</f>
        <v>2.3825115746265094E-5</v>
      </c>
      <c r="P302">
        <v>2.4542000000000002</v>
      </c>
      <c r="Q302">
        <f>-(Table4326[[#This Row],[time]]-2)*2</f>
        <v>-0.90840000000000032</v>
      </c>
      <c r="R302">
        <v>77.039199999999994</v>
      </c>
      <c r="S302">
        <v>28.7409</v>
      </c>
      <c r="T302">
        <f>Table4326[[#This Row],[CFNM]]/Table4326[[#This Row],[CAREA]]</f>
        <v>0.37306851576859573</v>
      </c>
      <c r="U302">
        <v>2.4542000000000002</v>
      </c>
      <c r="V302">
        <f>-(Table5327[[#This Row],[time]]-2)*2</f>
        <v>-0.90840000000000032</v>
      </c>
      <c r="W302">
        <v>82.700299999999999</v>
      </c>
      <c r="X302">
        <v>3.6853400000000001E-3</v>
      </c>
      <c r="Y302">
        <f>Table5327[[#This Row],[CFNM]]/Table5327[[#This Row],[CAREA]]</f>
        <v>4.4562595298928782E-5</v>
      </c>
      <c r="Z302">
        <v>2.4542000000000002</v>
      </c>
      <c r="AA302">
        <f>-(Table6328[[#This Row],[time]]-2)*2</f>
        <v>-0.90840000000000032</v>
      </c>
      <c r="AB302">
        <v>78.286199999999994</v>
      </c>
      <c r="AC302">
        <v>27.7303</v>
      </c>
      <c r="AD302">
        <f>Table6328[[#This Row],[CFNM]]/Table6328[[#This Row],[CAREA]]</f>
        <v>0.35421696288745658</v>
      </c>
      <c r="AE302">
        <v>2.4542000000000002</v>
      </c>
      <c r="AF302">
        <f>-(Table7329[[#This Row],[time]]-2)*2</f>
        <v>-0.90840000000000032</v>
      </c>
      <c r="AG302">
        <v>76.976100000000002</v>
      </c>
      <c r="AH302">
        <v>6.0072700000000001</v>
      </c>
      <c r="AI302">
        <f>Table7329[[#This Row],[CFNM]]/Table7329[[#This Row],[CAREA]]</f>
        <v>7.8040716534093044E-2</v>
      </c>
      <c r="AJ302">
        <v>2.4542000000000002</v>
      </c>
      <c r="AK302">
        <f>-(Table8330[[#This Row],[time]]-2)*2</f>
        <v>-0.90840000000000032</v>
      </c>
      <c r="AL302">
        <v>83.030299999999997</v>
      </c>
      <c r="AM302">
        <v>40.452800000000003</v>
      </c>
      <c r="AN302">
        <f>Table8330[[#This Row],[CFNM]]/Table8330[[#This Row],[CAREA]]</f>
        <v>0.48720527325566698</v>
      </c>
    </row>
    <row r="303" spans="1:40" x14ac:dyDescent="0.25">
      <c r="A303">
        <v>2.5061499999999999</v>
      </c>
      <c r="B303">
        <f>-(Table1323[[#This Row],[time]]-2)*2</f>
        <v>-1.0122999999999998</v>
      </c>
      <c r="C303">
        <v>70.079700000000003</v>
      </c>
      <c r="D303">
        <v>2.4956000000000002E-3</v>
      </c>
      <c r="E303">
        <f>Table1323[[#This Row],[CFNM]]/Table1323[[#This Row],[CAREA]]</f>
        <v>3.5610883037455927E-5</v>
      </c>
      <c r="F303">
        <v>2.5061499999999999</v>
      </c>
      <c r="G303">
        <f>-(Table2324[[#This Row],[time]]-2)*2</f>
        <v>-1.0122999999999998</v>
      </c>
      <c r="H303">
        <v>83.771299999999997</v>
      </c>
      <c r="I303">
        <v>31.668800000000001</v>
      </c>
      <c r="J303">
        <f>Table2324[[#This Row],[CFNM]]/Table2324[[#This Row],[CAREA]]</f>
        <v>0.37803877939103253</v>
      </c>
      <c r="K303">
        <v>2.5061499999999999</v>
      </c>
      <c r="L303">
        <f>-(Table3325[[#This Row],[time]]-2)*2</f>
        <v>-1.0122999999999998</v>
      </c>
      <c r="M303">
        <v>61.567599999999999</v>
      </c>
      <c r="N303">
        <v>1.3443400000000001E-3</v>
      </c>
      <c r="O303">
        <f>Table3325[[#This Row],[CFNM]]/Table3325[[#This Row],[CAREA]]</f>
        <v>2.1835186039410341E-5</v>
      </c>
      <c r="P303">
        <v>2.5061499999999999</v>
      </c>
      <c r="Q303">
        <f>-(Table4326[[#This Row],[time]]-2)*2</f>
        <v>-1.0122999999999998</v>
      </c>
      <c r="R303">
        <v>76.406599999999997</v>
      </c>
      <c r="S303">
        <v>30.7607</v>
      </c>
      <c r="T303">
        <f>Table4326[[#This Row],[CFNM]]/Table4326[[#This Row],[CAREA]]</f>
        <v>0.40259218444479927</v>
      </c>
      <c r="U303">
        <v>2.5061499999999999</v>
      </c>
      <c r="V303">
        <f>-(Table5327[[#This Row],[time]]-2)*2</f>
        <v>-1.0122999999999998</v>
      </c>
      <c r="W303">
        <v>82.433899999999994</v>
      </c>
      <c r="X303">
        <v>3.5187E-3</v>
      </c>
      <c r="Y303">
        <f>Table5327[[#This Row],[CFNM]]/Table5327[[#This Row],[CAREA]]</f>
        <v>4.2685108917569112E-5</v>
      </c>
      <c r="Z303">
        <v>2.5061499999999999</v>
      </c>
      <c r="AA303">
        <f>-(Table6328[[#This Row],[time]]-2)*2</f>
        <v>-1.0122999999999998</v>
      </c>
      <c r="AB303">
        <v>77.365600000000001</v>
      </c>
      <c r="AC303">
        <v>29.911799999999999</v>
      </c>
      <c r="AD303">
        <f>Table6328[[#This Row],[CFNM]]/Table6328[[#This Row],[CAREA]]</f>
        <v>0.38662919954088121</v>
      </c>
      <c r="AE303">
        <v>2.5061499999999999</v>
      </c>
      <c r="AF303">
        <f>-(Table7329[[#This Row],[time]]-2)*2</f>
        <v>-1.0122999999999998</v>
      </c>
      <c r="AG303">
        <v>76.304900000000004</v>
      </c>
      <c r="AH303">
        <v>5.2422000000000004</v>
      </c>
      <c r="AI303">
        <f>Table7329[[#This Row],[CFNM]]/Table7329[[#This Row],[CAREA]]</f>
        <v>6.8700699430836024E-2</v>
      </c>
      <c r="AJ303">
        <v>2.5061499999999999</v>
      </c>
      <c r="AK303">
        <f>-(Table8330[[#This Row],[time]]-2)*2</f>
        <v>-1.0122999999999998</v>
      </c>
      <c r="AL303">
        <v>83.104200000000006</v>
      </c>
      <c r="AM303">
        <v>42.455800000000004</v>
      </c>
      <c r="AN303">
        <f>Table8330[[#This Row],[CFNM]]/Table8330[[#This Row],[CAREA]]</f>
        <v>0.51087429997521183</v>
      </c>
    </row>
    <row r="304" spans="1:40" x14ac:dyDescent="0.25">
      <c r="A304">
        <v>2.5507599999999999</v>
      </c>
      <c r="B304">
        <f>-(Table1323[[#This Row],[time]]-2)*2</f>
        <v>-1.1015199999999998</v>
      </c>
      <c r="C304">
        <v>67.752300000000005</v>
      </c>
      <c r="D304">
        <v>2.3137600000000002E-3</v>
      </c>
      <c r="E304">
        <f>Table1323[[#This Row],[CFNM]]/Table1323[[#This Row],[CAREA]]</f>
        <v>3.4150279769100088E-5</v>
      </c>
      <c r="F304">
        <v>2.5507599999999999</v>
      </c>
      <c r="G304">
        <f>-(Table2324[[#This Row],[time]]-2)*2</f>
        <v>-1.1015199999999998</v>
      </c>
      <c r="H304">
        <v>82.982399999999998</v>
      </c>
      <c r="I304">
        <v>33.688200000000002</v>
      </c>
      <c r="J304">
        <f>Table2324[[#This Row],[CFNM]]/Table2324[[#This Row],[CAREA]]</f>
        <v>0.40596801249421566</v>
      </c>
      <c r="K304">
        <v>2.5507599999999999</v>
      </c>
      <c r="L304">
        <f>-(Table3325[[#This Row],[time]]-2)*2</f>
        <v>-1.1015199999999998</v>
      </c>
      <c r="M304">
        <v>57.600299999999997</v>
      </c>
      <c r="N304">
        <v>1.1975099999999999E-3</v>
      </c>
      <c r="O304">
        <f>Table3325[[#This Row],[CFNM]]/Table3325[[#This Row],[CAREA]]</f>
        <v>2.0789995885438098E-5</v>
      </c>
      <c r="P304">
        <v>2.5507599999999999</v>
      </c>
      <c r="Q304">
        <f>-(Table4326[[#This Row],[time]]-2)*2</f>
        <v>-1.1015199999999998</v>
      </c>
      <c r="R304">
        <v>75.712999999999994</v>
      </c>
      <c r="S304">
        <v>32.893999999999998</v>
      </c>
      <c r="T304">
        <f>Table4326[[#This Row],[CFNM]]/Table4326[[#This Row],[CAREA]]</f>
        <v>0.43445643416586321</v>
      </c>
      <c r="U304">
        <v>2.5507599999999999</v>
      </c>
      <c r="V304">
        <f>-(Table5327[[#This Row],[time]]-2)*2</f>
        <v>-1.1015199999999998</v>
      </c>
      <c r="W304">
        <v>81.970500000000001</v>
      </c>
      <c r="X304">
        <v>3.3431300000000001E-3</v>
      </c>
      <c r="Y304">
        <f>Table5327[[#This Row],[CFNM]]/Table5327[[#This Row],[CAREA]]</f>
        <v>4.0784550539523367E-5</v>
      </c>
      <c r="Z304">
        <v>2.5507599999999999</v>
      </c>
      <c r="AA304">
        <f>-(Table6328[[#This Row],[time]]-2)*2</f>
        <v>-1.1015199999999998</v>
      </c>
      <c r="AB304">
        <v>76.687200000000004</v>
      </c>
      <c r="AC304">
        <v>32.191600000000001</v>
      </c>
      <c r="AD304">
        <f>Table6328[[#This Row],[CFNM]]/Table6328[[#This Row],[CAREA]]</f>
        <v>0.41977800728152809</v>
      </c>
      <c r="AE304">
        <v>2.5507599999999999</v>
      </c>
      <c r="AF304">
        <f>-(Table7329[[#This Row],[time]]-2)*2</f>
        <v>-1.1015199999999998</v>
      </c>
      <c r="AG304">
        <v>75.613399999999999</v>
      </c>
      <c r="AH304">
        <v>4.4754100000000001</v>
      </c>
      <c r="AI304">
        <f>Table7329[[#This Row],[CFNM]]/Table7329[[#This Row],[CAREA]]</f>
        <v>5.9188053969270002E-2</v>
      </c>
      <c r="AJ304">
        <v>2.5507599999999999</v>
      </c>
      <c r="AK304">
        <f>-(Table8330[[#This Row],[time]]-2)*2</f>
        <v>-1.1015199999999998</v>
      </c>
      <c r="AL304">
        <v>83.117999999999995</v>
      </c>
      <c r="AM304">
        <v>44.633699999999997</v>
      </c>
      <c r="AN304">
        <f>Table8330[[#This Row],[CFNM]]/Table8330[[#This Row],[CAREA]]</f>
        <v>0.53699198729517073</v>
      </c>
    </row>
    <row r="305" spans="1:40" x14ac:dyDescent="0.25">
      <c r="A305">
        <v>2.60453</v>
      </c>
      <c r="B305">
        <f>-(Table1323[[#This Row],[time]]-2)*2</f>
        <v>-1.20906</v>
      </c>
      <c r="C305">
        <v>66.314700000000002</v>
      </c>
      <c r="D305">
        <v>2.1505600000000001E-3</v>
      </c>
      <c r="E305">
        <f>Table1323[[#This Row],[CFNM]]/Table1323[[#This Row],[CAREA]]</f>
        <v>3.2429612137278763E-5</v>
      </c>
      <c r="F305">
        <v>2.60453</v>
      </c>
      <c r="G305">
        <f>-(Table2324[[#This Row],[time]]-2)*2</f>
        <v>-1.20906</v>
      </c>
      <c r="H305">
        <v>82.242500000000007</v>
      </c>
      <c r="I305">
        <v>35.448099999999997</v>
      </c>
      <c r="J305">
        <f>Table2324[[#This Row],[CFNM]]/Table2324[[#This Row],[CAREA]]</f>
        <v>0.43101924187615887</v>
      </c>
      <c r="K305">
        <v>2.60453</v>
      </c>
      <c r="L305">
        <f>-(Table3325[[#This Row],[time]]-2)*2</f>
        <v>-1.20906</v>
      </c>
      <c r="M305">
        <v>56.415300000000002</v>
      </c>
      <c r="N305">
        <v>1.0773600000000001E-3</v>
      </c>
      <c r="O305">
        <f>Table3325[[#This Row],[CFNM]]/Table3325[[#This Row],[CAREA]]</f>
        <v>1.9096947104774769E-5</v>
      </c>
      <c r="P305">
        <v>2.60453</v>
      </c>
      <c r="Q305">
        <f>-(Table4326[[#This Row],[time]]-2)*2</f>
        <v>-1.20906</v>
      </c>
      <c r="R305">
        <v>75.100099999999998</v>
      </c>
      <c r="S305">
        <v>34.814900000000002</v>
      </c>
      <c r="T305">
        <f>Table4326[[#This Row],[CFNM]]/Table4326[[#This Row],[CAREA]]</f>
        <v>0.463579941970783</v>
      </c>
      <c r="U305">
        <v>2.60453</v>
      </c>
      <c r="V305">
        <f>-(Table5327[[#This Row],[time]]-2)*2</f>
        <v>-1.20906</v>
      </c>
      <c r="W305">
        <v>81.446200000000005</v>
      </c>
      <c r="X305">
        <v>3.1868600000000001E-3</v>
      </c>
      <c r="Y305">
        <f>Table5327[[#This Row],[CFNM]]/Table5327[[#This Row],[CAREA]]</f>
        <v>3.9128406236263936E-5</v>
      </c>
      <c r="Z305">
        <v>2.60453</v>
      </c>
      <c r="AA305">
        <f>-(Table6328[[#This Row],[time]]-2)*2</f>
        <v>-1.20906</v>
      </c>
      <c r="AB305">
        <v>75.7624</v>
      </c>
      <c r="AC305">
        <v>34.227400000000003</v>
      </c>
      <c r="AD305">
        <f>Table6328[[#This Row],[CFNM]]/Table6328[[#This Row],[CAREA]]</f>
        <v>0.45177291110102114</v>
      </c>
      <c r="AE305">
        <v>2.60453</v>
      </c>
      <c r="AF305">
        <f>-(Table7329[[#This Row],[time]]-2)*2</f>
        <v>-1.20906</v>
      </c>
      <c r="AG305">
        <v>74.918800000000005</v>
      </c>
      <c r="AH305">
        <v>3.8454899999999999</v>
      </c>
      <c r="AI305">
        <f>Table7329[[#This Row],[CFNM]]/Table7329[[#This Row],[CAREA]]</f>
        <v>5.1328771950431659E-2</v>
      </c>
      <c r="AJ305">
        <v>2.60453</v>
      </c>
      <c r="AK305">
        <f>-(Table8330[[#This Row],[time]]-2)*2</f>
        <v>-1.20906</v>
      </c>
      <c r="AL305">
        <v>83.022499999999994</v>
      </c>
      <c r="AM305">
        <v>46.617600000000003</v>
      </c>
      <c r="AN305">
        <f>Table8330[[#This Row],[CFNM]]/Table8330[[#This Row],[CAREA]]</f>
        <v>0.56150561594748416</v>
      </c>
    </row>
    <row r="306" spans="1:40" x14ac:dyDescent="0.25">
      <c r="A306">
        <v>2.65273</v>
      </c>
      <c r="B306">
        <f>-(Table1323[[#This Row],[time]]-2)*2</f>
        <v>-1.3054600000000001</v>
      </c>
      <c r="C306">
        <v>63.457299999999996</v>
      </c>
      <c r="D306">
        <v>1.9590499999999999E-3</v>
      </c>
      <c r="E306">
        <f>Table1323[[#This Row],[CFNM]]/Table1323[[#This Row],[CAREA]]</f>
        <v>3.0871940659309488E-5</v>
      </c>
      <c r="F306">
        <v>2.65273</v>
      </c>
      <c r="G306">
        <f>-(Table2324[[#This Row],[time]]-2)*2</f>
        <v>-1.3054600000000001</v>
      </c>
      <c r="H306">
        <v>81.403999999999996</v>
      </c>
      <c r="I306">
        <v>37.418999999999997</v>
      </c>
      <c r="J306">
        <f>Table2324[[#This Row],[CFNM]]/Table2324[[#This Row],[CAREA]]</f>
        <v>0.45967028647240921</v>
      </c>
      <c r="K306">
        <v>2.65273</v>
      </c>
      <c r="L306">
        <f>-(Table3325[[#This Row],[time]]-2)*2</f>
        <v>-1.3054600000000001</v>
      </c>
      <c r="M306">
        <v>52.4617</v>
      </c>
      <c r="N306">
        <v>9.4366299999999997E-4</v>
      </c>
      <c r="O306">
        <f>Table3325[[#This Row],[CFNM]]/Table3325[[#This Row],[CAREA]]</f>
        <v>1.7987655756485207E-5</v>
      </c>
      <c r="P306">
        <v>2.65273</v>
      </c>
      <c r="Q306">
        <f>-(Table4326[[#This Row],[time]]-2)*2</f>
        <v>-1.3054600000000001</v>
      </c>
      <c r="R306">
        <v>74.363399999999999</v>
      </c>
      <c r="S306">
        <v>37.010300000000001</v>
      </c>
      <c r="T306">
        <f>Table4326[[#This Row],[CFNM]]/Table4326[[#This Row],[CAREA]]</f>
        <v>0.49769510269837047</v>
      </c>
      <c r="U306">
        <v>2.65273</v>
      </c>
      <c r="V306">
        <f>-(Table5327[[#This Row],[time]]-2)*2</f>
        <v>-1.3054600000000001</v>
      </c>
      <c r="W306">
        <v>80.510300000000001</v>
      </c>
      <c r="X306">
        <v>3.0086900000000001E-3</v>
      </c>
      <c r="Y306">
        <f>Table5327[[#This Row],[CFNM]]/Table5327[[#This Row],[CAREA]]</f>
        <v>3.7370249520868759E-5</v>
      </c>
      <c r="Z306">
        <v>2.65273</v>
      </c>
      <c r="AA306">
        <f>-(Table6328[[#This Row],[time]]-2)*2</f>
        <v>-1.3054600000000001</v>
      </c>
      <c r="AB306">
        <v>74.459000000000003</v>
      </c>
      <c r="AC306">
        <v>36.5715</v>
      </c>
      <c r="AD306">
        <f>Table6328[[#This Row],[CFNM]]/Table6328[[#This Row],[CAREA]]</f>
        <v>0.49116292187646893</v>
      </c>
      <c r="AE306">
        <v>2.65273</v>
      </c>
      <c r="AF306">
        <f>-(Table7329[[#This Row],[time]]-2)*2</f>
        <v>-1.3054600000000001</v>
      </c>
      <c r="AG306">
        <v>74.144300000000001</v>
      </c>
      <c r="AH306">
        <v>3.1451899999999999</v>
      </c>
      <c r="AI306">
        <f>Table7329[[#This Row],[CFNM]]/Table7329[[#This Row],[CAREA]]</f>
        <v>4.2419848862286107E-2</v>
      </c>
      <c r="AJ306">
        <v>2.65273</v>
      </c>
      <c r="AK306">
        <f>-(Table8330[[#This Row],[time]]-2)*2</f>
        <v>-1.3054600000000001</v>
      </c>
      <c r="AL306">
        <v>82.299899999999994</v>
      </c>
      <c r="AM306">
        <v>48.887799999999999</v>
      </c>
      <c r="AN306">
        <f>Table8330[[#This Row],[CFNM]]/Table8330[[#This Row],[CAREA]]</f>
        <v>0.59402016284345427</v>
      </c>
    </row>
    <row r="307" spans="1:40" x14ac:dyDescent="0.25">
      <c r="A307">
        <v>2.7006199999999998</v>
      </c>
      <c r="B307">
        <f>-(Table1323[[#This Row],[time]]-2)*2</f>
        <v>-1.4012399999999996</v>
      </c>
      <c r="C307">
        <v>59.949800000000003</v>
      </c>
      <c r="D307">
        <v>1.7912099999999999E-3</v>
      </c>
      <c r="E307">
        <f>Table1323[[#This Row],[CFNM]]/Table1323[[#This Row],[CAREA]]</f>
        <v>2.9878498343614155E-5</v>
      </c>
      <c r="F307">
        <v>2.7006199999999998</v>
      </c>
      <c r="G307">
        <f>-(Table2324[[#This Row],[time]]-2)*2</f>
        <v>-1.4012399999999996</v>
      </c>
      <c r="H307">
        <v>80.706599999999995</v>
      </c>
      <c r="I307">
        <v>39.1404</v>
      </c>
      <c r="J307">
        <f>Table2324[[#This Row],[CFNM]]/Table2324[[#This Row],[CAREA]]</f>
        <v>0.48497148932057604</v>
      </c>
      <c r="K307">
        <v>2.7006199999999998</v>
      </c>
      <c r="L307">
        <f>-(Table3325[[#This Row],[time]]-2)*2</f>
        <v>-1.4012399999999996</v>
      </c>
      <c r="M307">
        <v>50.160200000000003</v>
      </c>
      <c r="N307">
        <v>8.3095200000000004E-4</v>
      </c>
      <c r="O307">
        <f>Table3325[[#This Row],[CFNM]]/Table3325[[#This Row],[CAREA]]</f>
        <v>1.6565962655651294E-5</v>
      </c>
      <c r="P307">
        <v>2.7006199999999998</v>
      </c>
      <c r="Q307">
        <f>-(Table4326[[#This Row],[time]]-2)*2</f>
        <v>-1.4012399999999996</v>
      </c>
      <c r="R307">
        <v>73.695999999999998</v>
      </c>
      <c r="S307">
        <v>38.8992</v>
      </c>
      <c r="T307">
        <f>Table4326[[#This Row],[CFNM]]/Table4326[[#This Row],[CAREA]]</f>
        <v>0.5278332609639601</v>
      </c>
      <c r="U307">
        <v>2.7006199999999998</v>
      </c>
      <c r="V307">
        <f>-(Table5327[[#This Row],[time]]-2)*2</f>
        <v>-1.4012399999999996</v>
      </c>
      <c r="W307">
        <v>80.145499999999998</v>
      </c>
      <c r="X307">
        <v>2.8394000000000002E-3</v>
      </c>
      <c r="Y307">
        <f>Table5327[[#This Row],[CFNM]]/Table5327[[#This Row],[CAREA]]</f>
        <v>3.5428065206405854E-5</v>
      </c>
      <c r="Z307">
        <v>2.7006199999999998</v>
      </c>
      <c r="AA307">
        <f>-(Table6328[[#This Row],[time]]-2)*2</f>
        <v>-1.4012399999999996</v>
      </c>
      <c r="AB307">
        <v>73.520300000000006</v>
      </c>
      <c r="AC307">
        <v>38.639200000000002</v>
      </c>
      <c r="AD307">
        <f>Table6328[[#This Row],[CFNM]]/Table6328[[#This Row],[CAREA]]</f>
        <v>0.52555824717799027</v>
      </c>
      <c r="AE307">
        <v>2.7006199999999998</v>
      </c>
      <c r="AF307">
        <f>-(Table7329[[#This Row],[time]]-2)*2</f>
        <v>-1.4012399999999996</v>
      </c>
      <c r="AG307">
        <v>73.528000000000006</v>
      </c>
      <c r="AH307">
        <v>2.5293700000000001</v>
      </c>
      <c r="AI307">
        <f>Table7329[[#This Row],[CFNM]]/Table7329[[#This Row],[CAREA]]</f>
        <v>3.4400092481775647E-2</v>
      </c>
      <c r="AJ307">
        <v>2.7006199999999998</v>
      </c>
      <c r="AK307">
        <f>-(Table8330[[#This Row],[time]]-2)*2</f>
        <v>-1.4012399999999996</v>
      </c>
      <c r="AL307">
        <v>82.161600000000007</v>
      </c>
      <c r="AM307">
        <v>50.873100000000001</v>
      </c>
      <c r="AN307">
        <f>Table8330[[#This Row],[CFNM]]/Table8330[[#This Row],[CAREA]]</f>
        <v>0.6191834141496757</v>
      </c>
    </row>
    <row r="308" spans="1:40" x14ac:dyDescent="0.25">
      <c r="A308">
        <v>2.75176</v>
      </c>
      <c r="B308">
        <f>-(Table1323[[#This Row],[time]]-2)*2</f>
        <v>-1.50352</v>
      </c>
      <c r="C308">
        <v>55.5246</v>
      </c>
      <c r="D308">
        <v>1.63397E-3</v>
      </c>
      <c r="E308">
        <f>Table1323[[#This Row],[CFNM]]/Table1323[[#This Row],[CAREA]]</f>
        <v>2.9427857202032973E-5</v>
      </c>
      <c r="F308">
        <v>2.75176</v>
      </c>
      <c r="G308">
        <f>-(Table2324[[#This Row],[time]]-2)*2</f>
        <v>-1.50352</v>
      </c>
      <c r="H308">
        <v>80.015000000000001</v>
      </c>
      <c r="I308">
        <v>40.817700000000002</v>
      </c>
      <c r="J308">
        <f>Table2324[[#This Row],[CFNM]]/Table2324[[#This Row],[CAREA]]</f>
        <v>0.51012560144972818</v>
      </c>
      <c r="K308">
        <v>2.75176</v>
      </c>
      <c r="L308">
        <f>-(Table3325[[#This Row],[time]]-2)*2</f>
        <v>-1.50352</v>
      </c>
      <c r="M308">
        <v>50.199599999999997</v>
      </c>
      <c r="N308">
        <v>7.1962100000000004E-4</v>
      </c>
      <c r="O308">
        <f>Table3325[[#This Row],[CFNM]]/Table3325[[#This Row],[CAREA]]</f>
        <v>1.433519390592754E-5</v>
      </c>
      <c r="P308">
        <v>2.75176</v>
      </c>
      <c r="Q308">
        <f>-(Table4326[[#This Row],[time]]-2)*2</f>
        <v>-1.50352</v>
      </c>
      <c r="R308">
        <v>73.043099999999995</v>
      </c>
      <c r="S308">
        <v>40.743600000000001</v>
      </c>
      <c r="T308">
        <f>Table4326[[#This Row],[CFNM]]/Table4326[[#This Row],[CAREA]]</f>
        <v>0.55780217433268853</v>
      </c>
      <c r="U308">
        <v>2.75176</v>
      </c>
      <c r="V308">
        <f>-(Table5327[[#This Row],[time]]-2)*2</f>
        <v>-1.50352</v>
      </c>
      <c r="W308">
        <v>79.701899999999995</v>
      </c>
      <c r="X308">
        <v>2.6692899999999999E-3</v>
      </c>
      <c r="Y308">
        <f>Table5327[[#This Row],[CFNM]]/Table5327[[#This Row],[CAREA]]</f>
        <v>3.3490920542672132E-5</v>
      </c>
      <c r="Z308">
        <v>2.75176</v>
      </c>
      <c r="AA308">
        <f>-(Table6328[[#This Row],[time]]-2)*2</f>
        <v>-1.50352</v>
      </c>
      <c r="AB308">
        <v>73.010400000000004</v>
      </c>
      <c r="AC308">
        <v>40.710900000000002</v>
      </c>
      <c r="AD308">
        <f>Table6328[[#This Row],[CFNM]]/Table6328[[#This Row],[CAREA]]</f>
        <v>0.55760412215246047</v>
      </c>
      <c r="AE308">
        <v>2.75176</v>
      </c>
      <c r="AF308">
        <f>-(Table7329[[#This Row],[time]]-2)*2</f>
        <v>-1.50352</v>
      </c>
      <c r="AG308">
        <v>72.918999999999997</v>
      </c>
      <c r="AH308">
        <v>2.0212400000000001</v>
      </c>
      <c r="AI308">
        <f>Table7329[[#This Row],[CFNM]]/Table7329[[#This Row],[CAREA]]</f>
        <v>2.7718975849915662E-2</v>
      </c>
      <c r="AJ308">
        <v>2.75176</v>
      </c>
      <c r="AK308">
        <f>-(Table8330[[#This Row],[time]]-2)*2</f>
        <v>-1.50352</v>
      </c>
      <c r="AL308">
        <v>82.078299999999999</v>
      </c>
      <c r="AM308">
        <v>52.802</v>
      </c>
      <c r="AN308">
        <f>Table8330[[#This Row],[CFNM]]/Table8330[[#This Row],[CAREA]]</f>
        <v>0.64331254424129158</v>
      </c>
    </row>
    <row r="309" spans="1:40" x14ac:dyDescent="0.25">
      <c r="A309">
        <v>2.80444</v>
      </c>
      <c r="B309">
        <f>-(Table1323[[#This Row],[time]]-2)*2</f>
        <v>-1.6088800000000001</v>
      </c>
      <c r="C309">
        <v>54.121200000000002</v>
      </c>
      <c r="D309">
        <v>1.4844299999999999E-3</v>
      </c>
      <c r="E309">
        <f>Table1323[[#This Row],[CFNM]]/Table1323[[#This Row],[CAREA]]</f>
        <v>2.7427884082392848E-5</v>
      </c>
      <c r="F309">
        <v>2.80444</v>
      </c>
      <c r="G309">
        <f>-(Table2324[[#This Row],[time]]-2)*2</f>
        <v>-1.6088800000000001</v>
      </c>
      <c r="H309">
        <v>79.336799999999997</v>
      </c>
      <c r="I309">
        <v>42.476500000000001</v>
      </c>
      <c r="J309">
        <f>Table2324[[#This Row],[CFNM]]/Table2324[[#This Row],[CAREA]]</f>
        <v>0.53539467182946632</v>
      </c>
      <c r="K309">
        <v>2.80444</v>
      </c>
      <c r="L309">
        <f>-(Table3325[[#This Row],[time]]-2)*2</f>
        <v>-1.6088800000000001</v>
      </c>
      <c r="M309">
        <v>43.266199999999998</v>
      </c>
      <c r="N309">
        <v>6.1657300000000003E-4</v>
      </c>
      <c r="O309">
        <f>Table3325[[#This Row],[CFNM]]/Table3325[[#This Row],[CAREA]]</f>
        <v>1.4250685292445375E-5</v>
      </c>
      <c r="P309">
        <v>2.80444</v>
      </c>
      <c r="Q309">
        <f>-(Table4326[[#This Row],[time]]-2)*2</f>
        <v>-1.6088800000000001</v>
      </c>
      <c r="R309">
        <v>72.411600000000007</v>
      </c>
      <c r="S309">
        <v>42.505299999999998</v>
      </c>
      <c r="T309">
        <f>Table4326[[#This Row],[CFNM]]/Table4326[[#This Row],[CAREA]]</f>
        <v>0.58699572996591698</v>
      </c>
      <c r="U309">
        <v>2.80444</v>
      </c>
      <c r="V309">
        <f>-(Table5327[[#This Row],[time]]-2)*2</f>
        <v>-1.6088800000000001</v>
      </c>
      <c r="W309">
        <v>79.203199999999995</v>
      </c>
      <c r="X309">
        <v>2.4942200000000001E-3</v>
      </c>
      <c r="Y309">
        <f>Table5327[[#This Row],[CFNM]]/Table5327[[#This Row],[CAREA]]</f>
        <v>3.1491404387701507E-5</v>
      </c>
      <c r="Z309">
        <v>2.80444</v>
      </c>
      <c r="AA309">
        <f>-(Table6328[[#This Row],[time]]-2)*2</f>
        <v>-1.6088800000000001</v>
      </c>
      <c r="AB309">
        <v>72.2136</v>
      </c>
      <c r="AC309">
        <v>42.770299999999999</v>
      </c>
      <c r="AD309">
        <f>Table6328[[#This Row],[CFNM]]/Table6328[[#This Row],[CAREA]]</f>
        <v>0.5922748623527978</v>
      </c>
      <c r="AE309">
        <v>2.80444</v>
      </c>
      <c r="AF309">
        <f>-(Table7329[[#This Row],[time]]-2)*2</f>
        <v>-1.6088800000000001</v>
      </c>
      <c r="AG309">
        <v>72.331599999999995</v>
      </c>
      <c r="AH309">
        <v>1.64374</v>
      </c>
      <c r="AI309">
        <f>Table7329[[#This Row],[CFNM]]/Table7329[[#This Row],[CAREA]]</f>
        <v>2.2725060692698629E-2</v>
      </c>
      <c r="AJ309">
        <v>2.80444</v>
      </c>
      <c r="AK309">
        <f>-(Table8330[[#This Row],[time]]-2)*2</f>
        <v>-1.6088800000000001</v>
      </c>
      <c r="AL309">
        <v>82.106899999999996</v>
      </c>
      <c r="AM309">
        <v>54.674399999999999</v>
      </c>
      <c r="AN309">
        <f>Table8330[[#This Row],[CFNM]]/Table8330[[#This Row],[CAREA]]</f>
        <v>0.66589287867402136</v>
      </c>
    </row>
    <row r="310" spans="1:40" x14ac:dyDescent="0.25">
      <c r="A310">
        <v>2.8583699999999999</v>
      </c>
      <c r="B310">
        <f>-(Table1323[[#This Row],[time]]-2)*2</f>
        <v>-1.7167399999999997</v>
      </c>
      <c r="C310">
        <v>50.848999999999997</v>
      </c>
      <c r="D310">
        <v>1.3425399999999999E-3</v>
      </c>
      <c r="E310">
        <f>Table1323[[#This Row],[CFNM]]/Table1323[[#This Row],[CAREA]]</f>
        <v>2.6402485791264331E-5</v>
      </c>
      <c r="F310">
        <v>2.8583699999999999</v>
      </c>
      <c r="G310">
        <f>-(Table2324[[#This Row],[time]]-2)*2</f>
        <v>-1.7167399999999997</v>
      </c>
      <c r="H310">
        <v>78.674800000000005</v>
      </c>
      <c r="I310">
        <v>44.111600000000003</v>
      </c>
      <c r="J310">
        <f>Table2324[[#This Row],[CFNM]]/Table2324[[#This Row],[CAREA]]</f>
        <v>0.56068270907584128</v>
      </c>
      <c r="K310">
        <v>2.8583699999999999</v>
      </c>
      <c r="L310">
        <f>-(Table3325[[#This Row],[time]]-2)*2</f>
        <v>-1.7167399999999997</v>
      </c>
      <c r="M310">
        <v>40.387500000000003</v>
      </c>
      <c r="N310">
        <v>5.2557899999999998E-4</v>
      </c>
      <c r="O310">
        <f>Table3325[[#This Row],[CFNM]]/Table3325[[#This Row],[CAREA]]</f>
        <v>1.3013407613741875E-5</v>
      </c>
      <c r="P310">
        <v>2.8583699999999999</v>
      </c>
      <c r="Q310">
        <f>-(Table4326[[#This Row],[time]]-2)*2</f>
        <v>-1.7167399999999997</v>
      </c>
      <c r="R310">
        <v>71.760000000000005</v>
      </c>
      <c r="S310">
        <v>44.209699999999998</v>
      </c>
      <c r="T310">
        <f>Table4326[[#This Row],[CFNM]]/Table4326[[#This Row],[CAREA]]</f>
        <v>0.61607720178372349</v>
      </c>
      <c r="U310">
        <v>2.8583699999999999</v>
      </c>
      <c r="V310">
        <f>-(Table5327[[#This Row],[time]]-2)*2</f>
        <v>-1.7167399999999997</v>
      </c>
      <c r="W310">
        <v>77.107399999999998</v>
      </c>
      <c r="X310">
        <v>2.3169200000000001E-3</v>
      </c>
      <c r="Y310">
        <f>Table5327[[#This Row],[CFNM]]/Table5327[[#This Row],[CAREA]]</f>
        <v>3.0047959080451425E-5</v>
      </c>
      <c r="Z310">
        <v>2.8583699999999999</v>
      </c>
      <c r="AA310">
        <f>-(Table6328[[#This Row],[time]]-2)*2</f>
        <v>-1.7167399999999997</v>
      </c>
      <c r="AB310">
        <v>71.093100000000007</v>
      </c>
      <c r="AC310">
        <v>44.770099999999999</v>
      </c>
      <c r="AD310">
        <f>Table6328[[#This Row],[CFNM]]/Table6328[[#This Row],[CAREA]]</f>
        <v>0.62973903233928463</v>
      </c>
      <c r="AE310">
        <v>2.8583699999999999</v>
      </c>
      <c r="AF310">
        <f>-(Table7329[[#This Row],[time]]-2)*2</f>
        <v>-1.7167399999999997</v>
      </c>
      <c r="AG310">
        <v>71.777600000000007</v>
      </c>
      <c r="AH310">
        <v>1.2633799999999999</v>
      </c>
      <c r="AI310">
        <f>Table7329[[#This Row],[CFNM]]/Table7329[[#This Row],[CAREA]]</f>
        <v>1.7601312944428342E-2</v>
      </c>
      <c r="AJ310">
        <v>2.8583699999999999</v>
      </c>
      <c r="AK310">
        <f>-(Table8330[[#This Row],[time]]-2)*2</f>
        <v>-1.7167399999999997</v>
      </c>
      <c r="AL310">
        <v>81.951499999999996</v>
      </c>
      <c r="AM310">
        <v>56.518700000000003</v>
      </c>
      <c r="AN310">
        <f>Table8330[[#This Row],[CFNM]]/Table8330[[#This Row],[CAREA]]</f>
        <v>0.68966034788869035</v>
      </c>
    </row>
    <row r="311" spans="1:40" x14ac:dyDescent="0.25">
      <c r="A311">
        <v>2.9134199999999999</v>
      </c>
      <c r="B311">
        <f>-(Table1323[[#This Row],[time]]-2)*2</f>
        <v>-1.8268399999999998</v>
      </c>
      <c r="C311">
        <v>45.589199999999998</v>
      </c>
      <c r="D311">
        <v>1.1843400000000001E-3</v>
      </c>
      <c r="E311">
        <f>Table1323[[#This Row],[CFNM]]/Table1323[[#This Row],[CAREA]]</f>
        <v>2.5978521228712065E-5</v>
      </c>
      <c r="F311">
        <v>2.9134199999999999</v>
      </c>
      <c r="G311">
        <f>-(Table2324[[#This Row],[time]]-2)*2</f>
        <v>-1.8268399999999998</v>
      </c>
      <c r="H311">
        <v>77.856899999999996</v>
      </c>
      <c r="I311">
        <v>46.038200000000003</v>
      </c>
      <c r="J311">
        <f>Table2324[[#This Row],[CFNM]]/Table2324[[#This Row],[CAREA]]</f>
        <v>0.59131817475393966</v>
      </c>
      <c r="K311">
        <v>2.9134199999999999</v>
      </c>
      <c r="L311">
        <f>-(Table3325[[#This Row],[time]]-2)*2</f>
        <v>-1.8268399999999998</v>
      </c>
      <c r="M311">
        <v>36.366199999999999</v>
      </c>
      <c r="N311">
        <v>4.2945199999999998E-4</v>
      </c>
      <c r="O311">
        <f>Table3325[[#This Row],[CFNM]]/Table3325[[#This Row],[CAREA]]</f>
        <v>1.1809097458629166E-5</v>
      </c>
      <c r="P311">
        <v>2.9134199999999999</v>
      </c>
      <c r="Q311">
        <f>-(Table4326[[#This Row],[time]]-2)*2</f>
        <v>-1.8268399999999998</v>
      </c>
      <c r="R311">
        <v>71.054699999999997</v>
      </c>
      <c r="S311">
        <v>46.177199999999999</v>
      </c>
      <c r="T311">
        <f>Table4326[[#This Row],[CFNM]]/Table4326[[#This Row],[CAREA]]</f>
        <v>0.64988241453415474</v>
      </c>
      <c r="U311">
        <v>2.9134199999999999</v>
      </c>
      <c r="V311">
        <f>-(Table5327[[#This Row],[time]]-2)*2</f>
        <v>-1.8268399999999998</v>
      </c>
      <c r="W311">
        <v>75.321600000000004</v>
      </c>
      <c r="X311">
        <v>2.11546E-3</v>
      </c>
      <c r="Y311">
        <f>Table5327[[#This Row],[CFNM]]/Table5327[[#This Row],[CAREA]]</f>
        <v>2.8085701843827003E-5</v>
      </c>
      <c r="Z311">
        <v>2.9134199999999999</v>
      </c>
      <c r="AA311">
        <f>-(Table6328[[#This Row],[time]]-2)*2</f>
        <v>-1.8268399999999998</v>
      </c>
      <c r="AB311">
        <v>70.540300000000002</v>
      </c>
      <c r="AC311">
        <v>47.121699999999997</v>
      </c>
      <c r="AD311">
        <f>Table6328[[#This Row],[CFNM]]/Table6328[[#This Row],[CAREA]]</f>
        <v>0.66801105183845255</v>
      </c>
      <c r="AE311">
        <v>2.9134199999999999</v>
      </c>
      <c r="AF311">
        <f>-(Table7329[[#This Row],[time]]-2)*2</f>
        <v>-1.8268399999999998</v>
      </c>
      <c r="AG311">
        <v>71.237899999999996</v>
      </c>
      <c r="AH311">
        <v>0.85735499999999998</v>
      </c>
      <c r="AI311">
        <f>Table7329[[#This Row],[CFNM]]/Table7329[[#This Row],[CAREA]]</f>
        <v>1.2035096486561227E-2</v>
      </c>
      <c r="AJ311">
        <v>2.9134199999999999</v>
      </c>
      <c r="AK311">
        <f>-(Table8330[[#This Row],[time]]-2)*2</f>
        <v>-1.8268399999999998</v>
      </c>
      <c r="AL311">
        <v>81.978999999999999</v>
      </c>
      <c r="AM311">
        <v>58.655799999999999</v>
      </c>
      <c r="AN311">
        <f>Table8330[[#This Row],[CFNM]]/Table8330[[#This Row],[CAREA]]</f>
        <v>0.71549787140609178</v>
      </c>
    </row>
    <row r="312" spans="1:40" x14ac:dyDescent="0.25">
      <c r="A312">
        <v>2.9619599999999999</v>
      </c>
      <c r="B312">
        <f>-(Table1323[[#This Row],[time]]-2)*2</f>
        <v>-1.9239199999999999</v>
      </c>
      <c r="C312">
        <v>39.659999999999997</v>
      </c>
      <c r="D312">
        <v>1.05926E-3</v>
      </c>
      <c r="E312">
        <f>Table1323[[#This Row],[CFNM]]/Table1323[[#This Row],[CAREA]]</f>
        <v>2.6708522440746347E-5</v>
      </c>
      <c r="F312">
        <v>2.9619599999999999</v>
      </c>
      <c r="G312">
        <f>-(Table2324[[#This Row],[time]]-2)*2</f>
        <v>-1.9239199999999999</v>
      </c>
      <c r="H312">
        <v>77.092600000000004</v>
      </c>
      <c r="I312">
        <v>47.704000000000001</v>
      </c>
      <c r="J312">
        <f>Table2324[[#This Row],[CFNM]]/Table2324[[#This Row],[CAREA]]</f>
        <v>0.61878831431291714</v>
      </c>
      <c r="K312">
        <v>2.9619599999999999</v>
      </c>
      <c r="L312">
        <f>-(Table3325[[#This Row],[time]]-2)*2</f>
        <v>-1.9239199999999999</v>
      </c>
      <c r="M312">
        <v>33.076500000000003</v>
      </c>
      <c r="N312">
        <v>3.47136E-4</v>
      </c>
      <c r="O312">
        <f>Table3325[[#This Row],[CFNM]]/Table3325[[#This Row],[CAREA]]</f>
        <v>1.0494943539975511E-5</v>
      </c>
      <c r="P312">
        <v>2.9619599999999999</v>
      </c>
      <c r="Q312">
        <f>-(Table4326[[#This Row],[time]]-2)*2</f>
        <v>-1.9239199999999999</v>
      </c>
      <c r="R312">
        <v>70.461500000000001</v>
      </c>
      <c r="S312">
        <v>47.854700000000001</v>
      </c>
      <c r="T312">
        <f>Table4326[[#This Row],[CFNM]]/Table4326[[#This Row],[CAREA]]</f>
        <v>0.67916096024069883</v>
      </c>
      <c r="U312">
        <v>2.9619599999999999</v>
      </c>
      <c r="V312">
        <f>-(Table5327[[#This Row],[time]]-2)*2</f>
        <v>-1.9239199999999999</v>
      </c>
      <c r="W312">
        <v>74.2136</v>
      </c>
      <c r="X312">
        <v>1.93895E-3</v>
      </c>
      <c r="Y312">
        <f>Table5327[[#This Row],[CFNM]]/Table5327[[#This Row],[CAREA]]</f>
        <v>2.6126612911919111E-5</v>
      </c>
      <c r="Z312">
        <v>2.9619599999999999</v>
      </c>
      <c r="AA312">
        <f>-(Table6328[[#This Row],[time]]-2)*2</f>
        <v>-1.9239199999999999</v>
      </c>
      <c r="AB312">
        <v>69.518100000000004</v>
      </c>
      <c r="AC312">
        <v>49.221699999999998</v>
      </c>
      <c r="AD312">
        <f>Table6328[[#This Row],[CFNM]]/Table6328[[#This Row],[CAREA]]</f>
        <v>0.70804150286040612</v>
      </c>
      <c r="AE312">
        <v>2.9619599999999999</v>
      </c>
      <c r="AF312">
        <f>-(Table7329[[#This Row],[time]]-2)*2</f>
        <v>-1.9239199999999999</v>
      </c>
      <c r="AG312">
        <v>70.693299999999994</v>
      </c>
      <c r="AH312">
        <v>0.54957900000000004</v>
      </c>
      <c r="AI312">
        <f>Table7329[[#This Row],[CFNM]]/Table7329[[#This Row],[CAREA]]</f>
        <v>7.7741313533248564E-3</v>
      </c>
      <c r="AJ312">
        <v>2.9619599999999999</v>
      </c>
      <c r="AK312">
        <f>-(Table8330[[#This Row],[time]]-2)*2</f>
        <v>-1.9239199999999999</v>
      </c>
      <c r="AL312">
        <v>82.0261</v>
      </c>
      <c r="AM312">
        <v>60.4998</v>
      </c>
      <c r="AN312">
        <f>Table8330[[#This Row],[CFNM]]/Table8330[[#This Row],[CAREA]]</f>
        <v>0.73756767662975564</v>
      </c>
    </row>
    <row r="313" spans="1:40" x14ac:dyDescent="0.25">
      <c r="A313">
        <v>3</v>
      </c>
      <c r="B313">
        <f>-(Table1323[[#This Row],[time]]-2)*2</f>
        <v>-2</v>
      </c>
      <c r="C313">
        <v>34.395000000000003</v>
      </c>
      <c r="D313">
        <v>9.7110199999999995E-4</v>
      </c>
      <c r="E313">
        <f>Table1323[[#This Row],[CFNM]]/Table1323[[#This Row],[CAREA]]</f>
        <v>2.8233813054222993E-5</v>
      </c>
      <c r="F313">
        <v>3</v>
      </c>
      <c r="G313">
        <f>-(Table2324[[#This Row],[time]]-2)*2</f>
        <v>-2</v>
      </c>
      <c r="H313">
        <v>76.503399999999999</v>
      </c>
      <c r="I313">
        <v>49.021799999999999</v>
      </c>
      <c r="J313">
        <f>Table2324[[#This Row],[CFNM]]/Table2324[[#This Row],[CAREA]]</f>
        <v>0.64077936405440805</v>
      </c>
      <c r="K313">
        <v>3</v>
      </c>
      <c r="L313">
        <f>-(Table3325[[#This Row],[time]]-2)*2</f>
        <v>-2</v>
      </c>
      <c r="M313">
        <v>30.4023</v>
      </c>
      <c r="N313">
        <v>2.8523699999999998E-4</v>
      </c>
      <c r="O313">
        <f>Table3325[[#This Row],[CFNM]]/Table3325[[#This Row],[CAREA]]</f>
        <v>9.3820862237396512E-6</v>
      </c>
      <c r="P313">
        <v>3</v>
      </c>
      <c r="Q313">
        <f>-(Table4326[[#This Row],[time]]-2)*2</f>
        <v>-2</v>
      </c>
      <c r="R313">
        <v>69.973600000000005</v>
      </c>
      <c r="S313">
        <v>49.240499999999997</v>
      </c>
      <c r="T313">
        <f>Table4326[[#This Row],[CFNM]]/Table4326[[#This Row],[CAREA]]</f>
        <v>0.70370111013296432</v>
      </c>
      <c r="U313">
        <v>3</v>
      </c>
      <c r="V313">
        <f>-(Table5327[[#This Row],[time]]-2)*2</f>
        <v>-2</v>
      </c>
      <c r="W313">
        <v>73.526899999999998</v>
      </c>
      <c r="X313">
        <v>1.7991000000000001E-3</v>
      </c>
      <c r="Y313">
        <f>Table5327[[#This Row],[CFNM]]/Table5327[[#This Row],[CAREA]]</f>
        <v>2.4468595847234142E-5</v>
      </c>
      <c r="Z313">
        <v>3</v>
      </c>
      <c r="AA313">
        <f>-(Table6328[[#This Row],[time]]-2)*2</f>
        <v>-2</v>
      </c>
      <c r="AB313">
        <v>68.451999999999998</v>
      </c>
      <c r="AC313">
        <v>50.945500000000003</v>
      </c>
      <c r="AD313">
        <f>Table6328[[#This Row],[CFNM]]/Table6328[[#This Row],[CAREA]]</f>
        <v>0.74425144626891837</v>
      </c>
      <c r="AE313">
        <v>3</v>
      </c>
      <c r="AF313">
        <f>-(Table7329[[#This Row],[time]]-2)*2</f>
        <v>-2</v>
      </c>
      <c r="AG313">
        <v>70.263900000000007</v>
      </c>
      <c r="AH313">
        <v>0.40781499999999998</v>
      </c>
      <c r="AI313">
        <f>Table7329[[#This Row],[CFNM]]/Table7329[[#This Row],[CAREA]]</f>
        <v>5.8040473130583411E-3</v>
      </c>
      <c r="AJ313">
        <v>3</v>
      </c>
      <c r="AK313">
        <f>-(Table8330[[#This Row],[time]]-2)*2</f>
        <v>-2</v>
      </c>
      <c r="AL313">
        <v>82.035700000000006</v>
      </c>
      <c r="AM313">
        <v>61.948999999999998</v>
      </c>
      <c r="AN313">
        <f>Table8330[[#This Row],[CFNM]]/Table8330[[#This Row],[CAREA]]</f>
        <v>0.75514684460545833</v>
      </c>
    </row>
    <row r="315" spans="1:40" x14ac:dyDescent="0.25">
      <c r="A315" t="s">
        <v>50</v>
      </c>
      <c r="E315" t="s">
        <v>1</v>
      </c>
    </row>
    <row r="316" spans="1:40" x14ac:dyDescent="0.25">
      <c r="A316" t="s">
        <v>51</v>
      </c>
      <c r="E316" t="s">
        <v>2</v>
      </c>
      <c r="F316" t="s">
        <v>3</v>
      </c>
    </row>
    <row r="318" spans="1:40" x14ac:dyDescent="0.25">
      <c r="A318" t="s">
        <v>4</v>
      </c>
      <c r="F318" t="s">
        <v>5</v>
      </c>
      <c r="K318" t="s">
        <v>6</v>
      </c>
      <c r="P318" t="s">
        <v>7</v>
      </c>
      <c r="U318" t="s">
        <v>8</v>
      </c>
      <c r="Z318" t="s">
        <v>9</v>
      </c>
      <c r="AE318" t="s">
        <v>10</v>
      </c>
      <c r="AJ318" t="s">
        <v>11</v>
      </c>
    </row>
    <row r="319" spans="1:40" x14ac:dyDescent="0.25">
      <c r="A319" t="s">
        <v>12</v>
      </c>
      <c r="B319" t="s">
        <v>13</v>
      </c>
      <c r="C319" t="s">
        <v>14</v>
      </c>
      <c r="D319" t="s">
        <v>15</v>
      </c>
      <c r="E319" t="s">
        <v>16</v>
      </c>
      <c r="F319" t="s">
        <v>12</v>
      </c>
      <c r="G319" t="s">
        <v>13</v>
      </c>
      <c r="H319" t="s">
        <v>14</v>
      </c>
      <c r="I319" t="s">
        <v>15</v>
      </c>
      <c r="J319" t="s">
        <v>16</v>
      </c>
      <c r="K319" t="s">
        <v>12</v>
      </c>
      <c r="L319" t="s">
        <v>13</v>
      </c>
      <c r="M319" t="s">
        <v>14</v>
      </c>
      <c r="N319" t="s">
        <v>15</v>
      </c>
      <c r="O319" t="s">
        <v>16</v>
      </c>
      <c r="P319" t="s">
        <v>12</v>
      </c>
      <c r="Q319" t="s">
        <v>13</v>
      </c>
      <c r="R319" t="s">
        <v>14</v>
      </c>
      <c r="S319" t="s">
        <v>15</v>
      </c>
      <c r="T319" t="s">
        <v>16</v>
      </c>
      <c r="U319" t="s">
        <v>12</v>
      </c>
      <c r="V319" t="s">
        <v>13</v>
      </c>
      <c r="W319" t="s">
        <v>14</v>
      </c>
      <c r="X319" t="s">
        <v>15</v>
      </c>
      <c r="Y319" t="s">
        <v>16</v>
      </c>
      <c r="Z319" t="s">
        <v>12</v>
      </c>
      <c r="AA319" t="s">
        <v>13</v>
      </c>
      <c r="AB319" t="s">
        <v>14</v>
      </c>
      <c r="AC319" t="s">
        <v>15</v>
      </c>
      <c r="AD319" t="s">
        <v>16</v>
      </c>
      <c r="AE319" t="s">
        <v>12</v>
      </c>
      <c r="AF319" t="s">
        <v>13</v>
      </c>
      <c r="AG319" t="s">
        <v>14</v>
      </c>
      <c r="AH319" t="s">
        <v>15</v>
      </c>
      <c r="AI319" t="s">
        <v>16</v>
      </c>
      <c r="AJ319" t="s">
        <v>12</v>
      </c>
      <c r="AK319" t="s">
        <v>13</v>
      </c>
      <c r="AL319" t="s">
        <v>14</v>
      </c>
      <c r="AM319" t="s">
        <v>15</v>
      </c>
      <c r="AN319" t="s">
        <v>16</v>
      </c>
    </row>
    <row r="320" spans="1:40" x14ac:dyDescent="0.25">
      <c r="A320">
        <v>2</v>
      </c>
      <c r="B320">
        <f>(Table110331[[#This Row],[time]]-2)*2</f>
        <v>0</v>
      </c>
      <c r="C320">
        <v>80.561099999999996</v>
      </c>
      <c r="D320">
        <v>3.98237</v>
      </c>
      <c r="E320" s="2">
        <f>Table110331[[#This Row],[CFNM]]/Table110331[[#This Row],[CAREA]]</f>
        <v>4.9432914893168048E-2</v>
      </c>
      <c r="F320">
        <v>2</v>
      </c>
      <c r="G320">
        <f>(Table211332[[#This Row],[time]]-2)*2</f>
        <v>0</v>
      </c>
      <c r="H320">
        <v>87.831800000000001</v>
      </c>
      <c r="I320">
        <v>3.8491799999999998E-3</v>
      </c>
      <c r="J320" s="2">
        <f>Table211332[[#This Row],[CFNM]]/Table211332[[#This Row],[CAREA]]</f>
        <v>4.38244462711683E-5</v>
      </c>
      <c r="K320">
        <v>2</v>
      </c>
      <c r="L320">
        <f>(Table312333[[#This Row],[time]]-2)*2</f>
        <v>0</v>
      </c>
      <c r="M320">
        <v>85.166700000000006</v>
      </c>
      <c r="N320">
        <v>3.70054E-3</v>
      </c>
      <c r="O320">
        <f>Table312333[[#This Row],[CFNM]]/Table312333[[#This Row],[CAREA]]</f>
        <v>4.3450550508590793E-5</v>
      </c>
      <c r="P320">
        <v>2</v>
      </c>
      <c r="Q320">
        <f>(Table413334[[#This Row],[time]]-2)*2</f>
        <v>0</v>
      </c>
      <c r="R320">
        <v>79.101699999999994</v>
      </c>
      <c r="S320">
        <v>4.5258399999999997E-3</v>
      </c>
      <c r="T320">
        <f>Table413334[[#This Row],[CFNM]]/Table413334[[#This Row],[CAREA]]</f>
        <v>5.7215458074858061E-5</v>
      </c>
      <c r="U320">
        <v>2</v>
      </c>
      <c r="V320">
        <f>(Table514335[[#This Row],[time]]-2)*2</f>
        <v>0</v>
      </c>
      <c r="W320">
        <v>83.227699999999999</v>
      </c>
      <c r="X320">
        <v>3.5063499999999999</v>
      </c>
      <c r="Y320">
        <f>Table514335[[#This Row],[CFNM]]/Table514335[[#This Row],[CAREA]]</f>
        <v>4.2129603485378066E-2</v>
      </c>
      <c r="Z320">
        <v>2</v>
      </c>
      <c r="AA320">
        <f>(Table615336[[#This Row],[time]]-2)*2</f>
        <v>0</v>
      </c>
      <c r="AB320">
        <v>84.265900000000002</v>
      </c>
      <c r="AC320">
        <v>6.2742399999999998</v>
      </c>
      <c r="AD320">
        <f>Table615336[[#This Row],[CFNM]]/Table615336[[#This Row],[CAREA]]</f>
        <v>7.4457639448460164E-2</v>
      </c>
      <c r="AE320">
        <v>2</v>
      </c>
      <c r="AF320">
        <f>(Table716337[[#This Row],[time]]-2)*2</f>
        <v>0</v>
      </c>
      <c r="AG320">
        <v>78.459999999999994</v>
      </c>
      <c r="AH320">
        <v>14.707599999999999</v>
      </c>
      <c r="AI320">
        <f>Table716337[[#This Row],[CFNM]]/Table716337[[#This Row],[CAREA]]</f>
        <v>0.1874534794799898</v>
      </c>
      <c r="AJ320">
        <v>2</v>
      </c>
      <c r="AK320">
        <f>(Table817338[[#This Row],[time]]-2)*2</f>
        <v>0</v>
      </c>
      <c r="AL320">
        <v>83.006</v>
      </c>
      <c r="AM320">
        <v>14.6488</v>
      </c>
      <c r="AN320">
        <f>Table817338[[#This Row],[CFNM]]/Table817338[[#This Row],[CAREA]]</f>
        <v>0.17647880876081246</v>
      </c>
    </row>
    <row r="321" spans="1:40" x14ac:dyDescent="0.25">
      <c r="A321">
        <v>2.0512600000000001</v>
      </c>
      <c r="B321">
        <f>(Table110331[[#This Row],[time]]-2)*2</f>
        <v>0.10252000000000017</v>
      </c>
      <c r="C321">
        <v>91.780500000000004</v>
      </c>
      <c r="D321">
        <v>12.2859</v>
      </c>
      <c r="E321">
        <f>Table110331[[#This Row],[CFNM]]/Table110331[[#This Row],[CAREA]]</f>
        <v>0.13386176802261918</v>
      </c>
      <c r="F321">
        <v>2.0512600000000001</v>
      </c>
      <c r="G321">
        <f>(Table211332[[#This Row],[time]]-2)*2</f>
        <v>0.10252000000000017</v>
      </c>
      <c r="H321">
        <v>94.647999999999996</v>
      </c>
      <c r="I321">
        <v>1.21193</v>
      </c>
      <c r="J321">
        <f>Table211332[[#This Row],[CFNM]]/Table211332[[#This Row],[CAREA]]</f>
        <v>1.2804602315949624E-2</v>
      </c>
      <c r="K321">
        <v>2.0512600000000001</v>
      </c>
      <c r="L321">
        <f>(Table312333[[#This Row],[time]]-2)*2</f>
        <v>0.10252000000000017</v>
      </c>
      <c r="M321">
        <v>89.133099999999999</v>
      </c>
      <c r="N321">
        <v>6.0057600000000004</v>
      </c>
      <c r="O321">
        <f>Table312333[[#This Row],[CFNM]]/Table312333[[#This Row],[CAREA]]</f>
        <v>6.7379682744120872E-2</v>
      </c>
      <c r="P321">
        <v>2.0512600000000001</v>
      </c>
      <c r="Q321">
        <f>(Table413334[[#This Row],[time]]-2)*2</f>
        <v>0.10252000000000017</v>
      </c>
      <c r="R321">
        <v>86.040700000000001</v>
      </c>
      <c r="S321">
        <v>3.052</v>
      </c>
      <c r="T321">
        <f>Table413334[[#This Row],[CFNM]]/Table413334[[#This Row],[CAREA]]</f>
        <v>3.5471584959211162E-2</v>
      </c>
      <c r="U321">
        <v>2.0512600000000001</v>
      </c>
      <c r="V321">
        <f>(Table514335[[#This Row],[time]]-2)*2</f>
        <v>0.10252000000000017</v>
      </c>
      <c r="W321">
        <v>83.243600000000001</v>
      </c>
      <c r="X321">
        <v>10.311</v>
      </c>
      <c r="Y321">
        <f>Table514335[[#This Row],[CFNM]]/Table514335[[#This Row],[CAREA]]</f>
        <v>0.12386537823928806</v>
      </c>
      <c r="Z321">
        <v>2.0512600000000001</v>
      </c>
      <c r="AA321">
        <f>(Table615336[[#This Row],[time]]-2)*2</f>
        <v>0.10252000000000017</v>
      </c>
      <c r="AB321">
        <v>89.372100000000003</v>
      </c>
      <c r="AC321">
        <v>12.9628</v>
      </c>
      <c r="AD321">
        <f>Table615336[[#This Row],[CFNM]]/Table615336[[#This Row],[CAREA]]</f>
        <v>0.14504302796957885</v>
      </c>
      <c r="AE321">
        <v>2.0512600000000001</v>
      </c>
      <c r="AF321">
        <f>(Table716337[[#This Row],[time]]-2)*2</f>
        <v>0.10252000000000017</v>
      </c>
      <c r="AG321">
        <v>78.657399999999996</v>
      </c>
      <c r="AH321">
        <v>22.317</v>
      </c>
      <c r="AI321">
        <f>Table716337[[#This Row],[CFNM]]/Table716337[[#This Row],[CAREA]]</f>
        <v>0.28372409970327017</v>
      </c>
      <c r="AJ321">
        <v>2.0512600000000001</v>
      </c>
      <c r="AK321">
        <f>(Table817338[[#This Row],[time]]-2)*2</f>
        <v>0.10252000000000017</v>
      </c>
      <c r="AL321">
        <v>83.288200000000003</v>
      </c>
      <c r="AM321">
        <v>17.409400000000002</v>
      </c>
      <c r="AN321">
        <f>Table817338[[#This Row],[CFNM]]/Table817338[[#This Row],[CAREA]]</f>
        <v>0.20902600848619612</v>
      </c>
    </row>
    <row r="322" spans="1:40" x14ac:dyDescent="0.25">
      <c r="A322">
        <v>2.1153300000000002</v>
      </c>
      <c r="B322">
        <f>(Table110331[[#This Row],[time]]-2)*2</f>
        <v>0.23066000000000031</v>
      </c>
      <c r="C322">
        <v>90.928100000000001</v>
      </c>
      <c r="D322">
        <v>14.666700000000001</v>
      </c>
      <c r="E322">
        <f>Table110331[[#This Row],[CFNM]]/Table110331[[#This Row],[CAREA]]</f>
        <v>0.16129997217581804</v>
      </c>
      <c r="F322">
        <v>2.1153300000000002</v>
      </c>
      <c r="G322">
        <f>(Table211332[[#This Row],[time]]-2)*2</f>
        <v>0.23066000000000031</v>
      </c>
      <c r="H322">
        <v>94.181399999999996</v>
      </c>
      <c r="I322">
        <v>3.5617200000000002E-2</v>
      </c>
      <c r="J322">
        <f>Table211332[[#This Row],[CFNM]]/Table211332[[#This Row],[CAREA]]</f>
        <v>3.7817658263733609E-4</v>
      </c>
      <c r="K322">
        <v>2.1153300000000002</v>
      </c>
      <c r="L322">
        <f>(Table312333[[#This Row],[time]]-2)*2</f>
        <v>0.23066000000000031</v>
      </c>
      <c r="M322">
        <v>87.759500000000003</v>
      </c>
      <c r="N322">
        <v>9.4827399999999997</v>
      </c>
      <c r="O322">
        <f>Table312333[[#This Row],[CFNM]]/Table312333[[#This Row],[CAREA]]</f>
        <v>0.10805371498242355</v>
      </c>
      <c r="P322">
        <v>2.1153300000000002</v>
      </c>
      <c r="Q322">
        <f>(Table413334[[#This Row],[time]]-2)*2</f>
        <v>0.23066000000000031</v>
      </c>
      <c r="R322">
        <v>87.230599999999995</v>
      </c>
      <c r="S322">
        <v>1.75959</v>
      </c>
      <c r="T322">
        <f>Table413334[[#This Row],[CFNM]]/Table413334[[#This Row],[CAREA]]</f>
        <v>2.0171705800487445E-2</v>
      </c>
      <c r="U322">
        <v>2.1153300000000002</v>
      </c>
      <c r="V322">
        <f>(Table514335[[#This Row],[time]]-2)*2</f>
        <v>0.23066000000000031</v>
      </c>
      <c r="W322">
        <v>81.762799999999999</v>
      </c>
      <c r="X322">
        <v>13.125299999999999</v>
      </c>
      <c r="Y322">
        <f>Table514335[[#This Row],[CFNM]]/Table514335[[#This Row],[CAREA]]</f>
        <v>0.16052899362546291</v>
      </c>
      <c r="Z322">
        <v>2.1153300000000002</v>
      </c>
      <c r="AA322">
        <f>(Table615336[[#This Row],[time]]-2)*2</f>
        <v>0.23066000000000031</v>
      </c>
      <c r="AB322">
        <v>88.852599999999995</v>
      </c>
      <c r="AC322">
        <v>14.107100000000001</v>
      </c>
      <c r="AD322">
        <f>Table615336[[#This Row],[CFNM]]/Table615336[[#This Row],[CAREA]]</f>
        <v>0.15876969272705585</v>
      </c>
      <c r="AE322">
        <v>2.1153300000000002</v>
      </c>
      <c r="AF322">
        <f>(Table716337[[#This Row],[time]]-2)*2</f>
        <v>0.23066000000000031</v>
      </c>
      <c r="AG322">
        <v>78.370999999999995</v>
      </c>
      <c r="AH322">
        <v>25.171700000000001</v>
      </c>
      <c r="AI322">
        <f>Table716337[[#This Row],[CFNM]]/Table716337[[#This Row],[CAREA]]</f>
        <v>0.32118640823774103</v>
      </c>
      <c r="AJ322">
        <v>2.1153300000000002</v>
      </c>
      <c r="AK322">
        <f>(Table817338[[#This Row],[time]]-2)*2</f>
        <v>0.23066000000000031</v>
      </c>
      <c r="AL322">
        <v>83.1952</v>
      </c>
      <c r="AM322">
        <v>16.142499999999998</v>
      </c>
      <c r="AN322">
        <f>Table817338[[#This Row],[CFNM]]/Table817338[[#This Row],[CAREA]]</f>
        <v>0.19403162682462446</v>
      </c>
    </row>
    <row r="323" spans="1:40" x14ac:dyDescent="0.25">
      <c r="A323">
        <v>2.16533</v>
      </c>
      <c r="B323">
        <f>(Table110331[[#This Row],[time]]-2)*2</f>
        <v>0.33065999999999995</v>
      </c>
      <c r="C323">
        <v>89.904300000000006</v>
      </c>
      <c r="D323">
        <v>16.522300000000001</v>
      </c>
      <c r="E323">
        <f>Table110331[[#This Row],[CFNM]]/Table110331[[#This Row],[CAREA]]</f>
        <v>0.18377652681796089</v>
      </c>
      <c r="F323">
        <v>2.16533</v>
      </c>
      <c r="G323">
        <f>(Table211332[[#This Row],[time]]-2)*2</f>
        <v>0.33065999999999995</v>
      </c>
      <c r="H323">
        <v>92.604200000000006</v>
      </c>
      <c r="I323">
        <v>4.6625800000000004E-3</v>
      </c>
      <c r="J323">
        <f>Table211332[[#This Row],[CFNM]]/Table211332[[#This Row],[CAREA]]</f>
        <v>5.0349552180138699E-5</v>
      </c>
      <c r="K323">
        <v>2.16533</v>
      </c>
      <c r="L323">
        <f>(Table312333[[#This Row],[time]]-2)*2</f>
        <v>0.33065999999999995</v>
      </c>
      <c r="M323">
        <v>86.501499999999993</v>
      </c>
      <c r="N323">
        <v>12.732699999999999</v>
      </c>
      <c r="O323">
        <f>Table312333[[#This Row],[CFNM]]/Table312333[[#This Row],[CAREA]]</f>
        <v>0.14719629139379087</v>
      </c>
      <c r="P323">
        <v>2.16533</v>
      </c>
      <c r="Q323">
        <f>(Table413334[[#This Row],[time]]-2)*2</f>
        <v>0.33065999999999995</v>
      </c>
      <c r="R323">
        <v>88.469300000000004</v>
      </c>
      <c r="S323">
        <v>0.38923000000000002</v>
      </c>
      <c r="T323">
        <f>Table413334[[#This Row],[CFNM]]/Table413334[[#This Row],[CAREA]]</f>
        <v>4.3996052868057059E-3</v>
      </c>
      <c r="U323">
        <v>2.16533</v>
      </c>
      <c r="V323">
        <f>(Table514335[[#This Row],[time]]-2)*2</f>
        <v>0.33065999999999995</v>
      </c>
      <c r="W323">
        <v>80.883799999999994</v>
      </c>
      <c r="X323">
        <v>15.327</v>
      </c>
      <c r="Y323">
        <f>Table514335[[#This Row],[CFNM]]/Table514335[[#This Row],[CAREA]]</f>
        <v>0.18949406432437646</v>
      </c>
      <c r="Z323">
        <v>2.16533</v>
      </c>
      <c r="AA323">
        <f>(Table615336[[#This Row],[time]]-2)*2</f>
        <v>0.33065999999999995</v>
      </c>
      <c r="AB323">
        <v>90.4</v>
      </c>
      <c r="AC323">
        <v>13.537800000000001</v>
      </c>
      <c r="AD323">
        <f>Table615336[[#This Row],[CFNM]]/Table615336[[#This Row],[CAREA]]</f>
        <v>0.14975442477876105</v>
      </c>
      <c r="AE323">
        <v>2.16533</v>
      </c>
      <c r="AF323">
        <f>(Table716337[[#This Row],[time]]-2)*2</f>
        <v>0.33065999999999995</v>
      </c>
      <c r="AG323">
        <v>77.820499999999996</v>
      </c>
      <c r="AH323">
        <v>27.990600000000001</v>
      </c>
      <c r="AI323">
        <f>Table716337[[#This Row],[CFNM]]/Table716337[[#This Row],[CAREA]]</f>
        <v>0.35968157490635505</v>
      </c>
      <c r="AJ323">
        <v>2.16533</v>
      </c>
      <c r="AK323">
        <f>(Table817338[[#This Row],[time]]-2)*2</f>
        <v>0.33065999999999995</v>
      </c>
      <c r="AL323">
        <v>83.087299999999999</v>
      </c>
      <c r="AM323">
        <v>14.962899999999999</v>
      </c>
      <c r="AN323">
        <f>Table817338[[#This Row],[CFNM]]/Table817338[[#This Row],[CAREA]]</f>
        <v>0.18008648734523808</v>
      </c>
    </row>
    <row r="324" spans="1:40" x14ac:dyDescent="0.25">
      <c r="A324">
        <v>2.2246999999999999</v>
      </c>
      <c r="B324">
        <f>(Table110331[[#This Row],[time]]-2)*2</f>
        <v>0.4493999999999998</v>
      </c>
      <c r="C324">
        <v>88.517899999999997</v>
      </c>
      <c r="D324">
        <v>18.712700000000002</v>
      </c>
      <c r="E324">
        <f>Table110331[[#This Row],[CFNM]]/Table110331[[#This Row],[CAREA]]</f>
        <v>0.2114001800765721</v>
      </c>
      <c r="F324">
        <v>2.2246999999999999</v>
      </c>
      <c r="G324">
        <f>(Table211332[[#This Row],[time]]-2)*2</f>
        <v>0.4493999999999998</v>
      </c>
      <c r="H324">
        <v>91.781599999999997</v>
      </c>
      <c r="I324">
        <v>3.5729799999999999E-3</v>
      </c>
      <c r="J324">
        <f>Table211332[[#This Row],[CFNM]]/Table211332[[#This Row],[CAREA]]</f>
        <v>3.8929153555832539E-5</v>
      </c>
      <c r="K324">
        <v>2.2246999999999999</v>
      </c>
      <c r="L324">
        <f>(Table312333[[#This Row],[time]]-2)*2</f>
        <v>0.4493999999999998</v>
      </c>
      <c r="M324">
        <v>85.369600000000005</v>
      </c>
      <c r="N324">
        <v>16.804099999999998</v>
      </c>
      <c r="O324">
        <f>Table312333[[#This Row],[CFNM]]/Table312333[[#This Row],[CAREA]]</f>
        <v>0.19683939013419294</v>
      </c>
      <c r="P324">
        <v>2.2246999999999999</v>
      </c>
      <c r="Q324">
        <f>(Table413334[[#This Row],[time]]-2)*2</f>
        <v>0.4493999999999998</v>
      </c>
      <c r="R324">
        <v>88.012900000000002</v>
      </c>
      <c r="S324">
        <v>4.7015099999999999E-3</v>
      </c>
      <c r="T324">
        <f>Table413334[[#This Row],[CFNM]]/Table413334[[#This Row],[CAREA]]</f>
        <v>5.3418419345345967E-5</v>
      </c>
      <c r="U324">
        <v>2.2246999999999999</v>
      </c>
      <c r="V324">
        <f>(Table514335[[#This Row],[time]]-2)*2</f>
        <v>0.4493999999999998</v>
      </c>
      <c r="W324">
        <v>77.169399999999996</v>
      </c>
      <c r="X324">
        <v>17.9666</v>
      </c>
      <c r="Y324">
        <f>Table514335[[#This Row],[CFNM]]/Table514335[[#This Row],[CAREA]]</f>
        <v>0.23282026295396882</v>
      </c>
      <c r="Z324">
        <v>2.2246999999999999</v>
      </c>
      <c r="AA324">
        <f>(Table615336[[#This Row],[time]]-2)*2</f>
        <v>0.4493999999999998</v>
      </c>
      <c r="AB324">
        <v>91.546000000000006</v>
      </c>
      <c r="AC324">
        <v>12.036099999999999</v>
      </c>
      <c r="AD324">
        <f>Table615336[[#This Row],[CFNM]]/Table615336[[#This Row],[CAREA]]</f>
        <v>0.13147597928910054</v>
      </c>
      <c r="AE324">
        <v>2.2246999999999999</v>
      </c>
      <c r="AF324">
        <f>(Table716337[[#This Row],[time]]-2)*2</f>
        <v>0.4493999999999998</v>
      </c>
      <c r="AG324">
        <v>77.6721</v>
      </c>
      <c r="AH324">
        <v>31.130299999999998</v>
      </c>
      <c r="AI324">
        <f>Table716337[[#This Row],[CFNM]]/Table716337[[#This Row],[CAREA]]</f>
        <v>0.40079127511680512</v>
      </c>
      <c r="AJ324">
        <v>2.2246999999999999</v>
      </c>
      <c r="AK324">
        <f>(Table817338[[#This Row],[time]]-2)*2</f>
        <v>0.4493999999999998</v>
      </c>
      <c r="AL324">
        <v>82.597800000000007</v>
      </c>
      <c r="AM324">
        <v>13.898199999999999</v>
      </c>
      <c r="AN324">
        <f>Table817338[[#This Row],[CFNM]]/Table817338[[#This Row],[CAREA]]</f>
        <v>0.16826356149921667</v>
      </c>
    </row>
    <row r="325" spans="1:40" x14ac:dyDescent="0.25">
      <c r="A325">
        <v>2.2668900000000001</v>
      </c>
      <c r="B325">
        <f>(Table110331[[#This Row],[time]]-2)*2</f>
        <v>0.53378000000000014</v>
      </c>
      <c r="C325">
        <v>87.295000000000002</v>
      </c>
      <c r="D325">
        <v>21.181799999999999</v>
      </c>
      <c r="E325">
        <f>Table110331[[#This Row],[CFNM]]/Table110331[[#This Row],[CAREA]]</f>
        <v>0.24264619966779311</v>
      </c>
      <c r="F325">
        <v>2.2668900000000001</v>
      </c>
      <c r="G325">
        <f>(Table211332[[#This Row],[time]]-2)*2</f>
        <v>0.53378000000000014</v>
      </c>
      <c r="H325">
        <v>89.141099999999994</v>
      </c>
      <c r="I325">
        <v>3.06902E-3</v>
      </c>
      <c r="J325">
        <f>Table211332[[#This Row],[CFNM]]/Table211332[[#This Row],[CAREA]]</f>
        <v>3.442878761873031E-5</v>
      </c>
      <c r="K325">
        <v>2.2668900000000001</v>
      </c>
      <c r="L325">
        <f>(Table312333[[#This Row],[time]]-2)*2</f>
        <v>0.53378000000000014</v>
      </c>
      <c r="M325">
        <v>84.137200000000007</v>
      </c>
      <c r="N325">
        <v>19.221399999999999</v>
      </c>
      <c r="O325">
        <f>Table312333[[#This Row],[CFNM]]/Table312333[[#This Row],[CAREA]]</f>
        <v>0.22845305049371736</v>
      </c>
      <c r="P325">
        <v>2.2668900000000001</v>
      </c>
      <c r="Q325">
        <f>(Table413334[[#This Row],[time]]-2)*2</f>
        <v>0.53378000000000014</v>
      </c>
      <c r="R325">
        <v>88.218100000000007</v>
      </c>
      <c r="S325">
        <v>4.0144899999999999E-3</v>
      </c>
      <c r="T325">
        <f>Table413334[[#This Row],[CFNM]]/Table413334[[#This Row],[CAREA]]</f>
        <v>4.550642101790902E-5</v>
      </c>
      <c r="U325">
        <v>2.2668900000000001</v>
      </c>
      <c r="V325">
        <f>(Table514335[[#This Row],[time]]-2)*2</f>
        <v>0.53378000000000014</v>
      </c>
      <c r="W325">
        <v>75.250399999999999</v>
      </c>
      <c r="X325">
        <v>19.781400000000001</v>
      </c>
      <c r="Y325">
        <f>Table514335[[#This Row],[CFNM]]/Table514335[[#This Row],[CAREA]]</f>
        <v>0.26287435016956723</v>
      </c>
      <c r="Z325">
        <v>2.2668900000000001</v>
      </c>
      <c r="AA325">
        <f>(Table615336[[#This Row],[time]]-2)*2</f>
        <v>0.53378000000000014</v>
      </c>
      <c r="AB325">
        <v>91.200100000000006</v>
      </c>
      <c r="AC325">
        <v>10.921099999999999</v>
      </c>
      <c r="AD325">
        <f>Table615336[[#This Row],[CFNM]]/Table615336[[#This Row],[CAREA]]</f>
        <v>0.11974877220529362</v>
      </c>
      <c r="AE325">
        <v>2.2668900000000001</v>
      </c>
      <c r="AF325">
        <f>(Table716337[[#This Row],[time]]-2)*2</f>
        <v>0.53378000000000014</v>
      </c>
      <c r="AG325">
        <v>77.757900000000006</v>
      </c>
      <c r="AH325">
        <v>33.333100000000002</v>
      </c>
      <c r="AI325">
        <f>Table716337[[#This Row],[CFNM]]/Table716337[[#This Row],[CAREA]]</f>
        <v>0.42867798641681421</v>
      </c>
      <c r="AJ325">
        <v>2.2668900000000001</v>
      </c>
      <c r="AK325">
        <f>(Table817338[[#This Row],[time]]-2)*2</f>
        <v>0.53378000000000014</v>
      </c>
      <c r="AL325">
        <v>82.113200000000006</v>
      </c>
      <c r="AM325">
        <v>13.2982</v>
      </c>
      <c r="AN325">
        <f>Table817338[[#This Row],[CFNM]]/Table817338[[#This Row],[CAREA]]</f>
        <v>0.16194960128213245</v>
      </c>
    </row>
    <row r="326" spans="1:40" x14ac:dyDescent="0.25">
      <c r="A326">
        <v>2.3262700000000001</v>
      </c>
      <c r="B326">
        <f>(Table110331[[#This Row],[time]]-2)*2</f>
        <v>0.65254000000000012</v>
      </c>
      <c r="C326">
        <v>84.915300000000002</v>
      </c>
      <c r="D326">
        <v>24.619499999999999</v>
      </c>
      <c r="E326">
        <f>Table110331[[#This Row],[CFNM]]/Table110331[[#This Row],[CAREA]]</f>
        <v>0.28993008327121256</v>
      </c>
      <c r="F326">
        <v>2.3262700000000001</v>
      </c>
      <c r="G326">
        <f>(Table211332[[#This Row],[time]]-2)*2</f>
        <v>0.65254000000000012</v>
      </c>
      <c r="H326">
        <v>86.0047</v>
      </c>
      <c r="I326">
        <v>2.5837899999999999E-3</v>
      </c>
      <c r="J326">
        <f>Table211332[[#This Row],[CFNM]]/Table211332[[#This Row],[CAREA]]</f>
        <v>3.0042427913823314E-5</v>
      </c>
      <c r="K326">
        <v>2.3262700000000001</v>
      </c>
      <c r="L326">
        <f>(Table312333[[#This Row],[time]]-2)*2</f>
        <v>0.65254000000000012</v>
      </c>
      <c r="M326">
        <v>83.215400000000002</v>
      </c>
      <c r="N326">
        <v>22.1343</v>
      </c>
      <c r="O326">
        <f>Table312333[[#This Row],[CFNM]]/Table312333[[#This Row],[CAREA]]</f>
        <v>0.26598802625475571</v>
      </c>
      <c r="P326">
        <v>2.3262700000000001</v>
      </c>
      <c r="Q326">
        <f>(Table413334[[#This Row],[time]]-2)*2</f>
        <v>0.65254000000000012</v>
      </c>
      <c r="R326">
        <v>87.095399999999998</v>
      </c>
      <c r="S326">
        <v>3.2231400000000002E-3</v>
      </c>
      <c r="T326">
        <f>Table413334[[#This Row],[CFNM]]/Table413334[[#This Row],[CAREA]]</f>
        <v>3.7007006110540859E-5</v>
      </c>
      <c r="U326">
        <v>2.3262700000000001</v>
      </c>
      <c r="V326">
        <f>(Table514335[[#This Row],[time]]-2)*2</f>
        <v>0.65254000000000012</v>
      </c>
      <c r="W326">
        <v>73.670500000000004</v>
      </c>
      <c r="X326">
        <v>22.288900000000002</v>
      </c>
      <c r="Y326">
        <f>Table514335[[#This Row],[CFNM]]/Table514335[[#This Row],[CAREA]]</f>
        <v>0.3025485099191671</v>
      </c>
      <c r="Z326">
        <v>2.3262700000000001</v>
      </c>
      <c r="AA326">
        <f>(Table615336[[#This Row],[time]]-2)*2</f>
        <v>0.65254000000000012</v>
      </c>
      <c r="AB326">
        <v>92.221999999999994</v>
      </c>
      <c r="AC326">
        <v>9.7351500000000009</v>
      </c>
      <c r="AD326">
        <f>Table615336[[#This Row],[CFNM]]/Table615336[[#This Row],[CAREA]]</f>
        <v>0.10556212183643818</v>
      </c>
      <c r="AE326">
        <v>2.3262700000000001</v>
      </c>
      <c r="AF326">
        <f>(Table716337[[#This Row],[time]]-2)*2</f>
        <v>0.65254000000000012</v>
      </c>
      <c r="AG326">
        <v>77.788200000000003</v>
      </c>
      <c r="AH326">
        <v>36.400799999999997</v>
      </c>
      <c r="AI326">
        <f>Table716337[[#This Row],[CFNM]]/Table716337[[#This Row],[CAREA]]</f>
        <v>0.46794758073846671</v>
      </c>
      <c r="AJ326">
        <v>2.3262700000000001</v>
      </c>
      <c r="AK326">
        <f>(Table817338[[#This Row],[time]]-2)*2</f>
        <v>0.65254000000000012</v>
      </c>
      <c r="AL326">
        <v>81.486000000000004</v>
      </c>
      <c r="AM326">
        <v>12.5807</v>
      </c>
      <c r="AN326">
        <f>Table817338[[#This Row],[CFNM]]/Table817338[[#This Row],[CAREA]]</f>
        <v>0.15439093832069312</v>
      </c>
    </row>
    <row r="327" spans="1:40" x14ac:dyDescent="0.25">
      <c r="A327">
        <v>2.3684599999999998</v>
      </c>
      <c r="B327">
        <f>(Table110331[[#This Row],[time]]-2)*2</f>
        <v>0.73691999999999958</v>
      </c>
      <c r="C327">
        <v>82.921300000000002</v>
      </c>
      <c r="D327">
        <v>28.464400000000001</v>
      </c>
      <c r="E327">
        <f>Table110331[[#This Row],[CFNM]]/Table110331[[#This Row],[CAREA]]</f>
        <v>0.34327006450694814</v>
      </c>
      <c r="F327">
        <v>2.3684599999999998</v>
      </c>
      <c r="G327">
        <f>(Table211332[[#This Row],[time]]-2)*2</f>
        <v>0.73691999999999958</v>
      </c>
      <c r="H327">
        <v>81.748400000000004</v>
      </c>
      <c r="I327">
        <v>2.1607000000000002E-3</v>
      </c>
      <c r="J327">
        <f>Table211332[[#This Row],[CFNM]]/Table211332[[#This Row],[CAREA]]</f>
        <v>2.6431098345655697E-5</v>
      </c>
      <c r="K327">
        <v>2.3684599999999998</v>
      </c>
      <c r="L327">
        <f>(Table312333[[#This Row],[time]]-2)*2</f>
        <v>0.73691999999999958</v>
      </c>
      <c r="M327">
        <v>82.021500000000003</v>
      </c>
      <c r="N327">
        <v>24.988499999999998</v>
      </c>
      <c r="O327">
        <f>Table312333[[#This Row],[CFNM]]/Table312333[[#This Row],[CAREA]]</f>
        <v>0.30465792505623523</v>
      </c>
      <c r="P327">
        <v>2.3684599999999998</v>
      </c>
      <c r="Q327">
        <f>(Table413334[[#This Row],[time]]-2)*2</f>
        <v>0.73691999999999958</v>
      </c>
      <c r="R327">
        <v>84.797499999999999</v>
      </c>
      <c r="S327">
        <v>2.7846199999999998E-3</v>
      </c>
      <c r="T327">
        <f>Table413334[[#This Row],[CFNM]]/Table413334[[#This Row],[CAREA]]</f>
        <v>3.2838468115215658E-5</v>
      </c>
      <c r="U327">
        <v>2.3684599999999998</v>
      </c>
      <c r="V327">
        <f>(Table514335[[#This Row],[time]]-2)*2</f>
        <v>0.73691999999999958</v>
      </c>
      <c r="W327">
        <v>70.988600000000005</v>
      </c>
      <c r="X327">
        <v>25.278500000000001</v>
      </c>
      <c r="Y327">
        <f>Table514335[[#This Row],[CFNM]]/Table514335[[#This Row],[CAREA]]</f>
        <v>0.35609238666490112</v>
      </c>
      <c r="Z327">
        <v>2.3684599999999998</v>
      </c>
      <c r="AA327">
        <f>(Table615336[[#This Row],[time]]-2)*2</f>
        <v>0.73691999999999958</v>
      </c>
      <c r="AB327">
        <v>92.334500000000006</v>
      </c>
      <c r="AC327">
        <v>8.7121399999999998</v>
      </c>
      <c r="AD327">
        <f>Table615336[[#This Row],[CFNM]]/Table615336[[#This Row],[CAREA]]</f>
        <v>9.4354114659201044E-2</v>
      </c>
      <c r="AE327">
        <v>2.3684599999999998</v>
      </c>
      <c r="AF327">
        <f>(Table716337[[#This Row],[time]]-2)*2</f>
        <v>0.73691999999999958</v>
      </c>
      <c r="AG327">
        <v>77.707099999999997</v>
      </c>
      <c r="AH327">
        <v>40.022399999999998</v>
      </c>
      <c r="AI327">
        <f>Table716337[[#This Row],[CFNM]]/Table716337[[#This Row],[CAREA]]</f>
        <v>0.51504174007265746</v>
      </c>
      <c r="AJ327">
        <v>2.3684599999999998</v>
      </c>
      <c r="AK327">
        <f>(Table817338[[#This Row],[time]]-2)*2</f>
        <v>0.73691999999999958</v>
      </c>
      <c r="AL327">
        <v>80.9238</v>
      </c>
      <c r="AM327">
        <v>11.7944</v>
      </c>
      <c r="AN327">
        <f>Table817338[[#This Row],[CFNM]]/Table817338[[#This Row],[CAREA]]</f>
        <v>0.14574698667141187</v>
      </c>
    </row>
    <row r="328" spans="1:40" x14ac:dyDescent="0.25">
      <c r="A328">
        <v>2.4278300000000002</v>
      </c>
      <c r="B328">
        <f>(Table110331[[#This Row],[time]]-2)*2</f>
        <v>0.85566000000000031</v>
      </c>
      <c r="C328">
        <v>81.942899999999995</v>
      </c>
      <c r="D328">
        <v>30.6767</v>
      </c>
      <c r="E328">
        <f>Table110331[[#This Row],[CFNM]]/Table110331[[#This Row],[CAREA]]</f>
        <v>0.37436678467567053</v>
      </c>
      <c r="F328">
        <v>2.4278300000000002</v>
      </c>
      <c r="G328">
        <f>(Table211332[[#This Row],[time]]-2)*2</f>
        <v>0.85566000000000031</v>
      </c>
      <c r="H328">
        <v>77.9773</v>
      </c>
      <c r="I328">
        <v>1.9593200000000001E-3</v>
      </c>
      <c r="J328">
        <f>Table211332[[#This Row],[CFNM]]/Table211332[[#This Row],[CAREA]]</f>
        <v>2.5126799722483338E-5</v>
      </c>
      <c r="K328">
        <v>2.4278300000000002</v>
      </c>
      <c r="L328">
        <f>(Table312333[[#This Row],[time]]-2)*2</f>
        <v>0.85566000000000031</v>
      </c>
      <c r="M328">
        <v>81.276399999999995</v>
      </c>
      <c r="N328">
        <v>26.530100000000001</v>
      </c>
      <c r="O328">
        <f>Table312333[[#This Row],[CFNM]]/Table312333[[#This Row],[CAREA]]</f>
        <v>0.32641824687117049</v>
      </c>
      <c r="P328">
        <v>2.4278300000000002</v>
      </c>
      <c r="Q328">
        <f>(Table413334[[#This Row],[time]]-2)*2</f>
        <v>0.85566000000000031</v>
      </c>
      <c r="R328">
        <v>84.961200000000005</v>
      </c>
      <c r="S328">
        <v>2.5724900000000002E-3</v>
      </c>
      <c r="T328">
        <f>Table413334[[#This Row],[CFNM]]/Table413334[[#This Row],[CAREA]]</f>
        <v>3.0278409438661412E-5</v>
      </c>
      <c r="U328">
        <v>2.4278300000000002</v>
      </c>
      <c r="V328">
        <f>(Table514335[[#This Row],[time]]-2)*2</f>
        <v>0.85566000000000031</v>
      </c>
      <c r="W328">
        <v>69.748699999999999</v>
      </c>
      <c r="X328">
        <v>27.055199999999999</v>
      </c>
      <c r="Y328">
        <f>Table514335[[#This Row],[CFNM]]/Table514335[[#This Row],[CAREA]]</f>
        <v>0.3878954016347258</v>
      </c>
      <c r="Z328">
        <v>2.4278300000000002</v>
      </c>
      <c r="AA328">
        <f>(Table615336[[#This Row],[time]]-2)*2</f>
        <v>0.85566000000000031</v>
      </c>
      <c r="AB328">
        <v>92.375100000000003</v>
      </c>
      <c r="AC328">
        <v>8.2384699999999995</v>
      </c>
      <c r="AD328">
        <f>Table615336[[#This Row],[CFNM]]/Table615336[[#This Row],[CAREA]]</f>
        <v>8.9184964346452664E-2</v>
      </c>
      <c r="AE328">
        <v>2.4278300000000002</v>
      </c>
      <c r="AF328">
        <f>(Table716337[[#This Row],[time]]-2)*2</f>
        <v>0.85566000000000031</v>
      </c>
      <c r="AG328">
        <v>77.610500000000002</v>
      </c>
      <c r="AH328">
        <v>42.150100000000002</v>
      </c>
      <c r="AI328">
        <f>Table716337[[#This Row],[CFNM]]/Table716337[[#This Row],[CAREA]]</f>
        <v>0.54309790556690141</v>
      </c>
      <c r="AJ328">
        <v>2.4278300000000002</v>
      </c>
      <c r="AK328">
        <f>(Table817338[[#This Row],[time]]-2)*2</f>
        <v>0.85566000000000031</v>
      </c>
      <c r="AL328">
        <v>80.571299999999994</v>
      </c>
      <c r="AM328">
        <v>11.3232</v>
      </c>
      <c r="AN328">
        <f>Table817338[[#This Row],[CFNM]]/Table817338[[#This Row],[CAREA]]</f>
        <v>0.14053639447296992</v>
      </c>
    </row>
    <row r="329" spans="1:40" x14ac:dyDescent="0.25">
      <c r="A329">
        <v>2.4542000000000002</v>
      </c>
      <c r="B329">
        <f>(Table110331[[#This Row],[time]]-2)*2</f>
        <v>0.90840000000000032</v>
      </c>
      <c r="C329">
        <v>79.678799999999995</v>
      </c>
      <c r="D329">
        <v>33.622399999999999</v>
      </c>
      <c r="E329">
        <f>Table110331[[#This Row],[CFNM]]/Table110331[[#This Row],[CAREA]]</f>
        <v>0.42197422651947569</v>
      </c>
      <c r="F329">
        <v>2.4542000000000002</v>
      </c>
      <c r="G329">
        <f>(Table211332[[#This Row],[time]]-2)*2</f>
        <v>0.90840000000000032</v>
      </c>
      <c r="H329">
        <v>71.646699999999996</v>
      </c>
      <c r="I329">
        <v>1.69994E-3</v>
      </c>
      <c r="J329">
        <f>Table211332[[#This Row],[CFNM]]/Table211332[[#This Row],[CAREA]]</f>
        <v>2.3726703393177914E-5</v>
      </c>
      <c r="K329">
        <v>2.4542000000000002</v>
      </c>
      <c r="L329">
        <f>(Table312333[[#This Row],[time]]-2)*2</f>
        <v>0.90840000000000032</v>
      </c>
      <c r="M329">
        <v>80.428700000000006</v>
      </c>
      <c r="N329">
        <v>28.589700000000001</v>
      </c>
      <c r="O329">
        <f>Table312333[[#This Row],[CFNM]]/Table312333[[#This Row],[CAREA]]</f>
        <v>0.35546639445869443</v>
      </c>
      <c r="P329">
        <v>2.4542000000000002</v>
      </c>
      <c r="Q329">
        <f>(Table413334[[#This Row],[time]]-2)*2</f>
        <v>0.90840000000000032</v>
      </c>
      <c r="R329">
        <v>82.734800000000007</v>
      </c>
      <c r="S329">
        <v>2.3197199999999999E-3</v>
      </c>
      <c r="T329">
        <f>Table413334[[#This Row],[CFNM]]/Table413334[[#This Row],[CAREA]]</f>
        <v>2.8038020276836347E-5</v>
      </c>
      <c r="U329">
        <v>2.4542000000000002</v>
      </c>
      <c r="V329">
        <f>(Table514335[[#This Row],[time]]-2)*2</f>
        <v>0.90840000000000032</v>
      </c>
      <c r="W329">
        <v>68.909499999999994</v>
      </c>
      <c r="X329">
        <v>29.5535</v>
      </c>
      <c r="Y329">
        <f>Table514335[[#This Row],[CFNM]]/Table514335[[#This Row],[CAREA]]</f>
        <v>0.42887410299015377</v>
      </c>
      <c r="Z329">
        <v>2.4542000000000002</v>
      </c>
      <c r="AA329">
        <f>(Table615336[[#This Row],[time]]-2)*2</f>
        <v>0.90840000000000032</v>
      </c>
      <c r="AB329">
        <v>92.011700000000005</v>
      </c>
      <c r="AC329">
        <v>7.5850900000000001</v>
      </c>
      <c r="AD329">
        <f>Table615336[[#This Row],[CFNM]]/Table615336[[#This Row],[CAREA]]</f>
        <v>8.2436146707429589E-2</v>
      </c>
      <c r="AE329">
        <v>2.4542000000000002</v>
      </c>
      <c r="AF329">
        <f>(Table716337[[#This Row],[time]]-2)*2</f>
        <v>0.90840000000000032</v>
      </c>
      <c r="AG329">
        <v>77.386399999999995</v>
      </c>
      <c r="AH329">
        <v>45.097299999999997</v>
      </c>
      <c r="AI329">
        <f>Table716337[[#This Row],[CFNM]]/Table716337[[#This Row],[CAREA]]</f>
        <v>0.58275485098156787</v>
      </c>
      <c r="AJ329">
        <v>2.4542000000000002</v>
      </c>
      <c r="AK329">
        <f>(Table817338[[#This Row],[time]]-2)*2</f>
        <v>0.90840000000000032</v>
      </c>
      <c r="AL329">
        <v>80.085800000000006</v>
      </c>
      <c r="AM329">
        <v>10.7348</v>
      </c>
      <c r="AN329">
        <f>Table817338[[#This Row],[CFNM]]/Table817338[[#This Row],[CAREA]]</f>
        <v>0.13404124076927493</v>
      </c>
    </row>
    <row r="330" spans="1:40" x14ac:dyDescent="0.25">
      <c r="A330">
        <v>2.5061499999999999</v>
      </c>
      <c r="B330">
        <f>(Table110331[[#This Row],[time]]-2)*2</f>
        <v>1.0122999999999998</v>
      </c>
      <c r="C330">
        <v>78.2744</v>
      </c>
      <c r="D330">
        <v>35.75</v>
      </c>
      <c r="E330">
        <f>Table110331[[#This Row],[CFNM]]/Table110331[[#This Row],[CAREA]]</f>
        <v>0.45672659260243453</v>
      </c>
      <c r="F330">
        <v>2.5061499999999999</v>
      </c>
      <c r="G330">
        <f>(Table211332[[#This Row],[time]]-2)*2</f>
        <v>1.0122999999999998</v>
      </c>
      <c r="H330">
        <v>67.343699999999998</v>
      </c>
      <c r="I330">
        <v>1.5155399999999999E-3</v>
      </c>
      <c r="J330">
        <f>Table211332[[#This Row],[CFNM]]/Table211332[[#This Row],[CAREA]]</f>
        <v>2.2504554991780966E-5</v>
      </c>
      <c r="K330">
        <v>2.5061499999999999</v>
      </c>
      <c r="L330">
        <f>(Table312333[[#This Row],[time]]-2)*2</f>
        <v>1.0122999999999998</v>
      </c>
      <c r="M330">
        <v>79.799300000000002</v>
      </c>
      <c r="N330">
        <v>30.164000000000001</v>
      </c>
      <c r="O330">
        <f>Table312333[[#This Row],[CFNM]]/Table312333[[#This Row],[CAREA]]</f>
        <v>0.37799830324326156</v>
      </c>
      <c r="P330">
        <v>2.5061499999999999</v>
      </c>
      <c r="Q330">
        <f>(Table413334[[#This Row],[time]]-2)*2</f>
        <v>1.0122999999999998</v>
      </c>
      <c r="R330">
        <v>82.117099999999994</v>
      </c>
      <c r="S330">
        <v>2.1235400000000001E-3</v>
      </c>
      <c r="T330">
        <f>Table413334[[#This Row],[CFNM]]/Table413334[[#This Row],[CAREA]]</f>
        <v>2.5859900069534852E-5</v>
      </c>
      <c r="U330">
        <v>2.5061499999999999</v>
      </c>
      <c r="V330">
        <f>(Table514335[[#This Row],[time]]-2)*2</f>
        <v>1.0122999999999998</v>
      </c>
      <c r="W330">
        <v>67.990899999999996</v>
      </c>
      <c r="X330">
        <v>31.4817</v>
      </c>
      <c r="Y330">
        <f>Table514335[[#This Row],[CFNM]]/Table514335[[#This Row],[CAREA]]</f>
        <v>0.46302814053057101</v>
      </c>
      <c r="Z330">
        <v>2.5061499999999999</v>
      </c>
      <c r="AA330">
        <f>(Table615336[[#This Row],[time]]-2)*2</f>
        <v>1.0122999999999998</v>
      </c>
      <c r="AB330">
        <v>91.917500000000004</v>
      </c>
      <c r="AC330">
        <v>7.0518799999999997</v>
      </c>
      <c r="AD330">
        <f>Table615336[[#This Row],[CFNM]]/Table615336[[#This Row],[CAREA]]</f>
        <v>7.6719667092773405E-2</v>
      </c>
      <c r="AE330">
        <v>2.5061499999999999</v>
      </c>
      <c r="AF330">
        <f>(Table716337[[#This Row],[time]]-2)*2</f>
        <v>1.0122999999999998</v>
      </c>
      <c r="AG330">
        <v>77.366500000000002</v>
      </c>
      <c r="AH330">
        <v>47.426099999999998</v>
      </c>
      <c r="AI330">
        <f>Table716337[[#This Row],[CFNM]]/Table716337[[#This Row],[CAREA]]</f>
        <v>0.6130056290513336</v>
      </c>
      <c r="AJ330">
        <v>2.5061499999999999</v>
      </c>
      <c r="AK330">
        <f>(Table817338[[#This Row],[time]]-2)*2</f>
        <v>1.0122999999999998</v>
      </c>
      <c r="AL330">
        <v>79.669499999999999</v>
      </c>
      <c r="AM330">
        <v>10.3072</v>
      </c>
      <c r="AN330">
        <f>Table817338[[#This Row],[CFNM]]/Table817338[[#This Row],[CAREA]]</f>
        <v>0.12937447831353277</v>
      </c>
    </row>
    <row r="331" spans="1:40" x14ac:dyDescent="0.25">
      <c r="A331">
        <v>2.5507599999999999</v>
      </c>
      <c r="B331">
        <f>(Table110331[[#This Row],[time]]-2)*2</f>
        <v>1.1015199999999998</v>
      </c>
      <c r="C331">
        <v>77.16</v>
      </c>
      <c r="D331">
        <v>37.962400000000002</v>
      </c>
      <c r="E331">
        <f>Table110331[[#This Row],[CFNM]]/Table110331[[#This Row],[CAREA]]</f>
        <v>0.49199585277345781</v>
      </c>
      <c r="F331">
        <v>2.5507599999999999</v>
      </c>
      <c r="G331">
        <f>(Table211332[[#This Row],[time]]-2)*2</f>
        <v>1.1015199999999998</v>
      </c>
      <c r="H331">
        <v>61.645699999999998</v>
      </c>
      <c r="I331">
        <v>1.32161E-3</v>
      </c>
      <c r="J331">
        <f>Table211332[[#This Row],[CFNM]]/Table211332[[#This Row],[CAREA]]</f>
        <v>2.1438802706433702E-5</v>
      </c>
      <c r="K331">
        <v>2.5507599999999999</v>
      </c>
      <c r="L331">
        <f>(Table312333[[#This Row],[time]]-2)*2</f>
        <v>1.1015199999999998</v>
      </c>
      <c r="M331">
        <v>79.317300000000003</v>
      </c>
      <c r="N331">
        <v>31.938300000000002</v>
      </c>
      <c r="O331">
        <f>Table312333[[#This Row],[CFNM]]/Table312333[[#This Row],[CAREA]]</f>
        <v>0.40266499237871184</v>
      </c>
      <c r="P331">
        <v>2.5507599999999999</v>
      </c>
      <c r="Q331">
        <f>(Table413334[[#This Row],[time]]-2)*2</f>
        <v>1.1015199999999998</v>
      </c>
      <c r="R331">
        <v>79.958600000000004</v>
      </c>
      <c r="S331">
        <v>1.90887E-3</v>
      </c>
      <c r="T331">
        <f>Table413334[[#This Row],[CFNM]]/Table413334[[#This Row],[CAREA]]</f>
        <v>2.3873229396212539E-5</v>
      </c>
      <c r="U331">
        <v>2.5507599999999999</v>
      </c>
      <c r="V331">
        <f>(Table514335[[#This Row],[time]]-2)*2</f>
        <v>1.1015199999999998</v>
      </c>
      <c r="W331">
        <v>67.074799999999996</v>
      </c>
      <c r="X331">
        <v>33.651400000000002</v>
      </c>
      <c r="Y331">
        <f>Table514335[[#This Row],[CFNM]]/Table514335[[#This Row],[CAREA]]</f>
        <v>0.50169959507892692</v>
      </c>
      <c r="Z331">
        <v>2.5507599999999999</v>
      </c>
      <c r="AA331">
        <f>(Table615336[[#This Row],[time]]-2)*2</f>
        <v>1.1015199999999998</v>
      </c>
      <c r="AB331">
        <v>91.5381</v>
      </c>
      <c r="AC331">
        <v>6.4740099999999998</v>
      </c>
      <c r="AD331">
        <f>Table615336[[#This Row],[CFNM]]/Table615336[[#This Row],[CAREA]]</f>
        <v>7.0724758324675729E-2</v>
      </c>
      <c r="AE331">
        <v>2.5507599999999999</v>
      </c>
      <c r="AF331">
        <f>(Table716337[[#This Row],[time]]-2)*2</f>
        <v>1.1015199999999998</v>
      </c>
      <c r="AG331">
        <v>77.383300000000006</v>
      </c>
      <c r="AH331">
        <v>50.058900000000001</v>
      </c>
      <c r="AI331">
        <f>Table716337[[#This Row],[CFNM]]/Table716337[[#This Row],[CAREA]]</f>
        <v>0.64689538957371939</v>
      </c>
      <c r="AJ331">
        <v>2.5507599999999999</v>
      </c>
      <c r="AK331">
        <f>(Table817338[[#This Row],[time]]-2)*2</f>
        <v>1.1015199999999998</v>
      </c>
      <c r="AL331">
        <v>79.164400000000001</v>
      </c>
      <c r="AM331">
        <v>9.7752199999999991</v>
      </c>
      <c r="AN331">
        <f>Table817338[[#This Row],[CFNM]]/Table817338[[#This Row],[CAREA]]</f>
        <v>0.12347999858522264</v>
      </c>
    </row>
    <row r="332" spans="1:40" x14ac:dyDescent="0.25">
      <c r="A332">
        <v>2.60453</v>
      </c>
      <c r="B332">
        <f>(Table110331[[#This Row],[time]]-2)*2</f>
        <v>1.20906</v>
      </c>
      <c r="C332">
        <v>76.455200000000005</v>
      </c>
      <c r="D332">
        <v>39.7087</v>
      </c>
      <c r="E332">
        <f>Table110331[[#This Row],[CFNM]]/Table110331[[#This Row],[CAREA]]</f>
        <v>0.51937212903765861</v>
      </c>
      <c r="F332">
        <v>2.60453</v>
      </c>
      <c r="G332">
        <f>(Table211332[[#This Row],[time]]-2)*2</f>
        <v>1.20906</v>
      </c>
      <c r="H332">
        <v>58.956899999999997</v>
      </c>
      <c r="I332">
        <v>1.1749900000000001E-3</v>
      </c>
      <c r="J332">
        <f>Table211332[[#This Row],[CFNM]]/Table211332[[#This Row],[CAREA]]</f>
        <v>1.9929643519248809E-5</v>
      </c>
      <c r="K332">
        <v>2.60453</v>
      </c>
      <c r="L332">
        <f>(Table312333[[#This Row],[time]]-2)*2</f>
        <v>1.20906</v>
      </c>
      <c r="M332">
        <v>78.900599999999997</v>
      </c>
      <c r="N332">
        <v>33.370600000000003</v>
      </c>
      <c r="O332">
        <f>Table312333[[#This Row],[CFNM]]/Table312333[[#This Row],[CAREA]]</f>
        <v>0.4229448191775475</v>
      </c>
      <c r="P332">
        <v>2.60453</v>
      </c>
      <c r="Q332">
        <f>(Table413334[[#This Row],[time]]-2)*2</f>
        <v>1.20906</v>
      </c>
      <c r="R332">
        <v>78.021500000000003</v>
      </c>
      <c r="S332">
        <v>1.74289E-3</v>
      </c>
      <c r="T332">
        <f>Table413334[[#This Row],[CFNM]]/Table413334[[#This Row],[CAREA]]</f>
        <v>2.2338586158943366E-5</v>
      </c>
      <c r="U332">
        <v>2.60453</v>
      </c>
      <c r="V332">
        <f>(Table514335[[#This Row],[time]]-2)*2</f>
        <v>1.20906</v>
      </c>
      <c r="W332">
        <v>66.288899999999998</v>
      </c>
      <c r="X332">
        <v>35.526200000000003</v>
      </c>
      <c r="Y332">
        <f>Table514335[[#This Row],[CFNM]]/Table514335[[#This Row],[CAREA]]</f>
        <v>0.53592984647505093</v>
      </c>
      <c r="Z332">
        <v>2.60453</v>
      </c>
      <c r="AA332">
        <f>(Table615336[[#This Row],[time]]-2)*2</f>
        <v>1.20906</v>
      </c>
      <c r="AB332">
        <v>91.497399999999999</v>
      </c>
      <c r="AC332">
        <v>5.9547699999999999</v>
      </c>
      <c r="AD332">
        <f>Table615336[[#This Row],[CFNM]]/Table615336[[#This Row],[CAREA]]</f>
        <v>6.5081302856693196E-2</v>
      </c>
      <c r="AE332">
        <v>2.60453</v>
      </c>
      <c r="AF332">
        <f>(Table716337[[#This Row],[time]]-2)*2</f>
        <v>1.20906</v>
      </c>
      <c r="AG332">
        <v>77.258300000000006</v>
      </c>
      <c r="AH332">
        <v>52.312399999999997</v>
      </c>
      <c r="AI332">
        <f>Table716337[[#This Row],[CFNM]]/Table716337[[#This Row],[CAREA]]</f>
        <v>0.67711042049850945</v>
      </c>
      <c r="AJ332">
        <v>2.60453</v>
      </c>
      <c r="AK332">
        <f>(Table817338[[#This Row],[time]]-2)*2</f>
        <v>1.20906</v>
      </c>
      <c r="AL332">
        <v>78.592699999999994</v>
      </c>
      <c r="AM332">
        <v>9.2676400000000001</v>
      </c>
      <c r="AN332">
        <f>Table817338[[#This Row],[CFNM]]/Table817338[[#This Row],[CAREA]]</f>
        <v>0.11791985769670721</v>
      </c>
    </row>
    <row r="333" spans="1:40" x14ac:dyDescent="0.25">
      <c r="A333">
        <v>2.65273</v>
      </c>
      <c r="B333">
        <f>(Table110331[[#This Row],[time]]-2)*2</f>
        <v>1.3054600000000001</v>
      </c>
      <c r="C333">
        <v>75.693299999999994</v>
      </c>
      <c r="D333">
        <v>41.569600000000001</v>
      </c>
      <c r="E333">
        <f>Table110331[[#This Row],[CFNM]]/Table110331[[#This Row],[CAREA]]</f>
        <v>0.54918467024161988</v>
      </c>
      <c r="F333">
        <v>2.65273</v>
      </c>
      <c r="G333">
        <f>(Table211332[[#This Row],[time]]-2)*2</f>
        <v>1.3054600000000001</v>
      </c>
      <c r="H333">
        <v>53.206200000000003</v>
      </c>
      <c r="I333">
        <v>1.0248099999999999E-3</v>
      </c>
      <c r="J333">
        <f>Table211332[[#This Row],[CFNM]]/Table211332[[#This Row],[CAREA]]</f>
        <v>1.926110114986599E-5</v>
      </c>
      <c r="K333">
        <v>2.65273</v>
      </c>
      <c r="L333">
        <f>(Table312333[[#This Row],[time]]-2)*2</f>
        <v>1.3054600000000001</v>
      </c>
      <c r="M333">
        <v>78.474500000000006</v>
      </c>
      <c r="N333">
        <v>34.911499999999997</v>
      </c>
      <c r="O333">
        <f>Table312333[[#This Row],[CFNM]]/Table312333[[#This Row],[CAREA]]</f>
        <v>0.44487699826058136</v>
      </c>
      <c r="P333">
        <v>2.65273</v>
      </c>
      <c r="Q333">
        <f>(Table413334[[#This Row],[time]]-2)*2</f>
        <v>1.3054600000000001</v>
      </c>
      <c r="R333">
        <v>74.550200000000004</v>
      </c>
      <c r="S333">
        <v>1.56645E-3</v>
      </c>
      <c r="T333">
        <f>Table413334[[#This Row],[CFNM]]/Table413334[[#This Row],[CAREA]]</f>
        <v>2.101201606434322E-5</v>
      </c>
      <c r="U333">
        <v>2.65273</v>
      </c>
      <c r="V333">
        <f>(Table514335[[#This Row],[time]]-2)*2</f>
        <v>1.3054600000000001</v>
      </c>
      <c r="W333">
        <v>64.393000000000001</v>
      </c>
      <c r="X333">
        <v>37.609699999999997</v>
      </c>
      <c r="Y333">
        <f>Table514335[[#This Row],[CFNM]]/Table514335[[#This Row],[CAREA]]</f>
        <v>0.584065038125262</v>
      </c>
      <c r="Z333">
        <v>2.65273</v>
      </c>
      <c r="AA333">
        <f>(Table615336[[#This Row],[time]]-2)*2</f>
        <v>1.3054600000000001</v>
      </c>
      <c r="AB333">
        <v>90.677000000000007</v>
      </c>
      <c r="AC333">
        <v>5.3229199999999999</v>
      </c>
      <c r="AD333">
        <f>Table615336[[#This Row],[CFNM]]/Table615336[[#This Row],[CAREA]]</f>
        <v>5.8701986170693776E-2</v>
      </c>
      <c r="AE333">
        <v>2.65273</v>
      </c>
      <c r="AF333">
        <f>(Table716337[[#This Row],[time]]-2)*2</f>
        <v>1.3054600000000001</v>
      </c>
      <c r="AG333">
        <v>77.025000000000006</v>
      </c>
      <c r="AH333">
        <v>54.791499999999999</v>
      </c>
      <c r="AI333">
        <f>Table716337[[#This Row],[CFNM]]/Table716337[[#This Row],[CAREA]]</f>
        <v>0.71134696527101582</v>
      </c>
      <c r="AJ333">
        <v>2.65273</v>
      </c>
      <c r="AK333">
        <f>(Table817338[[#This Row],[time]]-2)*2</f>
        <v>1.3054600000000001</v>
      </c>
      <c r="AL333">
        <v>77.949100000000001</v>
      </c>
      <c r="AM333">
        <v>8.65503</v>
      </c>
      <c r="AN333">
        <f>Table817338[[#This Row],[CFNM]]/Table817338[[#This Row],[CAREA]]</f>
        <v>0.11103438012754477</v>
      </c>
    </row>
    <row r="334" spans="1:40" x14ac:dyDescent="0.25">
      <c r="A334">
        <v>2.7006199999999998</v>
      </c>
      <c r="B334">
        <f>(Table110331[[#This Row],[time]]-2)*2</f>
        <v>1.4012399999999996</v>
      </c>
      <c r="C334">
        <v>74.634500000000003</v>
      </c>
      <c r="D334">
        <v>43.241300000000003</v>
      </c>
      <c r="E334">
        <f>Table110331[[#This Row],[CFNM]]/Table110331[[#This Row],[CAREA]]</f>
        <v>0.57937415002445247</v>
      </c>
      <c r="F334">
        <v>2.7006199999999998</v>
      </c>
      <c r="G334">
        <f>(Table211332[[#This Row],[time]]-2)*2</f>
        <v>1.4012399999999996</v>
      </c>
      <c r="H334">
        <v>50.758800000000001</v>
      </c>
      <c r="I334">
        <v>8.9946700000000004E-4</v>
      </c>
      <c r="J334">
        <f>Table211332[[#This Row],[CFNM]]/Table211332[[#This Row],[CAREA]]</f>
        <v>1.7720414982229684E-5</v>
      </c>
      <c r="K334">
        <v>2.7006199999999998</v>
      </c>
      <c r="L334">
        <f>(Table312333[[#This Row],[time]]-2)*2</f>
        <v>1.4012399999999996</v>
      </c>
      <c r="M334">
        <v>78.105500000000006</v>
      </c>
      <c r="N334">
        <v>36.245899999999999</v>
      </c>
      <c r="O334">
        <f>Table312333[[#This Row],[CFNM]]/Table312333[[#This Row],[CAREA]]</f>
        <v>0.4640633502122129</v>
      </c>
      <c r="P334">
        <v>2.7006199999999998</v>
      </c>
      <c r="Q334">
        <f>(Table413334[[#This Row],[time]]-2)*2</f>
        <v>1.4012399999999996</v>
      </c>
      <c r="R334">
        <v>67.501599999999996</v>
      </c>
      <c r="S334">
        <v>1.4176600000000001E-3</v>
      </c>
      <c r="T334">
        <f>Table413334[[#This Row],[CFNM]]/Table413334[[#This Row],[CAREA]]</f>
        <v>2.1001872548206266E-5</v>
      </c>
      <c r="U334">
        <v>2.7006199999999998</v>
      </c>
      <c r="V334">
        <f>(Table514335[[#This Row],[time]]-2)*2</f>
        <v>1.4012399999999996</v>
      </c>
      <c r="W334">
        <v>63.693100000000001</v>
      </c>
      <c r="X334">
        <v>39.488300000000002</v>
      </c>
      <c r="Y334">
        <f>Table514335[[#This Row],[CFNM]]/Table514335[[#This Row],[CAREA]]</f>
        <v>0.61997767419076799</v>
      </c>
      <c r="Z334">
        <v>2.7006199999999998</v>
      </c>
      <c r="AA334">
        <f>(Table615336[[#This Row],[time]]-2)*2</f>
        <v>1.4012399999999996</v>
      </c>
      <c r="AB334">
        <v>90.259200000000007</v>
      </c>
      <c r="AC334">
        <v>4.7375699999999998</v>
      </c>
      <c r="AD334">
        <f>Table615336[[#This Row],[CFNM]]/Table615336[[#This Row],[CAREA]]</f>
        <v>5.2488499787279298E-2</v>
      </c>
      <c r="AE334">
        <v>2.7006199999999998</v>
      </c>
      <c r="AF334">
        <f>(Table716337[[#This Row],[time]]-2)*2</f>
        <v>1.4012399999999996</v>
      </c>
      <c r="AG334">
        <v>76.751199999999997</v>
      </c>
      <c r="AH334">
        <v>56.963999999999999</v>
      </c>
      <c r="AI334">
        <f>Table716337[[#This Row],[CFNM]]/Table716337[[#This Row],[CAREA]]</f>
        <v>0.74219035011830436</v>
      </c>
      <c r="AJ334">
        <v>2.7006199999999998</v>
      </c>
      <c r="AK334">
        <f>(Table817338[[#This Row],[time]]-2)*2</f>
        <v>1.4012399999999996</v>
      </c>
      <c r="AL334">
        <v>77.402500000000003</v>
      </c>
      <c r="AM334">
        <v>8.05185</v>
      </c>
      <c r="AN334">
        <f>Table817338[[#This Row],[CFNM]]/Table817338[[#This Row],[CAREA]]</f>
        <v>0.10402570976389651</v>
      </c>
    </row>
    <row r="335" spans="1:40" x14ac:dyDescent="0.25">
      <c r="A335">
        <v>2.75176</v>
      </c>
      <c r="B335">
        <f>(Table110331[[#This Row],[time]]-2)*2</f>
        <v>1.50352</v>
      </c>
      <c r="C335">
        <v>72.3964</v>
      </c>
      <c r="D335">
        <v>45.336199999999998</v>
      </c>
      <c r="E335">
        <f>Table110331[[#This Row],[CFNM]]/Table110331[[#This Row],[CAREA]]</f>
        <v>0.62622174583266565</v>
      </c>
      <c r="F335">
        <v>2.75176</v>
      </c>
      <c r="G335">
        <f>(Table211332[[#This Row],[time]]-2)*2</f>
        <v>1.50352</v>
      </c>
      <c r="H335">
        <v>45.209200000000003</v>
      </c>
      <c r="I335">
        <v>7.4272699999999999E-4</v>
      </c>
      <c r="J335">
        <f>Table211332[[#This Row],[CFNM]]/Table211332[[#This Row],[CAREA]]</f>
        <v>1.6428669385877209E-5</v>
      </c>
      <c r="K335">
        <v>2.75176</v>
      </c>
      <c r="L335">
        <f>(Table312333[[#This Row],[time]]-2)*2</f>
        <v>1.50352</v>
      </c>
      <c r="M335">
        <v>77.635900000000007</v>
      </c>
      <c r="N335">
        <v>37.982599999999998</v>
      </c>
      <c r="O335">
        <f>Table312333[[#This Row],[CFNM]]/Table312333[[#This Row],[CAREA]]</f>
        <v>0.48924015822576922</v>
      </c>
      <c r="P335">
        <v>2.75176</v>
      </c>
      <c r="Q335">
        <f>(Table413334[[#This Row],[time]]-2)*2</f>
        <v>1.50352</v>
      </c>
      <c r="R335">
        <v>62.536299999999997</v>
      </c>
      <c r="S335">
        <v>1.24058E-3</v>
      </c>
      <c r="T335">
        <f>Table413334[[#This Row],[CFNM]]/Table413334[[#This Row],[CAREA]]</f>
        <v>1.9837758230020006E-5</v>
      </c>
      <c r="U335">
        <v>2.75176</v>
      </c>
      <c r="V335">
        <f>(Table514335[[#This Row],[time]]-2)*2</f>
        <v>1.50352</v>
      </c>
      <c r="W335">
        <v>62.396000000000001</v>
      </c>
      <c r="X335">
        <v>41.997599999999998</v>
      </c>
      <c r="Y335">
        <f>Table514335[[#This Row],[CFNM]]/Table514335[[#This Row],[CAREA]]</f>
        <v>0.67308160779537152</v>
      </c>
      <c r="Z335">
        <v>2.75176</v>
      </c>
      <c r="AA335">
        <f>(Table615336[[#This Row],[time]]-2)*2</f>
        <v>1.50352</v>
      </c>
      <c r="AB335">
        <v>89.879599999999996</v>
      </c>
      <c r="AC335">
        <v>4.0530900000000001</v>
      </c>
      <c r="AD335">
        <f>Table615336[[#This Row],[CFNM]]/Table615336[[#This Row],[CAREA]]</f>
        <v>4.5094659967334083E-2</v>
      </c>
      <c r="AE335">
        <v>2.75176</v>
      </c>
      <c r="AF335">
        <f>(Table716337[[#This Row],[time]]-2)*2</f>
        <v>1.50352</v>
      </c>
      <c r="AG335">
        <v>76.031099999999995</v>
      </c>
      <c r="AH335">
        <v>59.726700000000001</v>
      </c>
      <c r="AI335">
        <f>Table716337[[#This Row],[CFNM]]/Table716337[[#This Row],[CAREA]]</f>
        <v>0.78555617372364739</v>
      </c>
      <c r="AJ335">
        <v>2.75176</v>
      </c>
      <c r="AK335">
        <f>(Table817338[[#This Row],[time]]-2)*2</f>
        <v>1.50352</v>
      </c>
      <c r="AL335">
        <v>76.820499999999996</v>
      </c>
      <c r="AM335">
        <v>7.3016500000000004</v>
      </c>
      <c r="AN335">
        <f>Table817338[[#This Row],[CFNM]]/Table817338[[#This Row],[CAREA]]</f>
        <v>9.5048196770393334E-2</v>
      </c>
    </row>
    <row r="336" spans="1:40" x14ac:dyDescent="0.25">
      <c r="A336">
        <v>2.80444</v>
      </c>
      <c r="B336">
        <f>(Table110331[[#This Row],[time]]-2)*2</f>
        <v>1.6088800000000001</v>
      </c>
      <c r="C336">
        <v>71.767300000000006</v>
      </c>
      <c r="D336">
        <v>47.139099999999999</v>
      </c>
      <c r="E336">
        <f>Table110331[[#This Row],[CFNM]]/Table110331[[#This Row],[CAREA]]</f>
        <v>0.65683256859321715</v>
      </c>
      <c r="F336">
        <v>2.80444</v>
      </c>
      <c r="G336">
        <f>(Table211332[[#This Row],[time]]-2)*2</f>
        <v>1.6088800000000001</v>
      </c>
      <c r="H336">
        <v>41.614699999999999</v>
      </c>
      <c r="I336">
        <v>6.1267899999999998E-4</v>
      </c>
      <c r="J336">
        <f>Table211332[[#This Row],[CFNM]]/Table211332[[#This Row],[CAREA]]</f>
        <v>1.4722658099181299E-5</v>
      </c>
      <c r="K336">
        <v>2.80444</v>
      </c>
      <c r="L336">
        <f>(Table312333[[#This Row],[time]]-2)*2</f>
        <v>1.6088800000000001</v>
      </c>
      <c r="M336">
        <v>77.161100000000005</v>
      </c>
      <c r="N336">
        <v>39.612299999999998</v>
      </c>
      <c r="O336">
        <f>Table312333[[#This Row],[CFNM]]/Table312333[[#This Row],[CAREA]]</f>
        <v>0.51337137495447827</v>
      </c>
      <c r="P336">
        <v>2.80444</v>
      </c>
      <c r="Q336">
        <f>(Table413334[[#This Row],[time]]-2)*2</f>
        <v>1.6088800000000001</v>
      </c>
      <c r="R336">
        <v>56.895099999999999</v>
      </c>
      <c r="S336">
        <v>1.09403E-3</v>
      </c>
      <c r="T336">
        <f>Table413334[[#This Row],[CFNM]]/Table413334[[#This Row],[CAREA]]</f>
        <v>1.9228896688818544E-5</v>
      </c>
      <c r="U336">
        <v>2.80444</v>
      </c>
      <c r="V336">
        <f>(Table514335[[#This Row],[time]]-2)*2</f>
        <v>1.6088800000000001</v>
      </c>
      <c r="W336">
        <v>61.676600000000001</v>
      </c>
      <c r="X336">
        <v>44.375599999999999</v>
      </c>
      <c r="Y336">
        <f>Table514335[[#This Row],[CFNM]]/Table514335[[#This Row],[CAREA]]</f>
        <v>0.71948842835046023</v>
      </c>
      <c r="Z336">
        <v>2.80444</v>
      </c>
      <c r="AA336">
        <f>(Table615336[[#This Row],[time]]-2)*2</f>
        <v>1.6088800000000001</v>
      </c>
      <c r="AB336">
        <v>89.386099999999999</v>
      </c>
      <c r="AC336">
        <v>3.2700399999999998</v>
      </c>
      <c r="AD336">
        <f>Table615336[[#This Row],[CFNM]]/Table615336[[#This Row],[CAREA]]</f>
        <v>3.6583316645429208E-2</v>
      </c>
      <c r="AE336">
        <v>2.80444</v>
      </c>
      <c r="AF336">
        <f>(Table716337[[#This Row],[time]]-2)*2</f>
        <v>1.6088800000000001</v>
      </c>
      <c r="AG336">
        <v>75.688999999999993</v>
      </c>
      <c r="AH336">
        <v>62.191200000000002</v>
      </c>
      <c r="AI336">
        <f>Table716337[[#This Row],[CFNM]]/Table716337[[#This Row],[CAREA]]</f>
        <v>0.82166761352376183</v>
      </c>
      <c r="AJ336">
        <v>2.80444</v>
      </c>
      <c r="AK336">
        <f>(Table817338[[#This Row],[time]]-2)*2</f>
        <v>1.6088800000000001</v>
      </c>
      <c r="AL336">
        <v>76.19</v>
      </c>
      <c r="AM336">
        <v>6.6341700000000001</v>
      </c>
      <c r="AN336">
        <f>Table817338[[#This Row],[CFNM]]/Table817338[[#This Row],[CAREA]]</f>
        <v>8.7074025462659146E-2</v>
      </c>
    </row>
    <row r="337" spans="1:40" x14ac:dyDescent="0.25">
      <c r="A337">
        <v>2.8583699999999999</v>
      </c>
      <c r="B337">
        <f>(Table110331[[#This Row],[time]]-2)*2</f>
        <v>1.7167399999999997</v>
      </c>
      <c r="C337">
        <v>71.260400000000004</v>
      </c>
      <c r="D337">
        <v>48.143799999999999</v>
      </c>
      <c r="E337">
        <f>Table110331[[#This Row],[CFNM]]/Table110331[[#This Row],[CAREA]]</f>
        <v>0.67560384168486276</v>
      </c>
      <c r="F337">
        <v>2.8583699999999999</v>
      </c>
      <c r="G337">
        <f>(Table211332[[#This Row],[time]]-2)*2</f>
        <v>1.7167399999999997</v>
      </c>
      <c r="H337">
        <v>39.205199999999998</v>
      </c>
      <c r="I337">
        <v>5.4020700000000001E-4</v>
      </c>
      <c r="J337">
        <f>Table211332[[#This Row],[CFNM]]/Table211332[[#This Row],[CAREA]]</f>
        <v>1.3778962994704786E-5</v>
      </c>
      <c r="K337">
        <v>2.8583699999999999</v>
      </c>
      <c r="L337">
        <f>(Table312333[[#This Row],[time]]-2)*2</f>
        <v>1.7167399999999997</v>
      </c>
      <c r="M337">
        <v>76.920900000000003</v>
      </c>
      <c r="N337">
        <v>40.5471</v>
      </c>
      <c r="O337">
        <f>Table312333[[#This Row],[CFNM]]/Table312333[[#This Row],[CAREA]]</f>
        <v>0.52712721770026094</v>
      </c>
      <c r="P337">
        <v>2.8583699999999999</v>
      </c>
      <c r="Q337">
        <f>(Table413334[[#This Row],[time]]-2)*2</f>
        <v>1.7167399999999997</v>
      </c>
      <c r="R337">
        <v>49.6556</v>
      </c>
      <c r="S337">
        <v>1.0226499999999999E-3</v>
      </c>
      <c r="T337">
        <f>Table413334[[#This Row],[CFNM]]/Table413334[[#This Row],[CAREA]]</f>
        <v>2.0594857377617026E-5</v>
      </c>
      <c r="U337">
        <v>2.8583699999999999</v>
      </c>
      <c r="V337">
        <f>(Table514335[[#This Row],[time]]-2)*2</f>
        <v>1.7167399999999997</v>
      </c>
      <c r="W337">
        <v>61.2273</v>
      </c>
      <c r="X337">
        <v>45.724800000000002</v>
      </c>
      <c r="Y337">
        <f>Table514335[[#This Row],[CFNM]]/Table514335[[#This Row],[CAREA]]</f>
        <v>0.74680412169081445</v>
      </c>
      <c r="Z337">
        <v>2.8583699999999999</v>
      </c>
      <c r="AA337">
        <f>(Table615336[[#This Row],[time]]-2)*2</f>
        <v>1.7167399999999997</v>
      </c>
      <c r="AB337">
        <v>88.586799999999997</v>
      </c>
      <c r="AC337">
        <v>2.93669</v>
      </c>
      <c r="AD337">
        <f>Table615336[[#This Row],[CFNM]]/Table615336[[#This Row],[CAREA]]</f>
        <v>3.3150424216700461E-2</v>
      </c>
      <c r="AE337">
        <v>2.8583699999999999</v>
      </c>
      <c r="AF337">
        <f>(Table716337[[#This Row],[time]]-2)*2</f>
        <v>1.7167399999999997</v>
      </c>
      <c r="AG337">
        <v>75.095100000000002</v>
      </c>
      <c r="AH337">
        <v>63.6342</v>
      </c>
      <c r="AI337">
        <f>Table716337[[#This Row],[CFNM]]/Table716337[[#This Row],[CAREA]]</f>
        <v>0.84738152023234536</v>
      </c>
      <c r="AJ337">
        <v>2.8583699999999999</v>
      </c>
      <c r="AK337">
        <f>(Table817338[[#This Row],[time]]-2)*2</f>
        <v>1.7167399999999997</v>
      </c>
      <c r="AL337">
        <v>75.809799999999996</v>
      </c>
      <c r="AM337">
        <v>6.2328299999999999</v>
      </c>
      <c r="AN337">
        <f>Table817338[[#This Row],[CFNM]]/Table817338[[#This Row],[CAREA]]</f>
        <v>8.2216679110088675E-2</v>
      </c>
    </row>
    <row r="338" spans="1:40" x14ac:dyDescent="0.25">
      <c r="A338">
        <v>2.9134199999999999</v>
      </c>
      <c r="B338">
        <f>(Table110331[[#This Row],[time]]-2)*2</f>
        <v>1.8268399999999998</v>
      </c>
      <c r="C338">
        <v>70.316599999999994</v>
      </c>
      <c r="D338">
        <v>49.901200000000003</v>
      </c>
      <c r="E338">
        <f>Table110331[[#This Row],[CFNM]]/Table110331[[#This Row],[CAREA]]</f>
        <v>0.70966457422571638</v>
      </c>
      <c r="F338">
        <v>2.9134199999999999</v>
      </c>
      <c r="G338">
        <f>(Table211332[[#This Row],[time]]-2)*2</f>
        <v>1.8268399999999998</v>
      </c>
      <c r="H338">
        <v>31.539100000000001</v>
      </c>
      <c r="I338">
        <v>4.2760900000000002E-4</v>
      </c>
      <c r="J338">
        <f>Table211332[[#This Row],[CFNM]]/Table211332[[#This Row],[CAREA]]</f>
        <v>1.3558059678304073E-5</v>
      </c>
      <c r="K338">
        <v>2.9134199999999999</v>
      </c>
      <c r="L338">
        <f>(Table312333[[#This Row],[time]]-2)*2</f>
        <v>1.8268399999999998</v>
      </c>
      <c r="M338">
        <v>76.414699999999996</v>
      </c>
      <c r="N338">
        <v>42.2134</v>
      </c>
      <c r="O338">
        <f>Table312333[[#This Row],[CFNM]]/Table312333[[#This Row],[CAREA]]</f>
        <v>0.55242512239137231</v>
      </c>
      <c r="P338">
        <v>2.9134199999999999</v>
      </c>
      <c r="Q338">
        <f>(Table413334[[#This Row],[time]]-2)*2</f>
        <v>1.8268399999999998</v>
      </c>
      <c r="R338">
        <v>47.695900000000002</v>
      </c>
      <c r="S338">
        <v>9.0677599999999998E-4</v>
      </c>
      <c r="T338">
        <f>Table413334[[#This Row],[CFNM]]/Table413334[[#This Row],[CAREA]]</f>
        <v>1.901161315752507E-5</v>
      </c>
      <c r="U338">
        <v>2.9134199999999999</v>
      </c>
      <c r="V338">
        <f>(Table514335[[#This Row],[time]]-2)*2</f>
        <v>1.8268399999999998</v>
      </c>
      <c r="W338">
        <v>60.463099999999997</v>
      </c>
      <c r="X338">
        <v>48.127200000000002</v>
      </c>
      <c r="Y338">
        <f>Table514335[[#This Row],[CFNM]]/Table514335[[#This Row],[CAREA]]</f>
        <v>0.79597638890496858</v>
      </c>
      <c r="Z338">
        <v>2.9134199999999999</v>
      </c>
      <c r="AA338">
        <f>(Table615336[[#This Row],[time]]-2)*2</f>
        <v>1.8268399999999998</v>
      </c>
      <c r="AB338">
        <v>88.203500000000005</v>
      </c>
      <c r="AC338">
        <v>2.4082400000000002</v>
      </c>
      <c r="AD338">
        <f>Table615336[[#This Row],[CFNM]]/Table615336[[#This Row],[CAREA]]</f>
        <v>2.730322492871598E-2</v>
      </c>
      <c r="AE338">
        <v>2.9134199999999999</v>
      </c>
      <c r="AF338">
        <f>(Table716337[[#This Row],[time]]-2)*2</f>
        <v>1.8268399999999998</v>
      </c>
      <c r="AG338">
        <v>74.627099999999999</v>
      </c>
      <c r="AH338">
        <v>66.125</v>
      </c>
      <c r="AI338">
        <f>Table716337[[#This Row],[CFNM]]/Table716337[[#This Row],[CAREA]]</f>
        <v>0.8860722177332363</v>
      </c>
      <c r="AJ338">
        <v>2.9134199999999999</v>
      </c>
      <c r="AK338">
        <f>(Table817338[[#This Row],[time]]-2)*2</f>
        <v>1.8268399999999998</v>
      </c>
      <c r="AL338">
        <v>75.163300000000007</v>
      </c>
      <c r="AM338">
        <v>5.5541099999999997</v>
      </c>
      <c r="AN338">
        <f>Table817338[[#This Row],[CFNM]]/Table817338[[#This Row],[CAREA]]</f>
        <v>7.3893908330262228E-2</v>
      </c>
    </row>
    <row r="339" spans="1:40" x14ac:dyDescent="0.25">
      <c r="A339">
        <v>2.9619599999999999</v>
      </c>
      <c r="B339">
        <f>(Table110331[[#This Row],[time]]-2)*2</f>
        <v>1.9239199999999999</v>
      </c>
      <c r="C339">
        <v>69.455399999999997</v>
      </c>
      <c r="D339">
        <v>51.441800000000001</v>
      </c>
      <c r="E339">
        <f>Table110331[[#This Row],[CFNM]]/Table110331[[#This Row],[CAREA]]</f>
        <v>0.74064507583283667</v>
      </c>
      <c r="F339">
        <v>2.9619599999999999</v>
      </c>
      <c r="G339">
        <f>(Table211332[[#This Row],[time]]-2)*2</f>
        <v>1.9239199999999999</v>
      </c>
      <c r="H339">
        <v>26.532800000000002</v>
      </c>
      <c r="I339">
        <v>3.50138E-4</v>
      </c>
      <c r="J339">
        <f>Table211332[[#This Row],[CFNM]]/Table211332[[#This Row],[CAREA]]</f>
        <v>1.3196421033588614E-5</v>
      </c>
      <c r="K339">
        <v>2.9619599999999999</v>
      </c>
      <c r="L339">
        <f>(Table312333[[#This Row],[time]]-2)*2</f>
        <v>1.9239199999999999</v>
      </c>
      <c r="M339">
        <v>76.047399999999996</v>
      </c>
      <c r="N339">
        <v>43.600099999999998</v>
      </c>
      <c r="O339">
        <f>Table312333[[#This Row],[CFNM]]/Table312333[[#This Row],[CAREA]]</f>
        <v>0.5733279507254686</v>
      </c>
      <c r="P339">
        <v>2.9619599999999999</v>
      </c>
      <c r="Q339">
        <f>(Table413334[[#This Row],[time]]-2)*2</f>
        <v>1.9239199999999999</v>
      </c>
      <c r="R339">
        <v>42.453299999999999</v>
      </c>
      <c r="S339">
        <v>8.1588699999999995E-4</v>
      </c>
      <c r="T339">
        <f>Table413334[[#This Row],[CFNM]]/Table413334[[#This Row],[CAREA]]</f>
        <v>1.9218458871277379E-5</v>
      </c>
      <c r="U339">
        <v>2.9619599999999999</v>
      </c>
      <c r="V339">
        <f>(Table514335[[#This Row],[time]]-2)*2</f>
        <v>1.9239199999999999</v>
      </c>
      <c r="W339">
        <v>59.8504</v>
      </c>
      <c r="X339">
        <v>50.141100000000002</v>
      </c>
      <c r="Y339">
        <f>Table514335[[#This Row],[CFNM]]/Table514335[[#This Row],[CAREA]]</f>
        <v>0.83777384946466527</v>
      </c>
      <c r="Z339">
        <v>2.9619599999999999</v>
      </c>
      <c r="AA339">
        <f>(Table615336[[#This Row],[time]]-2)*2</f>
        <v>1.9239199999999999</v>
      </c>
      <c r="AB339">
        <v>87.867800000000003</v>
      </c>
      <c r="AC339">
        <v>2.02108</v>
      </c>
      <c r="AD339">
        <f>Table615336[[#This Row],[CFNM]]/Table615336[[#This Row],[CAREA]]</f>
        <v>2.300137251643947E-2</v>
      </c>
      <c r="AE339">
        <v>2.9619599999999999</v>
      </c>
      <c r="AF339">
        <f>(Table716337[[#This Row],[time]]-2)*2</f>
        <v>1.9239199999999999</v>
      </c>
      <c r="AG339">
        <v>74.1751</v>
      </c>
      <c r="AH339">
        <v>68.163799999999995</v>
      </c>
      <c r="AI339">
        <f>Table716337[[#This Row],[CFNM]]/Table716337[[#This Row],[CAREA]]</f>
        <v>0.91895797916012234</v>
      </c>
      <c r="AJ339">
        <v>2.9619599999999999</v>
      </c>
      <c r="AK339">
        <f>(Table817338[[#This Row],[time]]-2)*2</f>
        <v>1.9239199999999999</v>
      </c>
      <c r="AL339">
        <v>74.536699999999996</v>
      </c>
      <c r="AM339">
        <v>4.9634400000000003</v>
      </c>
      <c r="AN339">
        <f>Table817338[[#This Row],[CFNM]]/Table817338[[#This Row],[CAREA]]</f>
        <v>6.6590552036781894E-2</v>
      </c>
    </row>
    <row r="340" spans="1:40" x14ac:dyDescent="0.25">
      <c r="A340">
        <v>3</v>
      </c>
      <c r="B340">
        <f>(Table110331[[#This Row],[time]]-2)*2</f>
        <v>2</v>
      </c>
      <c r="C340">
        <v>68.922499999999999</v>
      </c>
      <c r="D340">
        <v>52.839300000000001</v>
      </c>
      <c r="E340">
        <f>Table110331[[#This Row],[CFNM]]/Table110331[[#This Row],[CAREA]]</f>
        <v>0.76664804671914111</v>
      </c>
      <c r="F340">
        <v>3</v>
      </c>
      <c r="G340">
        <f>(Table211332[[#This Row],[time]]-2)*2</f>
        <v>2</v>
      </c>
      <c r="H340">
        <v>24.1463</v>
      </c>
      <c r="I340">
        <v>2.94841E-4</v>
      </c>
      <c r="J340">
        <f>Table211332[[#This Row],[CFNM]]/Table211332[[#This Row],[CAREA]]</f>
        <v>1.2210607836397295E-5</v>
      </c>
      <c r="K340">
        <v>3</v>
      </c>
      <c r="L340">
        <f>(Table312333[[#This Row],[time]]-2)*2</f>
        <v>2</v>
      </c>
      <c r="M340">
        <v>75.822500000000005</v>
      </c>
      <c r="N340">
        <v>44.7714</v>
      </c>
      <c r="O340">
        <f>Table312333[[#This Row],[CFNM]]/Table312333[[#This Row],[CAREA]]</f>
        <v>0.59047644168947211</v>
      </c>
      <c r="P340">
        <v>3</v>
      </c>
      <c r="Q340">
        <f>(Table413334[[#This Row],[time]]-2)*2</f>
        <v>2</v>
      </c>
      <c r="R340">
        <v>39.7879</v>
      </c>
      <c r="S340">
        <v>7.3868399999999998E-4</v>
      </c>
      <c r="T340">
        <f>Table413334[[#This Row],[CFNM]]/Table413334[[#This Row],[CAREA]]</f>
        <v>1.8565543795978173E-5</v>
      </c>
      <c r="U340">
        <v>3</v>
      </c>
      <c r="V340">
        <f>(Table514335[[#This Row],[time]]-2)*2</f>
        <v>2</v>
      </c>
      <c r="W340">
        <v>59.3123</v>
      </c>
      <c r="X340">
        <v>51.887500000000003</v>
      </c>
      <c r="Y340">
        <f>Table514335[[#This Row],[CFNM]]/Table514335[[#This Row],[CAREA]]</f>
        <v>0.87481854522586378</v>
      </c>
      <c r="Z340">
        <v>3</v>
      </c>
      <c r="AA340">
        <f>(Table615336[[#This Row],[time]]-2)*2</f>
        <v>2</v>
      </c>
      <c r="AB340">
        <v>87.889200000000002</v>
      </c>
      <c r="AC340">
        <v>1.7208600000000001</v>
      </c>
      <c r="AD340">
        <f>Table615336[[#This Row],[CFNM]]/Table615336[[#This Row],[CAREA]]</f>
        <v>1.9579880121789708E-2</v>
      </c>
      <c r="AE340">
        <v>3</v>
      </c>
      <c r="AF340">
        <f>(Table716337[[#This Row],[time]]-2)*2</f>
        <v>2</v>
      </c>
      <c r="AG340">
        <v>73.801599999999993</v>
      </c>
      <c r="AH340">
        <v>69.924599999999998</v>
      </c>
      <c r="AI340">
        <f>Table716337[[#This Row],[CFNM]]/Table716337[[#This Row],[CAREA]]</f>
        <v>0.94746726358236144</v>
      </c>
      <c r="AJ340">
        <v>3</v>
      </c>
      <c r="AK340">
        <f>(Table817338[[#This Row],[time]]-2)*2</f>
        <v>2</v>
      </c>
      <c r="AL340">
        <v>74.109499999999997</v>
      </c>
      <c r="AM340">
        <v>4.43262</v>
      </c>
      <c r="AN340">
        <f>Table817338[[#This Row],[CFNM]]/Table817338[[#This Row],[CAREA]]</f>
        <v>5.9811765023377574E-2</v>
      </c>
    </row>
    <row r="343" spans="1:40" x14ac:dyDescent="0.25">
      <c r="A343" s="1" t="s">
        <v>24</v>
      </c>
    </row>
    <row r="344" spans="1:40" x14ac:dyDescent="0.25">
      <c r="A344" t="s">
        <v>52</v>
      </c>
      <c r="F344" t="s">
        <v>1</v>
      </c>
    </row>
    <row r="345" spans="1:40" x14ac:dyDescent="0.25">
      <c r="F345" t="s">
        <v>2</v>
      </c>
      <c r="G345" t="s">
        <v>3</v>
      </c>
    </row>
    <row r="348" spans="1:40" x14ac:dyDescent="0.25">
      <c r="A348" t="s">
        <v>4</v>
      </c>
      <c r="F348" t="s">
        <v>5</v>
      </c>
      <c r="K348" t="s">
        <v>6</v>
      </c>
      <c r="P348" t="s">
        <v>7</v>
      </c>
      <c r="U348" t="s">
        <v>8</v>
      </c>
      <c r="Z348" t="s">
        <v>9</v>
      </c>
      <c r="AE348" t="s">
        <v>10</v>
      </c>
      <c r="AJ348" t="s">
        <v>11</v>
      </c>
    </row>
    <row r="349" spans="1:40" x14ac:dyDescent="0.25">
      <c r="A349" t="s">
        <v>12</v>
      </c>
      <c r="B349" t="s">
        <v>13</v>
      </c>
      <c r="C349" t="s">
        <v>14</v>
      </c>
      <c r="D349" t="s">
        <v>15</v>
      </c>
      <c r="E349" t="s">
        <v>16</v>
      </c>
      <c r="F349" t="s">
        <v>12</v>
      </c>
      <c r="G349" t="s">
        <v>13</v>
      </c>
      <c r="H349" t="s">
        <v>14</v>
      </c>
      <c r="I349" t="s">
        <v>15</v>
      </c>
      <c r="J349" t="s">
        <v>16</v>
      </c>
      <c r="K349" t="s">
        <v>12</v>
      </c>
      <c r="L349" t="s">
        <v>13</v>
      </c>
      <c r="M349" t="s">
        <v>14</v>
      </c>
      <c r="N349" t="s">
        <v>15</v>
      </c>
      <c r="O349" t="s">
        <v>16</v>
      </c>
      <c r="P349" t="s">
        <v>12</v>
      </c>
      <c r="Q349" t="s">
        <v>13</v>
      </c>
      <c r="R349" t="s">
        <v>14</v>
      </c>
      <c r="S349" t="s">
        <v>15</v>
      </c>
      <c r="T349" t="s">
        <v>16</v>
      </c>
      <c r="U349" t="s">
        <v>12</v>
      </c>
      <c r="V349" t="s">
        <v>13</v>
      </c>
      <c r="W349" t="s">
        <v>14</v>
      </c>
      <c r="X349" t="s">
        <v>15</v>
      </c>
      <c r="Y349" t="s">
        <v>16</v>
      </c>
      <c r="Z349" t="s">
        <v>12</v>
      </c>
      <c r="AA349" t="s">
        <v>13</v>
      </c>
      <c r="AB349" t="s">
        <v>14</v>
      </c>
      <c r="AC349" t="s">
        <v>15</v>
      </c>
      <c r="AD349" t="s">
        <v>16</v>
      </c>
      <c r="AE349" t="s">
        <v>12</v>
      </c>
      <c r="AF349" t="s">
        <v>13</v>
      </c>
      <c r="AG349" t="s">
        <v>14</v>
      </c>
      <c r="AH349" t="s">
        <v>15</v>
      </c>
      <c r="AI349" t="s">
        <v>16</v>
      </c>
      <c r="AJ349" t="s">
        <v>12</v>
      </c>
      <c r="AK349" t="s">
        <v>13</v>
      </c>
      <c r="AL349" t="s">
        <v>14</v>
      </c>
      <c r="AM349" t="s">
        <v>15</v>
      </c>
      <c r="AN349" t="s">
        <v>16</v>
      </c>
    </row>
    <row r="350" spans="1:40" x14ac:dyDescent="0.25">
      <c r="A350">
        <v>2</v>
      </c>
      <c r="B350">
        <f>-(Table1339[[#This Row],[time]]-2)*2</f>
        <v>0</v>
      </c>
      <c r="C350">
        <v>91.105400000000003</v>
      </c>
      <c r="D350">
        <v>10.2014</v>
      </c>
      <c r="E350" s="2">
        <f>Table1339[[#This Row],[CFNM]]/Table1339[[#This Row],[CAREA]]</f>
        <v>0.11197360419909247</v>
      </c>
      <c r="F350">
        <v>2</v>
      </c>
      <c r="G350">
        <f>-(Table2340[[#This Row],[time]]-2)*2</f>
        <v>0</v>
      </c>
      <c r="H350">
        <v>95.867800000000003</v>
      </c>
      <c r="I350">
        <v>3.5860500000000002</v>
      </c>
      <c r="J350" s="2">
        <f>Table2340[[#This Row],[CFNM]]/Table2340[[#This Row],[CAREA]]</f>
        <v>3.740619895314172E-2</v>
      </c>
      <c r="K350">
        <v>2</v>
      </c>
      <c r="L350">
        <f>-(Table3341[[#This Row],[time]]-2)*2</f>
        <v>0</v>
      </c>
      <c r="M350">
        <v>89.266099999999994</v>
      </c>
      <c r="N350">
        <v>3.6396999999999999</v>
      </c>
      <c r="O350">
        <f>Table3341[[#This Row],[CFNM]]/Table3341[[#This Row],[CAREA]]</f>
        <v>4.0773597143820554E-2</v>
      </c>
      <c r="P350">
        <v>2</v>
      </c>
      <c r="Q350">
        <f>-(Table4342[[#This Row],[time]]-2)*2</f>
        <v>0</v>
      </c>
      <c r="R350">
        <v>86.426900000000003</v>
      </c>
      <c r="S350">
        <v>6.4320700000000004</v>
      </c>
      <c r="T350">
        <f>Table4342[[#This Row],[CFNM]]/Table4342[[#This Row],[CAREA]]</f>
        <v>7.4422083865092928E-2</v>
      </c>
      <c r="U350">
        <v>2</v>
      </c>
      <c r="V350">
        <f>-(Table5343[[#This Row],[time]]-2)*2</f>
        <v>0</v>
      </c>
      <c r="W350">
        <v>82.680599999999998</v>
      </c>
      <c r="X350">
        <v>9.2786299999999997</v>
      </c>
      <c r="Y350">
        <f>Table5343[[#This Row],[CFNM]]/Table5343[[#This Row],[CAREA]]</f>
        <v>0.11222257700113449</v>
      </c>
      <c r="Z350">
        <v>2</v>
      </c>
      <c r="AA350">
        <f>-(Table6344[[#This Row],[time]]-2)*2</f>
        <v>0</v>
      </c>
      <c r="AB350">
        <v>88.9298</v>
      </c>
      <c r="AC350">
        <v>15.8246</v>
      </c>
      <c r="AD350">
        <f>Table6344[[#This Row],[CFNM]]/Table6344[[#This Row],[CAREA]]</f>
        <v>0.17794485088238138</v>
      </c>
      <c r="AE350">
        <v>2</v>
      </c>
      <c r="AF350">
        <f>-(Table7345[[#This Row],[time]]-2)*2</f>
        <v>0</v>
      </c>
      <c r="AG350">
        <v>78.958100000000002</v>
      </c>
      <c r="AH350">
        <v>19.616599999999998</v>
      </c>
      <c r="AI350">
        <f>Table7345[[#This Row],[CFNM]]/Table7345[[#This Row],[CAREA]]</f>
        <v>0.24844316162622959</v>
      </c>
      <c r="AJ350">
        <v>2</v>
      </c>
      <c r="AK350">
        <f>-(Table8346[[#This Row],[time]]-2)*2</f>
        <v>0</v>
      </c>
      <c r="AL350">
        <v>83.134600000000006</v>
      </c>
      <c r="AM350">
        <v>19.232700000000001</v>
      </c>
      <c r="AN350">
        <f>Table8346[[#This Row],[CFNM]]/Table8346[[#This Row],[CAREA]]</f>
        <v>0.23134410943217384</v>
      </c>
    </row>
    <row r="351" spans="1:40" x14ac:dyDescent="0.25">
      <c r="A351">
        <v>2.0512600000000001</v>
      </c>
      <c r="B351">
        <f>-(Table1339[[#This Row],[time]]-2)*2</f>
        <v>-0.10252000000000017</v>
      </c>
      <c r="C351">
        <v>91.095299999999995</v>
      </c>
      <c r="D351">
        <v>10.1027</v>
      </c>
      <c r="E351">
        <f>Table1339[[#This Row],[CFNM]]/Table1339[[#This Row],[CAREA]]</f>
        <v>0.11090253833073717</v>
      </c>
      <c r="F351">
        <v>2.0512600000000001</v>
      </c>
      <c r="G351">
        <f>-(Table2340[[#This Row],[time]]-2)*2</f>
        <v>-0.10252000000000017</v>
      </c>
      <c r="H351">
        <v>95.869699999999995</v>
      </c>
      <c r="I351">
        <v>3.6994099999999999</v>
      </c>
      <c r="J351">
        <f>Table2340[[#This Row],[CFNM]]/Table2340[[#This Row],[CAREA]]</f>
        <v>3.8587895862822144E-2</v>
      </c>
      <c r="K351">
        <v>2.0512600000000001</v>
      </c>
      <c r="L351">
        <f>-(Table3341[[#This Row],[time]]-2)*2</f>
        <v>-0.10252000000000017</v>
      </c>
      <c r="M351">
        <v>89.264399999999995</v>
      </c>
      <c r="N351">
        <v>3.41066</v>
      </c>
      <c r="O351">
        <f>Table3341[[#This Row],[CFNM]]/Table3341[[#This Row],[CAREA]]</f>
        <v>3.8208513136255888E-2</v>
      </c>
      <c r="P351">
        <v>2.0512600000000001</v>
      </c>
      <c r="Q351">
        <f>-(Table4342[[#This Row],[time]]-2)*2</f>
        <v>-0.10252000000000017</v>
      </c>
      <c r="R351">
        <v>86.450199999999995</v>
      </c>
      <c r="S351">
        <v>6.7244999999999999</v>
      </c>
      <c r="T351">
        <f>Table4342[[#This Row],[CFNM]]/Table4342[[#This Row],[CAREA]]</f>
        <v>7.7784666779255579E-2</v>
      </c>
      <c r="U351">
        <v>2.0512600000000001</v>
      </c>
      <c r="V351">
        <f>-(Table5343[[#This Row],[time]]-2)*2</f>
        <v>-0.10252000000000017</v>
      </c>
      <c r="W351">
        <v>82.644000000000005</v>
      </c>
      <c r="X351">
        <v>8.7576400000000003</v>
      </c>
      <c r="Y351">
        <f>Table5343[[#This Row],[CFNM]]/Table5343[[#This Row],[CAREA]]</f>
        <v>0.10596824935869513</v>
      </c>
      <c r="Z351">
        <v>2.0512600000000001</v>
      </c>
      <c r="AA351">
        <f>-(Table6344[[#This Row],[time]]-2)*2</f>
        <v>-0.10252000000000017</v>
      </c>
      <c r="AB351">
        <v>88.9589</v>
      </c>
      <c r="AC351">
        <v>16.268899999999999</v>
      </c>
      <c r="AD351">
        <f>Table6344[[#This Row],[CFNM]]/Table6344[[#This Row],[CAREA]]</f>
        <v>0.18288108328677624</v>
      </c>
      <c r="AE351">
        <v>2.0512600000000001</v>
      </c>
      <c r="AF351">
        <f>-(Table7345[[#This Row],[time]]-2)*2</f>
        <v>-0.10252000000000017</v>
      </c>
      <c r="AG351">
        <v>79.012500000000003</v>
      </c>
      <c r="AH351">
        <v>18.5199</v>
      </c>
      <c r="AI351">
        <f>Table7345[[#This Row],[CFNM]]/Table7345[[#This Row],[CAREA]]</f>
        <v>0.23439202657807306</v>
      </c>
      <c r="AJ351">
        <v>2.0512600000000001</v>
      </c>
      <c r="AK351">
        <f>-(Table8346[[#This Row],[time]]-2)*2</f>
        <v>-0.10252000000000017</v>
      </c>
      <c r="AL351">
        <v>83.168999999999997</v>
      </c>
      <c r="AM351">
        <v>20.158000000000001</v>
      </c>
      <c r="AN351">
        <f>Table8346[[#This Row],[CFNM]]/Table8346[[#This Row],[CAREA]]</f>
        <v>0.24237396145198334</v>
      </c>
    </row>
    <row r="352" spans="1:40" x14ac:dyDescent="0.25">
      <c r="A352">
        <v>2.1153300000000002</v>
      </c>
      <c r="B352">
        <f>-(Table1339[[#This Row],[time]]-2)*2</f>
        <v>-0.23066000000000031</v>
      </c>
      <c r="C352">
        <v>91.062100000000001</v>
      </c>
      <c r="D352">
        <v>9.5285700000000002</v>
      </c>
      <c r="E352">
        <f>Table1339[[#This Row],[CFNM]]/Table1339[[#This Row],[CAREA]]</f>
        <v>0.10463815352380408</v>
      </c>
      <c r="F352">
        <v>2.1153300000000002</v>
      </c>
      <c r="G352">
        <f>-(Table2340[[#This Row],[time]]-2)*2</f>
        <v>-0.23066000000000031</v>
      </c>
      <c r="H352">
        <v>96.058800000000005</v>
      </c>
      <c r="I352">
        <v>4.2641499999999999</v>
      </c>
      <c r="J352">
        <f>Table2340[[#This Row],[CFNM]]/Table2340[[#This Row],[CAREA]]</f>
        <v>4.4391039654878048E-2</v>
      </c>
      <c r="K352">
        <v>2.1153300000000002</v>
      </c>
      <c r="L352">
        <f>-(Table3341[[#This Row],[time]]-2)*2</f>
        <v>-0.23066000000000031</v>
      </c>
      <c r="M352">
        <v>89.268900000000002</v>
      </c>
      <c r="N352">
        <v>2.6204100000000001</v>
      </c>
      <c r="O352">
        <f>Table3341[[#This Row],[CFNM]]/Table3341[[#This Row],[CAREA]]</f>
        <v>2.935411996787235E-2</v>
      </c>
      <c r="P352">
        <v>2.1153300000000002</v>
      </c>
      <c r="Q352">
        <f>-(Table4342[[#This Row],[time]]-2)*2</f>
        <v>-0.23066000000000031</v>
      </c>
      <c r="R352">
        <v>86.505600000000001</v>
      </c>
      <c r="S352">
        <v>7.6803900000000001</v>
      </c>
      <c r="T352">
        <f>Table4342[[#This Row],[CFNM]]/Table4342[[#This Row],[CAREA]]</f>
        <v>8.8784887914770835E-2</v>
      </c>
      <c r="U352">
        <v>2.1153300000000002</v>
      </c>
      <c r="V352">
        <f>-(Table5343[[#This Row],[time]]-2)*2</f>
        <v>-0.23066000000000031</v>
      </c>
      <c r="W352">
        <v>82.512699999999995</v>
      </c>
      <c r="X352">
        <v>7.5623800000000001</v>
      </c>
      <c r="Y352">
        <f>Table5343[[#This Row],[CFNM]]/Table5343[[#This Row],[CAREA]]</f>
        <v>9.165110340589995E-2</v>
      </c>
      <c r="Z352">
        <v>2.1153300000000002</v>
      </c>
      <c r="AA352">
        <f>-(Table6344[[#This Row],[time]]-2)*2</f>
        <v>-0.23066000000000031</v>
      </c>
      <c r="AB352">
        <v>89.037300000000002</v>
      </c>
      <c r="AC352">
        <v>17.183599999999998</v>
      </c>
      <c r="AD352">
        <f>Table6344[[#This Row],[CFNM]]/Table6344[[#This Row],[CAREA]]</f>
        <v>0.19299327360555629</v>
      </c>
      <c r="AE352">
        <v>2.1153300000000002</v>
      </c>
      <c r="AF352">
        <f>-(Table7345[[#This Row],[time]]-2)*2</f>
        <v>-0.23066000000000031</v>
      </c>
      <c r="AG352">
        <v>79.168999999999997</v>
      </c>
      <c r="AH352">
        <v>16.616199999999999</v>
      </c>
      <c r="AI352">
        <f>Table7345[[#This Row],[CFNM]]/Table7345[[#This Row],[CAREA]]</f>
        <v>0.20988265609013629</v>
      </c>
      <c r="AJ352">
        <v>2.1153300000000002</v>
      </c>
      <c r="AK352">
        <f>-(Table8346[[#This Row],[time]]-2)*2</f>
        <v>-0.23066000000000031</v>
      </c>
      <c r="AL352">
        <v>83.240600000000001</v>
      </c>
      <c r="AM352">
        <v>21.89</v>
      </c>
      <c r="AN352">
        <f>Table8346[[#This Row],[CFNM]]/Table8346[[#This Row],[CAREA]]</f>
        <v>0.26297263594928438</v>
      </c>
    </row>
    <row r="353" spans="1:40" x14ac:dyDescent="0.25">
      <c r="A353">
        <v>2.16533</v>
      </c>
      <c r="B353">
        <f>-(Table1339[[#This Row],[time]]-2)*2</f>
        <v>-0.33065999999999995</v>
      </c>
      <c r="C353">
        <v>91.015799999999999</v>
      </c>
      <c r="D353">
        <v>8.9078599999999994</v>
      </c>
      <c r="E353">
        <f>Table1339[[#This Row],[CFNM]]/Table1339[[#This Row],[CAREA]]</f>
        <v>9.7871578341342927E-2</v>
      </c>
      <c r="F353">
        <v>2.16533</v>
      </c>
      <c r="G353">
        <f>-(Table2340[[#This Row],[time]]-2)*2</f>
        <v>-0.33065999999999995</v>
      </c>
      <c r="H353">
        <v>96.068399999999997</v>
      </c>
      <c r="I353">
        <v>4.96889</v>
      </c>
      <c r="J353">
        <f>Table2340[[#This Row],[CFNM]]/Table2340[[#This Row],[CAREA]]</f>
        <v>5.1722418610073657E-2</v>
      </c>
      <c r="K353">
        <v>2.16533</v>
      </c>
      <c r="L353">
        <f>-(Table3341[[#This Row],[time]]-2)*2</f>
        <v>-0.33065999999999995</v>
      </c>
      <c r="M353">
        <v>89.286500000000004</v>
      </c>
      <c r="N353">
        <v>1.8927</v>
      </c>
      <c r="O353">
        <f>Table3341[[#This Row],[CFNM]]/Table3341[[#This Row],[CAREA]]</f>
        <v>2.1198053457129575E-2</v>
      </c>
      <c r="P353">
        <v>2.16533</v>
      </c>
      <c r="Q353">
        <f>-(Table4342[[#This Row],[time]]-2)*2</f>
        <v>-0.33065999999999995</v>
      </c>
      <c r="R353">
        <v>86.552999999999997</v>
      </c>
      <c r="S353">
        <v>8.6953399999999998</v>
      </c>
      <c r="T353">
        <f>Table4342[[#This Row],[CFNM]]/Table4342[[#This Row],[CAREA]]</f>
        <v>0.10046260672651439</v>
      </c>
      <c r="U353">
        <v>2.16533</v>
      </c>
      <c r="V353">
        <f>-(Table5343[[#This Row],[time]]-2)*2</f>
        <v>-0.33065999999999995</v>
      </c>
      <c r="W353">
        <v>82.385599999999997</v>
      </c>
      <c r="X353">
        <v>6.4062200000000002</v>
      </c>
      <c r="Y353">
        <f>Table5343[[#This Row],[CFNM]]/Table5343[[#This Row],[CAREA]]</f>
        <v>7.7758977297003359E-2</v>
      </c>
      <c r="Z353">
        <v>2.16533</v>
      </c>
      <c r="AA353">
        <f>-(Table6344[[#This Row],[time]]-2)*2</f>
        <v>-0.33065999999999995</v>
      </c>
      <c r="AB353">
        <v>89.079099999999997</v>
      </c>
      <c r="AC353">
        <v>18.039100000000001</v>
      </c>
      <c r="AD353">
        <f>Table6344[[#This Row],[CFNM]]/Table6344[[#This Row],[CAREA]]</f>
        <v>0.20250653632558033</v>
      </c>
      <c r="AE353">
        <v>2.16533</v>
      </c>
      <c r="AF353">
        <f>-(Table7345[[#This Row],[time]]-2)*2</f>
        <v>-0.33065999999999995</v>
      </c>
      <c r="AG353">
        <v>79.364099999999993</v>
      </c>
      <c r="AH353">
        <v>15.0215</v>
      </c>
      <c r="AI353">
        <f>Table7345[[#This Row],[CFNM]]/Table7345[[#This Row],[CAREA]]</f>
        <v>0.18927323563172771</v>
      </c>
      <c r="AJ353">
        <v>2.16533</v>
      </c>
      <c r="AK353">
        <f>-(Table8346[[#This Row],[time]]-2)*2</f>
        <v>-0.33065999999999995</v>
      </c>
      <c r="AL353">
        <v>83.199799999999996</v>
      </c>
      <c r="AM353">
        <v>23.4224</v>
      </c>
      <c r="AN353">
        <f>Table8346[[#This Row],[CFNM]]/Table8346[[#This Row],[CAREA]]</f>
        <v>0.28151990749977768</v>
      </c>
    </row>
    <row r="354" spans="1:40" x14ac:dyDescent="0.25">
      <c r="A354">
        <v>2.2246999999999999</v>
      </c>
      <c r="B354">
        <f>-(Table1339[[#This Row],[time]]-2)*2</f>
        <v>-0.4493999999999998</v>
      </c>
      <c r="C354">
        <v>90.919700000000006</v>
      </c>
      <c r="D354">
        <v>8.2000799999999998</v>
      </c>
      <c r="E354">
        <f>Table1339[[#This Row],[CFNM]]/Table1339[[#This Row],[CAREA]]</f>
        <v>9.0190354785596519E-2</v>
      </c>
      <c r="F354">
        <v>2.2246999999999999</v>
      </c>
      <c r="G354">
        <f>-(Table2340[[#This Row],[time]]-2)*2</f>
        <v>-0.4493999999999998</v>
      </c>
      <c r="H354">
        <v>96.091099999999997</v>
      </c>
      <c r="I354">
        <v>5.8697100000000004</v>
      </c>
      <c r="J354">
        <f>Table2340[[#This Row],[CFNM]]/Table2340[[#This Row],[CAREA]]</f>
        <v>6.1084845526796973E-2</v>
      </c>
      <c r="K354">
        <v>2.2246999999999999</v>
      </c>
      <c r="L354">
        <f>-(Table3341[[#This Row],[time]]-2)*2</f>
        <v>-0.4493999999999998</v>
      </c>
      <c r="M354">
        <v>88.990600000000001</v>
      </c>
      <c r="N354">
        <v>1.1706300000000001</v>
      </c>
      <c r="O354">
        <f>Table3341[[#This Row],[CFNM]]/Table3341[[#This Row],[CAREA]]</f>
        <v>1.3154535422842412E-2</v>
      </c>
      <c r="P354">
        <v>2.2246999999999999</v>
      </c>
      <c r="Q354">
        <f>-(Table4342[[#This Row],[time]]-2)*2</f>
        <v>-0.4493999999999998</v>
      </c>
      <c r="R354">
        <v>86.616600000000005</v>
      </c>
      <c r="S354">
        <v>9.8477499999999996</v>
      </c>
      <c r="T354">
        <f>Table4342[[#This Row],[CFNM]]/Table4342[[#This Row],[CAREA]]</f>
        <v>0.1136935645130379</v>
      </c>
      <c r="U354">
        <v>2.2246999999999999</v>
      </c>
      <c r="V354">
        <f>-(Table5343[[#This Row],[time]]-2)*2</f>
        <v>-0.4493999999999998</v>
      </c>
      <c r="W354">
        <v>82.119399999999999</v>
      </c>
      <c r="X354">
        <v>5.2076700000000002</v>
      </c>
      <c r="Y354">
        <f>Table5343[[#This Row],[CFNM]]/Table5343[[#This Row],[CAREA]]</f>
        <v>6.3415831094723055E-2</v>
      </c>
      <c r="Z354">
        <v>2.2246999999999999</v>
      </c>
      <c r="AA354">
        <f>-(Table6344[[#This Row],[time]]-2)*2</f>
        <v>-0.4493999999999998</v>
      </c>
      <c r="AB354">
        <v>89.142700000000005</v>
      </c>
      <c r="AC354">
        <v>18.898</v>
      </c>
      <c r="AD354">
        <f>Table6344[[#This Row],[CFNM]]/Table6344[[#This Row],[CAREA]]</f>
        <v>0.21199716858475229</v>
      </c>
      <c r="AE354">
        <v>2.2246999999999999</v>
      </c>
      <c r="AF354">
        <f>-(Table7345[[#This Row],[time]]-2)*2</f>
        <v>-0.4493999999999998</v>
      </c>
      <c r="AG354">
        <v>79.531199999999998</v>
      </c>
      <c r="AH354">
        <v>13.4131</v>
      </c>
      <c r="AI354">
        <f>Table7345[[#This Row],[CFNM]]/Table7345[[#This Row],[CAREA]]</f>
        <v>0.16865205101897118</v>
      </c>
      <c r="AJ354">
        <v>2.2246999999999999</v>
      </c>
      <c r="AK354">
        <f>-(Table8346[[#This Row],[time]]-2)*2</f>
        <v>-0.4493999999999998</v>
      </c>
      <c r="AL354">
        <v>83.125399999999999</v>
      </c>
      <c r="AM354">
        <v>25.094899999999999</v>
      </c>
      <c r="AN354">
        <f>Table8346[[#This Row],[CFNM]]/Table8346[[#This Row],[CAREA]]</f>
        <v>0.30189208112081267</v>
      </c>
    </row>
    <row r="355" spans="1:40" x14ac:dyDescent="0.25">
      <c r="A355">
        <v>2.2668900000000001</v>
      </c>
      <c r="B355">
        <f>-(Table1339[[#This Row],[time]]-2)*2</f>
        <v>-0.53378000000000014</v>
      </c>
      <c r="C355">
        <v>90.843699999999998</v>
      </c>
      <c r="D355">
        <v>7.4269299999999996</v>
      </c>
      <c r="E355">
        <f>Table1339[[#This Row],[CFNM]]/Table1339[[#This Row],[CAREA]]</f>
        <v>8.175503639768085E-2</v>
      </c>
      <c r="F355">
        <v>2.2668900000000001</v>
      </c>
      <c r="G355">
        <f>-(Table2340[[#This Row],[time]]-2)*2</f>
        <v>-0.53378000000000014</v>
      </c>
      <c r="H355">
        <v>96.130499999999998</v>
      </c>
      <c r="I355">
        <v>6.98034</v>
      </c>
      <c r="J355">
        <f>Table2340[[#This Row],[CFNM]]/Table2340[[#This Row],[CAREA]]</f>
        <v>7.2613166476820576E-2</v>
      </c>
      <c r="K355">
        <v>2.2668900000000001</v>
      </c>
      <c r="L355">
        <f>-(Table3341[[#This Row],[time]]-2)*2</f>
        <v>-0.53378000000000014</v>
      </c>
      <c r="M355">
        <v>89.002099999999999</v>
      </c>
      <c r="N355">
        <v>0.54498400000000002</v>
      </c>
      <c r="O355">
        <f>Table3341[[#This Row],[CFNM]]/Table3341[[#This Row],[CAREA]]</f>
        <v>6.1232712486559314E-3</v>
      </c>
      <c r="P355">
        <v>2.2668900000000001</v>
      </c>
      <c r="Q355">
        <f>-(Table4342[[#This Row],[time]]-2)*2</f>
        <v>-0.53378000000000014</v>
      </c>
      <c r="R355">
        <v>86.653199999999998</v>
      </c>
      <c r="S355">
        <v>11.1166</v>
      </c>
      <c r="T355">
        <f>Table4342[[#This Row],[CFNM]]/Table4342[[#This Row],[CAREA]]</f>
        <v>0.12828839558146729</v>
      </c>
      <c r="U355">
        <v>2.2668900000000001</v>
      </c>
      <c r="V355">
        <f>-(Table5343[[#This Row],[time]]-2)*2</f>
        <v>-0.53378000000000014</v>
      </c>
      <c r="W355">
        <v>81.785700000000006</v>
      </c>
      <c r="X355">
        <v>4.0108800000000002</v>
      </c>
      <c r="Y355">
        <f>Table5343[[#This Row],[CFNM]]/Table5343[[#This Row],[CAREA]]</f>
        <v>4.904133607708927E-2</v>
      </c>
      <c r="Z355">
        <v>2.2668900000000001</v>
      </c>
      <c r="AA355">
        <f>-(Table6344[[#This Row],[time]]-2)*2</f>
        <v>-0.53378000000000014</v>
      </c>
      <c r="AB355">
        <v>89.235900000000001</v>
      </c>
      <c r="AC355">
        <v>19.733499999999999</v>
      </c>
      <c r="AD355">
        <f>Table6344[[#This Row],[CFNM]]/Table6344[[#This Row],[CAREA]]</f>
        <v>0.22113857763523423</v>
      </c>
      <c r="AE355">
        <v>2.2668900000000001</v>
      </c>
      <c r="AF355">
        <f>-(Table7345[[#This Row],[time]]-2)*2</f>
        <v>-0.53378000000000014</v>
      </c>
      <c r="AG355">
        <v>79.697500000000005</v>
      </c>
      <c r="AH355">
        <v>11.8599</v>
      </c>
      <c r="AI355">
        <f>Table7345[[#This Row],[CFNM]]/Table7345[[#This Row],[CAREA]]</f>
        <v>0.14881144326986415</v>
      </c>
      <c r="AJ355">
        <v>2.2668900000000001</v>
      </c>
      <c r="AK355">
        <f>-(Table8346[[#This Row],[time]]-2)*2</f>
        <v>-0.53378000000000014</v>
      </c>
      <c r="AL355">
        <v>83.0501</v>
      </c>
      <c r="AM355">
        <v>26.872599999999998</v>
      </c>
      <c r="AN355">
        <f>Table8346[[#This Row],[CFNM]]/Table8346[[#This Row],[CAREA]]</f>
        <v>0.32357095295490312</v>
      </c>
    </row>
    <row r="356" spans="1:40" x14ac:dyDescent="0.25">
      <c r="A356">
        <v>2.3262700000000001</v>
      </c>
      <c r="B356">
        <f>-(Table1339[[#This Row],[time]]-2)*2</f>
        <v>-0.65254000000000012</v>
      </c>
      <c r="C356">
        <v>90.773899999999998</v>
      </c>
      <c r="D356">
        <v>6.6109299999999998</v>
      </c>
      <c r="E356">
        <f>Table1339[[#This Row],[CFNM]]/Table1339[[#This Row],[CAREA]]</f>
        <v>7.2828533311888113E-2</v>
      </c>
      <c r="F356">
        <v>2.3262700000000001</v>
      </c>
      <c r="G356">
        <f>-(Table2340[[#This Row],[time]]-2)*2</f>
        <v>-0.65254000000000012</v>
      </c>
      <c r="H356">
        <v>96.180099999999996</v>
      </c>
      <c r="I356">
        <v>8.2939299999999996</v>
      </c>
      <c r="J356">
        <f>Table2340[[#This Row],[CFNM]]/Table2340[[#This Row],[CAREA]]</f>
        <v>8.6233326852436204E-2</v>
      </c>
      <c r="K356">
        <v>2.3262700000000001</v>
      </c>
      <c r="L356">
        <f>-(Table3341[[#This Row],[time]]-2)*2</f>
        <v>-0.65254000000000012</v>
      </c>
      <c r="M356">
        <v>88.234399999999994</v>
      </c>
      <c r="N356">
        <v>5.8791499999999997E-3</v>
      </c>
      <c r="O356">
        <f>Table3341[[#This Row],[CFNM]]/Table3341[[#This Row],[CAREA]]</f>
        <v>6.6631041861224197E-5</v>
      </c>
      <c r="P356">
        <v>2.3262700000000001</v>
      </c>
      <c r="Q356">
        <f>-(Table4342[[#This Row],[time]]-2)*2</f>
        <v>-0.65254000000000012</v>
      </c>
      <c r="R356">
        <v>86.673699999999997</v>
      </c>
      <c r="S356">
        <v>12.541</v>
      </c>
      <c r="T356">
        <f>Table4342[[#This Row],[CFNM]]/Table4342[[#This Row],[CAREA]]</f>
        <v>0.14469210383311201</v>
      </c>
      <c r="U356">
        <v>2.3262700000000001</v>
      </c>
      <c r="V356">
        <f>-(Table5343[[#This Row],[time]]-2)*2</f>
        <v>-0.65254000000000012</v>
      </c>
      <c r="W356">
        <v>82.074100000000001</v>
      </c>
      <c r="X356">
        <v>2.84599</v>
      </c>
      <c r="Y356">
        <f>Table5343[[#This Row],[CFNM]]/Table5343[[#This Row],[CAREA]]</f>
        <v>3.4675859985062278E-2</v>
      </c>
      <c r="Z356">
        <v>2.3262700000000001</v>
      </c>
      <c r="AA356">
        <f>-(Table6344[[#This Row],[time]]-2)*2</f>
        <v>-0.65254000000000012</v>
      </c>
      <c r="AB356">
        <v>88.922200000000004</v>
      </c>
      <c r="AC356">
        <v>20.619700000000002</v>
      </c>
      <c r="AD356">
        <f>Table6344[[#This Row],[CFNM]]/Table6344[[#This Row],[CAREA]]</f>
        <v>0.231884726198857</v>
      </c>
      <c r="AE356">
        <v>2.3262700000000001</v>
      </c>
      <c r="AF356">
        <f>-(Table7345[[#This Row],[time]]-2)*2</f>
        <v>-0.65254000000000012</v>
      </c>
      <c r="AG356">
        <v>79.629599999999996</v>
      </c>
      <c r="AH356">
        <v>10.3584</v>
      </c>
      <c r="AI356">
        <f>Table7345[[#This Row],[CFNM]]/Table7345[[#This Row],[CAREA]]</f>
        <v>0.13008228096084873</v>
      </c>
      <c r="AJ356">
        <v>2.3262700000000001</v>
      </c>
      <c r="AK356">
        <f>-(Table8346[[#This Row],[time]]-2)*2</f>
        <v>-0.65254000000000012</v>
      </c>
      <c r="AL356">
        <v>82.899100000000004</v>
      </c>
      <c r="AM356">
        <v>28.8443</v>
      </c>
      <c r="AN356">
        <f>Table8346[[#This Row],[CFNM]]/Table8346[[#This Row],[CAREA]]</f>
        <v>0.34794467008688873</v>
      </c>
    </row>
    <row r="357" spans="1:40" x14ac:dyDescent="0.25">
      <c r="A357">
        <v>2.3684599999999998</v>
      </c>
      <c r="B357">
        <f>-(Table1339[[#This Row],[time]]-2)*2</f>
        <v>-0.73691999999999958</v>
      </c>
      <c r="C357">
        <v>90.389499999999998</v>
      </c>
      <c r="D357">
        <v>5.9863499999999998</v>
      </c>
      <c r="E357">
        <f>Table1339[[#This Row],[CFNM]]/Table1339[[#This Row],[CAREA]]</f>
        <v>6.6228378296151649E-2</v>
      </c>
      <c r="F357">
        <v>2.3684599999999998</v>
      </c>
      <c r="G357">
        <f>-(Table2340[[#This Row],[time]]-2)*2</f>
        <v>-0.73691999999999958</v>
      </c>
      <c r="H357">
        <v>96.242800000000003</v>
      </c>
      <c r="I357">
        <v>9.6869399999999999</v>
      </c>
      <c r="J357">
        <f>Table2340[[#This Row],[CFNM]]/Table2340[[#This Row],[CAREA]]</f>
        <v>0.10065106168980952</v>
      </c>
      <c r="K357">
        <v>2.3684599999999998</v>
      </c>
      <c r="L357">
        <f>-(Table3341[[#This Row],[time]]-2)*2</f>
        <v>-0.73691999999999958</v>
      </c>
      <c r="M357">
        <v>88.143900000000002</v>
      </c>
      <c r="N357">
        <v>4.3876799999999997E-3</v>
      </c>
      <c r="O357">
        <f>Table3341[[#This Row],[CFNM]]/Table3341[[#This Row],[CAREA]]</f>
        <v>4.9778600674578725E-5</v>
      </c>
      <c r="P357">
        <v>2.3684599999999998</v>
      </c>
      <c r="Q357">
        <f>-(Table4342[[#This Row],[time]]-2)*2</f>
        <v>-0.73691999999999958</v>
      </c>
      <c r="R357">
        <v>86.666700000000006</v>
      </c>
      <c r="S357">
        <v>14.048299999999999</v>
      </c>
      <c r="T357">
        <f>Table4342[[#This Row],[CFNM]]/Table4342[[#This Row],[CAREA]]</f>
        <v>0.16209570688626657</v>
      </c>
      <c r="U357">
        <v>2.3684599999999998</v>
      </c>
      <c r="V357">
        <f>-(Table5343[[#This Row],[time]]-2)*2</f>
        <v>-0.73691999999999958</v>
      </c>
      <c r="W357">
        <v>81.864099999999993</v>
      </c>
      <c r="X357">
        <v>1.82569</v>
      </c>
      <c r="Y357">
        <f>Table5343[[#This Row],[CFNM]]/Table5343[[#This Row],[CAREA]]</f>
        <v>2.2301472806761452E-2</v>
      </c>
      <c r="Z357">
        <v>2.3684599999999998</v>
      </c>
      <c r="AA357">
        <f>-(Table6344[[#This Row],[time]]-2)*2</f>
        <v>-0.73691999999999958</v>
      </c>
      <c r="AB357">
        <v>88.303100000000001</v>
      </c>
      <c r="AC357">
        <v>21.534300000000002</v>
      </c>
      <c r="AD357">
        <f>Table6344[[#This Row],[CFNM]]/Table6344[[#This Row],[CAREA]]</f>
        <v>0.24386799557433433</v>
      </c>
      <c r="AE357">
        <v>2.3684599999999998</v>
      </c>
      <c r="AF357">
        <f>-(Table7345[[#This Row],[time]]-2)*2</f>
        <v>-0.73691999999999958</v>
      </c>
      <c r="AG357">
        <v>80.004499999999993</v>
      </c>
      <c r="AH357">
        <v>9.0092499999999998</v>
      </c>
      <c r="AI357">
        <f>Table7345[[#This Row],[CFNM]]/Table7345[[#This Row],[CAREA]]</f>
        <v>0.11260929072739659</v>
      </c>
      <c r="AJ357">
        <v>2.3684599999999998</v>
      </c>
      <c r="AK357">
        <f>-(Table8346[[#This Row],[time]]-2)*2</f>
        <v>-0.73691999999999958</v>
      </c>
      <c r="AL357">
        <v>82.877300000000005</v>
      </c>
      <c r="AM357">
        <v>30.795400000000001</v>
      </c>
      <c r="AN357">
        <f>Table8346[[#This Row],[CFNM]]/Table8346[[#This Row],[CAREA]]</f>
        <v>0.37157822467672086</v>
      </c>
    </row>
    <row r="358" spans="1:40" x14ac:dyDescent="0.25">
      <c r="A358">
        <v>2.4278300000000002</v>
      </c>
      <c r="B358">
        <f>-(Table1339[[#This Row],[time]]-2)*2</f>
        <v>-0.85566000000000031</v>
      </c>
      <c r="C358">
        <v>90.013999999999996</v>
      </c>
      <c r="D358">
        <v>5.3702399999999999</v>
      </c>
      <c r="E358">
        <f>Table1339[[#This Row],[CFNM]]/Table1339[[#This Row],[CAREA]]</f>
        <v>5.9660052880663013E-2</v>
      </c>
      <c r="F358">
        <v>2.4278300000000002</v>
      </c>
      <c r="G358">
        <f>-(Table2340[[#This Row],[time]]-2)*2</f>
        <v>-0.85566000000000031</v>
      </c>
      <c r="H358">
        <v>96.333699999999993</v>
      </c>
      <c r="I358">
        <v>11.2684</v>
      </c>
      <c r="J358">
        <f>Table2340[[#This Row],[CFNM]]/Table2340[[#This Row],[CAREA]]</f>
        <v>0.1169725651563264</v>
      </c>
      <c r="K358">
        <v>2.4278300000000002</v>
      </c>
      <c r="L358">
        <f>-(Table3341[[#This Row],[time]]-2)*2</f>
        <v>-0.85566000000000031</v>
      </c>
      <c r="M358">
        <v>87.983699999999999</v>
      </c>
      <c r="N358">
        <v>3.9785200000000001E-3</v>
      </c>
      <c r="O358">
        <f>Table3341[[#This Row],[CFNM]]/Table3341[[#This Row],[CAREA]]</f>
        <v>4.5218830306068061E-5</v>
      </c>
      <c r="P358">
        <v>2.4278300000000002</v>
      </c>
      <c r="Q358">
        <f>-(Table4342[[#This Row],[time]]-2)*2</f>
        <v>-0.85566000000000031</v>
      </c>
      <c r="R358">
        <v>86.6464</v>
      </c>
      <c r="S358">
        <v>15.6302</v>
      </c>
      <c r="T358">
        <f>Table4342[[#This Row],[CFNM]]/Table4342[[#This Row],[CAREA]]</f>
        <v>0.18039064519703069</v>
      </c>
      <c r="U358">
        <v>2.4278300000000002</v>
      </c>
      <c r="V358">
        <f>-(Table5343[[#This Row],[time]]-2)*2</f>
        <v>-0.85566000000000031</v>
      </c>
      <c r="W358">
        <v>81.894800000000004</v>
      </c>
      <c r="X358">
        <v>0.90078999999999998</v>
      </c>
      <c r="Y358">
        <f>Table5343[[#This Row],[CFNM]]/Table5343[[#This Row],[CAREA]]</f>
        <v>1.0999355270420098E-2</v>
      </c>
      <c r="Z358">
        <v>2.4278300000000002</v>
      </c>
      <c r="AA358">
        <f>-(Table6344[[#This Row],[time]]-2)*2</f>
        <v>-0.85566000000000031</v>
      </c>
      <c r="AB358">
        <v>87.136899999999997</v>
      </c>
      <c r="AC358">
        <v>22.564499999999999</v>
      </c>
      <c r="AD358">
        <f>Table6344[[#This Row],[CFNM]]/Table6344[[#This Row],[CAREA]]</f>
        <v>0.25895458755131295</v>
      </c>
      <c r="AE358">
        <v>2.4278300000000002</v>
      </c>
      <c r="AF358">
        <f>-(Table7345[[#This Row],[time]]-2)*2</f>
        <v>-0.85566000000000031</v>
      </c>
      <c r="AG358">
        <v>79.954499999999996</v>
      </c>
      <c r="AH358">
        <v>7.7670300000000001</v>
      </c>
      <c r="AI358">
        <f>Table7345[[#This Row],[CFNM]]/Table7345[[#This Row],[CAREA]]</f>
        <v>9.7143125152430454E-2</v>
      </c>
      <c r="AJ358">
        <v>2.4278300000000002</v>
      </c>
      <c r="AK358">
        <f>-(Table8346[[#This Row],[time]]-2)*2</f>
        <v>-0.85566000000000031</v>
      </c>
      <c r="AL358">
        <v>82.805599999999998</v>
      </c>
      <c r="AM358">
        <v>32.738999999999997</v>
      </c>
      <c r="AN358">
        <f>Table8346[[#This Row],[CFNM]]/Table8346[[#This Row],[CAREA]]</f>
        <v>0.39537181060218146</v>
      </c>
    </row>
    <row r="359" spans="1:40" x14ac:dyDescent="0.25">
      <c r="A359">
        <v>2.4542000000000002</v>
      </c>
      <c r="B359">
        <f>-(Table1339[[#This Row],[time]]-2)*2</f>
        <v>-0.90840000000000032</v>
      </c>
      <c r="C359">
        <v>89.5809</v>
      </c>
      <c r="D359">
        <v>4.7359200000000001</v>
      </c>
      <c r="E359">
        <f>Table1339[[#This Row],[CFNM]]/Table1339[[#This Row],[CAREA]]</f>
        <v>5.2867519750303918E-2</v>
      </c>
      <c r="F359">
        <v>2.4542000000000002</v>
      </c>
      <c r="G359">
        <f>-(Table2340[[#This Row],[time]]-2)*2</f>
        <v>-0.90840000000000032</v>
      </c>
      <c r="H359">
        <v>96.413300000000007</v>
      </c>
      <c r="I359">
        <v>12.954499999999999</v>
      </c>
      <c r="J359">
        <f>Table2340[[#This Row],[CFNM]]/Table2340[[#This Row],[CAREA]]</f>
        <v>0.13436424227777702</v>
      </c>
      <c r="K359">
        <v>2.4542000000000002</v>
      </c>
      <c r="L359">
        <f>-(Table3341[[#This Row],[time]]-2)*2</f>
        <v>-0.90840000000000032</v>
      </c>
      <c r="M359">
        <v>87.865399999999994</v>
      </c>
      <c r="N359">
        <v>3.5552600000000002E-3</v>
      </c>
      <c r="O359">
        <f>Table3341[[#This Row],[CFNM]]/Table3341[[#This Row],[CAREA]]</f>
        <v>4.0462571159978789E-5</v>
      </c>
      <c r="P359">
        <v>2.4542000000000002</v>
      </c>
      <c r="Q359">
        <f>-(Table4342[[#This Row],[time]]-2)*2</f>
        <v>-0.90840000000000032</v>
      </c>
      <c r="R359">
        <v>86.588499999999996</v>
      </c>
      <c r="S359">
        <v>17.327100000000002</v>
      </c>
      <c r="T359">
        <f>Table4342[[#This Row],[CFNM]]/Table4342[[#This Row],[CAREA]]</f>
        <v>0.20010855945073541</v>
      </c>
      <c r="U359">
        <v>2.4542000000000002</v>
      </c>
      <c r="V359">
        <f>-(Table5343[[#This Row],[time]]-2)*2</f>
        <v>-0.90840000000000032</v>
      </c>
      <c r="W359">
        <v>81.698499999999996</v>
      </c>
      <c r="X359">
        <v>0.26644600000000002</v>
      </c>
      <c r="Y359">
        <f>Table5343[[#This Row],[CFNM]]/Table5343[[#This Row],[CAREA]]</f>
        <v>3.2613328274080922E-3</v>
      </c>
      <c r="Z359">
        <v>2.4542000000000002</v>
      </c>
      <c r="AA359">
        <f>-(Table6344[[#This Row],[time]]-2)*2</f>
        <v>-0.90840000000000032</v>
      </c>
      <c r="AB359">
        <v>86.994200000000006</v>
      </c>
      <c r="AC359">
        <v>23.8048</v>
      </c>
      <c r="AD359">
        <f>Table6344[[#This Row],[CFNM]]/Table6344[[#This Row],[CAREA]]</f>
        <v>0.27363663324681414</v>
      </c>
      <c r="AE359">
        <v>2.4542000000000002</v>
      </c>
      <c r="AF359">
        <f>-(Table7345[[#This Row],[time]]-2)*2</f>
        <v>-0.90840000000000032</v>
      </c>
      <c r="AG359">
        <v>79.744900000000001</v>
      </c>
      <c r="AH359">
        <v>6.5996300000000003</v>
      </c>
      <c r="AI359">
        <f>Table7345[[#This Row],[CFNM]]/Table7345[[#This Row],[CAREA]]</f>
        <v>8.2759273633799785E-2</v>
      </c>
      <c r="AJ359">
        <v>2.4542000000000002</v>
      </c>
      <c r="AK359">
        <f>-(Table8346[[#This Row],[time]]-2)*2</f>
        <v>-0.90840000000000032</v>
      </c>
      <c r="AL359">
        <v>82.745900000000006</v>
      </c>
      <c r="AM359">
        <v>34.679299999999998</v>
      </c>
      <c r="AN359">
        <f>Table8346[[#This Row],[CFNM]]/Table8346[[#This Row],[CAREA]]</f>
        <v>0.4191059617455366</v>
      </c>
    </row>
    <row r="360" spans="1:40" x14ac:dyDescent="0.25">
      <c r="A360">
        <v>2.5061499999999999</v>
      </c>
      <c r="B360">
        <f>-(Table1339[[#This Row],[time]]-2)*2</f>
        <v>-1.0122999999999998</v>
      </c>
      <c r="C360">
        <v>87.851699999999994</v>
      </c>
      <c r="D360">
        <v>4.0831099999999996</v>
      </c>
      <c r="E360">
        <f>Table1339[[#This Row],[CFNM]]/Table1339[[#This Row],[CAREA]]</f>
        <v>4.6477302089771737E-2</v>
      </c>
      <c r="F360">
        <v>2.5061499999999999</v>
      </c>
      <c r="G360">
        <f>-(Table2340[[#This Row],[time]]-2)*2</f>
        <v>-1.0122999999999998</v>
      </c>
      <c r="H360">
        <v>96.530600000000007</v>
      </c>
      <c r="I360">
        <v>14.7928</v>
      </c>
      <c r="J360">
        <f>Table2340[[#This Row],[CFNM]]/Table2340[[#This Row],[CAREA]]</f>
        <v>0.15324467060186095</v>
      </c>
      <c r="K360">
        <v>2.5061499999999999</v>
      </c>
      <c r="L360">
        <f>-(Table3341[[#This Row],[time]]-2)*2</f>
        <v>-1.0122999999999998</v>
      </c>
      <c r="M360">
        <v>84.253200000000007</v>
      </c>
      <c r="N360">
        <v>3.1555099999999998E-3</v>
      </c>
      <c r="O360">
        <f>Table3341[[#This Row],[CFNM]]/Table3341[[#This Row],[CAREA]]</f>
        <v>3.7452702093214262E-5</v>
      </c>
      <c r="P360">
        <v>2.5061499999999999</v>
      </c>
      <c r="Q360">
        <f>-(Table4342[[#This Row],[time]]-2)*2</f>
        <v>-1.0122999999999998</v>
      </c>
      <c r="R360">
        <v>86.497100000000003</v>
      </c>
      <c r="S360">
        <v>19.152999999999999</v>
      </c>
      <c r="T360">
        <f>Table4342[[#This Row],[CFNM]]/Table4342[[#This Row],[CAREA]]</f>
        <v>0.22142938896217326</v>
      </c>
      <c r="U360">
        <v>2.5061499999999999</v>
      </c>
      <c r="V360">
        <f>-(Table5343[[#This Row],[time]]-2)*2</f>
        <v>-1.0122999999999998</v>
      </c>
      <c r="W360">
        <v>81.3917</v>
      </c>
      <c r="X360">
        <v>5.41056E-3</v>
      </c>
      <c r="Y360">
        <f>Table5343[[#This Row],[CFNM]]/Table5343[[#This Row],[CAREA]]</f>
        <v>6.6475574290744628E-5</v>
      </c>
      <c r="Z360">
        <v>2.5061499999999999</v>
      </c>
      <c r="AA360">
        <f>-(Table6344[[#This Row],[time]]-2)*2</f>
        <v>-1.0122999999999998</v>
      </c>
      <c r="AB360">
        <v>86.772300000000001</v>
      </c>
      <c r="AC360">
        <v>25.3643</v>
      </c>
      <c r="AD360">
        <f>Table6344[[#This Row],[CFNM]]/Table6344[[#This Row],[CAREA]]</f>
        <v>0.2923087206401121</v>
      </c>
      <c r="AE360">
        <v>2.5061499999999999</v>
      </c>
      <c r="AF360">
        <f>-(Table7345[[#This Row],[time]]-2)*2</f>
        <v>-1.0122999999999998</v>
      </c>
      <c r="AG360">
        <v>79.406599999999997</v>
      </c>
      <c r="AH360">
        <v>5.5809300000000004</v>
      </c>
      <c r="AI360">
        <f>Table7345[[#This Row],[CFNM]]/Table7345[[#This Row],[CAREA]]</f>
        <v>7.0282948772520171E-2</v>
      </c>
      <c r="AJ360">
        <v>2.5061499999999999</v>
      </c>
      <c r="AK360">
        <f>-(Table8346[[#This Row],[time]]-2)*2</f>
        <v>-1.0122999999999998</v>
      </c>
      <c r="AL360">
        <v>82.751999999999995</v>
      </c>
      <c r="AM360">
        <v>36.655900000000003</v>
      </c>
      <c r="AN360">
        <f>Table8346[[#This Row],[CFNM]]/Table8346[[#This Row],[CAREA]]</f>
        <v>0.4429608952049498</v>
      </c>
    </row>
    <row r="361" spans="1:40" x14ac:dyDescent="0.25">
      <c r="A361">
        <v>2.5507599999999999</v>
      </c>
      <c r="B361">
        <f>-(Table1339[[#This Row],[time]]-2)*2</f>
        <v>-1.1015199999999998</v>
      </c>
      <c r="C361">
        <v>85.923299999999998</v>
      </c>
      <c r="D361">
        <v>3.2814800000000002</v>
      </c>
      <c r="E361">
        <f>Table1339[[#This Row],[CFNM]]/Table1339[[#This Row],[CAREA]]</f>
        <v>3.8190805055206216E-2</v>
      </c>
      <c r="F361">
        <v>2.5507599999999999</v>
      </c>
      <c r="G361">
        <f>-(Table2340[[#This Row],[time]]-2)*2</f>
        <v>-1.1015199999999998</v>
      </c>
      <c r="H361">
        <v>96.654600000000002</v>
      </c>
      <c r="I361">
        <v>17.251200000000001</v>
      </c>
      <c r="J361">
        <f>Table2340[[#This Row],[CFNM]]/Table2340[[#This Row],[CAREA]]</f>
        <v>0.17848296925340337</v>
      </c>
      <c r="K361">
        <v>2.5507599999999999</v>
      </c>
      <c r="L361">
        <f>-(Table3341[[#This Row],[time]]-2)*2</f>
        <v>-1.1015199999999998</v>
      </c>
      <c r="M361">
        <v>78.6541</v>
      </c>
      <c r="N361">
        <v>2.7848899999999999E-3</v>
      </c>
      <c r="O361">
        <f>Table3341[[#This Row],[CFNM]]/Table3341[[#This Row],[CAREA]]</f>
        <v>3.5406800154092411E-5</v>
      </c>
      <c r="P361">
        <v>2.5507599999999999</v>
      </c>
      <c r="Q361">
        <f>-(Table4342[[#This Row],[time]]-2)*2</f>
        <v>-1.1015199999999998</v>
      </c>
      <c r="R361">
        <v>86.386499999999998</v>
      </c>
      <c r="S361">
        <v>21.529499999999999</v>
      </c>
      <c r="T361">
        <f>Table4342[[#This Row],[CFNM]]/Table4342[[#This Row],[CAREA]]</f>
        <v>0.24922296886666317</v>
      </c>
      <c r="U361">
        <v>2.5507599999999999</v>
      </c>
      <c r="V361">
        <f>-(Table5343[[#This Row],[time]]-2)*2</f>
        <v>-1.1015199999999998</v>
      </c>
      <c r="W361">
        <v>81.292400000000001</v>
      </c>
      <c r="X361">
        <v>4.7384100000000002E-3</v>
      </c>
      <c r="Y361">
        <f>Table5343[[#This Row],[CFNM]]/Table5343[[#This Row],[CAREA]]</f>
        <v>5.8288474691361063E-5</v>
      </c>
      <c r="Z361">
        <v>2.5507599999999999</v>
      </c>
      <c r="AA361">
        <f>-(Table6344[[#This Row],[time]]-2)*2</f>
        <v>-1.1015199999999998</v>
      </c>
      <c r="AB361">
        <v>86.186000000000007</v>
      </c>
      <c r="AC361">
        <v>27.6523</v>
      </c>
      <c r="AD361">
        <f>Table6344[[#This Row],[CFNM]]/Table6344[[#This Row],[CAREA]]</f>
        <v>0.32084445269533335</v>
      </c>
      <c r="AE361">
        <v>2.5507599999999999</v>
      </c>
      <c r="AF361">
        <f>-(Table7345[[#This Row],[time]]-2)*2</f>
        <v>-1.1015199999999998</v>
      </c>
      <c r="AG361">
        <v>78.897800000000004</v>
      </c>
      <c r="AH361">
        <v>4.5602299999999998</v>
      </c>
      <c r="AI361">
        <f>Table7345[[#This Row],[CFNM]]/Table7345[[#This Row],[CAREA]]</f>
        <v>5.7799203526587552E-2</v>
      </c>
      <c r="AJ361">
        <v>2.5507599999999999</v>
      </c>
      <c r="AK361">
        <f>-(Table8346[[#This Row],[time]]-2)*2</f>
        <v>-1.1015199999999998</v>
      </c>
      <c r="AL361">
        <v>82.774600000000007</v>
      </c>
      <c r="AM361">
        <v>39.108400000000003</v>
      </c>
      <c r="AN361">
        <f>Table8346[[#This Row],[CFNM]]/Table8346[[#This Row],[CAREA]]</f>
        <v>0.47246860751969805</v>
      </c>
    </row>
    <row r="362" spans="1:40" x14ac:dyDescent="0.25">
      <c r="A362">
        <v>2.60453</v>
      </c>
      <c r="B362">
        <f>-(Table1339[[#This Row],[time]]-2)*2</f>
        <v>-1.20906</v>
      </c>
      <c r="C362">
        <v>85.457899999999995</v>
      </c>
      <c r="D362">
        <v>2.68445</v>
      </c>
      <c r="E362">
        <f>Table1339[[#This Row],[CFNM]]/Table1339[[#This Row],[CAREA]]</f>
        <v>3.141254348632485E-2</v>
      </c>
      <c r="F362">
        <v>2.60453</v>
      </c>
      <c r="G362">
        <f>-(Table2340[[#This Row],[time]]-2)*2</f>
        <v>-1.20906</v>
      </c>
      <c r="H362">
        <v>96.787400000000005</v>
      </c>
      <c r="I362">
        <v>19.136600000000001</v>
      </c>
      <c r="J362">
        <f>Table2340[[#This Row],[CFNM]]/Table2340[[#This Row],[CAREA]]</f>
        <v>0.19771788476599228</v>
      </c>
      <c r="K362">
        <v>2.60453</v>
      </c>
      <c r="L362">
        <f>-(Table3341[[#This Row],[time]]-2)*2</f>
        <v>-1.20906</v>
      </c>
      <c r="M362">
        <v>74.760999999999996</v>
      </c>
      <c r="N362">
        <v>2.5588500000000001E-3</v>
      </c>
      <c r="O362">
        <f>Table3341[[#This Row],[CFNM]]/Table3341[[#This Row],[CAREA]]</f>
        <v>3.4227070263907658E-5</v>
      </c>
      <c r="P362">
        <v>2.60453</v>
      </c>
      <c r="Q362">
        <f>-(Table4342[[#This Row],[time]]-2)*2</f>
        <v>-1.20906</v>
      </c>
      <c r="R362">
        <v>86.314499999999995</v>
      </c>
      <c r="S362">
        <v>23.3385</v>
      </c>
      <c r="T362">
        <f>Table4342[[#This Row],[CFNM]]/Table4342[[#This Row],[CAREA]]</f>
        <v>0.27038910032497437</v>
      </c>
      <c r="U362">
        <v>2.60453</v>
      </c>
      <c r="V362">
        <f>-(Table5343[[#This Row],[time]]-2)*2</f>
        <v>-1.20906</v>
      </c>
      <c r="W362">
        <v>80.736900000000006</v>
      </c>
      <c r="X362">
        <v>4.4871700000000004E-3</v>
      </c>
      <c r="Y362">
        <f>Table5343[[#This Row],[CFNM]]/Table5343[[#This Row],[CAREA]]</f>
        <v>5.5577685048596117E-5</v>
      </c>
      <c r="Z362">
        <v>2.60453</v>
      </c>
      <c r="AA362">
        <f>-(Table6344[[#This Row],[time]]-2)*2</f>
        <v>-1.20906</v>
      </c>
      <c r="AB362">
        <v>85.348600000000005</v>
      </c>
      <c r="AC362">
        <v>29.444600000000001</v>
      </c>
      <c r="AD362">
        <f>Table6344[[#This Row],[CFNM]]/Table6344[[#This Row],[CAREA]]</f>
        <v>0.34499218499190376</v>
      </c>
      <c r="AE362">
        <v>2.60453</v>
      </c>
      <c r="AF362">
        <f>-(Table7345[[#This Row],[time]]-2)*2</f>
        <v>-1.20906</v>
      </c>
      <c r="AG362">
        <v>78.247399999999999</v>
      </c>
      <c r="AH362">
        <v>3.944</v>
      </c>
      <c r="AI362">
        <f>Table7345[[#This Row],[CFNM]]/Table7345[[#This Row],[CAREA]]</f>
        <v>5.0404230683703227E-2</v>
      </c>
      <c r="AJ362">
        <v>2.60453</v>
      </c>
      <c r="AK362">
        <f>-(Table8346[[#This Row],[time]]-2)*2</f>
        <v>-1.20906</v>
      </c>
      <c r="AL362">
        <v>82.836500000000001</v>
      </c>
      <c r="AM362">
        <v>40.934399999999997</v>
      </c>
      <c r="AN362">
        <f>Table8346[[#This Row],[CFNM]]/Table8346[[#This Row],[CAREA]]</f>
        <v>0.49415897581380186</v>
      </c>
    </row>
    <row r="363" spans="1:40" x14ac:dyDescent="0.25">
      <c r="A363">
        <v>2.65273</v>
      </c>
      <c r="B363">
        <f>-(Table1339[[#This Row],[time]]-2)*2</f>
        <v>-1.3054600000000001</v>
      </c>
      <c r="C363">
        <v>83.380899999999997</v>
      </c>
      <c r="D363">
        <v>2.2190099999999999</v>
      </c>
      <c r="E363">
        <f>Table1339[[#This Row],[CFNM]]/Table1339[[#This Row],[CAREA]]</f>
        <v>2.6612929339932766E-2</v>
      </c>
      <c r="F363">
        <v>2.65273</v>
      </c>
      <c r="G363">
        <f>-(Table2340[[#This Row],[time]]-2)*2</f>
        <v>-1.3054600000000001</v>
      </c>
      <c r="H363">
        <v>96.869</v>
      </c>
      <c r="I363">
        <v>20.883900000000001</v>
      </c>
      <c r="J363">
        <f>Table2340[[#This Row],[CFNM]]/Table2340[[#This Row],[CAREA]]</f>
        <v>0.21558909455037215</v>
      </c>
      <c r="K363">
        <v>2.65273</v>
      </c>
      <c r="L363">
        <f>-(Table3341[[#This Row],[time]]-2)*2</f>
        <v>-1.3054600000000001</v>
      </c>
      <c r="M363">
        <v>72.793899999999994</v>
      </c>
      <c r="N363">
        <v>2.3628500000000001E-3</v>
      </c>
      <c r="O363">
        <f>Table3341[[#This Row],[CFNM]]/Table3341[[#This Row],[CAREA]]</f>
        <v>3.2459450585832062E-5</v>
      </c>
      <c r="P363">
        <v>2.65273</v>
      </c>
      <c r="Q363">
        <f>-(Table4342[[#This Row],[time]]-2)*2</f>
        <v>-1.3054600000000001</v>
      </c>
      <c r="R363">
        <v>86.235500000000002</v>
      </c>
      <c r="S363">
        <v>25.021100000000001</v>
      </c>
      <c r="T363">
        <f>Table4342[[#This Row],[CFNM]]/Table4342[[#This Row],[CAREA]]</f>
        <v>0.29014848873143889</v>
      </c>
      <c r="U363">
        <v>2.65273</v>
      </c>
      <c r="V363">
        <f>-(Table5343[[#This Row],[time]]-2)*2</f>
        <v>-1.3054600000000001</v>
      </c>
      <c r="W363">
        <v>80.5685</v>
      </c>
      <c r="X363">
        <v>4.2462000000000003E-3</v>
      </c>
      <c r="Y363">
        <f>Table5343[[#This Row],[CFNM]]/Table5343[[#This Row],[CAREA]]</f>
        <v>5.2702979452267329E-5</v>
      </c>
      <c r="Z363">
        <v>2.65273</v>
      </c>
      <c r="AA363">
        <f>-(Table6344[[#This Row],[time]]-2)*2</f>
        <v>-1.3054600000000001</v>
      </c>
      <c r="AB363">
        <v>85.341499999999996</v>
      </c>
      <c r="AC363">
        <v>31.1038</v>
      </c>
      <c r="AD363">
        <f>Table6344[[#This Row],[CFNM]]/Table6344[[#This Row],[CAREA]]</f>
        <v>0.36446277602338839</v>
      </c>
      <c r="AE363">
        <v>2.65273</v>
      </c>
      <c r="AF363">
        <f>-(Table7345[[#This Row],[time]]-2)*2</f>
        <v>-1.3054600000000001</v>
      </c>
      <c r="AG363">
        <v>77.691000000000003</v>
      </c>
      <c r="AH363">
        <v>3.43377</v>
      </c>
      <c r="AI363">
        <f>Table7345[[#This Row],[CFNM]]/Table7345[[#This Row],[CAREA]]</f>
        <v>4.4197783527049464E-2</v>
      </c>
      <c r="AJ363">
        <v>2.65273</v>
      </c>
      <c r="AK363">
        <f>-(Table8346[[#This Row],[time]]-2)*2</f>
        <v>-1.3054600000000001</v>
      </c>
      <c r="AL363">
        <v>82.946700000000007</v>
      </c>
      <c r="AM363">
        <v>42.5869</v>
      </c>
      <c r="AN363">
        <f>Table8346[[#This Row],[CFNM]]/Table8346[[#This Row],[CAREA]]</f>
        <v>0.51342488610155679</v>
      </c>
    </row>
    <row r="364" spans="1:40" x14ac:dyDescent="0.25">
      <c r="A364">
        <v>2.7006199999999998</v>
      </c>
      <c r="B364">
        <f>-(Table1339[[#This Row],[time]]-2)*2</f>
        <v>-1.4012399999999996</v>
      </c>
      <c r="C364">
        <v>79.956199999999995</v>
      </c>
      <c r="D364">
        <v>1.6472500000000001</v>
      </c>
      <c r="E364">
        <f>Table1339[[#This Row],[CFNM]]/Table1339[[#This Row],[CAREA]]</f>
        <v>2.0601904542737151E-2</v>
      </c>
      <c r="F364">
        <v>2.7006199999999998</v>
      </c>
      <c r="G364">
        <f>-(Table2340[[#This Row],[time]]-2)*2</f>
        <v>-1.4012399999999996</v>
      </c>
      <c r="H364">
        <v>97.014099999999999</v>
      </c>
      <c r="I364">
        <v>23.2638</v>
      </c>
      <c r="J364">
        <f>Table2340[[#This Row],[CFNM]]/Table2340[[#This Row],[CAREA]]</f>
        <v>0.23979813243641904</v>
      </c>
      <c r="K364">
        <v>2.7006199999999998</v>
      </c>
      <c r="L364">
        <f>-(Table3341[[#This Row],[time]]-2)*2</f>
        <v>-1.4012399999999996</v>
      </c>
      <c r="M364">
        <v>69.265299999999996</v>
      </c>
      <c r="N364">
        <v>2.12583E-3</v>
      </c>
      <c r="O364">
        <f>Table3341[[#This Row],[CFNM]]/Table3341[[#This Row],[CAREA]]</f>
        <v>3.0691125282067647E-5</v>
      </c>
      <c r="P364">
        <v>2.7006199999999998</v>
      </c>
      <c r="Q364">
        <f>-(Table4342[[#This Row],[time]]-2)*2</f>
        <v>-1.4012399999999996</v>
      </c>
      <c r="R364">
        <v>86.079800000000006</v>
      </c>
      <c r="S364">
        <v>27.307600000000001</v>
      </c>
      <c r="T364">
        <f>Table4342[[#This Row],[CFNM]]/Table4342[[#This Row],[CAREA]]</f>
        <v>0.31723586718370628</v>
      </c>
      <c r="U364">
        <v>2.7006199999999998</v>
      </c>
      <c r="V364">
        <f>-(Table5343[[#This Row],[time]]-2)*2</f>
        <v>-1.4012399999999996</v>
      </c>
      <c r="W364">
        <v>80.308400000000006</v>
      </c>
      <c r="X364">
        <v>3.9117099999999997E-3</v>
      </c>
      <c r="Y364">
        <f>Table5343[[#This Row],[CFNM]]/Table5343[[#This Row],[CAREA]]</f>
        <v>4.8708603334146859E-5</v>
      </c>
      <c r="Z364">
        <v>2.7006199999999998</v>
      </c>
      <c r="AA364">
        <f>-(Table6344[[#This Row],[time]]-2)*2</f>
        <v>-1.4012399999999996</v>
      </c>
      <c r="AB364">
        <v>85.112399999999994</v>
      </c>
      <c r="AC364">
        <v>33.387099999999997</v>
      </c>
      <c r="AD364">
        <f>Table6344[[#This Row],[CFNM]]/Table6344[[#This Row],[CAREA]]</f>
        <v>0.39227069146211363</v>
      </c>
      <c r="AE364">
        <v>2.7006199999999998</v>
      </c>
      <c r="AF364">
        <f>-(Table7345[[#This Row],[time]]-2)*2</f>
        <v>-1.4012399999999996</v>
      </c>
      <c r="AG364">
        <v>77.003</v>
      </c>
      <c r="AH364">
        <v>2.8731900000000001</v>
      </c>
      <c r="AI364">
        <f>Table7345[[#This Row],[CFNM]]/Table7345[[#This Row],[CAREA]]</f>
        <v>3.7312702102515485E-2</v>
      </c>
      <c r="AJ364">
        <v>2.7006199999999998</v>
      </c>
      <c r="AK364">
        <f>-(Table8346[[#This Row],[time]]-2)*2</f>
        <v>-1.4012399999999996</v>
      </c>
      <c r="AL364">
        <v>82.992900000000006</v>
      </c>
      <c r="AM364">
        <v>44.798999999999999</v>
      </c>
      <c r="AN364">
        <f>Table8346[[#This Row],[CFNM]]/Table8346[[#This Row],[CAREA]]</f>
        <v>0.53979316302960856</v>
      </c>
    </row>
    <row r="365" spans="1:40" x14ac:dyDescent="0.25">
      <c r="A365">
        <v>2.75176</v>
      </c>
      <c r="B365">
        <f>-(Table1339[[#This Row],[time]]-2)*2</f>
        <v>-1.50352</v>
      </c>
      <c r="C365">
        <v>72.786299999999997</v>
      </c>
      <c r="D365">
        <v>0.890625</v>
      </c>
      <c r="E365">
        <f>Table1339[[#This Row],[CFNM]]/Table1339[[#This Row],[CAREA]]</f>
        <v>1.2236162574550432E-2</v>
      </c>
      <c r="F365">
        <v>2.75176</v>
      </c>
      <c r="G365">
        <f>-(Table2340[[#This Row],[time]]-2)*2</f>
        <v>-1.50352</v>
      </c>
      <c r="H365">
        <v>97.265000000000001</v>
      </c>
      <c r="I365">
        <v>26.9438</v>
      </c>
      <c r="J365">
        <f>Table2340[[#This Row],[CFNM]]/Table2340[[#This Row],[CAREA]]</f>
        <v>0.27701434226083382</v>
      </c>
      <c r="K365">
        <v>2.75176</v>
      </c>
      <c r="L365">
        <f>-(Table3341[[#This Row],[time]]-2)*2</f>
        <v>-1.50352</v>
      </c>
      <c r="M365">
        <v>66.023600000000002</v>
      </c>
      <c r="N365">
        <v>1.8047600000000001E-3</v>
      </c>
      <c r="O365">
        <f>Table3341[[#This Row],[CFNM]]/Table3341[[#This Row],[CAREA]]</f>
        <v>2.7335074125009846E-5</v>
      </c>
      <c r="P365">
        <v>2.75176</v>
      </c>
      <c r="Q365">
        <f>-(Table4342[[#This Row],[time]]-2)*2</f>
        <v>-1.50352</v>
      </c>
      <c r="R365">
        <v>85.718100000000007</v>
      </c>
      <c r="S365">
        <v>30.7563</v>
      </c>
      <c r="T365">
        <f>Table4342[[#This Row],[CFNM]]/Table4342[[#This Row],[CAREA]]</f>
        <v>0.35880753306477858</v>
      </c>
      <c r="U365">
        <v>2.75176</v>
      </c>
      <c r="V365">
        <f>-(Table5343[[#This Row],[time]]-2)*2</f>
        <v>-1.50352</v>
      </c>
      <c r="W365">
        <v>79.309200000000004</v>
      </c>
      <c r="X365">
        <v>3.42348E-3</v>
      </c>
      <c r="Y365">
        <f>Table5343[[#This Row],[CFNM]]/Table5343[[#This Row],[CAREA]]</f>
        <v>4.3166240486601803E-5</v>
      </c>
      <c r="Z365">
        <v>2.75176</v>
      </c>
      <c r="AA365">
        <f>-(Table6344[[#This Row],[time]]-2)*2</f>
        <v>-1.50352</v>
      </c>
      <c r="AB365">
        <v>84.855900000000005</v>
      </c>
      <c r="AC365">
        <v>36.890799999999999</v>
      </c>
      <c r="AD365">
        <f>Table6344[[#This Row],[CFNM]]/Table6344[[#This Row],[CAREA]]</f>
        <v>0.43474643483835534</v>
      </c>
      <c r="AE365">
        <v>2.75176</v>
      </c>
      <c r="AF365">
        <f>-(Table7345[[#This Row],[time]]-2)*2</f>
        <v>-1.50352</v>
      </c>
      <c r="AG365">
        <v>76.021000000000001</v>
      </c>
      <c r="AH365">
        <v>2.1236000000000002</v>
      </c>
      <c r="AI365">
        <f>Table7345[[#This Row],[CFNM]]/Table7345[[#This Row],[CAREA]]</f>
        <v>2.7934386551084569E-2</v>
      </c>
      <c r="AJ365">
        <v>2.75176</v>
      </c>
      <c r="AK365">
        <f>-(Table8346[[#This Row],[time]]-2)*2</f>
        <v>-1.50352</v>
      </c>
      <c r="AL365">
        <v>83.091999999999999</v>
      </c>
      <c r="AM365">
        <v>48.051200000000001</v>
      </c>
      <c r="AN365">
        <f>Table8346[[#This Row],[CFNM]]/Table8346[[#This Row],[CAREA]]</f>
        <v>0.57828912530688881</v>
      </c>
    </row>
    <row r="366" spans="1:40" x14ac:dyDescent="0.25">
      <c r="A366">
        <v>2.80444</v>
      </c>
      <c r="B366">
        <f>-(Table1339[[#This Row],[time]]-2)*2</f>
        <v>-1.6088800000000001</v>
      </c>
      <c r="C366">
        <v>70.615399999999994</v>
      </c>
      <c r="D366">
        <v>0.484045</v>
      </c>
      <c r="E366">
        <f>Table1339[[#This Row],[CFNM]]/Table1339[[#This Row],[CAREA]]</f>
        <v>6.8546662625999432E-3</v>
      </c>
      <c r="F366">
        <v>2.80444</v>
      </c>
      <c r="G366">
        <f>-(Table2340[[#This Row],[time]]-2)*2</f>
        <v>-1.6088800000000001</v>
      </c>
      <c r="H366">
        <v>97.392600000000002</v>
      </c>
      <c r="I366">
        <v>28.949400000000001</v>
      </c>
      <c r="J366">
        <f>Table2340[[#This Row],[CFNM]]/Table2340[[#This Row],[CAREA]]</f>
        <v>0.29724434915999781</v>
      </c>
      <c r="K366">
        <v>2.80444</v>
      </c>
      <c r="L366">
        <f>-(Table3341[[#This Row],[time]]-2)*2</f>
        <v>-1.6088800000000001</v>
      </c>
      <c r="M366">
        <v>61.842399999999998</v>
      </c>
      <c r="N366">
        <v>1.6436199999999999E-3</v>
      </c>
      <c r="O366">
        <f>Table3341[[#This Row],[CFNM]]/Table3341[[#This Row],[CAREA]]</f>
        <v>2.6577558438870419E-5</v>
      </c>
      <c r="P366">
        <v>2.80444</v>
      </c>
      <c r="Q366">
        <f>-(Table4342[[#This Row],[time]]-2)*2</f>
        <v>-1.6088800000000001</v>
      </c>
      <c r="R366">
        <v>85.424300000000002</v>
      </c>
      <c r="S366">
        <v>32.5124</v>
      </c>
      <c r="T366">
        <f>Table4342[[#This Row],[CFNM]]/Table4342[[#This Row],[CAREA]]</f>
        <v>0.38059896305852081</v>
      </c>
      <c r="U366">
        <v>2.80444</v>
      </c>
      <c r="V366">
        <f>-(Table5343[[#This Row],[time]]-2)*2</f>
        <v>-1.6088800000000001</v>
      </c>
      <c r="W366">
        <v>79.077100000000002</v>
      </c>
      <c r="X366">
        <v>3.1784500000000002E-3</v>
      </c>
      <c r="Y366">
        <f>Table5343[[#This Row],[CFNM]]/Table5343[[#This Row],[CAREA]]</f>
        <v>4.0194316685867337E-5</v>
      </c>
      <c r="Z366">
        <v>2.80444</v>
      </c>
      <c r="AA366">
        <f>-(Table6344[[#This Row],[time]]-2)*2</f>
        <v>-1.6088800000000001</v>
      </c>
      <c r="AB366">
        <v>84.557900000000004</v>
      </c>
      <c r="AC366">
        <v>38.778300000000002</v>
      </c>
      <c r="AD366">
        <f>Table6344[[#This Row],[CFNM]]/Table6344[[#This Row],[CAREA]]</f>
        <v>0.4586005565417306</v>
      </c>
      <c r="AE366">
        <v>2.80444</v>
      </c>
      <c r="AF366">
        <f>-(Table7345[[#This Row],[time]]-2)*2</f>
        <v>-1.6088800000000001</v>
      </c>
      <c r="AG366">
        <v>75.523099999999999</v>
      </c>
      <c r="AH366">
        <v>1.72783</v>
      </c>
      <c r="AI366">
        <f>Table7345[[#This Row],[CFNM]]/Table7345[[#This Row],[CAREA]]</f>
        <v>2.2878165753259599E-2</v>
      </c>
      <c r="AJ366">
        <v>2.80444</v>
      </c>
      <c r="AK366">
        <f>-(Table8346[[#This Row],[time]]-2)*2</f>
        <v>-1.6088800000000001</v>
      </c>
      <c r="AL366">
        <v>82.937799999999996</v>
      </c>
      <c r="AM366">
        <v>49.706600000000002</v>
      </c>
      <c r="AN366">
        <f>Table8346[[#This Row],[CFNM]]/Table8346[[#This Row],[CAREA]]</f>
        <v>0.59932383062970085</v>
      </c>
    </row>
    <row r="367" spans="1:40" x14ac:dyDescent="0.25">
      <c r="A367">
        <v>2.8583699999999999</v>
      </c>
      <c r="B367">
        <f>-(Table1339[[#This Row],[time]]-2)*2</f>
        <v>-1.7167399999999997</v>
      </c>
      <c r="C367">
        <v>63.538200000000003</v>
      </c>
      <c r="D367">
        <v>3.4293599999999998E-3</v>
      </c>
      <c r="E367">
        <f>Table1339[[#This Row],[CFNM]]/Table1339[[#This Row],[CAREA]]</f>
        <v>5.3973200373948262E-5</v>
      </c>
      <c r="F367">
        <v>2.8583699999999999</v>
      </c>
      <c r="G367">
        <f>-(Table2340[[#This Row],[time]]-2)*2</f>
        <v>-1.7167399999999997</v>
      </c>
      <c r="H367">
        <v>97.556200000000004</v>
      </c>
      <c r="I367">
        <v>31.964300000000001</v>
      </c>
      <c r="J367">
        <f>Table2340[[#This Row],[CFNM]]/Table2340[[#This Row],[CAREA]]</f>
        <v>0.32765011347305451</v>
      </c>
      <c r="K367">
        <v>2.8583699999999999</v>
      </c>
      <c r="L367">
        <f>-(Table3341[[#This Row],[time]]-2)*2</f>
        <v>-1.7167399999999997</v>
      </c>
      <c r="M367">
        <v>59.711100000000002</v>
      </c>
      <c r="N367">
        <v>1.4059700000000001E-3</v>
      </c>
      <c r="O367">
        <f>Table3341[[#This Row],[CFNM]]/Table3341[[#This Row],[CAREA]]</f>
        <v>2.3546208326425072E-5</v>
      </c>
      <c r="P367">
        <v>2.8583699999999999</v>
      </c>
      <c r="Q367">
        <f>-(Table4342[[#This Row],[time]]-2)*2</f>
        <v>-1.7167399999999997</v>
      </c>
      <c r="R367">
        <v>84.717399999999998</v>
      </c>
      <c r="S367">
        <v>35.2196</v>
      </c>
      <c r="T367">
        <f>Table4342[[#This Row],[CFNM]]/Table4342[[#This Row],[CAREA]]</f>
        <v>0.41573041665584637</v>
      </c>
      <c r="U367">
        <v>2.8583699999999999</v>
      </c>
      <c r="V367">
        <f>-(Table5343[[#This Row],[time]]-2)*2</f>
        <v>-1.7167399999999997</v>
      </c>
      <c r="W367">
        <v>77.892300000000006</v>
      </c>
      <c r="X367">
        <v>2.8666199999999998E-3</v>
      </c>
      <c r="Y367">
        <f>Table5343[[#This Row],[CFNM]]/Table5343[[#This Row],[CAREA]]</f>
        <v>3.6802354019588578E-5</v>
      </c>
      <c r="Z367">
        <v>2.8583699999999999</v>
      </c>
      <c r="AA367">
        <f>-(Table6344[[#This Row],[time]]-2)*2</f>
        <v>-1.7167399999999997</v>
      </c>
      <c r="AB367">
        <v>83.875399999999999</v>
      </c>
      <c r="AC367">
        <v>41.802399999999999</v>
      </c>
      <c r="AD367">
        <f>Table6344[[#This Row],[CFNM]]/Table6344[[#This Row],[CAREA]]</f>
        <v>0.49838689293881161</v>
      </c>
      <c r="AE367">
        <v>2.8583699999999999</v>
      </c>
      <c r="AF367">
        <f>-(Table7345[[#This Row],[time]]-2)*2</f>
        <v>-1.7167399999999997</v>
      </c>
      <c r="AG367">
        <v>74.710300000000004</v>
      </c>
      <c r="AH367">
        <v>1.3157000000000001</v>
      </c>
      <c r="AI367">
        <f>Table7345[[#This Row],[CFNM]]/Table7345[[#This Row],[CAREA]]</f>
        <v>1.7610690895365166E-2</v>
      </c>
      <c r="AJ367">
        <v>2.8583699999999999</v>
      </c>
      <c r="AK367">
        <f>-(Table8346[[#This Row],[time]]-2)*2</f>
        <v>-1.7167399999999997</v>
      </c>
      <c r="AL367">
        <v>82.961100000000002</v>
      </c>
      <c r="AM367">
        <v>52.151400000000002</v>
      </c>
      <c r="AN367">
        <f>Table8346[[#This Row],[CFNM]]/Table8346[[#This Row],[CAREA]]</f>
        <v>0.62862474099306787</v>
      </c>
    </row>
    <row r="368" spans="1:40" x14ac:dyDescent="0.25">
      <c r="A368">
        <v>2.9134199999999999</v>
      </c>
      <c r="B368">
        <f>-(Table1339[[#This Row],[time]]-2)*2</f>
        <v>-1.8268399999999998</v>
      </c>
      <c r="C368">
        <v>61.743099999999998</v>
      </c>
      <c r="D368">
        <v>2.5440200000000001E-3</v>
      </c>
      <c r="E368">
        <f>Table1339[[#This Row],[CFNM]]/Table1339[[#This Row],[CAREA]]</f>
        <v>4.1203308547837736E-5</v>
      </c>
      <c r="F368">
        <v>2.9134199999999999</v>
      </c>
      <c r="G368">
        <f>-(Table2340[[#This Row],[time]]-2)*2</f>
        <v>-1.8268399999999998</v>
      </c>
      <c r="H368">
        <v>97.619299999999996</v>
      </c>
      <c r="I368">
        <v>33.8367</v>
      </c>
      <c r="J368">
        <f>Table2340[[#This Row],[CFNM]]/Table2340[[#This Row],[CAREA]]</f>
        <v>0.34661895752171962</v>
      </c>
      <c r="K368">
        <v>2.9134199999999999</v>
      </c>
      <c r="L368">
        <f>-(Table3341[[#This Row],[time]]-2)*2</f>
        <v>-1.8268399999999998</v>
      </c>
      <c r="M368">
        <v>57.581899999999997</v>
      </c>
      <c r="N368">
        <v>1.27411E-3</v>
      </c>
      <c r="O368">
        <f>Table3341[[#This Row],[CFNM]]/Table3341[[#This Row],[CAREA]]</f>
        <v>2.2126918354552385E-5</v>
      </c>
      <c r="P368">
        <v>2.9134199999999999</v>
      </c>
      <c r="Q368">
        <f>-(Table4342[[#This Row],[time]]-2)*2</f>
        <v>-1.8268399999999998</v>
      </c>
      <c r="R368">
        <v>84.306899999999999</v>
      </c>
      <c r="S368">
        <v>37.0443</v>
      </c>
      <c r="T368">
        <f>Table4342[[#This Row],[CFNM]]/Table4342[[#This Row],[CAREA]]</f>
        <v>0.43939819872394786</v>
      </c>
      <c r="U368">
        <v>2.9134199999999999</v>
      </c>
      <c r="V368">
        <f>-(Table5343[[#This Row],[time]]-2)*2</f>
        <v>-1.8268399999999998</v>
      </c>
      <c r="W368">
        <v>77.626300000000001</v>
      </c>
      <c r="X368">
        <v>2.6804099999999998E-3</v>
      </c>
      <c r="Y368">
        <f>Table5343[[#This Row],[CFNM]]/Table5343[[#This Row],[CAREA]]</f>
        <v>3.4529663271339735E-5</v>
      </c>
      <c r="Z368">
        <v>2.9134199999999999</v>
      </c>
      <c r="AA368">
        <f>-(Table6344[[#This Row],[time]]-2)*2</f>
        <v>-1.8268399999999998</v>
      </c>
      <c r="AB368">
        <v>83.341700000000003</v>
      </c>
      <c r="AC368">
        <v>43.7346</v>
      </c>
      <c r="AD368">
        <f>Table6344[[#This Row],[CFNM]]/Table6344[[#This Row],[CAREA]]</f>
        <v>0.52476251384361006</v>
      </c>
      <c r="AE368">
        <v>2.9134199999999999</v>
      </c>
      <c r="AF368">
        <f>-(Table7345[[#This Row],[time]]-2)*2</f>
        <v>-1.8268399999999998</v>
      </c>
      <c r="AG368">
        <v>74.234899999999996</v>
      </c>
      <c r="AH368">
        <v>1.1104700000000001</v>
      </c>
      <c r="AI368">
        <f>Table7345[[#This Row],[CFNM]]/Table7345[[#This Row],[CAREA]]</f>
        <v>1.495886705579182E-2</v>
      </c>
      <c r="AJ368">
        <v>2.9134199999999999</v>
      </c>
      <c r="AK368">
        <f>-(Table8346[[#This Row],[time]]-2)*2</f>
        <v>-1.8268399999999998</v>
      </c>
      <c r="AL368">
        <v>82.950400000000002</v>
      </c>
      <c r="AM368">
        <v>53.659599999999998</v>
      </c>
      <c r="AN368">
        <f>Table8346[[#This Row],[CFNM]]/Table8346[[#This Row],[CAREA]]</f>
        <v>0.64688777872077763</v>
      </c>
    </row>
    <row r="369" spans="1:40" x14ac:dyDescent="0.25">
      <c r="A369">
        <v>2.9619599999999999</v>
      </c>
      <c r="B369">
        <f>-(Table1339[[#This Row],[time]]-2)*2</f>
        <v>-1.9239199999999999</v>
      </c>
      <c r="C369">
        <v>56.7746</v>
      </c>
      <c r="D369">
        <v>2.2388600000000001E-3</v>
      </c>
      <c r="E369">
        <f>Table1339[[#This Row],[CFNM]]/Table1339[[#This Row],[CAREA]]</f>
        <v>3.943418359618562E-5</v>
      </c>
      <c r="F369">
        <v>2.9619599999999999</v>
      </c>
      <c r="G369">
        <f>-(Table2340[[#This Row],[time]]-2)*2</f>
        <v>-1.9239199999999999</v>
      </c>
      <c r="H369">
        <v>97.62</v>
      </c>
      <c r="I369">
        <v>36.790500000000002</v>
      </c>
      <c r="J369">
        <f>Table2340[[#This Row],[CFNM]]/Table2340[[#This Row],[CAREA]]</f>
        <v>0.37687461585740628</v>
      </c>
      <c r="K369">
        <v>2.9619599999999999</v>
      </c>
      <c r="L369">
        <f>-(Table3341[[#This Row],[time]]-2)*2</f>
        <v>-1.9239199999999999</v>
      </c>
      <c r="M369">
        <v>53.515000000000001</v>
      </c>
      <c r="N369">
        <v>1.07543E-3</v>
      </c>
      <c r="O369">
        <f>Table3341[[#This Row],[CFNM]]/Table3341[[#This Row],[CAREA]]</f>
        <v>2.0095860973558815E-5</v>
      </c>
      <c r="P369">
        <v>2.9619599999999999</v>
      </c>
      <c r="Q369">
        <f>-(Table4342[[#This Row],[time]]-2)*2</f>
        <v>-1.9239199999999999</v>
      </c>
      <c r="R369">
        <v>83.576400000000007</v>
      </c>
      <c r="S369">
        <v>39.831600000000002</v>
      </c>
      <c r="T369">
        <f>Table4342[[#This Row],[CFNM]]/Table4342[[#This Row],[CAREA]]</f>
        <v>0.47658908495699742</v>
      </c>
      <c r="U369">
        <v>2.9619599999999999</v>
      </c>
      <c r="V369">
        <f>-(Table5343[[#This Row],[time]]-2)*2</f>
        <v>-1.9239199999999999</v>
      </c>
      <c r="W369">
        <v>76.320999999999998</v>
      </c>
      <c r="X369">
        <v>2.3959599999999999E-3</v>
      </c>
      <c r="Y369">
        <f>Table5343[[#This Row],[CFNM]]/Table5343[[#This Row],[CAREA]]</f>
        <v>3.1393194533614602E-5</v>
      </c>
      <c r="Z369">
        <v>2.9619599999999999</v>
      </c>
      <c r="AA369">
        <f>-(Table6344[[#This Row],[time]]-2)*2</f>
        <v>-1.9239199999999999</v>
      </c>
      <c r="AB369">
        <v>82.526300000000006</v>
      </c>
      <c r="AC369">
        <v>46.750100000000003</v>
      </c>
      <c r="AD369">
        <f>Table6344[[#This Row],[CFNM]]/Table6344[[#This Row],[CAREA]]</f>
        <v>0.56648728950649674</v>
      </c>
      <c r="AE369">
        <v>2.9619599999999999</v>
      </c>
      <c r="AF369">
        <f>-(Table7345[[#This Row],[time]]-2)*2</f>
        <v>-1.9239199999999999</v>
      </c>
      <c r="AG369">
        <v>73.514499999999998</v>
      </c>
      <c r="AH369">
        <v>0.77834000000000003</v>
      </c>
      <c r="AI369">
        <f>Table7345[[#This Row],[CFNM]]/Table7345[[#This Row],[CAREA]]</f>
        <v>1.0587571159431134E-2</v>
      </c>
      <c r="AJ369">
        <v>2.9619599999999999</v>
      </c>
      <c r="AK369">
        <f>-(Table8346[[#This Row],[time]]-2)*2</f>
        <v>-1.9239199999999999</v>
      </c>
      <c r="AL369">
        <v>82.872900000000001</v>
      </c>
      <c r="AM369">
        <v>56.034300000000002</v>
      </c>
      <c r="AN369">
        <f>Table8346[[#This Row],[CFNM]]/Table8346[[#This Row],[CAREA]]</f>
        <v>0.67614744989013298</v>
      </c>
    </row>
    <row r="370" spans="1:40" x14ac:dyDescent="0.25">
      <c r="A370">
        <v>3</v>
      </c>
      <c r="B370">
        <f>-(Table1339[[#This Row],[time]]-2)*2</f>
        <v>-2</v>
      </c>
      <c r="C370">
        <v>54.2378</v>
      </c>
      <c r="D370">
        <v>1.9843299999999999E-3</v>
      </c>
      <c r="E370">
        <f>Table1339[[#This Row],[CFNM]]/Table1339[[#This Row],[CAREA]]</f>
        <v>3.6585739097087266E-5</v>
      </c>
      <c r="F370">
        <v>3</v>
      </c>
      <c r="G370">
        <f>-(Table2340[[#This Row],[time]]-2)*2</f>
        <v>-2</v>
      </c>
      <c r="H370">
        <v>97.537099999999995</v>
      </c>
      <c r="I370">
        <v>39.317399999999999</v>
      </c>
      <c r="J370">
        <f>Table2340[[#This Row],[CFNM]]/Table2340[[#This Row],[CAREA]]</f>
        <v>0.40310199913673878</v>
      </c>
      <c r="K370">
        <v>3</v>
      </c>
      <c r="L370">
        <f>-(Table3341[[#This Row],[time]]-2)*2</f>
        <v>-2</v>
      </c>
      <c r="M370">
        <v>49.326999999999998</v>
      </c>
      <c r="N370">
        <v>9.0654799999999997E-4</v>
      </c>
      <c r="O370">
        <f>Table3341[[#This Row],[CFNM]]/Table3341[[#This Row],[CAREA]]</f>
        <v>1.837833235347781E-5</v>
      </c>
      <c r="P370">
        <v>3</v>
      </c>
      <c r="Q370">
        <f>-(Table4342[[#This Row],[time]]-2)*2</f>
        <v>-2</v>
      </c>
      <c r="R370">
        <v>83.019499999999994</v>
      </c>
      <c r="S370">
        <v>42.164400000000001</v>
      </c>
      <c r="T370">
        <f>Table4342[[#This Row],[CFNM]]/Table4342[[#This Row],[CAREA]]</f>
        <v>0.5078854967808768</v>
      </c>
      <c r="U370">
        <v>3</v>
      </c>
      <c r="V370">
        <f>-(Table5343[[#This Row],[time]]-2)*2</f>
        <v>-2</v>
      </c>
      <c r="W370">
        <v>74.455600000000004</v>
      </c>
      <c r="X370">
        <v>2.17066E-3</v>
      </c>
      <c r="Y370">
        <f>Table5343[[#This Row],[CFNM]]/Table5343[[#This Row],[CAREA]]</f>
        <v>2.9153750691687395E-5</v>
      </c>
      <c r="Z370">
        <v>3</v>
      </c>
      <c r="AA370">
        <f>-(Table6344[[#This Row],[time]]-2)*2</f>
        <v>-2</v>
      </c>
      <c r="AB370">
        <v>81.832099999999997</v>
      </c>
      <c r="AC370">
        <v>49.292499999999997</v>
      </c>
      <c r="AD370">
        <f>Table6344[[#This Row],[CFNM]]/Table6344[[#This Row],[CAREA]]</f>
        <v>0.60236142051835406</v>
      </c>
      <c r="AE370">
        <v>3</v>
      </c>
      <c r="AF370">
        <f>-(Table7345[[#This Row],[time]]-2)*2</f>
        <v>-2</v>
      </c>
      <c r="AG370">
        <v>72.858900000000006</v>
      </c>
      <c r="AH370">
        <v>0.49548199999999998</v>
      </c>
      <c r="AI370">
        <f>Table7345[[#This Row],[CFNM]]/Table7345[[#This Row],[CAREA]]</f>
        <v>6.8005693196026831E-3</v>
      </c>
      <c r="AJ370">
        <v>3</v>
      </c>
      <c r="AK370">
        <f>-(Table8346[[#This Row],[time]]-2)*2</f>
        <v>-2</v>
      </c>
      <c r="AL370">
        <v>82.224000000000004</v>
      </c>
      <c r="AM370">
        <v>58.054699999999997</v>
      </c>
      <c r="AN370">
        <f>Table8346[[#This Row],[CFNM]]/Table8346[[#This Row],[CAREA]]</f>
        <v>0.70605540961276503</v>
      </c>
    </row>
    <row r="372" spans="1:40" x14ac:dyDescent="0.25">
      <c r="A372" t="s">
        <v>53</v>
      </c>
      <c r="E372" t="s">
        <v>1</v>
      </c>
    </row>
    <row r="373" spans="1:40" x14ac:dyDescent="0.25">
      <c r="A373" t="s">
        <v>54</v>
      </c>
      <c r="E373" t="s">
        <v>2</v>
      </c>
      <c r="F373" t="s">
        <v>3</v>
      </c>
    </row>
    <row r="375" spans="1:40" x14ac:dyDescent="0.25">
      <c r="A375" t="s">
        <v>4</v>
      </c>
      <c r="F375" t="s">
        <v>5</v>
      </c>
      <c r="K375" t="s">
        <v>6</v>
      </c>
      <c r="P375" t="s">
        <v>7</v>
      </c>
      <c r="U375" t="s">
        <v>8</v>
      </c>
      <c r="Z375" t="s">
        <v>9</v>
      </c>
      <c r="AE375" t="s">
        <v>10</v>
      </c>
      <c r="AJ375" t="s">
        <v>11</v>
      </c>
    </row>
    <row r="376" spans="1:40" x14ac:dyDescent="0.25">
      <c r="A376" t="s">
        <v>12</v>
      </c>
      <c r="B376" t="s">
        <v>13</v>
      </c>
      <c r="C376" t="s">
        <v>14</v>
      </c>
      <c r="D376" t="s">
        <v>15</v>
      </c>
      <c r="E376" t="s">
        <v>16</v>
      </c>
      <c r="F376" t="s">
        <v>12</v>
      </c>
      <c r="G376" t="s">
        <v>13</v>
      </c>
      <c r="H376" t="s">
        <v>14</v>
      </c>
      <c r="I376" t="s">
        <v>15</v>
      </c>
      <c r="J376" t="s">
        <v>16</v>
      </c>
      <c r="K376" t="s">
        <v>12</v>
      </c>
      <c r="L376" t="s">
        <v>13</v>
      </c>
      <c r="M376" t="s">
        <v>14</v>
      </c>
      <c r="N376" t="s">
        <v>15</v>
      </c>
      <c r="O376" t="s">
        <v>16</v>
      </c>
      <c r="P376" t="s">
        <v>12</v>
      </c>
      <c r="Q376" t="s">
        <v>13</v>
      </c>
      <c r="R376" t="s">
        <v>14</v>
      </c>
      <c r="S376" t="s">
        <v>15</v>
      </c>
      <c r="T376" t="s">
        <v>16</v>
      </c>
      <c r="U376" t="s">
        <v>12</v>
      </c>
      <c r="V376" t="s">
        <v>13</v>
      </c>
      <c r="W376" t="s">
        <v>14</v>
      </c>
      <c r="X376" t="s">
        <v>15</v>
      </c>
      <c r="Y376" t="s">
        <v>16</v>
      </c>
      <c r="Z376" t="s">
        <v>12</v>
      </c>
      <c r="AA376" t="s">
        <v>13</v>
      </c>
      <c r="AB376" t="s">
        <v>14</v>
      </c>
      <c r="AC376" t="s">
        <v>15</v>
      </c>
      <c r="AD376" t="s">
        <v>16</v>
      </c>
      <c r="AE376" t="s">
        <v>12</v>
      </c>
      <c r="AF376" t="s">
        <v>13</v>
      </c>
      <c r="AG376" t="s">
        <v>14</v>
      </c>
      <c r="AH376" t="s">
        <v>15</v>
      </c>
      <c r="AI376" t="s">
        <v>16</v>
      </c>
      <c r="AJ376" t="s">
        <v>12</v>
      </c>
      <c r="AK376" t="s">
        <v>13</v>
      </c>
      <c r="AL376" t="s">
        <v>14</v>
      </c>
      <c r="AM376" t="s">
        <v>15</v>
      </c>
      <c r="AN376" t="s">
        <v>16</v>
      </c>
    </row>
    <row r="377" spans="1:40" x14ac:dyDescent="0.25">
      <c r="A377">
        <v>2</v>
      </c>
      <c r="B377">
        <f>(Table110347[[#This Row],[time]]-2)*2</f>
        <v>0</v>
      </c>
      <c r="C377">
        <v>91.105400000000003</v>
      </c>
      <c r="D377">
        <v>10.2014</v>
      </c>
      <c r="E377" s="2">
        <f>Table110347[[#This Row],[CFNM]]/Table110347[[#This Row],[CAREA]]</f>
        <v>0.11197360419909247</v>
      </c>
      <c r="F377">
        <v>2</v>
      </c>
      <c r="G377">
        <f>(Table211348[[#This Row],[time]]-2)*2</f>
        <v>0</v>
      </c>
      <c r="H377">
        <v>95.867800000000003</v>
      </c>
      <c r="I377">
        <v>3.5860500000000002</v>
      </c>
      <c r="J377" s="2">
        <f>Table211348[[#This Row],[CFNM]]/Table211348[[#This Row],[CAREA]]</f>
        <v>3.740619895314172E-2</v>
      </c>
      <c r="K377">
        <v>2</v>
      </c>
      <c r="L377">
        <f>(Table312349[[#This Row],[time]]-2)*2</f>
        <v>0</v>
      </c>
      <c r="M377">
        <v>89.266099999999994</v>
      </c>
      <c r="N377">
        <v>3.6396999999999999</v>
      </c>
      <c r="O377">
        <f>Table312349[[#This Row],[CFNM]]/Table312349[[#This Row],[CAREA]]</f>
        <v>4.0773597143820554E-2</v>
      </c>
      <c r="P377">
        <v>2</v>
      </c>
      <c r="Q377">
        <f>(Table413350[[#This Row],[time]]-2)*2</f>
        <v>0</v>
      </c>
      <c r="R377">
        <v>86.426900000000003</v>
      </c>
      <c r="S377">
        <v>6.4320700000000004</v>
      </c>
      <c r="T377">
        <f>Table413350[[#This Row],[CFNM]]/Table413350[[#This Row],[CAREA]]</f>
        <v>7.4422083865092928E-2</v>
      </c>
      <c r="U377">
        <v>2</v>
      </c>
      <c r="V377">
        <f>(Table514351[[#This Row],[time]]-2)*2</f>
        <v>0</v>
      </c>
      <c r="W377">
        <v>82.680599999999998</v>
      </c>
      <c r="X377">
        <v>9.2786299999999997</v>
      </c>
      <c r="Y377">
        <f>Table514351[[#This Row],[CFNM]]/Table514351[[#This Row],[CAREA]]</f>
        <v>0.11222257700113449</v>
      </c>
      <c r="Z377">
        <v>2</v>
      </c>
      <c r="AA377">
        <f>(Table615352[[#This Row],[time]]-2)*2</f>
        <v>0</v>
      </c>
      <c r="AB377">
        <v>88.9298</v>
      </c>
      <c r="AC377">
        <v>15.8246</v>
      </c>
      <c r="AD377">
        <f>Table615352[[#This Row],[CFNM]]/Table615352[[#This Row],[CAREA]]</f>
        <v>0.17794485088238138</v>
      </c>
      <c r="AE377">
        <v>2</v>
      </c>
      <c r="AF377">
        <f>(Table716353[[#This Row],[time]]-2)*2</f>
        <v>0</v>
      </c>
      <c r="AG377">
        <v>78.958100000000002</v>
      </c>
      <c r="AH377">
        <v>19.616599999999998</v>
      </c>
      <c r="AI377">
        <f>Table716353[[#This Row],[CFNM]]/Table716353[[#This Row],[CAREA]]</f>
        <v>0.24844316162622959</v>
      </c>
      <c r="AJ377">
        <v>2</v>
      </c>
      <c r="AK377">
        <f>(Table817354[[#This Row],[time]]-2)*2</f>
        <v>0</v>
      </c>
      <c r="AL377">
        <v>83.134600000000006</v>
      </c>
      <c r="AM377">
        <v>19.232700000000001</v>
      </c>
      <c r="AN377">
        <f>Table817354[[#This Row],[CFNM]]/Table817354[[#This Row],[CAREA]]</f>
        <v>0.23134410943217384</v>
      </c>
    </row>
    <row r="378" spans="1:40" x14ac:dyDescent="0.25">
      <c r="A378">
        <v>2.0512600000000001</v>
      </c>
      <c r="B378">
        <f>(Table110347[[#This Row],[time]]-2)*2</f>
        <v>0.10252000000000017</v>
      </c>
      <c r="C378">
        <v>91.092699999999994</v>
      </c>
      <c r="D378">
        <v>11.013999999999999</v>
      </c>
      <c r="E378">
        <f>Table110347[[#This Row],[CFNM]]/Table110347[[#This Row],[CAREA]]</f>
        <v>0.12090979848000992</v>
      </c>
      <c r="F378">
        <v>2.0512600000000001</v>
      </c>
      <c r="G378">
        <f>(Table211348[[#This Row],[time]]-2)*2</f>
        <v>0.10252000000000017</v>
      </c>
      <c r="H378">
        <v>95.857200000000006</v>
      </c>
      <c r="I378">
        <v>3.0234800000000002</v>
      </c>
      <c r="J378">
        <f>Table211348[[#This Row],[CFNM]]/Table211348[[#This Row],[CAREA]]</f>
        <v>3.1541501316541688E-2</v>
      </c>
      <c r="K378">
        <v>2.0512600000000001</v>
      </c>
      <c r="L378">
        <f>(Table312349[[#This Row],[time]]-2)*2</f>
        <v>0.10252000000000017</v>
      </c>
      <c r="M378">
        <v>89.202100000000002</v>
      </c>
      <c r="N378">
        <v>4.6523099999999999</v>
      </c>
      <c r="O378">
        <f>Table312349[[#This Row],[CFNM]]/Table312349[[#This Row],[CAREA]]</f>
        <v>5.2154713846422895E-2</v>
      </c>
      <c r="P378">
        <v>2.0512600000000001</v>
      </c>
      <c r="Q378">
        <f>(Table413350[[#This Row],[time]]-2)*2</f>
        <v>0.10252000000000017</v>
      </c>
      <c r="R378">
        <v>86.459299999999999</v>
      </c>
      <c r="S378">
        <v>5.6471600000000004</v>
      </c>
      <c r="T378">
        <f>Table413350[[#This Row],[CFNM]]/Table413350[[#This Row],[CAREA]]</f>
        <v>6.5315819119516352E-2</v>
      </c>
      <c r="U378">
        <v>2.0512600000000001</v>
      </c>
      <c r="V378">
        <f>(Table514351[[#This Row],[time]]-2)*2</f>
        <v>0.10252000000000017</v>
      </c>
      <c r="W378">
        <v>82.739400000000003</v>
      </c>
      <c r="X378">
        <v>10.5722</v>
      </c>
      <c r="Y378">
        <f>Table514351[[#This Row],[CFNM]]/Table514351[[#This Row],[CAREA]]</f>
        <v>0.12777709289649189</v>
      </c>
      <c r="Z378">
        <v>2.0512600000000001</v>
      </c>
      <c r="AA378">
        <f>(Table615352[[#This Row],[time]]-2)*2</f>
        <v>0.10252000000000017</v>
      </c>
      <c r="AB378">
        <v>88.845200000000006</v>
      </c>
      <c r="AC378">
        <v>15.362399999999999</v>
      </c>
      <c r="AD378">
        <f>Table615352[[#This Row],[CFNM]]/Table615352[[#This Row],[CAREA]]</f>
        <v>0.17291198624123755</v>
      </c>
      <c r="AE378">
        <v>2.0512600000000001</v>
      </c>
      <c r="AF378">
        <f>(Table716353[[#This Row],[time]]-2)*2</f>
        <v>0.10252000000000017</v>
      </c>
      <c r="AG378">
        <v>78.822100000000006</v>
      </c>
      <c r="AH378">
        <v>21.402200000000001</v>
      </c>
      <c r="AI378">
        <f>Table716353[[#This Row],[CFNM]]/Table716353[[#This Row],[CAREA]]</f>
        <v>0.27152537169144186</v>
      </c>
      <c r="AJ378">
        <v>2.0512600000000001</v>
      </c>
      <c r="AK378">
        <f>(Table817354[[#This Row],[time]]-2)*2</f>
        <v>0.10252000000000017</v>
      </c>
      <c r="AL378">
        <v>83.060100000000006</v>
      </c>
      <c r="AM378">
        <v>17.961500000000001</v>
      </c>
      <c r="AN378">
        <f>Table817354[[#This Row],[CFNM]]/Table817354[[#This Row],[CAREA]]</f>
        <v>0.21624703076447055</v>
      </c>
    </row>
    <row r="379" spans="1:40" x14ac:dyDescent="0.25">
      <c r="A379">
        <v>2.1153300000000002</v>
      </c>
      <c r="B379">
        <f>(Table110347[[#This Row],[time]]-2)*2</f>
        <v>0.23066000000000031</v>
      </c>
      <c r="C379">
        <v>91.107399999999998</v>
      </c>
      <c r="D379">
        <v>13.0143</v>
      </c>
      <c r="E379">
        <f>Table110347[[#This Row],[CFNM]]/Table110347[[#This Row],[CAREA]]</f>
        <v>0.14284569639787767</v>
      </c>
      <c r="F379">
        <v>2.1153300000000002</v>
      </c>
      <c r="G379">
        <f>(Table211348[[#This Row],[time]]-2)*2</f>
        <v>0.23066000000000031</v>
      </c>
      <c r="H379">
        <v>95.273099999999999</v>
      </c>
      <c r="I379">
        <v>1.4709399999999999</v>
      </c>
      <c r="J379">
        <f>Table211348[[#This Row],[CFNM]]/Table211348[[#This Row],[CAREA]]</f>
        <v>1.5439195323758752E-2</v>
      </c>
      <c r="K379">
        <v>2.1153300000000002</v>
      </c>
      <c r="L379">
        <f>(Table312349[[#This Row],[time]]-2)*2</f>
        <v>0.23066000000000031</v>
      </c>
      <c r="M379">
        <v>89.033600000000007</v>
      </c>
      <c r="N379">
        <v>7.1206199999999997</v>
      </c>
      <c r="O379">
        <f>Table312349[[#This Row],[CFNM]]/Table312349[[#This Row],[CAREA]]</f>
        <v>7.9976772813859023E-2</v>
      </c>
      <c r="P379">
        <v>2.1153300000000002</v>
      </c>
      <c r="Q379">
        <f>(Table413350[[#This Row],[time]]-2)*2</f>
        <v>0.23066000000000031</v>
      </c>
      <c r="R379">
        <v>86.614099999999993</v>
      </c>
      <c r="S379">
        <v>3.5361099999999999</v>
      </c>
      <c r="T379">
        <f>Table413350[[#This Row],[CFNM]]/Table413350[[#This Row],[CAREA]]</f>
        <v>4.0826031789281424E-2</v>
      </c>
      <c r="U379">
        <v>2.1153300000000002</v>
      </c>
      <c r="V379">
        <f>(Table514351[[#This Row],[time]]-2)*2</f>
        <v>0.23066000000000031</v>
      </c>
      <c r="W379">
        <v>83.298299999999998</v>
      </c>
      <c r="X379">
        <v>13.0846</v>
      </c>
      <c r="Y379">
        <f>Table514351[[#This Row],[CFNM]]/Table514351[[#This Row],[CAREA]]</f>
        <v>0.15708123695201462</v>
      </c>
      <c r="Z379">
        <v>2.1153300000000002</v>
      </c>
      <c r="AA379">
        <f>(Table615352[[#This Row],[time]]-2)*2</f>
        <v>0.23066000000000031</v>
      </c>
      <c r="AB379">
        <v>89.306799999999996</v>
      </c>
      <c r="AC379">
        <v>14.6812</v>
      </c>
      <c r="AD379">
        <f>Table615352[[#This Row],[CFNM]]/Table615352[[#This Row],[CAREA]]</f>
        <v>0.16439061751176842</v>
      </c>
      <c r="AE379">
        <v>2.1153300000000002</v>
      </c>
      <c r="AF379">
        <f>(Table716353[[#This Row],[time]]-2)*2</f>
        <v>0.23066000000000031</v>
      </c>
      <c r="AG379">
        <v>78.531999999999996</v>
      </c>
      <c r="AH379">
        <v>24.4054</v>
      </c>
      <c r="AI379">
        <f>Table716353[[#This Row],[CFNM]]/Table716353[[#This Row],[CAREA]]</f>
        <v>0.31077013192074571</v>
      </c>
      <c r="AJ379">
        <v>2.1153300000000002</v>
      </c>
      <c r="AK379">
        <f>(Table817354[[#This Row],[time]]-2)*2</f>
        <v>0.23066000000000031</v>
      </c>
      <c r="AL379">
        <v>83.162700000000001</v>
      </c>
      <c r="AM379">
        <v>16.2271</v>
      </c>
      <c r="AN379">
        <f>Table817354[[#This Row],[CFNM]]/Table817354[[#This Row],[CAREA]]</f>
        <v>0.19512473741232547</v>
      </c>
    </row>
    <row r="380" spans="1:40" x14ac:dyDescent="0.25">
      <c r="A380">
        <v>2.16533</v>
      </c>
      <c r="B380">
        <f>(Table110347[[#This Row],[time]]-2)*2</f>
        <v>0.33065999999999995</v>
      </c>
      <c r="C380">
        <v>91.015500000000003</v>
      </c>
      <c r="D380">
        <v>14.749499999999999</v>
      </c>
      <c r="E380">
        <f>Table110347[[#This Row],[CFNM]]/Table110347[[#This Row],[CAREA]]</f>
        <v>0.16205481483923068</v>
      </c>
      <c r="F380">
        <v>2.16533</v>
      </c>
      <c r="G380">
        <f>(Table211348[[#This Row],[time]]-2)*2</f>
        <v>0.33065999999999995</v>
      </c>
      <c r="H380">
        <v>95.045400000000001</v>
      </c>
      <c r="I380">
        <v>0.31975599999999998</v>
      </c>
      <c r="J380">
        <f>Table211348[[#This Row],[CFNM]]/Table211348[[#This Row],[CAREA]]</f>
        <v>3.364244876658944E-3</v>
      </c>
      <c r="K380">
        <v>2.16533</v>
      </c>
      <c r="L380">
        <f>(Table312349[[#This Row],[time]]-2)*2</f>
        <v>0.33065999999999995</v>
      </c>
      <c r="M380">
        <v>88.810599999999994</v>
      </c>
      <c r="N380">
        <v>9.4730000000000008</v>
      </c>
      <c r="O380">
        <f>Table312349[[#This Row],[CFNM]]/Table312349[[#This Row],[CAREA]]</f>
        <v>0.10666519537082286</v>
      </c>
      <c r="P380">
        <v>2.16533</v>
      </c>
      <c r="Q380">
        <f>(Table413350[[#This Row],[time]]-2)*2</f>
        <v>0.33065999999999995</v>
      </c>
      <c r="R380">
        <v>86.837199999999996</v>
      </c>
      <c r="S380">
        <v>2.0331999999999999</v>
      </c>
      <c r="T380">
        <f>Table413350[[#This Row],[CFNM]]/Table413350[[#This Row],[CAREA]]</f>
        <v>2.3413928592815061E-2</v>
      </c>
      <c r="U380">
        <v>2.16533</v>
      </c>
      <c r="V380">
        <f>(Table514351[[#This Row],[time]]-2)*2</f>
        <v>0.33065999999999995</v>
      </c>
      <c r="W380">
        <v>82.597800000000007</v>
      </c>
      <c r="X380">
        <v>15.194599999999999</v>
      </c>
      <c r="Y380">
        <f>Table514351[[#This Row],[CFNM]]/Table514351[[#This Row],[CAREA]]</f>
        <v>0.18395889478896529</v>
      </c>
      <c r="Z380">
        <v>2.16533</v>
      </c>
      <c r="AA380">
        <f>(Table615352[[#This Row],[time]]-2)*2</f>
        <v>0.33065999999999995</v>
      </c>
      <c r="AB380">
        <v>88.680199999999999</v>
      </c>
      <c r="AC380">
        <v>14.3315</v>
      </c>
      <c r="AD380">
        <f>Table615352[[#This Row],[CFNM]]/Table615352[[#This Row],[CAREA]]</f>
        <v>0.16160879204151546</v>
      </c>
      <c r="AE380">
        <v>2.16533</v>
      </c>
      <c r="AF380">
        <f>(Table716353[[#This Row],[time]]-2)*2</f>
        <v>0.33065999999999995</v>
      </c>
      <c r="AG380">
        <v>77.984700000000004</v>
      </c>
      <c r="AH380">
        <v>26.8565</v>
      </c>
      <c r="AI380">
        <f>Table716353[[#This Row],[CFNM]]/Table716353[[#This Row],[CAREA]]</f>
        <v>0.34438165435014817</v>
      </c>
      <c r="AJ380">
        <v>2.16533</v>
      </c>
      <c r="AK380">
        <f>(Table817354[[#This Row],[time]]-2)*2</f>
        <v>0.33065999999999995</v>
      </c>
      <c r="AL380">
        <v>83.094099999999997</v>
      </c>
      <c r="AM380">
        <v>15.018800000000001</v>
      </c>
      <c r="AN380">
        <f>Table817354[[#This Row],[CFNM]]/Table817354[[#This Row],[CAREA]]</f>
        <v>0.18074448125679202</v>
      </c>
    </row>
    <row r="381" spans="1:40" x14ac:dyDescent="0.25">
      <c r="A381">
        <v>2.2246999999999999</v>
      </c>
      <c r="B381">
        <f>(Table110347[[#This Row],[time]]-2)*2</f>
        <v>0.4493999999999998</v>
      </c>
      <c r="C381">
        <v>90.9542</v>
      </c>
      <c r="D381">
        <v>16.0046</v>
      </c>
      <c r="E381">
        <f>Table110347[[#This Row],[CFNM]]/Table110347[[#This Row],[CAREA]]</f>
        <v>0.17596328701698216</v>
      </c>
      <c r="F381">
        <v>2.2246999999999999</v>
      </c>
      <c r="G381">
        <f>(Table211348[[#This Row],[time]]-2)*2</f>
        <v>0.4493999999999998</v>
      </c>
      <c r="H381">
        <v>94.749300000000005</v>
      </c>
      <c r="I381">
        <v>5.9987199999999999E-3</v>
      </c>
      <c r="J381">
        <f>Table211348[[#This Row],[CFNM]]/Table211348[[#This Row],[CAREA]]</f>
        <v>6.3311496760398229E-5</v>
      </c>
      <c r="K381">
        <v>2.2246999999999999</v>
      </c>
      <c r="L381">
        <f>(Table312349[[#This Row],[time]]-2)*2</f>
        <v>0.4493999999999998</v>
      </c>
      <c r="M381">
        <v>88.334699999999998</v>
      </c>
      <c r="N381">
        <v>11.323</v>
      </c>
      <c r="O381">
        <f>Table312349[[#This Row],[CFNM]]/Table312349[[#This Row],[CAREA]]</f>
        <v>0.12818292245289792</v>
      </c>
      <c r="P381">
        <v>2.2246999999999999</v>
      </c>
      <c r="Q381">
        <f>(Table413350[[#This Row],[time]]-2)*2</f>
        <v>0.4493999999999998</v>
      </c>
      <c r="R381">
        <v>86.959299999999999</v>
      </c>
      <c r="S381">
        <v>1.2322599999999999</v>
      </c>
      <c r="T381">
        <f>Table413350[[#This Row],[CFNM]]/Table413350[[#This Row],[CAREA]]</f>
        <v>1.417053725133482E-2</v>
      </c>
      <c r="U381">
        <v>2.2246999999999999</v>
      </c>
      <c r="V381">
        <f>(Table514351[[#This Row],[time]]-2)*2</f>
        <v>0.4493999999999998</v>
      </c>
      <c r="W381">
        <v>82.337800000000001</v>
      </c>
      <c r="X381">
        <v>16.804099999999998</v>
      </c>
      <c r="Y381">
        <f>Table514351[[#This Row],[CFNM]]/Table514351[[#This Row],[CAREA]]</f>
        <v>0.20408730862374266</v>
      </c>
      <c r="Z381">
        <v>2.2246999999999999</v>
      </c>
      <c r="AA381">
        <f>(Table615352[[#This Row],[time]]-2)*2</f>
        <v>0.4493999999999998</v>
      </c>
      <c r="AB381">
        <v>88.714100000000002</v>
      </c>
      <c r="AC381">
        <v>14.2141</v>
      </c>
      <c r="AD381">
        <f>Table615352[[#This Row],[CFNM]]/Table615352[[#This Row],[CAREA]]</f>
        <v>0.16022368484829355</v>
      </c>
      <c r="AE381">
        <v>2.2246999999999999</v>
      </c>
      <c r="AF381">
        <f>(Table716353[[#This Row],[time]]-2)*2</f>
        <v>0.4493999999999998</v>
      </c>
      <c r="AG381">
        <v>77.881</v>
      </c>
      <c r="AH381">
        <v>28.7453</v>
      </c>
      <c r="AI381">
        <f>Table716353[[#This Row],[CFNM]]/Table716353[[#This Row],[CAREA]]</f>
        <v>0.36909258997701622</v>
      </c>
      <c r="AJ381">
        <v>2.2246999999999999</v>
      </c>
      <c r="AK381">
        <f>(Table817354[[#This Row],[time]]-2)*2</f>
        <v>0.4493999999999998</v>
      </c>
      <c r="AL381">
        <v>83.085700000000003</v>
      </c>
      <c r="AM381">
        <v>14.183400000000001</v>
      </c>
      <c r="AN381">
        <f>Table817354[[#This Row],[CFNM]]/Table817354[[#This Row],[CAREA]]</f>
        <v>0.17070807611899522</v>
      </c>
    </row>
    <row r="382" spans="1:40" x14ac:dyDescent="0.25">
      <c r="A382">
        <v>2.2668900000000001</v>
      </c>
      <c r="B382">
        <f>(Table110347[[#This Row],[time]]-2)*2</f>
        <v>0.53378000000000014</v>
      </c>
      <c r="C382">
        <v>90.850999999999999</v>
      </c>
      <c r="D382">
        <v>17.653500000000001</v>
      </c>
      <c r="E382">
        <f>Table110347[[#This Row],[CFNM]]/Table110347[[#This Row],[CAREA]]</f>
        <v>0.19431266579344203</v>
      </c>
      <c r="F382">
        <v>2.2668900000000001</v>
      </c>
      <c r="G382">
        <f>(Table211348[[#This Row],[time]]-2)*2</f>
        <v>0.53378000000000014</v>
      </c>
      <c r="H382">
        <v>93.075299999999999</v>
      </c>
      <c r="I382">
        <v>4.8815799999999999E-3</v>
      </c>
      <c r="J382">
        <f>Table211348[[#This Row],[CFNM]]/Table211348[[#This Row],[CAREA]]</f>
        <v>5.2447641855572857E-5</v>
      </c>
      <c r="K382">
        <v>2.2668900000000001</v>
      </c>
      <c r="L382">
        <f>(Table312349[[#This Row],[time]]-2)*2</f>
        <v>0.53378000000000014</v>
      </c>
      <c r="M382">
        <v>87.889200000000002</v>
      </c>
      <c r="N382">
        <v>13.9148</v>
      </c>
      <c r="O382">
        <f>Table312349[[#This Row],[CFNM]]/Table312349[[#This Row],[CAREA]]</f>
        <v>0.15832206915070338</v>
      </c>
      <c r="P382">
        <v>2.2668900000000001</v>
      </c>
      <c r="Q382">
        <f>(Table413350[[#This Row],[time]]-2)*2</f>
        <v>0.53378000000000014</v>
      </c>
      <c r="R382">
        <v>87.326599999999999</v>
      </c>
      <c r="S382">
        <v>0.31068000000000001</v>
      </c>
      <c r="T382">
        <f>Table413350[[#This Row],[CFNM]]/Table413350[[#This Row],[CAREA]]</f>
        <v>3.5576788744781087E-3</v>
      </c>
      <c r="U382">
        <v>2.2668900000000001</v>
      </c>
      <c r="V382">
        <f>(Table514351[[#This Row],[time]]-2)*2</f>
        <v>0.53378000000000014</v>
      </c>
      <c r="W382">
        <v>81.706100000000006</v>
      </c>
      <c r="X382">
        <v>19.012699999999999</v>
      </c>
      <c r="Y382">
        <f>Table514351[[#This Row],[CFNM]]/Table514351[[#This Row],[CAREA]]</f>
        <v>0.23269621240029811</v>
      </c>
      <c r="Z382">
        <v>2.2668900000000001</v>
      </c>
      <c r="AA382">
        <f>(Table615352[[#This Row],[time]]-2)*2</f>
        <v>0.53378000000000014</v>
      </c>
      <c r="AB382">
        <v>89.108900000000006</v>
      </c>
      <c r="AC382">
        <v>14.0205</v>
      </c>
      <c r="AD382">
        <f>Table615352[[#This Row],[CFNM]]/Table615352[[#This Row],[CAREA]]</f>
        <v>0.15734118589725604</v>
      </c>
      <c r="AE382">
        <v>2.2668900000000001</v>
      </c>
      <c r="AF382">
        <f>(Table716353[[#This Row],[time]]-2)*2</f>
        <v>0.53378000000000014</v>
      </c>
      <c r="AG382">
        <v>77.716499999999996</v>
      </c>
      <c r="AH382">
        <v>31.302299999999999</v>
      </c>
      <c r="AI382">
        <f>Table716353[[#This Row],[CFNM]]/Table716353[[#This Row],[CAREA]]</f>
        <v>0.40277547239003303</v>
      </c>
      <c r="AJ382">
        <v>2.2668900000000001</v>
      </c>
      <c r="AK382">
        <f>(Table817354[[#This Row],[time]]-2)*2</f>
        <v>0.53378000000000014</v>
      </c>
      <c r="AL382">
        <v>82.769599999999997</v>
      </c>
      <c r="AM382">
        <v>13.264099999999999</v>
      </c>
      <c r="AN382">
        <f>Table817354[[#This Row],[CFNM]]/Table817354[[#This Row],[CAREA]]</f>
        <v>0.16025328139800118</v>
      </c>
    </row>
    <row r="383" spans="1:40" x14ac:dyDescent="0.25">
      <c r="A383">
        <v>2.3262700000000001</v>
      </c>
      <c r="B383">
        <f>(Table110347[[#This Row],[time]]-2)*2</f>
        <v>0.65254000000000012</v>
      </c>
      <c r="C383">
        <v>90.694500000000005</v>
      </c>
      <c r="D383">
        <v>19.957599999999999</v>
      </c>
      <c r="E383">
        <f>Table110347[[#This Row],[CFNM]]/Table110347[[#This Row],[CAREA]]</f>
        <v>0.22005303518956496</v>
      </c>
      <c r="F383">
        <v>2.3262700000000001</v>
      </c>
      <c r="G383">
        <f>(Table211348[[#This Row],[time]]-2)*2</f>
        <v>0.65254000000000012</v>
      </c>
      <c r="H383">
        <v>92.213399999999993</v>
      </c>
      <c r="I383">
        <v>3.9904800000000002E-3</v>
      </c>
      <c r="J383">
        <f>Table211348[[#This Row],[CFNM]]/Table211348[[#This Row],[CAREA]]</f>
        <v>4.3274404804507812E-5</v>
      </c>
      <c r="K383">
        <v>2.3262700000000001</v>
      </c>
      <c r="L383">
        <f>(Table312349[[#This Row],[time]]-2)*2</f>
        <v>0.65254000000000012</v>
      </c>
      <c r="M383">
        <v>87.149500000000003</v>
      </c>
      <c r="N383">
        <v>17.37</v>
      </c>
      <c r="O383">
        <f>Table312349[[#This Row],[CFNM]]/Table312349[[#This Row],[CAREA]]</f>
        <v>0.19931267534524008</v>
      </c>
      <c r="P383">
        <v>2.3262700000000001</v>
      </c>
      <c r="Q383">
        <f>(Table413350[[#This Row],[time]]-2)*2</f>
        <v>0.65254000000000012</v>
      </c>
      <c r="R383">
        <v>87.347499999999997</v>
      </c>
      <c r="S383">
        <v>4.7534600000000002E-3</v>
      </c>
      <c r="T383">
        <f>Table413350[[#This Row],[CFNM]]/Table413350[[#This Row],[CAREA]]</f>
        <v>5.4420103609147375E-5</v>
      </c>
      <c r="U383">
        <v>2.3262700000000001</v>
      </c>
      <c r="V383">
        <f>(Table514351[[#This Row],[time]]-2)*2</f>
        <v>0.65254000000000012</v>
      </c>
      <c r="W383">
        <v>80.637299999999996</v>
      </c>
      <c r="X383">
        <v>22.241</v>
      </c>
      <c r="Y383">
        <f>Table514351[[#This Row],[CFNM]]/Table514351[[#This Row],[CAREA]]</f>
        <v>0.27581528647412551</v>
      </c>
      <c r="Z383">
        <v>2.3262700000000001</v>
      </c>
      <c r="AA383">
        <f>(Table615352[[#This Row],[time]]-2)*2</f>
        <v>0.65254000000000012</v>
      </c>
      <c r="AB383">
        <v>91.671599999999998</v>
      </c>
      <c r="AC383">
        <v>13.5627</v>
      </c>
      <c r="AD383">
        <f>Table615352[[#This Row],[CFNM]]/Table615352[[#This Row],[CAREA]]</f>
        <v>0.14794876493919601</v>
      </c>
      <c r="AE383">
        <v>2.3262700000000001</v>
      </c>
      <c r="AF383">
        <f>(Table716353[[#This Row],[time]]-2)*2</f>
        <v>0.65254000000000012</v>
      </c>
      <c r="AG383">
        <v>77.678299999999993</v>
      </c>
      <c r="AH383">
        <v>34.591900000000003</v>
      </c>
      <c r="AI383">
        <f>Table716353[[#This Row],[CFNM]]/Table716353[[#This Row],[CAREA]]</f>
        <v>0.44532256756391431</v>
      </c>
      <c r="AJ383">
        <v>2.3262700000000001</v>
      </c>
      <c r="AK383">
        <f>(Table817354[[#This Row],[time]]-2)*2</f>
        <v>0.65254000000000012</v>
      </c>
      <c r="AL383">
        <v>82.127099999999999</v>
      </c>
      <c r="AM383">
        <v>12.3606</v>
      </c>
      <c r="AN383">
        <f>Table817354[[#This Row],[CFNM]]/Table817354[[#This Row],[CAREA]]</f>
        <v>0.15050574049248056</v>
      </c>
    </row>
    <row r="384" spans="1:40" x14ac:dyDescent="0.25">
      <c r="A384">
        <v>2.3684599999999998</v>
      </c>
      <c r="B384">
        <f>(Table110347[[#This Row],[time]]-2)*2</f>
        <v>0.73691999999999958</v>
      </c>
      <c r="C384">
        <v>90.6267</v>
      </c>
      <c r="D384">
        <v>21.784300000000002</v>
      </c>
      <c r="E384">
        <f>Table110347[[#This Row],[CFNM]]/Table110347[[#This Row],[CAREA]]</f>
        <v>0.2403739736744249</v>
      </c>
      <c r="F384">
        <v>2.3684599999999998</v>
      </c>
      <c r="G384">
        <f>(Table211348[[#This Row],[time]]-2)*2</f>
        <v>0.73691999999999958</v>
      </c>
      <c r="H384">
        <v>89.683899999999994</v>
      </c>
      <c r="I384">
        <v>3.4478400000000002E-3</v>
      </c>
      <c r="J384">
        <f>Table211348[[#This Row],[CFNM]]/Table211348[[#This Row],[CAREA]]</f>
        <v>3.8444358463447734E-5</v>
      </c>
      <c r="K384">
        <v>2.3684599999999998</v>
      </c>
      <c r="L384">
        <f>(Table312349[[#This Row],[time]]-2)*2</f>
        <v>0.73691999999999958</v>
      </c>
      <c r="M384">
        <v>86.368300000000005</v>
      </c>
      <c r="N384">
        <v>19.994399999999999</v>
      </c>
      <c r="O384">
        <f>Table312349[[#This Row],[CFNM]]/Table312349[[#This Row],[CAREA]]</f>
        <v>0.23150160417653234</v>
      </c>
      <c r="P384">
        <v>2.3684599999999998</v>
      </c>
      <c r="Q384">
        <f>(Table413350[[#This Row],[time]]-2)*2</f>
        <v>0.73691999999999958</v>
      </c>
      <c r="R384">
        <v>87.7911</v>
      </c>
      <c r="S384">
        <v>4.1321500000000002E-3</v>
      </c>
      <c r="T384">
        <f>Table413350[[#This Row],[CFNM]]/Table413350[[#This Row],[CAREA]]</f>
        <v>4.7067982973217107E-5</v>
      </c>
      <c r="U384">
        <v>2.3684599999999998</v>
      </c>
      <c r="V384">
        <f>(Table514351[[#This Row],[time]]-2)*2</f>
        <v>0.73691999999999958</v>
      </c>
      <c r="W384">
        <v>77.793499999999995</v>
      </c>
      <c r="X384">
        <v>24.479399999999998</v>
      </c>
      <c r="Y384">
        <f>Table514351[[#This Row],[CFNM]]/Table514351[[#This Row],[CAREA]]</f>
        <v>0.31467153425414718</v>
      </c>
      <c r="Z384">
        <v>2.3684599999999998</v>
      </c>
      <c r="AA384">
        <f>(Table615352[[#This Row],[time]]-2)*2</f>
        <v>0.73691999999999958</v>
      </c>
      <c r="AB384">
        <v>91.436199999999999</v>
      </c>
      <c r="AC384">
        <v>12.8476</v>
      </c>
      <c r="AD384">
        <f>Table615352[[#This Row],[CFNM]]/Table615352[[#This Row],[CAREA]]</f>
        <v>0.14050890128854873</v>
      </c>
      <c r="AE384">
        <v>2.3684599999999998</v>
      </c>
      <c r="AF384">
        <f>(Table716353[[#This Row],[time]]-2)*2</f>
        <v>0.73691999999999958</v>
      </c>
      <c r="AG384">
        <v>77.643900000000002</v>
      </c>
      <c r="AH384">
        <v>36.768000000000001</v>
      </c>
      <c r="AI384">
        <f>Table716353[[#This Row],[CFNM]]/Table716353[[#This Row],[CAREA]]</f>
        <v>0.47354653746141034</v>
      </c>
      <c r="AJ384">
        <v>2.3684599999999998</v>
      </c>
      <c r="AK384">
        <f>(Table817354[[#This Row],[time]]-2)*2</f>
        <v>0.73691999999999958</v>
      </c>
      <c r="AL384">
        <v>81.678700000000006</v>
      </c>
      <c r="AM384">
        <v>11.8508</v>
      </c>
      <c r="AN384">
        <f>Table817354[[#This Row],[CFNM]]/Table817354[[#This Row],[CAREA]]</f>
        <v>0.1450904580998473</v>
      </c>
    </row>
    <row r="385" spans="1:40" x14ac:dyDescent="0.25">
      <c r="A385">
        <v>2.4278300000000002</v>
      </c>
      <c r="B385">
        <f>(Table110347[[#This Row],[time]]-2)*2</f>
        <v>0.85566000000000031</v>
      </c>
      <c r="C385">
        <v>90.337800000000001</v>
      </c>
      <c r="D385">
        <v>24.456299999999999</v>
      </c>
      <c r="E385">
        <f>Table110347[[#This Row],[CFNM]]/Table110347[[#This Row],[CAREA]]</f>
        <v>0.27072056215670515</v>
      </c>
      <c r="F385">
        <v>2.4278300000000002</v>
      </c>
      <c r="G385">
        <f>(Table211348[[#This Row],[time]]-2)*2</f>
        <v>0.85566000000000031</v>
      </c>
      <c r="H385">
        <v>84.834800000000001</v>
      </c>
      <c r="I385">
        <v>2.7689099999999999E-3</v>
      </c>
      <c r="J385">
        <f>Table211348[[#This Row],[CFNM]]/Table211348[[#This Row],[CAREA]]</f>
        <v>3.2638846322499727E-5</v>
      </c>
      <c r="K385">
        <v>2.4278300000000002</v>
      </c>
      <c r="L385">
        <f>(Table312349[[#This Row],[time]]-2)*2</f>
        <v>0.85566000000000031</v>
      </c>
      <c r="M385">
        <v>85.449299999999994</v>
      </c>
      <c r="N385">
        <v>23.957100000000001</v>
      </c>
      <c r="O385">
        <f>Table312349[[#This Row],[CFNM]]/Table312349[[#This Row],[CAREA]]</f>
        <v>0.28036625226888928</v>
      </c>
      <c r="P385">
        <v>2.4278300000000002</v>
      </c>
      <c r="Q385">
        <f>(Table413350[[#This Row],[time]]-2)*2</f>
        <v>0.85566000000000031</v>
      </c>
      <c r="R385">
        <v>86.761899999999997</v>
      </c>
      <c r="S385">
        <v>3.25114E-3</v>
      </c>
      <c r="T385">
        <f>Table413350[[#This Row],[CFNM]]/Table413350[[#This Row],[CAREA]]</f>
        <v>3.7471977907353342E-5</v>
      </c>
      <c r="U385">
        <v>2.4278300000000002</v>
      </c>
      <c r="V385">
        <f>(Table514351[[#This Row],[time]]-2)*2</f>
        <v>0.85566000000000031</v>
      </c>
      <c r="W385">
        <v>76.0184</v>
      </c>
      <c r="X385">
        <v>27.593900000000001</v>
      </c>
      <c r="Y385">
        <f>Table514351[[#This Row],[CFNM]]/Table514351[[#This Row],[CAREA]]</f>
        <v>0.36298974985003635</v>
      </c>
      <c r="Z385">
        <v>2.4278300000000002</v>
      </c>
      <c r="AA385">
        <f>(Table615352[[#This Row],[time]]-2)*2</f>
        <v>0.85566000000000031</v>
      </c>
      <c r="AB385">
        <v>90.956900000000005</v>
      </c>
      <c r="AC385">
        <v>11.717599999999999</v>
      </c>
      <c r="AD385">
        <f>Table615352[[#This Row],[CFNM]]/Table615352[[#This Row],[CAREA]]</f>
        <v>0.12882585048522979</v>
      </c>
      <c r="AE385">
        <v>2.4278300000000002</v>
      </c>
      <c r="AF385">
        <f>(Table716353[[#This Row],[time]]-2)*2</f>
        <v>0.85566000000000031</v>
      </c>
      <c r="AG385">
        <v>77.706599999999995</v>
      </c>
      <c r="AH385">
        <v>39.674999999999997</v>
      </c>
      <c r="AI385">
        <f>Table716353[[#This Row],[CFNM]]/Table716353[[#This Row],[CAREA]]</f>
        <v>0.51057439136444005</v>
      </c>
      <c r="AJ385">
        <v>2.4278300000000002</v>
      </c>
      <c r="AK385">
        <f>(Table817354[[#This Row],[time]]-2)*2</f>
        <v>0.85566000000000031</v>
      </c>
      <c r="AL385">
        <v>81.128</v>
      </c>
      <c r="AM385">
        <v>11.109500000000001</v>
      </c>
      <c r="AN385">
        <f>Table817354[[#This Row],[CFNM]]/Table817354[[#This Row],[CAREA]]</f>
        <v>0.13693792525391973</v>
      </c>
    </row>
    <row r="386" spans="1:40" x14ac:dyDescent="0.25">
      <c r="A386">
        <v>2.4542000000000002</v>
      </c>
      <c r="B386">
        <f>(Table110347[[#This Row],[time]]-2)*2</f>
        <v>0.90840000000000032</v>
      </c>
      <c r="C386">
        <v>90.060100000000006</v>
      </c>
      <c r="D386">
        <v>27.224299999999999</v>
      </c>
      <c r="E386">
        <f>Table110347[[#This Row],[CFNM]]/Table110347[[#This Row],[CAREA]]</f>
        <v>0.30229035943775323</v>
      </c>
      <c r="F386">
        <v>2.4542000000000002</v>
      </c>
      <c r="G386">
        <f>(Table211348[[#This Row],[time]]-2)*2</f>
        <v>0.90840000000000032</v>
      </c>
      <c r="H386">
        <v>69.241900000000001</v>
      </c>
      <c r="I386">
        <v>2.1254899999999998E-3</v>
      </c>
      <c r="J386">
        <f>Table211348[[#This Row],[CFNM]]/Table211348[[#This Row],[CAREA]]</f>
        <v>3.069658689319617E-5</v>
      </c>
      <c r="K386">
        <v>2.4542000000000002</v>
      </c>
      <c r="L386">
        <f>(Table312349[[#This Row],[time]]-2)*2</f>
        <v>0.90840000000000032</v>
      </c>
      <c r="M386">
        <v>84.646900000000002</v>
      </c>
      <c r="N386">
        <v>27.354600000000001</v>
      </c>
      <c r="O386">
        <f>Table312349[[#This Row],[CFNM]]/Table312349[[#This Row],[CAREA]]</f>
        <v>0.32316127347841445</v>
      </c>
      <c r="P386">
        <v>2.4542000000000002</v>
      </c>
      <c r="Q386">
        <f>(Table413350[[#This Row],[time]]-2)*2</f>
        <v>0.90840000000000032</v>
      </c>
      <c r="R386">
        <v>85.1691</v>
      </c>
      <c r="S386">
        <v>2.6938000000000001E-3</v>
      </c>
      <c r="T386">
        <f>Table413350[[#This Row],[CFNM]]/Table413350[[#This Row],[CAREA]]</f>
        <v>3.1628841915671296E-5</v>
      </c>
      <c r="U386">
        <v>2.4542000000000002</v>
      </c>
      <c r="V386">
        <f>(Table514351[[#This Row],[time]]-2)*2</f>
        <v>0.90840000000000032</v>
      </c>
      <c r="W386">
        <v>74.363500000000002</v>
      </c>
      <c r="X386">
        <v>30.738900000000001</v>
      </c>
      <c r="Y386">
        <f>Table514351[[#This Row],[CFNM]]/Table514351[[#This Row],[CAREA]]</f>
        <v>0.41336004894874501</v>
      </c>
      <c r="Z386">
        <v>2.4542000000000002</v>
      </c>
      <c r="AA386">
        <f>(Table615352[[#This Row],[time]]-2)*2</f>
        <v>0.90840000000000032</v>
      </c>
      <c r="AB386">
        <v>91.895799999999994</v>
      </c>
      <c r="AC386">
        <v>10.0533</v>
      </c>
      <c r="AD386">
        <f>Table615352[[#This Row],[CFNM]]/Table615352[[#This Row],[CAREA]]</f>
        <v>0.10939890615240305</v>
      </c>
      <c r="AE386">
        <v>2.4542000000000002</v>
      </c>
      <c r="AF386">
        <f>(Table716353[[#This Row],[time]]-2)*2</f>
        <v>0.90840000000000032</v>
      </c>
      <c r="AG386">
        <v>77.641499999999994</v>
      </c>
      <c r="AH386">
        <v>42.564100000000003</v>
      </c>
      <c r="AI386">
        <f>Table716353[[#This Row],[CFNM]]/Table716353[[#This Row],[CAREA]]</f>
        <v>0.54821326223733446</v>
      </c>
      <c r="AJ386">
        <v>2.4542000000000002</v>
      </c>
      <c r="AK386">
        <f>(Table817354[[#This Row],[time]]-2)*2</f>
        <v>0.90840000000000032</v>
      </c>
      <c r="AL386">
        <v>80.708399999999997</v>
      </c>
      <c r="AM386">
        <v>10.4414</v>
      </c>
      <c r="AN386">
        <f>Table817354[[#This Row],[CFNM]]/Table817354[[#This Row],[CAREA]]</f>
        <v>0.12937191172170431</v>
      </c>
    </row>
    <row r="387" spans="1:40" x14ac:dyDescent="0.25">
      <c r="A387">
        <v>2.5061499999999999</v>
      </c>
      <c r="B387">
        <f>(Table110347[[#This Row],[time]]-2)*2</f>
        <v>1.0122999999999998</v>
      </c>
      <c r="C387">
        <v>89.427999999999997</v>
      </c>
      <c r="D387">
        <v>30.504100000000001</v>
      </c>
      <c r="E387">
        <f>Table110347[[#This Row],[CFNM]]/Table110347[[#This Row],[CAREA]]</f>
        <v>0.34110233931207229</v>
      </c>
      <c r="F387">
        <v>2.5061499999999999</v>
      </c>
      <c r="G387">
        <f>(Table211348[[#This Row],[time]]-2)*2</f>
        <v>1.0122999999999998</v>
      </c>
      <c r="H387">
        <v>60.281700000000001</v>
      </c>
      <c r="I387">
        <v>1.59045E-3</v>
      </c>
      <c r="J387">
        <f>Table211348[[#This Row],[CFNM]]/Table211348[[#This Row],[CAREA]]</f>
        <v>2.6383628862490607E-5</v>
      </c>
      <c r="K387">
        <v>2.5061499999999999</v>
      </c>
      <c r="L387">
        <f>(Table312349[[#This Row],[time]]-2)*2</f>
        <v>1.0122999999999998</v>
      </c>
      <c r="M387">
        <v>83.785700000000006</v>
      </c>
      <c r="N387">
        <v>30.890499999999999</v>
      </c>
      <c r="O387">
        <f>Table312349[[#This Row],[CFNM]]/Table312349[[#This Row],[CAREA]]</f>
        <v>0.36868463234179577</v>
      </c>
      <c r="P387">
        <v>2.5061499999999999</v>
      </c>
      <c r="Q387">
        <f>(Table413350[[#This Row],[time]]-2)*2</f>
        <v>1.0122999999999998</v>
      </c>
      <c r="R387">
        <v>82.008200000000002</v>
      </c>
      <c r="S387">
        <v>2.1680800000000002E-3</v>
      </c>
      <c r="T387">
        <f>Table413350[[#This Row],[CFNM]]/Table413350[[#This Row],[CAREA]]</f>
        <v>2.6437356264373564E-5</v>
      </c>
      <c r="U387">
        <v>2.5061499999999999</v>
      </c>
      <c r="V387">
        <f>(Table514351[[#This Row],[time]]-2)*2</f>
        <v>1.0122999999999998</v>
      </c>
      <c r="W387">
        <v>72.140600000000006</v>
      </c>
      <c r="X387">
        <v>34.154699999999998</v>
      </c>
      <c r="Y387">
        <f>Table514351[[#This Row],[CFNM]]/Table514351[[#This Row],[CAREA]]</f>
        <v>0.47344629792377657</v>
      </c>
      <c r="Z387">
        <v>2.5061499999999999</v>
      </c>
      <c r="AA387">
        <f>(Table615352[[#This Row],[time]]-2)*2</f>
        <v>1.0122999999999998</v>
      </c>
      <c r="AB387">
        <v>91.855699999999999</v>
      </c>
      <c r="AC387">
        <v>8.3345400000000005</v>
      </c>
      <c r="AD387">
        <f>Table615352[[#This Row],[CFNM]]/Table615352[[#This Row],[CAREA]]</f>
        <v>9.0735142184970557E-2</v>
      </c>
      <c r="AE387">
        <v>2.5061499999999999</v>
      </c>
      <c r="AF387">
        <f>(Table716353[[#This Row],[time]]-2)*2</f>
        <v>1.0122999999999998</v>
      </c>
      <c r="AG387">
        <v>77.539199999999994</v>
      </c>
      <c r="AH387">
        <v>45.7104</v>
      </c>
      <c r="AI387">
        <f>Table716353[[#This Row],[CFNM]]/Table716353[[#This Row],[CAREA]]</f>
        <v>0.58951343320539806</v>
      </c>
      <c r="AJ387">
        <v>2.5061499999999999</v>
      </c>
      <c r="AK387">
        <f>(Table817354[[#This Row],[time]]-2)*2</f>
        <v>1.0122999999999998</v>
      </c>
      <c r="AL387">
        <v>80.1965</v>
      </c>
      <c r="AM387">
        <v>9.7955699999999997</v>
      </c>
      <c r="AN387">
        <f>Table817354[[#This Row],[CFNM]]/Table817354[[#This Row],[CAREA]]</f>
        <v>0.12214460730829899</v>
      </c>
    </row>
    <row r="388" spans="1:40" x14ac:dyDescent="0.25">
      <c r="A388">
        <v>2.5507599999999999</v>
      </c>
      <c r="B388">
        <f>(Table110347[[#This Row],[time]]-2)*2</f>
        <v>1.1015199999999998</v>
      </c>
      <c r="C388">
        <v>88.6417</v>
      </c>
      <c r="D388">
        <v>34.068899999999999</v>
      </c>
      <c r="E388">
        <f>Table110347[[#This Row],[CFNM]]/Table110347[[#This Row],[CAREA]]</f>
        <v>0.38434393744704803</v>
      </c>
      <c r="F388">
        <v>2.5507599999999999</v>
      </c>
      <c r="G388">
        <f>(Table211348[[#This Row],[time]]-2)*2</f>
        <v>1.1015199999999998</v>
      </c>
      <c r="H388">
        <v>52.41</v>
      </c>
      <c r="I388">
        <v>1.15281E-3</v>
      </c>
      <c r="J388">
        <f>Table211348[[#This Row],[CFNM]]/Table211348[[#This Row],[CAREA]]</f>
        <v>2.1995993131081857E-5</v>
      </c>
      <c r="K388">
        <v>2.5507599999999999</v>
      </c>
      <c r="L388">
        <f>(Table312349[[#This Row],[time]]-2)*2</f>
        <v>1.1015199999999998</v>
      </c>
      <c r="M388">
        <v>83.014499999999998</v>
      </c>
      <c r="N388">
        <v>34.578400000000002</v>
      </c>
      <c r="O388">
        <f>Table312349[[#This Row],[CFNM]]/Table312349[[#This Row],[CAREA]]</f>
        <v>0.41653446084720142</v>
      </c>
      <c r="P388">
        <v>2.5507599999999999</v>
      </c>
      <c r="Q388">
        <f>(Table413350[[#This Row],[time]]-2)*2</f>
        <v>1.1015199999999998</v>
      </c>
      <c r="R388">
        <v>75.385999999999996</v>
      </c>
      <c r="S388">
        <v>1.68428E-3</v>
      </c>
      <c r="T388">
        <f>Table413350[[#This Row],[CFNM]]/Table413350[[#This Row],[CAREA]]</f>
        <v>2.2342079431194123E-5</v>
      </c>
      <c r="U388">
        <v>2.5507599999999999</v>
      </c>
      <c r="V388">
        <f>(Table514351[[#This Row],[time]]-2)*2</f>
        <v>1.1015199999999998</v>
      </c>
      <c r="W388">
        <v>70.526300000000006</v>
      </c>
      <c r="X388">
        <v>37.792700000000004</v>
      </c>
      <c r="Y388">
        <f>Table514351[[#This Row],[CFNM]]/Table514351[[#This Row],[CAREA]]</f>
        <v>0.53586676176121528</v>
      </c>
      <c r="Z388">
        <v>2.5507599999999999</v>
      </c>
      <c r="AA388">
        <f>(Table615352[[#This Row],[time]]-2)*2</f>
        <v>1.1015199999999998</v>
      </c>
      <c r="AB388">
        <v>91.999099999999999</v>
      </c>
      <c r="AC388">
        <v>6.7959100000000001</v>
      </c>
      <c r="AD388">
        <f>Table615352[[#This Row],[CFNM]]/Table615352[[#This Row],[CAREA]]</f>
        <v>7.3869309591072088E-2</v>
      </c>
      <c r="AE388">
        <v>2.5507599999999999</v>
      </c>
      <c r="AF388">
        <f>(Table716353[[#This Row],[time]]-2)*2</f>
        <v>1.1015199999999998</v>
      </c>
      <c r="AG388">
        <v>77.233400000000003</v>
      </c>
      <c r="AH388">
        <v>48.989699999999999</v>
      </c>
      <c r="AI388">
        <f>Table716353[[#This Row],[CFNM]]/Table716353[[#This Row],[CAREA]]</f>
        <v>0.63430717798258263</v>
      </c>
      <c r="AJ388">
        <v>2.5507599999999999</v>
      </c>
      <c r="AK388">
        <f>(Table817354[[#This Row],[time]]-2)*2</f>
        <v>1.1015199999999998</v>
      </c>
      <c r="AL388">
        <v>79.587100000000007</v>
      </c>
      <c r="AM388">
        <v>8.9908900000000003</v>
      </c>
      <c r="AN388">
        <f>Table817354[[#This Row],[CFNM]]/Table817354[[#This Row],[CAREA]]</f>
        <v>0.11296918721752645</v>
      </c>
    </row>
    <row r="389" spans="1:40" x14ac:dyDescent="0.25">
      <c r="A389">
        <v>2.60453</v>
      </c>
      <c r="B389">
        <f>(Table110347[[#This Row],[time]]-2)*2</f>
        <v>1.20906</v>
      </c>
      <c r="C389">
        <v>87.604600000000005</v>
      </c>
      <c r="D389">
        <v>37.8645</v>
      </c>
      <c r="E389">
        <f>Table110347[[#This Row],[CFNM]]/Table110347[[#This Row],[CAREA]]</f>
        <v>0.43222045417706373</v>
      </c>
      <c r="F389">
        <v>2.60453</v>
      </c>
      <c r="G389">
        <f>(Table211348[[#This Row],[time]]-2)*2</f>
        <v>1.20906</v>
      </c>
      <c r="H389">
        <v>45.259099999999997</v>
      </c>
      <c r="I389">
        <v>8.35598E-4</v>
      </c>
      <c r="J389">
        <f>Table211348[[#This Row],[CFNM]]/Table211348[[#This Row],[CAREA]]</f>
        <v>1.8462541234801399E-5</v>
      </c>
      <c r="K389">
        <v>2.60453</v>
      </c>
      <c r="L389">
        <f>(Table312349[[#This Row],[time]]-2)*2</f>
        <v>1.20906</v>
      </c>
      <c r="M389">
        <v>82.36</v>
      </c>
      <c r="N389">
        <v>37.894599999999997</v>
      </c>
      <c r="O389">
        <f>Table312349[[#This Row],[CFNM]]/Table312349[[#This Row],[CAREA]]</f>
        <v>0.46010927634774157</v>
      </c>
      <c r="P389">
        <v>2.60453</v>
      </c>
      <c r="Q389">
        <f>(Table413350[[#This Row],[time]]-2)*2</f>
        <v>1.20906</v>
      </c>
      <c r="R389">
        <v>69.048400000000001</v>
      </c>
      <c r="S389">
        <v>1.35643E-3</v>
      </c>
      <c r="T389">
        <f>Table413350[[#This Row],[CFNM]]/Table413350[[#This Row],[CAREA]]</f>
        <v>1.9644626088367E-5</v>
      </c>
      <c r="U389">
        <v>2.60453</v>
      </c>
      <c r="V389">
        <f>(Table514351[[#This Row],[time]]-2)*2</f>
        <v>1.20906</v>
      </c>
      <c r="W389">
        <v>69.122299999999996</v>
      </c>
      <c r="X389">
        <v>41.224499999999999</v>
      </c>
      <c r="Y389">
        <f>Table514351[[#This Row],[CFNM]]/Table514351[[#This Row],[CAREA]]</f>
        <v>0.59639942536634349</v>
      </c>
      <c r="Z389">
        <v>2.60453</v>
      </c>
      <c r="AA389">
        <f>(Table615352[[#This Row],[time]]-2)*2</f>
        <v>1.20906</v>
      </c>
      <c r="AB389">
        <v>91.256799999999998</v>
      </c>
      <c r="AC389">
        <v>5.7426899999999996</v>
      </c>
      <c r="AD389">
        <f>Table615352[[#This Row],[CFNM]]/Table615352[[#This Row],[CAREA]]</f>
        <v>6.2928899545020206E-2</v>
      </c>
      <c r="AE389">
        <v>2.60453</v>
      </c>
      <c r="AF389">
        <f>(Table716353[[#This Row],[time]]-2)*2</f>
        <v>1.20906</v>
      </c>
      <c r="AG389">
        <v>77.260800000000003</v>
      </c>
      <c r="AH389">
        <v>52.024999999999999</v>
      </c>
      <c r="AI389">
        <f>Table716353[[#This Row],[CFNM]]/Table716353[[#This Row],[CAREA]]</f>
        <v>0.67336864231278992</v>
      </c>
      <c r="AJ389">
        <v>2.60453</v>
      </c>
      <c r="AK389">
        <f>(Table817354[[#This Row],[time]]-2)*2</f>
        <v>1.20906</v>
      </c>
      <c r="AL389">
        <v>78.949399999999997</v>
      </c>
      <c r="AM389">
        <v>8.2136999999999993</v>
      </c>
      <c r="AN389">
        <f>Table817354[[#This Row],[CFNM]]/Table817354[[#This Row],[CAREA]]</f>
        <v>0.10403752276774744</v>
      </c>
    </row>
    <row r="390" spans="1:40" x14ac:dyDescent="0.25">
      <c r="A390">
        <v>2.65273</v>
      </c>
      <c r="B390">
        <f>(Table110347[[#This Row],[time]]-2)*2</f>
        <v>1.3054600000000001</v>
      </c>
      <c r="C390">
        <v>86.882400000000004</v>
      </c>
      <c r="D390">
        <v>40.250399999999999</v>
      </c>
      <c r="E390">
        <f>Table110347[[#This Row],[CFNM]]/Table110347[[#This Row],[CAREA]]</f>
        <v>0.46327449517969116</v>
      </c>
      <c r="F390">
        <v>2.65273</v>
      </c>
      <c r="G390">
        <f>(Table211348[[#This Row],[time]]-2)*2</f>
        <v>1.3054600000000001</v>
      </c>
      <c r="H390">
        <v>39.6706</v>
      </c>
      <c r="I390">
        <v>6.8429099999999996E-4</v>
      </c>
      <c r="J390">
        <f>Table211348[[#This Row],[CFNM]]/Table211348[[#This Row],[CAREA]]</f>
        <v>1.7249323176357302E-5</v>
      </c>
      <c r="K390">
        <v>2.65273</v>
      </c>
      <c r="L390">
        <f>(Table312349[[#This Row],[time]]-2)*2</f>
        <v>1.3054600000000001</v>
      </c>
      <c r="M390">
        <v>82.008899999999997</v>
      </c>
      <c r="N390">
        <v>39.832599999999999</v>
      </c>
      <c r="O390">
        <f>Table312349[[#This Row],[CFNM]]/Table312349[[#This Row],[CAREA]]</f>
        <v>0.48571069725359078</v>
      </c>
      <c r="P390">
        <v>2.65273</v>
      </c>
      <c r="Q390">
        <f>(Table413350[[#This Row],[time]]-2)*2</f>
        <v>1.3054600000000001</v>
      </c>
      <c r="R390">
        <v>63.618299999999998</v>
      </c>
      <c r="S390">
        <v>1.1914600000000001E-3</v>
      </c>
      <c r="T390">
        <f>Table413350[[#This Row],[CFNM]]/Table413350[[#This Row],[CAREA]]</f>
        <v>1.8728259007235341E-5</v>
      </c>
      <c r="U390">
        <v>2.65273</v>
      </c>
      <c r="V390">
        <f>(Table514351[[#This Row],[time]]-2)*2</f>
        <v>1.3054600000000001</v>
      </c>
      <c r="W390">
        <v>68.618899999999996</v>
      </c>
      <c r="X390">
        <v>43.245800000000003</v>
      </c>
      <c r="Y390">
        <f>Table514351[[#This Row],[CFNM]]/Table514351[[#This Row],[CAREA]]</f>
        <v>0.63023161257321236</v>
      </c>
      <c r="Z390">
        <v>2.65273</v>
      </c>
      <c r="AA390">
        <f>(Table615352[[#This Row],[time]]-2)*2</f>
        <v>1.3054600000000001</v>
      </c>
      <c r="AB390">
        <v>90.991100000000003</v>
      </c>
      <c r="AC390">
        <v>5.2254699999999996</v>
      </c>
      <c r="AD390">
        <f>Table615352[[#This Row],[CFNM]]/Table615352[[#This Row],[CAREA]]</f>
        <v>5.7428363872950208E-2</v>
      </c>
      <c r="AE390">
        <v>2.65273</v>
      </c>
      <c r="AF390">
        <f>(Table716353[[#This Row],[time]]-2)*2</f>
        <v>1.3054600000000001</v>
      </c>
      <c r="AG390">
        <v>77.222499999999997</v>
      </c>
      <c r="AH390">
        <v>53.884300000000003</v>
      </c>
      <c r="AI390">
        <f>Table716353[[#This Row],[CFNM]]/Table716353[[#This Row],[CAREA]]</f>
        <v>0.69777979215902108</v>
      </c>
      <c r="AJ390">
        <v>2.65273</v>
      </c>
      <c r="AK390">
        <f>(Table817354[[#This Row],[time]]-2)*2</f>
        <v>1.3054600000000001</v>
      </c>
      <c r="AL390">
        <v>78.416200000000003</v>
      </c>
      <c r="AM390">
        <v>7.7434399999999997</v>
      </c>
      <c r="AN390">
        <f>Table817354[[#This Row],[CFNM]]/Table817354[[#This Row],[CAREA]]</f>
        <v>9.874796279340238E-2</v>
      </c>
    </row>
    <row r="391" spans="1:40" x14ac:dyDescent="0.25">
      <c r="A391">
        <v>2.7006199999999998</v>
      </c>
      <c r="B391">
        <f>(Table110347[[#This Row],[time]]-2)*2</f>
        <v>1.4012399999999996</v>
      </c>
      <c r="C391">
        <v>84.856200000000001</v>
      </c>
      <c r="D391">
        <v>44.096600000000002</v>
      </c>
      <c r="E391">
        <f>Table110347[[#This Row],[CFNM]]/Table110347[[#This Row],[CAREA]]</f>
        <v>0.51966267638663999</v>
      </c>
      <c r="F391">
        <v>2.7006199999999998</v>
      </c>
      <c r="G391">
        <f>(Table211348[[#This Row],[time]]-2)*2</f>
        <v>1.4012399999999996</v>
      </c>
      <c r="H391">
        <v>33.406599999999997</v>
      </c>
      <c r="I391">
        <v>4.8721600000000001E-4</v>
      </c>
      <c r="J391">
        <f>Table211348[[#This Row],[CFNM]]/Table211348[[#This Row],[CAREA]]</f>
        <v>1.4584423437284849E-5</v>
      </c>
      <c r="K391">
        <v>2.7006199999999998</v>
      </c>
      <c r="L391">
        <f>(Table312349[[#This Row],[time]]-2)*2</f>
        <v>1.4012399999999996</v>
      </c>
      <c r="M391">
        <v>81.374499999999998</v>
      </c>
      <c r="N391">
        <v>42.818300000000001</v>
      </c>
      <c r="O391">
        <f>Table312349[[#This Row],[CFNM]]/Table312349[[#This Row],[CAREA]]</f>
        <v>0.52618817934365192</v>
      </c>
      <c r="P391">
        <v>2.7006199999999998</v>
      </c>
      <c r="Q391">
        <f>(Table413350[[#This Row],[time]]-2)*2</f>
        <v>1.4012399999999996</v>
      </c>
      <c r="R391">
        <v>51.693399999999997</v>
      </c>
      <c r="S391">
        <v>9.6980299999999998E-4</v>
      </c>
      <c r="T391">
        <f>Table413350[[#This Row],[CFNM]]/Table413350[[#This Row],[CAREA]]</f>
        <v>1.8760673509577627E-5</v>
      </c>
      <c r="U391">
        <v>2.7006199999999998</v>
      </c>
      <c r="V391">
        <f>(Table514351[[#This Row],[time]]-2)*2</f>
        <v>1.4012399999999996</v>
      </c>
      <c r="W391">
        <v>67.606700000000004</v>
      </c>
      <c r="X391">
        <v>46.4694</v>
      </c>
      <c r="Y391">
        <f>Table514351[[#This Row],[CFNM]]/Table514351[[#This Row],[CAREA]]</f>
        <v>0.6873490349329282</v>
      </c>
      <c r="Z391">
        <v>2.7006199999999998</v>
      </c>
      <c r="AA391">
        <f>(Table615352[[#This Row],[time]]-2)*2</f>
        <v>1.4012399999999996</v>
      </c>
      <c r="AB391">
        <v>90.890900000000002</v>
      </c>
      <c r="AC391">
        <v>4.4941300000000002</v>
      </c>
      <c r="AD391">
        <f>Table615352[[#This Row],[CFNM]]/Table615352[[#This Row],[CAREA]]</f>
        <v>4.9445324009334268E-2</v>
      </c>
      <c r="AE391">
        <v>2.7006199999999998</v>
      </c>
      <c r="AF391">
        <f>(Table716353[[#This Row],[time]]-2)*2</f>
        <v>1.4012399999999996</v>
      </c>
      <c r="AG391">
        <v>77.058099999999996</v>
      </c>
      <c r="AH391">
        <v>56.922800000000002</v>
      </c>
      <c r="AI391">
        <f>Table716353[[#This Row],[CFNM]]/Table716353[[#This Row],[CAREA]]</f>
        <v>0.73869976031072659</v>
      </c>
      <c r="AJ391">
        <v>2.7006199999999998</v>
      </c>
      <c r="AK391">
        <f>(Table817354[[#This Row],[time]]-2)*2</f>
        <v>1.4012399999999996</v>
      </c>
      <c r="AL391">
        <v>77.703400000000002</v>
      </c>
      <c r="AM391">
        <v>6.9793200000000004</v>
      </c>
      <c r="AN391">
        <f>Table817354[[#This Row],[CFNM]]/Table817354[[#This Row],[CAREA]]</f>
        <v>8.9820007876103239E-2</v>
      </c>
    </row>
    <row r="392" spans="1:40" x14ac:dyDescent="0.25">
      <c r="A392">
        <v>2.75176</v>
      </c>
      <c r="B392">
        <f>(Table110347[[#This Row],[time]]-2)*2</f>
        <v>1.50352</v>
      </c>
      <c r="C392">
        <v>83.954700000000003</v>
      </c>
      <c r="D392">
        <v>46.741900000000001</v>
      </c>
      <c r="E392">
        <f>Table110347[[#This Row],[CFNM]]/Table110347[[#This Row],[CAREA]]</f>
        <v>0.55675143857342113</v>
      </c>
      <c r="F392">
        <v>2.75176</v>
      </c>
      <c r="G392">
        <f>(Table211348[[#This Row],[time]]-2)*2</f>
        <v>1.50352</v>
      </c>
      <c r="H392">
        <v>28.888200000000001</v>
      </c>
      <c r="I392">
        <v>3.8572999999999998E-4</v>
      </c>
      <c r="J392">
        <f>Table211348[[#This Row],[CFNM]]/Table211348[[#This Row],[CAREA]]</f>
        <v>1.3352510713717017E-5</v>
      </c>
      <c r="K392">
        <v>2.75176</v>
      </c>
      <c r="L392">
        <f>(Table312349[[#This Row],[time]]-2)*2</f>
        <v>1.50352</v>
      </c>
      <c r="M392">
        <v>80.836100000000002</v>
      </c>
      <c r="N392">
        <v>44.776600000000002</v>
      </c>
      <c r="O392">
        <f>Table312349[[#This Row],[CFNM]]/Table312349[[#This Row],[CAREA]]</f>
        <v>0.55391836073239553</v>
      </c>
      <c r="P392">
        <v>2.75176</v>
      </c>
      <c r="Q392">
        <f>(Table413350[[#This Row],[time]]-2)*2</f>
        <v>1.50352</v>
      </c>
      <c r="R392">
        <v>45.434899999999999</v>
      </c>
      <c r="S392">
        <v>8.4637999999999998E-4</v>
      </c>
      <c r="T392">
        <f>Table413350[[#This Row],[CFNM]]/Table413350[[#This Row],[CAREA]]</f>
        <v>1.8628411199320347E-5</v>
      </c>
      <c r="U392">
        <v>2.75176</v>
      </c>
      <c r="V392">
        <f>(Table514351[[#This Row],[time]]-2)*2</f>
        <v>1.50352</v>
      </c>
      <c r="W392">
        <v>66.992099999999994</v>
      </c>
      <c r="X392">
        <v>48.668999999999997</v>
      </c>
      <c r="Y392">
        <f>Table514351[[#This Row],[CFNM]]/Table514351[[#This Row],[CAREA]]</f>
        <v>0.72648864567613203</v>
      </c>
      <c r="Z392">
        <v>2.75176</v>
      </c>
      <c r="AA392">
        <f>(Table615352[[#This Row],[time]]-2)*2</f>
        <v>1.50352</v>
      </c>
      <c r="AB392">
        <v>90.623000000000005</v>
      </c>
      <c r="AC392">
        <v>4.0188899999999999</v>
      </c>
      <c r="AD392">
        <f>Table615352[[#This Row],[CFNM]]/Table615352[[#This Row],[CAREA]]</f>
        <v>4.4347351113955616E-2</v>
      </c>
      <c r="AE392">
        <v>2.75176</v>
      </c>
      <c r="AF392">
        <f>(Table716353[[#This Row],[time]]-2)*2</f>
        <v>1.50352</v>
      </c>
      <c r="AG392">
        <v>76.921499999999995</v>
      </c>
      <c r="AH392">
        <v>59.016500000000001</v>
      </c>
      <c r="AI392">
        <f>Table716353[[#This Row],[CFNM]]/Table716353[[#This Row],[CAREA]]</f>
        <v>0.76723022821967857</v>
      </c>
      <c r="AJ392">
        <v>2.75176</v>
      </c>
      <c r="AK392">
        <f>(Table817354[[#This Row],[time]]-2)*2</f>
        <v>1.50352</v>
      </c>
      <c r="AL392">
        <v>77.215100000000007</v>
      </c>
      <c r="AM392">
        <v>6.48712</v>
      </c>
      <c r="AN392">
        <f>Table817354[[#This Row],[CFNM]]/Table817354[[#This Row],[CAREA]]</f>
        <v>8.4013619097818945E-2</v>
      </c>
    </row>
    <row r="393" spans="1:40" x14ac:dyDescent="0.25">
      <c r="A393">
        <v>2.80444</v>
      </c>
      <c r="B393">
        <f>(Table110347[[#This Row],[time]]-2)*2</f>
        <v>1.6088800000000001</v>
      </c>
      <c r="C393">
        <v>82.729299999999995</v>
      </c>
      <c r="D393">
        <v>49.685299999999998</v>
      </c>
      <c r="E393">
        <f>Table110347[[#This Row],[CFNM]]/Table110347[[#This Row],[CAREA]]</f>
        <v>0.60057682102955057</v>
      </c>
      <c r="F393">
        <v>2.80444</v>
      </c>
      <c r="G393">
        <f>(Table211348[[#This Row],[time]]-2)*2</f>
        <v>1.6088800000000001</v>
      </c>
      <c r="H393">
        <v>22.688800000000001</v>
      </c>
      <c r="I393">
        <v>2.97375E-4</v>
      </c>
      <c r="J393">
        <f>Table211348[[#This Row],[CFNM]]/Table211348[[#This Row],[CAREA]]</f>
        <v>1.3106686999753182E-5</v>
      </c>
      <c r="K393">
        <v>2.80444</v>
      </c>
      <c r="L393">
        <f>(Table312349[[#This Row],[time]]-2)*2</f>
        <v>1.6088800000000001</v>
      </c>
      <c r="M393">
        <v>80.360200000000006</v>
      </c>
      <c r="N393">
        <v>46.9148</v>
      </c>
      <c r="O393">
        <f>Table312349[[#This Row],[CFNM]]/Table312349[[#This Row],[CAREA]]</f>
        <v>0.5838064116316285</v>
      </c>
      <c r="P393">
        <v>2.80444</v>
      </c>
      <c r="Q393">
        <f>(Table413350[[#This Row],[time]]-2)*2</f>
        <v>1.6088800000000001</v>
      </c>
      <c r="R393">
        <v>40.414900000000003</v>
      </c>
      <c r="S393">
        <v>7.3404000000000004E-4</v>
      </c>
      <c r="T393">
        <f>Table413350[[#This Row],[CFNM]]/Table413350[[#This Row],[CAREA]]</f>
        <v>1.8162608344942089E-5</v>
      </c>
      <c r="U393">
        <v>2.80444</v>
      </c>
      <c r="V393">
        <f>(Table514351[[#This Row],[time]]-2)*2</f>
        <v>1.6088800000000001</v>
      </c>
      <c r="W393">
        <v>66.067800000000005</v>
      </c>
      <c r="X393">
        <v>51.184199999999997</v>
      </c>
      <c r="Y393">
        <f>Table514351[[#This Row],[CFNM]]/Table514351[[#This Row],[CAREA]]</f>
        <v>0.77472233069664787</v>
      </c>
      <c r="Z393">
        <v>2.80444</v>
      </c>
      <c r="AA393">
        <f>(Table615352[[#This Row],[time]]-2)*2</f>
        <v>1.6088800000000001</v>
      </c>
      <c r="AB393">
        <v>90.141300000000001</v>
      </c>
      <c r="AC393">
        <v>3.5445000000000002</v>
      </c>
      <c r="AD393">
        <f>Table615352[[#This Row],[CFNM]]/Table615352[[#This Row],[CAREA]]</f>
        <v>3.9321598423807953E-2</v>
      </c>
      <c r="AE393">
        <v>2.80444</v>
      </c>
      <c r="AF393">
        <f>(Table716353[[#This Row],[time]]-2)*2</f>
        <v>1.6088800000000001</v>
      </c>
      <c r="AG393">
        <v>76.624099999999999</v>
      </c>
      <c r="AH393">
        <v>61.447600000000001</v>
      </c>
      <c r="AI393">
        <f>Table716353[[#This Row],[CFNM]]/Table716353[[#This Row],[CAREA]]</f>
        <v>0.8019356834207515</v>
      </c>
      <c r="AJ393">
        <v>2.80444</v>
      </c>
      <c r="AK393">
        <f>(Table817354[[#This Row],[time]]-2)*2</f>
        <v>1.6088800000000001</v>
      </c>
      <c r="AL393">
        <v>76.738799999999998</v>
      </c>
      <c r="AM393">
        <v>5.9453199999999997</v>
      </c>
      <c r="AN393">
        <f>Table817354[[#This Row],[CFNM]]/Table817354[[#This Row],[CAREA]]</f>
        <v>7.7474758531538152E-2</v>
      </c>
    </row>
    <row r="394" spans="1:40" x14ac:dyDescent="0.25">
      <c r="A394">
        <v>2.8583699999999999</v>
      </c>
      <c r="B394">
        <f>(Table110347[[#This Row],[time]]-2)*2</f>
        <v>1.7167399999999997</v>
      </c>
      <c r="C394">
        <v>81.581400000000002</v>
      </c>
      <c r="D394">
        <v>52.936599999999999</v>
      </c>
      <c r="E394">
        <f>Table110347[[#This Row],[CFNM]]/Table110347[[#This Row],[CAREA]]</f>
        <v>0.64888074977874854</v>
      </c>
      <c r="F394">
        <v>2.8583699999999999</v>
      </c>
      <c r="G394">
        <f>(Table211348[[#This Row],[time]]-2)*2</f>
        <v>1.7167399999999997</v>
      </c>
      <c r="H394">
        <v>18.6404</v>
      </c>
      <c r="I394">
        <v>2.25992E-4</v>
      </c>
      <c r="J394">
        <f>Table211348[[#This Row],[CFNM]]/Table211348[[#This Row],[CAREA]]</f>
        <v>1.2123774167936311E-5</v>
      </c>
      <c r="K394">
        <v>2.8583699999999999</v>
      </c>
      <c r="L394">
        <f>(Table312349[[#This Row],[time]]-2)*2</f>
        <v>1.7167399999999997</v>
      </c>
      <c r="M394">
        <v>79.847999999999999</v>
      </c>
      <c r="N394">
        <v>49.101100000000002</v>
      </c>
      <c r="O394">
        <f>Table312349[[#This Row],[CFNM]]/Table312349[[#This Row],[CAREA]]</f>
        <v>0.61493212102995698</v>
      </c>
      <c r="P394">
        <v>2.8583699999999999</v>
      </c>
      <c r="Q394">
        <f>(Table413350[[#This Row],[time]]-2)*2</f>
        <v>1.7167399999999997</v>
      </c>
      <c r="R394">
        <v>33.927300000000002</v>
      </c>
      <c r="S394">
        <v>6.2832399999999998E-4</v>
      </c>
      <c r="T394">
        <f>Table413350[[#This Row],[CFNM]]/Table413350[[#This Row],[CAREA]]</f>
        <v>1.8519717159927255E-5</v>
      </c>
      <c r="U394">
        <v>2.8583699999999999</v>
      </c>
      <c r="V394">
        <f>(Table514351[[#This Row],[time]]-2)*2</f>
        <v>1.7167399999999997</v>
      </c>
      <c r="W394">
        <v>64.115799999999993</v>
      </c>
      <c r="X394">
        <v>53.917900000000003</v>
      </c>
      <c r="Y394">
        <f>Table514351[[#This Row],[CFNM]]/Table514351[[#This Row],[CAREA]]</f>
        <v>0.84094560155219167</v>
      </c>
      <c r="Z394">
        <v>2.8583699999999999</v>
      </c>
      <c r="AA394">
        <f>(Table615352[[#This Row],[time]]-2)*2</f>
        <v>1.7167399999999997</v>
      </c>
      <c r="AB394">
        <v>89.441299999999998</v>
      </c>
      <c r="AC394">
        <v>2.9959799999999999</v>
      </c>
      <c r="AD394">
        <f>Table615352[[#This Row],[CFNM]]/Table615352[[#This Row],[CAREA]]</f>
        <v>3.349660615398032E-2</v>
      </c>
      <c r="AE394">
        <v>2.8583699999999999</v>
      </c>
      <c r="AF394">
        <f>(Table716353[[#This Row],[time]]-2)*2</f>
        <v>1.7167399999999997</v>
      </c>
      <c r="AG394">
        <v>75.813199999999995</v>
      </c>
      <c r="AH394">
        <v>64.164400000000001</v>
      </c>
      <c r="AI394">
        <f>Table716353[[#This Row],[CFNM]]/Table716353[[#This Row],[CAREA]]</f>
        <v>0.84634865696211226</v>
      </c>
      <c r="AJ394">
        <v>2.8583699999999999</v>
      </c>
      <c r="AK394">
        <f>(Table817354[[#This Row],[time]]-2)*2</f>
        <v>1.7167399999999997</v>
      </c>
      <c r="AL394">
        <v>75.940799999999996</v>
      </c>
      <c r="AM394">
        <v>5.3197400000000004</v>
      </c>
      <c r="AN394">
        <f>Table817354[[#This Row],[CFNM]]/Table817354[[#This Row],[CAREA]]</f>
        <v>7.0051145102500906E-2</v>
      </c>
    </row>
    <row r="395" spans="1:40" x14ac:dyDescent="0.25">
      <c r="A395">
        <v>2.9134199999999999</v>
      </c>
      <c r="B395">
        <f>(Table110347[[#This Row],[time]]-2)*2</f>
        <v>1.8268399999999998</v>
      </c>
      <c r="C395">
        <v>80.017200000000003</v>
      </c>
      <c r="D395">
        <v>55.958300000000001</v>
      </c>
      <c r="E395">
        <f>Table110347[[#This Row],[CFNM]]/Table110347[[#This Row],[CAREA]]</f>
        <v>0.699328394395205</v>
      </c>
      <c r="F395">
        <v>2.9134199999999999</v>
      </c>
      <c r="G395">
        <f>(Table211348[[#This Row],[time]]-2)*2</f>
        <v>1.8268399999999998</v>
      </c>
      <c r="H395">
        <v>14.064500000000001</v>
      </c>
      <c r="I395">
        <v>1.7121700000000001E-4</v>
      </c>
      <c r="J395">
        <f>Table211348[[#This Row],[CFNM]]/Table211348[[#This Row],[CAREA]]</f>
        <v>1.2173699740481355E-5</v>
      </c>
      <c r="K395">
        <v>2.9134199999999999</v>
      </c>
      <c r="L395">
        <f>(Table312349[[#This Row],[time]]-2)*2</f>
        <v>1.8268399999999998</v>
      </c>
      <c r="M395">
        <v>79.442899999999995</v>
      </c>
      <c r="N395">
        <v>51.079599999999999</v>
      </c>
      <c r="O395">
        <f>Table312349[[#This Row],[CFNM]]/Table312349[[#This Row],[CAREA]]</f>
        <v>0.64297249974509996</v>
      </c>
      <c r="P395">
        <v>2.9134199999999999</v>
      </c>
      <c r="Q395">
        <f>(Table413350[[#This Row],[time]]-2)*2</f>
        <v>1.8268399999999998</v>
      </c>
      <c r="R395">
        <v>33.411499999999997</v>
      </c>
      <c r="S395">
        <v>5.3921199999999996E-4</v>
      </c>
      <c r="T395">
        <f>Table413350[[#This Row],[CFNM]]/Table413350[[#This Row],[CAREA]]</f>
        <v>1.6138515181898447E-5</v>
      </c>
      <c r="U395">
        <v>2.9134199999999999</v>
      </c>
      <c r="V395">
        <f>(Table514351[[#This Row],[time]]-2)*2</f>
        <v>1.8268399999999998</v>
      </c>
      <c r="W395">
        <v>63.210799999999999</v>
      </c>
      <c r="X395">
        <v>56.465699999999998</v>
      </c>
      <c r="Y395">
        <f>Table514351[[#This Row],[CFNM]]/Table514351[[#This Row],[CAREA]]</f>
        <v>0.89329196909388897</v>
      </c>
      <c r="Z395">
        <v>2.9134199999999999</v>
      </c>
      <c r="AA395">
        <f>(Table615352[[#This Row],[time]]-2)*2</f>
        <v>1.8268399999999998</v>
      </c>
      <c r="AB395">
        <v>88.731999999999999</v>
      </c>
      <c r="AC395">
        <v>2.4549300000000001</v>
      </c>
      <c r="AD395">
        <f>Table615352[[#This Row],[CFNM]]/Table615352[[#This Row],[CAREA]]</f>
        <v>2.7666794392102061E-2</v>
      </c>
      <c r="AE395">
        <v>2.9134199999999999</v>
      </c>
      <c r="AF395">
        <f>(Table716353[[#This Row],[time]]-2)*2</f>
        <v>1.8268399999999998</v>
      </c>
      <c r="AG395">
        <v>75.403300000000002</v>
      </c>
      <c r="AH395">
        <v>66.795299999999997</v>
      </c>
      <c r="AI395">
        <f>Table716353[[#This Row],[CFNM]]/Table716353[[#This Row],[CAREA]]</f>
        <v>0.88584054013551128</v>
      </c>
      <c r="AJ395">
        <v>2.9134199999999999</v>
      </c>
      <c r="AK395">
        <f>(Table817354[[#This Row],[time]]-2)*2</f>
        <v>1.8268399999999998</v>
      </c>
      <c r="AL395">
        <v>75.271500000000003</v>
      </c>
      <c r="AM395">
        <v>4.69876</v>
      </c>
      <c r="AN395">
        <f>Table817354[[#This Row],[CFNM]]/Table817354[[#This Row],[CAREA]]</f>
        <v>6.2424157881801209E-2</v>
      </c>
    </row>
    <row r="396" spans="1:40" x14ac:dyDescent="0.25">
      <c r="A396">
        <v>2.9619599999999999</v>
      </c>
      <c r="B396">
        <f>(Table110347[[#This Row],[time]]-2)*2</f>
        <v>1.9239199999999999</v>
      </c>
      <c r="C396">
        <v>79.158500000000004</v>
      </c>
      <c r="D396">
        <v>57.195</v>
      </c>
      <c r="E396">
        <f>Table110347[[#This Row],[CFNM]]/Table110347[[#This Row],[CAREA]]</f>
        <v>0.72253769336205209</v>
      </c>
      <c r="F396">
        <v>2.9619599999999999</v>
      </c>
      <c r="G396">
        <f>(Table211348[[#This Row],[time]]-2)*2</f>
        <v>1.9239199999999999</v>
      </c>
      <c r="H396">
        <v>13.0205</v>
      </c>
      <c r="I396">
        <v>1.53301E-4</v>
      </c>
      <c r="J396">
        <f>Table211348[[#This Row],[CFNM]]/Table211348[[#This Row],[CAREA]]</f>
        <v>1.1773818209746169E-5</v>
      </c>
      <c r="K396">
        <v>2.9619599999999999</v>
      </c>
      <c r="L396">
        <f>(Table312349[[#This Row],[time]]-2)*2</f>
        <v>1.9239199999999999</v>
      </c>
      <c r="M396">
        <v>79.2256</v>
      </c>
      <c r="N396">
        <v>51.8523</v>
      </c>
      <c r="O396">
        <f>Table312349[[#This Row],[CFNM]]/Table312349[[#This Row],[CAREA]]</f>
        <v>0.65448920550933032</v>
      </c>
      <c r="P396">
        <v>2.9619599999999999</v>
      </c>
      <c r="Q396">
        <f>(Table413350[[#This Row],[time]]-2)*2</f>
        <v>1.9239199999999999</v>
      </c>
      <c r="R396">
        <v>31.407699999999998</v>
      </c>
      <c r="S396">
        <v>5.0297000000000004E-4</v>
      </c>
      <c r="T396">
        <f>Table413350[[#This Row],[CFNM]]/Table413350[[#This Row],[CAREA]]</f>
        <v>1.6014225810868037E-5</v>
      </c>
      <c r="U396">
        <v>2.9619599999999999</v>
      </c>
      <c r="V396">
        <f>(Table514351[[#This Row],[time]]-2)*2</f>
        <v>1.9239199999999999</v>
      </c>
      <c r="W396">
        <v>62.552599999999998</v>
      </c>
      <c r="X396">
        <v>57.559600000000003</v>
      </c>
      <c r="Y396">
        <f>Table514351[[#This Row],[CFNM]]/Table514351[[#This Row],[CAREA]]</f>
        <v>0.92017917720446485</v>
      </c>
      <c r="Z396">
        <v>2.9619599999999999</v>
      </c>
      <c r="AA396">
        <f>(Table615352[[#This Row],[time]]-2)*2</f>
        <v>1.9239199999999999</v>
      </c>
      <c r="AB396">
        <v>88.535300000000007</v>
      </c>
      <c r="AC396">
        <v>2.2313800000000001</v>
      </c>
      <c r="AD396">
        <f>Table615352[[#This Row],[CFNM]]/Table615352[[#This Row],[CAREA]]</f>
        <v>2.5203280499416617E-2</v>
      </c>
      <c r="AE396">
        <v>2.9619599999999999</v>
      </c>
      <c r="AF396">
        <f>(Table716353[[#This Row],[time]]-2)*2</f>
        <v>1.9239199999999999</v>
      </c>
      <c r="AG396">
        <v>74.886200000000002</v>
      </c>
      <c r="AH396">
        <v>67.939099999999996</v>
      </c>
      <c r="AI396">
        <f>Table716353[[#This Row],[CFNM]]/Table716353[[#This Row],[CAREA]]</f>
        <v>0.90723123886643997</v>
      </c>
      <c r="AJ396">
        <v>2.9619599999999999</v>
      </c>
      <c r="AK396">
        <f>(Table817354[[#This Row],[time]]-2)*2</f>
        <v>1.9239199999999999</v>
      </c>
      <c r="AL396">
        <v>74.915400000000005</v>
      </c>
      <c r="AM396">
        <v>4.42279</v>
      </c>
      <c r="AN396">
        <f>Table817354[[#This Row],[CFNM]]/Table817354[[#This Row],[CAREA]]</f>
        <v>5.9037127212829402E-2</v>
      </c>
    </row>
    <row r="397" spans="1:40" x14ac:dyDescent="0.25">
      <c r="A397">
        <v>3</v>
      </c>
      <c r="B397">
        <f>(Table110347[[#This Row],[time]]-2)*2</f>
        <v>2</v>
      </c>
      <c r="C397">
        <v>77.650800000000004</v>
      </c>
      <c r="D397">
        <v>59.207500000000003</v>
      </c>
      <c r="E397">
        <f>Table110347[[#This Row],[CFNM]]/Table110347[[#This Row],[CAREA]]</f>
        <v>0.76248409546327922</v>
      </c>
      <c r="F397">
        <v>3</v>
      </c>
      <c r="G397">
        <f>(Table211348[[#This Row],[time]]-2)*2</f>
        <v>2</v>
      </c>
      <c r="H397">
        <v>11.0121</v>
      </c>
      <c r="I397">
        <v>1.25976E-4</v>
      </c>
      <c r="J397">
        <f>Table211348[[#This Row],[CFNM]]/Table211348[[#This Row],[CAREA]]</f>
        <v>1.143977987849729E-5</v>
      </c>
      <c r="K397">
        <v>3</v>
      </c>
      <c r="L397">
        <f>(Table312349[[#This Row],[time]]-2)*2</f>
        <v>2</v>
      </c>
      <c r="M397">
        <v>78.773099999999999</v>
      </c>
      <c r="N397">
        <v>53.112000000000002</v>
      </c>
      <c r="O397">
        <f>Table312349[[#This Row],[CFNM]]/Table312349[[#This Row],[CAREA]]</f>
        <v>0.67424031807812568</v>
      </c>
      <c r="P397">
        <v>3</v>
      </c>
      <c r="Q397">
        <f>(Table413350[[#This Row],[time]]-2)*2</f>
        <v>2</v>
      </c>
      <c r="R397">
        <v>30.163</v>
      </c>
      <c r="S397">
        <v>4.4566000000000001E-4</v>
      </c>
      <c r="T397">
        <f>Table413350[[#This Row],[CFNM]]/Table413350[[#This Row],[CAREA]]</f>
        <v>1.4775055531611578E-5</v>
      </c>
      <c r="U397">
        <v>3</v>
      </c>
      <c r="V397">
        <f>(Table514351[[#This Row],[time]]-2)*2</f>
        <v>2</v>
      </c>
      <c r="W397">
        <v>61.937899999999999</v>
      </c>
      <c r="X397">
        <v>59.445900000000002</v>
      </c>
      <c r="Y397">
        <f>Table514351[[#This Row],[CFNM]]/Table514351[[#This Row],[CAREA]]</f>
        <v>0.95976615287247391</v>
      </c>
      <c r="Z397">
        <v>3</v>
      </c>
      <c r="AA397">
        <f>(Table615352[[#This Row],[time]]-2)*2</f>
        <v>2</v>
      </c>
      <c r="AB397">
        <v>88.168300000000002</v>
      </c>
      <c r="AC397">
        <v>1.9105399999999999</v>
      </c>
      <c r="AD397">
        <f>Table615352[[#This Row],[CFNM]]/Table615352[[#This Row],[CAREA]]</f>
        <v>2.166923939783346E-2</v>
      </c>
      <c r="AE397">
        <v>3</v>
      </c>
      <c r="AF397">
        <f>(Table716353[[#This Row],[time]]-2)*2</f>
        <v>2</v>
      </c>
      <c r="AG397">
        <v>74.552599999999998</v>
      </c>
      <c r="AH397">
        <v>69.939599999999999</v>
      </c>
      <c r="AI397">
        <f>Table716353[[#This Row],[CFNM]]/Table716353[[#This Row],[CAREA]]</f>
        <v>0.93812422370245974</v>
      </c>
      <c r="AJ397">
        <v>3</v>
      </c>
      <c r="AK397">
        <f>(Table817354[[#This Row],[time]]-2)*2</f>
        <v>2</v>
      </c>
      <c r="AL397">
        <v>74.348100000000002</v>
      </c>
      <c r="AM397">
        <v>3.9243800000000002</v>
      </c>
      <c r="AN397">
        <f>Table817354[[#This Row],[CFNM]]/Table817354[[#This Row],[CAREA]]</f>
        <v>5.2783864012664751E-2</v>
      </c>
    </row>
    <row r="400" spans="1:40" x14ac:dyDescent="0.25">
      <c r="A400" s="1" t="s">
        <v>25</v>
      </c>
    </row>
    <row r="401" spans="1:40" x14ac:dyDescent="0.25">
      <c r="A401" t="s">
        <v>55</v>
      </c>
      <c r="F401" t="s">
        <v>1</v>
      </c>
    </row>
    <row r="402" spans="1:40" x14ac:dyDescent="0.25">
      <c r="F402" t="s">
        <v>2</v>
      </c>
      <c r="G402" t="s">
        <v>3</v>
      </c>
    </row>
    <row r="405" spans="1:40" x14ac:dyDescent="0.25">
      <c r="A405" t="s">
        <v>4</v>
      </c>
      <c r="F405" t="s">
        <v>5</v>
      </c>
      <c r="K405" t="s">
        <v>6</v>
      </c>
      <c r="P405" t="s">
        <v>7</v>
      </c>
      <c r="U405" t="s">
        <v>8</v>
      </c>
      <c r="Z405" t="s">
        <v>9</v>
      </c>
      <c r="AE405" t="s">
        <v>10</v>
      </c>
      <c r="AJ405" t="s">
        <v>11</v>
      </c>
    </row>
    <row r="406" spans="1:40" x14ac:dyDescent="0.25">
      <c r="A406" t="s">
        <v>12</v>
      </c>
      <c r="B406" t="s">
        <v>13</v>
      </c>
      <c r="C406" t="s">
        <v>14</v>
      </c>
      <c r="D406" t="s">
        <v>15</v>
      </c>
      <c r="E406" t="s">
        <v>16</v>
      </c>
      <c r="F406" t="s">
        <v>12</v>
      </c>
      <c r="G406" t="s">
        <v>13</v>
      </c>
      <c r="H406" t="s">
        <v>14</v>
      </c>
      <c r="I406" t="s">
        <v>15</v>
      </c>
      <c r="J406" t="s">
        <v>16</v>
      </c>
      <c r="K406" t="s">
        <v>12</v>
      </c>
      <c r="L406" t="s">
        <v>13</v>
      </c>
      <c r="M406" t="s">
        <v>14</v>
      </c>
      <c r="N406" t="s">
        <v>15</v>
      </c>
      <c r="O406" t="s">
        <v>16</v>
      </c>
      <c r="P406" t="s">
        <v>12</v>
      </c>
      <c r="Q406" t="s">
        <v>13</v>
      </c>
      <c r="R406" t="s">
        <v>14</v>
      </c>
      <c r="S406" t="s">
        <v>15</v>
      </c>
      <c r="T406" t="s">
        <v>16</v>
      </c>
      <c r="U406" t="s">
        <v>12</v>
      </c>
      <c r="V406" t="s">
        <v>13</v>
      </c>
      <c r="W406" t="s">
        <v>14</v>
      </c>
      <c r="X406" t="s">
        <v>15</v>
      </c>
      <c r="Y406" t="s">
        <v>16</v>
      </c>
      <c r="Z406" t="s">
        <v>12</v>
      </c>
      <c r="AA406" t="s">
        <v>13</v>
      </c>
      <c r="AB406" t="s">
        <v>14</v>
      </c>
      <c r="AC406" t="s">
        <v>15</v>
      </c>
      <c r="AD406" t="s">
        <v>16</v>
      </c>
      <c r="AE406" t="s">
        <v>12</v>
      </c>
      <c r="AF406" t="s">
        <v>13</v>
      </c>
      <c r="AG406" t="s">
        <v>14</v>
      </c>
      <c r="AH406" t="s">
        <v>15</v>
      </c>
      <c r="AI406" t="s">
        <v>16</v>
      </c>
      <c r="AJ406" t="s">
        <v>12</v>
      </c>
      <c r="AK406" t="s">
        <v>13</v>
      </c>
      <c r="AL406" t="s">
        <v>14</v>
      </c>
      <c r="AM406" t="s">
        <v>15</v>
      </c>
      <c r="AN406" t="s">
        <v>16</v>
      </c>
    </row>
    <row r="407" spans="1:40" x14ac:dyDescent="0.25">
      <c r="A407">
        <v>2</v>
      </c>
      <c r="B407">
        <f>-(Table1355[[#This Row],[time]]-2)*2</f>
        <v>0</v>
      </c>
      <c r="C407">
        <v>80.561000000000007</v>
      </c>
      <c r="D407">
        <v>3.98224</v>
      </c>
      <c r="E407" s="2">
        <f>Table1355[[#This Row],[CFNM]]/Table1355[[#This Row],[CAREA]]</f>
        <v>4.9431362569978023E-2</v>
      </c>
      <c r="F407">
        <v>2</v>
      </c>
      <c r="G407">
        <f>-(Table2356[[#This Row],[time]]-2)*2</f>
        <v>0</v>
      </c>
      <c r="H407">
        <v>87.831800000000001</v>
      </c>
      <c r="I407">
        <v>3.8491699999999998E-3</v>
      </c>
      <c r="J407" s="2">
        <f>Table2356[[#This Row],[CFNM]]/Table2356[[#This Row],[CAREA]]</f>
        <v>4.3824332417188305E-5</v>
      </c>
      <c r="K407">
        <v>2</v>
      </c>
      <c r="L407">
        <f>-(Table3357[[#This Row],[time]]-2)*2</f>
        <v>0</v>
      </c>
      <c r="M407">
        <v>85.166600000000003</v>
      </c>
      <c r="N407">
        <v>3.7004999999999998E-3</v>
      </c>
      <c r="O407">
        <f>Table3357[[#This Row],[CFNM]]/Table3357[[#This Row],[CAREA]]</f>
        <v>4.3450131859203019E-5</v>
      </c>
      <c r="P407">
        <v>2</v>
      </c>
      <c r="Q407">
        <f>-(Table4358[[#This Row],[time]]-2)*2</f>
        <v>0</v>
      </c>
      <c r="R407">
        <v>79.101699999999994</v>
      </c>
      <c r="S407">
        <v>4.52579E-3</v>
      </c>
      <c r="T407">
        <f>Table4358[[#This Row],[CFNM]]/Table4358[[#This Row],[CAREA]]</f>
        <v>5.7214825977191392E-5</v>
      </c>
      <c r="U407">
        <v>2</v>
      </c>
      <c r="V407">
        <f>-(Table5359[[#This Row],[time]]-2)*2</f>
        <v>0</v>
      </c>
      <c r="W407">
        <v>83.227800000000002</v>
      </c>
      <c r="X407">
        <v>3.5062700000000002</v>
      </c>
      <c r="Y407">
        <f>Table5359[[#This Row],[CFNM]]/Table5359[[#This Row],[CAREA]]</f>
        <v>4.2128591648463616E-2</v>
      </c>
      <c r="Z407">
        <v>2</v>
      </c>
      <c r="AA407">
        <f>-(Table6360[[#This Row],[time]]-2)*2</f>
        <v>0</v>
      </c>
      <c r="AB407">
        <v>83.949600000000004</v>
      </c>
      <c r="AC407">
        <v>6.2740499999999999</v>
      </c>
      <c r="AD407">
        <f>Table6360[[#This Row],[CFNM]]/Table6360[[#This Row],[CAREA]]</f>
        <v>7.4735912976357233E-2</v>
      </c>
      <c r="AE407">
        <v>2</v>
      </c>
      <c r="AF407">
        <f>-(Table7361[[#This Row],[time]]-2)*2</f>
        <v>0</v>
      </c>
      <c r="AG407">
        <v>78.459999999999994</v>
      </c>
      <c r="AH407">
        <v>14.7075</v>
      </c>
      <c r="AI407">
        <f>Table7361[[#This Row],[CFNM]]/Table7361[[#This Row],[CAREA]]</f>
        <v>0.18745220494519502</v>
      </c>
      <c r="AJ407">
        <v>2</v>
      </c>
      <c r="AK407">
        <f>-(Table8362[[#This Row],[time]]-2)*2</f>
        <v>0</v>
      </c>
      <c r="AL407">
        <v>83.006</v>
      </c>
      <c r="AM407">
        <v>14.6487</v>
      </c>
      <c r="AN407">
        <f>Table8362[[#This Row],[CFNM]]/Table8362[[#This Row],[CAREA]]</f>
        <v>0.17647760402862445</v>
      </c>
    </row>
    <row r="408" spans="1:40" x14ac:dyDescent="0.25">
      <c r="A408">
        <v>2.0512600000000001</v>
      </c>
      <c r="B408">
        <f>-(Table1355[[#This Row],[time]]-2)*2</f>
        <v>-0.10252000000000017</v>
      </c>
      <c r="C408">
        <v>90.037300000000002</v>
      </c>
      <c r="D408">
        <v>7.8636400000000002</v>
      </c>
      <c r="E408">
        <f>Table1355[[#This Row],[CFNM]]/Table1355[[#This Row],[CAREA]]</f>
        <v>8.7337581202457201E-2</v>
      </c>
      <c r="F408">
        <v>2.0512600000000001</v>
      </c>
      <c r="G408">
        <f>-(Table2356[[#This Row],[time]]-2)*2</f>
        <v>-0.10252000000000017</v>
      </c>
      <c r="H408">
        <v>94.670100000000005</v>
      </c>
      <c r="I408">
        <v>6.3738999999999999</v>
      </c>
      <c r="J408">
        <f>Table2356[[#This Row],[CFNM]]/Table2356[[#This Row],[CAREA]]</f>
        <v>6.7327487770690003E-2</v>
      </c>
      <c r="K408">
        <v>2.0512600000000001</v>
      </c>
      <c r="L408">
        <f>-(Table3357[[#This Row],[time]]-2)*2</f>
        <v>-0.10252000000000017</v>
      </c>
      <c r="M408">
        <v>89.579599999999999</v>
      </c>
      <c r="N408">
        <v>0.94329799999999997</v>
      </c>
      <c r="O408">
        <f>Table3357[[#This Row],[CFNM]]/Table3357[[#This Row],[CAREA]]</f>
        <v>1.0530276982705884E-2</v>
      </c>
      <c r="P408">
        <v>2.0512600000000001</v>
      </c>
      <c r="Q408">
        <f>-(Table4358[[#This Row],[time]]-2)*2</f>
        <v>-0.10252000000000017</v>
      </c>
      <c r="R408">
        <v>84.689700000000002</v>
      </c>
      <c r="S408">
        <v>8.7065400000000004</v>
      </c>
      <c r="T408">
        <f>Table4358[[#This Row],[CFNM]]/Table4358[[#This Row],[CAREA]]</f>
        <v>0.10280518173992824</v>
      </c>
      <c r="U408">
        <v>2.0512600000000001</v>
      </c>
      <c r="V408">
        <f>-(Table5359[[#This Row],[time]]-2)*2</f>
        <v>-0.10252000000000017</v>
      </c>
      <c r="W408">
        <v>82.364000000000004</v>
      </c>
      <c r="X408">
        <v>6.2344499999999998</v>
      </c>
      <c r="Y408">
        <f>Table5359[[#This Row],[CFNM]]/Table5359[[#This Row],[CAREA]]</f>
        <v>7.5693871108736821E-2</v>
      </c>
      <c r="Z408">
        <v>2.0512600000000001</v>
      </c>
      <c r="AA408">
        <f>-(Table6360[[#This Row],[time]]-2)*2</f>
        <v>-0.10252000000000017</v>
      </c>
      <c r="AB408">
        <v>87.5779</v>
      </c>
      <c r="AC408">
        <v>15.204000000000001</v>
      </c>
      <c r="AD408">
        <f>Table6360[[#This Row],[CFNM]]/Table6360[[#This Row],[CAREA]]</f>
        <v>0.17360544155546093</v>
      </c>
      <c r="AE408">
        <v>2.0512600000000001</v>
      </c>
      <c r="AF408">
        <f>-(Table7361[[#This Row],[time]]-2)*2</f>
        <v>-0.10252000000000017</v>
      </c>
      <c r="AG408">
        <v>79.376199999999997</v>
      </c>
      <c r="AH408">
        <v>17.328800000000001</v>
      </c>
      <c r="AI408">
        <f>Table7361[[#This Row],[CFNM]]/Table7361[[#This Row],[CAREA]]</f>
        <v>0.21831229008191375</v>
      </c>
      <c r="AJ408">
        <v>2.0512600000000001</v>
      </c>
      <c r="AK408">
        <f>-(Table8362[[#This Row],[time]]-2)*2</f>
        <v>-0.10252000000000017</v>
      </c>
      <c r="AL408">
        <v>83.147199999999998</v>
      </c>
      <c r="AM408">
        <v>21.551100000000002</v>
      </c>
      <c r="AN408">
        <f>Table8362[[#This Row],[CFNM]]/Table8362[[#This Row],[CAREA]]</f>
        <v>0.25919213154501897</v>
      </c>
    </row>
    <row r="409" spans="1:40" x14ac:dyDescent="0.25">
      <c r="A409">
        <v>2.1153300000000002</v>
      </c>
      <c r="B409">
        <f>-(Table1355[[#This Row],[time]]-2)*2</f>
        <v>-0.23066000000000031</v>
      </c>
      <c r="C409">
        <v>86.687200000000004</v>
      </c>
      <c r="D409">
        <v>6.2396900000000004</v>
      </c>
      <c r="E409">
        <f>Table1355[[#This Row],[CFNM]]/Table1355[[#This Row],[CAREA]]</f>
        <v>7.1979369503225393E-2</v>
      </c>
      <c r="F409">
        <v>2.1153300000000002</v>
      </c>
      <c r="G409">
        <f>-(Table2356[[#This Row],[time]]-2)*2</f>
        <v>-0.23066000000000031</v>
      </c>
      <c r="H409">
        <v>93.600999999999999</v>
      </c>
      <c r="I409">
        <v>9.2288800000000002</v>
      </c>
      <c r="J409">
        <f>Table2356[[#This Row],[CFNM]]/Table2356[[#This Row],[CAREA]]</f>
        <v>9.8598091900727561E-2</v>
      </c>
      <c r="K409">
        <v>2.1153300000000002</v>
      </c>
      <c r="L409">
        <f>-(Table3357[[#This Row],[time]]-2)*2</f>
        <v>-0.23066000000000031</v>
      </c>
      <c r="M409">
        <v>89.123199999999997</v>
      </c>
      <c r="N409">
        <v>4.5551599999999999E-3</v>
      </c>
      <c r="O409">
        <f>Table3357[[#This Row],[CFNM]]/Table3357[[#This Row],[CAREA]]</f>
        <v>5.1110821873541348E-5</v>
      </c>
      <c r="P409">
        <v>2.1153300000000002</v>
      </c>
      <c r="Q409">
        <f>-(Table4358[[#This Row],[time]]-2)*2</f>
        <v>-0.23066000000000031</v>
      </c>
      <c r="R409">
        <v>83.279700000000005</v>
      </c>
      <c r="S409">
        <v>11.2254</v>
      </c>
      <c r="T409">
        <f>Table4358[[#This Row],[CFNM]]/Table4358[[#This Row],[CAREA]]</f>
        <v>0.13479155184276601</v>
      </c>
      <c r="U409">
        <v>2.1153300000000002</v>
      </c>
      <c r="V409">
        <f>-(Table5359[[#This Row],[time]]-2)*2</f>
        <v>-0.23066000000000031</v>
      </c>
      <c r="W409">
        <v>82.218699999999998</v>
      </c>
      <c r="X409">
        <v>3.2298800000000001</v>
      </c>
      <c r="Y409">
        <f>Table5359[[#This Row],[CFNM]]/Table5359[[#This Row],[CAREA]]</f>
        <v>3.9284007166252938E-2</v>
      </c>
      <c r="Z409">
        <v>2.1153300000000002</v>
      </c>
      <c r="AA409">
        <f>-(Table6360[[#This Row],[time]]-2)*2</f>
        <v>-0.23066000000000031</v>
      </c>
      <c r="AB409">
        <v>86.147599999999997</v>
      </c>
      <c r="AC409">
        <v>14.1591</v>
      </c>
      <c r="AD409">
        <f>Table6360[[#This Row],[CFNM]]/Table6360[[#This Row],[CAREA]]</f>
        <v>0.16435861242797248</v>
      </c>
      <c r="AE409">
        <v>2.1153300000000002</v>
      </c>
      <c r="AF409">
        <f>-(Table7361[[#This Row],[time]]-2)*2</f>
        <v>-0.23066000000000031</v>
      </c>
      <c r="AG409">
        <v>79.673199999999994</v>
      </c>
      <c r="AH409">
        <v>15.3811</v>
      </c>
      <c r="AI409">
        <f>Table7361[[#This Row],[CFNM]]/Table7361[[#This Row],[CAREA]]</f>
        <v>0.19305236892706709</v>
      </c>
      <c r="AJ409">
        <v>2.1153300000000002</v>
      </c>
      <c r="AK409">
        <f>-(Table8362[[#This Row],[time]]-2)*2</f>
        <v>-0.23066000000000031</v>
      </c>
      <c r="AL409">
        <v>83.0471</v>
      </c>
      <c r="AM409">
        <v>23.679300000000001</v>
      </c>
      <c r="AN409">
        <f>Table8362[[#This Row],[CFNM]]/Table8362[[#This Row],[CAREA]]</f>
        <v>0.28513096784836556</v>
      </c>
    </row>
    <row r="410" spans="1:40" x14ac:dyDescent="0.25">
      <c r="A410">
        <v>2.16533</v>
      </c>
      <c r="B410">
        <f>-(Table1355[[#This Row],[time]]-2)*2</f>
        <v>-0.33065999999999995</v>
      </c>
      <c r="C410">
        <v>83.707700000000003</v>
      </c>
      <c r="D410">
        <v>4.6052299999999997</v>
      </c>
      <c r="E410">
        <f>Table1355[[#This Row],[CFNM]]/Table1355[[#This Row],[CAREA]]</f>
        <v>5.5015607883145752E-2</v>
      </c>
      <c r="F410">
        <v>2.16533</v>
      </c>
      <c r="G410">
        <f>-(Table2356[[#This Row],[time]]-2)*2</f>
        <v>-0.33065999999999995</v>
      </c>
      <c r="H410">
        <v>92.483199999999997</v>
      </c>
      <c r="I410">
        <v>12.413600000000001</v>
      </c>
      <c r="J410">
        <f>Table2356[[#This Row],[CFNM]]/Table2356[[#This Row],[CAREA]]</f>
        <v>0.13422545932666691</v>
      </c>
      <c r="K410">
        <v>2.16533</v>
      </c>
      <c r="L410">
        <f>-(Table3357[[#This Row],[time]]-2)*2</f>
        <v>-0.33065999999999995</v>
      </c>
      <c r="M410">
        <v>87.289599999999993</v>
      </c>
      <c r="N410">
        <v>3.45342E-3</v>
      </c>
      <c r="O410">
        <f>Table3357[[#This Row],[CFNM]]/Table3357[[#This Row],[CAREA]]</f>
        <v>3.9562788694185792E-5</v>
      </c>
      <c r="P410">
        <v>2.16533</v>
      </c>
      <c r="Q410">
        <f>-(Table4358[[#This Row],[time]]-2)*2</f>
        <v>-0.33065999999999995</v>
      </c>
      <c r="R410">
        <v>81.519099999999995</v>
      </c>
      <c r="S410">
        <v>13.749700000000001</v>
      </c>
      <c r="T410">
        <f>Table4358[[#This Row],[CFNM]]/Table4358[[#This Row],[CAREA]]</f>
        <v>0.16866844702652509</v>
      </c>
      <c r="U410">
        <v>2.16533</v>
      </c>
      <c r="V410">
        <f>-(Table5359[[#This Row],[time]]-2)*2</f>
        <v>-0.33065999999999995</v>
      </c>
      <c r="W410">
        <v>83.185500000000005</v>
      </c>
      <c r="X410">
        <v>0.62792700000000001</v>
      </c>
      <c r="Y410">
        <f>Table5359[[#This Row],[CFNM]]/Table5359[[#This Row],[CAREA]]</f>
        <v>7.5485150657265991E-3</v>
      </c>
      <c r="Z410">
        <v>2.16533</v>
      </c>
      <c r="AA410">
        <f>-(Table6360[[#This Row],[time]]-2)*2</f>
        <v>-0.33065999999999995</v>
      </c>
      <c r="AB410">
        <v>84.518699999999995</v>
      </c>
      <c r="AC410">
        <v>13.898999999999999</v>
      </c>
      <c r="AD410">
        <f>Table6360[[#This Row],[CFNM]]/Table6360[[#This Row],[CAREA]]</f>
        <v>0.16444881428606922</v>
      </c>
      <c r="AE410">
        <v>2.16533</v>
      </c>
      <c r="AF410">
        <f>-(Table7361[[#This Row],[time]]-2)*2</f>
        <v>-0.33065999999999995</v>
      </c>
      <c r="AG410">
        <v>80.025599999999997</v>
      </c>
      <c r="AH410">
        <v>13.417999999999999</v>
      </c>
      <c r="AI410">
        <f>Table7361[[#This Row],[CFNM]]/Table7361[[#This Row],[CAREA]]</f>
        <v>0.16767134516954574</v>
      </c>
      <c r="AJ410">
        <v>2.16533</v>
      </c>
      <c r="AK410">
        <f>-(Table8362[[#This Row],[time]]-2)*2</f>
        <v>-0.33065999999999995</v>
      </c>
      <c r="AL410">
        <v>82.878100000000003</v>
      </c>
      <c r="AM410">
        <v>26.2379</v>
      </c>
      <c r="AN410">
        <f>Table8362[[#This Row],[CFNM]]/Table8362[[#This Row],[CAREA]]</f>
        <v>0.31658423636642247</v>
      </c>
    </row>
    <row r="411" spans="1:40" x14ac:dyDescent="0.25">
      <c r="A411">
        <v>2.2246999999999999</v>
      </c>
      <c r="B411">
        <f>-(Table1355[[#This Row],[time]]-2)*2</f>
        <v>-0.4493999999999998</v>
      </c>
      <c r="C411">
        <v>81.820899999999995</v>
      </c>
      <c r="D411">
        <v>3.3204099999999999</v>
      </c>
      <c r="E411">
        <f>Table1355[[#This Row],[CFNM]]/Table1355[[#This Row],[CAREA]]</f>
        <v>4.0581440683248413E-2</v>
      </c>
      <c r="F411">
        <v>2.2246999999999999</v>
      </c>
      <c r="G411">
        <f>-(Table2356[[#This Row],[time]]-2)*2</f>
        <v>-0.4493999999999998</v>
      </c>
      <c r="H411">
        <v>91.025000000000006</v>
      </c>
      <c r="I411">
        <v>15.6348</v>
      </c>
      <c r="J411">
        <f>Table2356[[#This Row],[CFNM]]/Table2356[[#This Row],[CAREA]]</f>
        <v>0.17176380115352924</v>
      </c>
      <c r="K411">
        <v>2.2246999999999999</v>
      </c>
      <c r="L411">
        <f>-(Table3357[[#This Row],[time]]-2)*2</f>
        <v>-0.4493999999999998</v>
      </c>
      <c r="M411">
        <v>79.724900000000005</v>
      </c>
      <c r="N411">
        <v>2.8724100000000002E-3</v>
      </c>
      <c r="O411">
        <f>Table3357[[#This Row],[CFNM]]/Table3357[[#This Row],[CAREA]]</f>
        <v>3.6029019791809085E-5</v>
      </c>
      <c r="P411">
        <v>2.2246999999999999</v>
      </c>
      <c r="Q411">
        <f>-(Table4358[[#This Row],[time]]-2)*2</f>
        <v>-0.4493999999999998</v>
      </c>
      <c r="R411">
        <v>80.6708</v>
      </c>
      <c r="S411">
        <v>16.2667</v>
      </c>
      <c r="T411">
        <f>Table4358[[#This Row],[CFNM]]/Table4358[[#This Row],[CAREA]]</f>
        <v>0.20164297366581216</v>
      </c>
      <c r="U411">
        <v>2.2246999999999999</v>
      </c>
      <c r="V411">
        <f>-(Table5359[[#This Row],[time]]-2)*2</f>
        <v>-0.4493999999999998</v>
      </c>
      <c r="W411">
        <v>82.882599999999996</v>
      </c>
      <c r="X411">
        <v>5.08122E-3</v>
      </c>
      <c r="Y411">
        <f>Table5359[[#This Row],[CFNM]]/Table5359[[#This Row],[CAREA]]</f>
        <v>6.1306233153882728E-5</v>
      </c>
      <c r="Z411">
        <v>2.2246999999999999</v>
      </c>
      <c r="AA411">
        <f>-(Table6360[[#This Row],[time]]-2)*2</f>
        <v>-0.4493999999999998</v>
      </c>
      <c r="AB411">
        <v>83.6721</v>
      </c>
      <c r="AC411">
        <v>15.2904</v>
      </c>
      <c r="AD411">
        <f>Table6360[[#This Row],[CFNM]]/Table6360[[#This Row],[CAREA]]</f>
        <v>0.18274191755674832</v>
      </c>
      <c r="AE411">
        <v>2.2246999999999999</v>
      </c>
      <c r="AF411">
        <f>-(Table7361[[#This Row],[time]]-2)*2</f>
        <v>-0.4493999999999998</v>
      </c>
      <c r="AG411">
        <v>80.150899999999993</v>
      </c>
      <c r="AH411">
        <v>11.864599999999999</v>
      </c>
      <c r="AI411">
        <f>Table7361[[#This Row],[CFNM]]/Table7361[[#This Row],[CAREA]]</f>
        <v>0.14802828165373066</v>
      </c>
      <c r="AJ411">
        <v>2.2246999999999999</v>
      </c>
      <c r="AK411">
        <f>-(Table8362[[#This Row],[time]]-2)*2</f>
        <v>-0.4493999999999998</v>
      </c>
      <c r="AL411">
        <v>82.802700000000002</v>
      </c>
      <c r="AM411">
        <v>28.566099999999999</v>
      </c>
      <c r="AN411">
        <f>Table8362[[#This Row],[CFNM]]/Table8362[[#This Row],[CAREA]]</f>
        <v>0.34498995805692323</v>
      </c>
    </row>
    <row r="412" spans="1:40" x14ac:dyDescent="0.25">
      <c r="A412">
        <v>2.2668900000000001</v>
      </c>
      <c r="B412">
        <f>-(Table1355[[#This Row],[time]]-2)*2</f>
        <v>-0.53378000000000014</v>
      </c>
      <c r="C412">
        <v>76.625100000000003</v>
      </c>
      <c r="D412">
        <v>2.2049799999999999</v>
      </c>
      <c r="E412">
        <f>Table1355[[#This Row],[CFNM]]/Table1355[[#This Row],[CAREA]]</f>
        <v>2.8776210406250693E-2</v>
      </c>
      <c r="F412">
        <v>2.2668900000000001</v>
      </c>
      <c r="G412">
        <f>-(Table2356[[#This Row],[time]]-2)*2</f>
        <v>-0.53378000000000014</v>
      </c>
      <c r="H412">
        <v>89.705500000000001</v>
      </c>
      <c r="I412">
        <v>18.895299999999999</v>
      </c>
      <c r="J412">
        <f>Table2356[[#This Row],[CFNM]]/Table2356[[#This Row],[CAREA]]</f>
        <v>0.21063702894471353</v>
      </c>
      <c r="K412">
        <v>2.2668900000000001</v>
      </c>
      <c r="L412">
        <f>-(Table3357[[#This Row],[time]]-2)*2</f>
        <v>-0.53378000000000014</v>
      </c>
      <c r="M412">
        <v>75.399000000000001</v>
      </c>
      <c r="N412">
        <v>2.4918800000000001E-3</v>
      </c>
      <c r="O412">
        <f>Table3357[[#This Row],[CFNM]]/Table3357[[#This Row],[CAREA]]</f>
        <v>3.3049244684942773E-5</v>
      </c>
      <c r="P412">
        <v>2.2668900000000001</v>
      </c>
      <c r="Q412">
        <f>-(Table4358[[#This Row],[time]]-2)*2</f>
        <v>-0.53378000000000014</v>
      </c>
      <c r="R412">
        <v>79.865399999999994</v>
      </c>
      <c r="S412">
        <v>18.847999999999999</v>
      </c>
      <c r="T412">
        <f>Table4358[[#This Row],[CFNM]]/Table4358[[#This Row],[CAREA]]</f>
        <v>0.23599706506196677</v>
      </c>
      <c r="U412">
        <v>2.2668900000000001</v>
      </c>
      <c r="V412">
        <f>-(Table5359[[#This Row],[time]]-2)*2</f>
        <v>-0.53378000000000014</v>
      </c>
      <c r="W412">
        <v>82.860799999999998</v>
      </c>
      <c r="X412">
        <v>4.5892299999999997E-3</v>
      </c>
      <c r="Y412">
        <f>Table5359[[#This Row],[CFNM]]/Table5359[[#This Row],[CAREA]]</f>
        <v>5.5384814049586776E-5</v>
      </c>
      <c r="Z412">
        <v>2.2668900000000001</v>
      </c>
      <c r="AA412">
        <f>-(Table6360[[#This Row],[time]]-2)*2</f>
        <v>-0.53378000000000014</v>
      </c>
      <c r="AB412">
        <v>82.936099999999996</v>
      </c>
      <c r="AC412">
        <v>17.7744</v>
      </c>
      <c r="AD412">
        <f>Table6360[[#This Row],[CFNM]]/Table6360[[#This Row],[CAREA]]</f>
        <v>0.21431439385261666</v>
      </c>
      <c r="AE412">
        <v>2.2668900000000001</v>
      </c>
      <c r="AF412">
        <f>-(Table7361[[#This Row],[time]]-2)*2</f>
        <v>-0.53378000000000014</v>
      </c>
      <c r="AG412">
        <v>79.885800000000003</v>
      </c>
      <c r="AH412">
        <v>10.464499999999999</v>
      </c>
      <c r="AI412">
        <f>Table7361[[#This Row],[CFNM]]/Table7361[[#This Row],[CAREA]]</f>
        <v>0.13099324285417432</v>
      </c>
      <c r="AJ412">
        <v>2.2668900000000001</v>
      </c>
      <c r="AK412">
        <f>-(Table8362[[#This Row],[time]]-2)*2</f>
        <v>-0.53378000000000014</v>
      </c>
      <c r="AL412">
        <v>82.793999999999997</v>
      </c>
      <c r="AM412">
        <v>30.991</v>
      </c>
      <c r="AN412">
        <f>Table8362[[#This Row],[CFNM]]/Table8362[[#This Row],[CAREA]]</f>
        <v>0.37431456385728434</v>
      </c>
    </row>
    <row r="413" spans="1:40" x14ac:dyDescent="0.25">
      <c r="A413">
        <v>2.3262700000000001</v>
      </c>
      <c r="B413">
        <f>-(Table1355[[#This Row],[time]]-2)*2</f>
        <v>-0.65254000000000012</v>
      </c>
      <c r="C413">
        <v>76.043099999999995</v>
      </c>
      <c r="D413">
        <v>1.3603400000000001</v>
      </c>
      <c r="E413">
        <f>Table1355[[#This Row],[CFNM]]/Table1355[[#This Row],[CAREA]]</f>
        <v>1.7889065543093326E-2</v>
      </c>
      <c r="F413">
        <v>2.3262700000000001</v>
      </c>
      <c r="G413">
        <f>-(Table2356[[#This Row],[time]]-2)*2</f>
        <v>-0.65254000000000012</v>
      </c>
      <c r="H413">
        <v>88.590699999999998</v>
      </c>
      <c r="I413">
        <v>21.6128</v>
      </c>
      <c r="J413">
        <f>Table2356[[#This Row],[CFNM]]/Table2356[[#This Row],[CAREA]]</f>
        <v>0.24396240237406411</v>
      </c>
      <c r="K413">
        <v>2.3262700000000001</v>
      </c>
      <c r="L413">
        <f>-(Table3357[[#This Row],[time]]-2)*2</f>
        <v>-0.65254000000000012</v>
      </c>
      <c r="M413">
        <v>71.386600000000001</v>
      </c>
      <c r="N413">
        <v>2.1959599999999998E-3</v>
      </c>
      <c r="O413">
        <f>Table3357[[#This Row],[CFNM]]/Table3357[[#This Row],[CAREA]]</f>
        <v>3.0761515466488103E-5</v>
      </c>
      <c r="P413">
        <v>2.3262700000000001</v>
      </c>
      <c r="Q413">
        <f>-(Table4358[[#This Row],[time]]-2)*2</f>
        <v>-0.65254000000000012</v>
      </c>
      <c r="R413">
        <v>79.268799999999999</v>
      </c>
      <c r="S413">
        <v>21.043500000000002</v>
      </c>
      <c r="T413">
        <f>Table4358[[#This Row],[CFNM]]/Table4358[[#This Row],[CAREA]]</f>
        <v>0.26547014714490447</v>
      </c>
      <c r="U413">
        <v>2.3262700000000001</v>
      </c>
      <c r="V413">
        <f>-(Table5359[[#This Row],[time]]-2)*2</f>
        <v>-0.65254000000000012</v>
      </c>
      <c r="W413">
        <v>82.6999</v>
      </c>
      <c r="X413">
        <v>4.40224E-3</v>
      </c>
      <c r="Y413">
        <f>Table5359[[#This Row],[CFNM]]/Table5359[[#This Row],[CAREA]]</f>
        <v>5.3231503302906051E-5</v>
      </c>
      <c r="Z413">
        <v>2.3262700000000001</v>
      </c>
      <c r="AA413">
        <f>-(Table6360[[#This Row],[time]]-2)*2</f>
        <v>-0.65254000000000012</v>
      </c>
      <c r="AB413">
        <v>82.144800000000004</v>
      </c>
      <c r="AC413">
        <v>20.204000000000001</v>
      </c>
      <c r="AD413">
        <f>Table6360[[#This Row],[CFNM]]/Table6360[[#This Row],[CAREA]]</f>
        <v>0.24595592173819888</v>
      </c>
      <c r="AE413">
        <v>2.3262700000000001</v>
      </c>
      <c r="AF413">
        <f>-(Table7361[[#This Row],[time]]-2)*2</f>
        <v>-0.65254000000000012</v>
      </c>
      <c r="AG413">
        <v>79.476900000000001</v>
      </c>
      <c r="AH413">
        <v>9.3029100000000007</v>
      </c>
      <c r="AI413">
        <f>Table7361[[#This Row],[CFNM]]/Table7361[[#This Row],[CAREA]]</f>
        <v>0.11705174711142484</v>
      </c>
      <c r="AJ413">
        <v>2.3262700000000001</v>
      </c>
      <c r="AK413">
        <f>-(Table8362[[#This Row],[time]]-2)*2</f>
        <v>-0.65254000000000012</v>
      </c>
      <c r="AL413">
        <v>82.822999999999993</v>
      </c>
      <c r="AM413">
        <v>33.088500000000003</v>
      </c>
      <c r="AN413">
        <f>Table8362[[#This Row],[CFNM]]/Table8362[[#This Row],[CAREA]]</f>
        <v>0.39950859060888888</v>
      </c>
    </row>
    <row r="414" spans="1:40" x14ac:dyDescent="0.25">
      <c r="A414">
        <v>2.3684599999999998</v>
      </c>
      <c r="B414">
        <f>-(Table1355[[#This Row],[time]]-2)*2</f>
        <v>-0.73691999999999958</v>
      </c>
      <c r="C414">
        <v>73.3536</v>
      </c>
      <c r="D414">
        <v>0.58938000000000001</v>
      </c>
      <c r="E414">
        <f>Table1355[[#This Row],[CFNM]]/Table1355[[#This Row],[CAREA]]</f>
        <v>8.0347794791257691E-3</v>
      </c>
      <c r="F414">
        <v>2.3684599999999998</v>
      </c>
      <c r="G414">
        <f>-(Table2356[[#This Row],[time]]-2)*2</f>
        <v>-0.73691999999999958</v>
      </c>
      <c r="H414">
        <v>87.205100000000002</v>
      </c>
      <c r="I414">
        <v>24.868500000000001</v>
      </c>
      <c r="J414">
        <f>Table2356[[#This Row],[CFNM]]/Table2356[[#This Row],[CAREA]]</f>
        <v>0.28517254151420046</v>
      </c>
      <c r="K414">
        <v>2.3684599999999998</v>
      </c>
      <c r="L414">
        <f>-(Table3357[[#This Row],[time]]-2)*2</f>
        <v>-0.73691999999999958</v>
      </c>
      <c r="M414">
        <v>69.938900000000004</v>
      </c>
      <c r="N414">
        <v>1.8702600000000001E-3</v>
      </c>
      <c r="O414">
        <f>Table3357[[#This Row],[CFNM]]/Table3357[[#This Row],[CAREA]]</f>
        <v>2.6741341370825105E-5</v>
      </c>
      <c r="P414">
        <v>2.3684599999999998</v>
      </c>
      <c r="Q414">
        <f>-(Table4358[[#This Row],[time]]-2)*2</f>
        <v>-0.73691999999999958</v>
      </c>
      <c r="R414">
        <v>78.694800000000001</v>
      </c>
      <c r="S414">
        <v>23.950900000000001</v>
      </c>
      <c r="T414">
        <f>Table4358[[#This Row],[CFNM]]/Table4358[[#This Row],[CAREA]]</f>
        <v>0.304351748781368</v>
      </c>
      <c r="U414">
        <v>2.3684599999999998</v>
      </c>
      <c r="V414">
        <f>-(Table5359[[#This Row],[time]]-2)*2</f>
        <v>-0.73691999999999958</v>
      </c>
      <c r="W414">
        <v>83.340800000000002</v>
      </c>
      <c r="X414">
        <v>4.2146800000000002E-3</v>
      </c>
      <c r="Y414">
        <f>Table5359[[#This Row],[CFNM]]/Table5359[[#This Row],[CAREA]]</f>
        <v>5.0571628782061128E-5</v>
      </c>
      <c r="Z414">
        <v>2.3684599999999998</v>
      </c>
      <c r="AA414">
        <f>-(Table6360[[#This Row],[time]]-2)*2</f>
        <v>-0.73691999999999958</v>
      </c>
      <c r="AB414">
        <v>80.702399999999997</v>
      </c>
      <c r="AC414">
        <v>23.3506</v>
      </c>
      <c r="AD414">
        <f>Table6360[[#This Row],[CFNM]]/Table6360[[#This Row],[CAREA]]</f>
        <v>0.28934207656773531</v>
      </c>
      <c r="AE414">
        <v>2.3684599999999998</v>
      </c>
      <c r="AF414">
        <f>-(Table7361[[#This Row],[time]]-2)*2</f>
        <v>-0.73691999999999958</v>
      </c>
      <c r="AG414">
        <v>78.6477</v>
      </c>
      <c r="AH414">
        <v>7.9862299999999999</v>
      </c>
      <c r="AI414">
        <f>Table7361[[#This Row],[CFNM]]/Table7361[[#This Row],[CAREA]]</f>
        <v>0.10154435539755136</v>
      </c>
      <c r="AJ414">
        <v>2.3684599999999998</v>
      </c>
      <c r="AK414">
        <f>-(Table8362[[#This Row],[time]]-2)*2</f>
        <v>-0.73691999999999958</v>
      </c>
      <c r="AL414">
        <v>83.032799999999995</v>
      </c>
      <c r="AM414">
        <v>35.801900000000003</v>
      </c>
      <c r="AN414">
        <f>Table8362[[#This Row],[CFNM]]/Table8362[[#This Row],[CAREA]]</f>
        <v>0.43117779961653713</v>
      </c>
    </row>
    <row r="415" spans="1:40" x14ac:dyDescent="0.25">
      <c r="A415">
        <v>2.4278300000000002</v>
      </c>
      <c r="B415">
        <f>-(Table1355[[#This Row],[time]]-2)*2</f>
        <v>-0.85566000000000031</v>
      </c>
      <c r="C415">
        <v>72.778199999999998</v>
      </c>
      <c r="D415">
        <v>0.18773100000000001</v>
      </c>
      <c r="E415">
        <f>Table1355[[#This Row],[CFNM]]/Table1355[[#This Row],[CAREA]]</f>
        <v>2.579494958655202E-3</v>
      </c>
      <c r="F415">
        <v>2.4278300000000002</v>
      </c>
      <c r="G415">
        <f>-(Table2356[[#This Row],[time]]-2)*2</f>
        <v>-0.85566000000000031</v>
      </c>
      <c r="H415">
        <v>86.234899999999996</v>
      </c>
      <c r="I415">
        <v>27.052199999999999</v>
      </c>
      <c r="J415">
        <f>Table2356[[#This Row],[CFNM]]/Table2356[[#This Row],[CAREA]]</f>
        <v>0.31370361651721057</v>
      </c>
      <c r="K415">
        <v>2.4278300000000002</v>
      </c>
      <c r="L415">
        <f>-(Table3357[[#This Row],[time]]-2)*2</f>
        <v>-0.85566000000000031</v>
      </c>
      <c r="M415">
        <v>65.924700000000001</v>
      </c>
      <c r="N415">
        <v>1.6878399999999999E-3</v>
      </c>
      <c r="O415">
        <f>Table3357[[#This Row],[CFNM]]/Table3357[[#This Row],[CAREA]]</f>
        <v>2.5602543507971972E-5</v>
      </c>
      <c r="P415">
        <v>2.4278300000000002</v>
      </c>
      <c r="Q415">
        <f>-(Table4358[[#This Row],[time]]-2)*2</f>
        <v>-0.85566000000000031</v>
      </c>
      <c r="R415">
        <v>78.084500000000006</v>
      </c>
      <c r="S415">
        <v>25.9665</v>
      </c>
      <c r="T415">
        <f>Table4358[[#This Row],[CFNM]]/Table4358[[#This Row],[CAREA]]</f>
        <v>0.33254359059736566</v>
      </c>
      <c r="U415">
        <v>2.4278300000000002</v>
      </c>
      <c r="V415">
        <f>-(Table5359[[#This Row],[time]]-2)*2</f>
        <v>-0.85566000000000031</v>
      </c>
      <c r="W415">
        <v>83.179400000000001</v>
      </c>
      <c r="X415">
        <v>4.0728800000000001E-3</v>
      </c>
      <c r="Y415">
        <f>Table5359[[#This Row],[CFNM]]/Table5359[[#This Row],[CAREA]]</f>
        <v>4.8965008163078838E-5</v>
      </c>
      <c r="Z415">
        <v>2.4278300000000002</v>
      </c>
      <c r="AA415">
        <f>-(Table6360[[#This Row],[time]]-2)*2</f>
        <v>-0.85566000000000031</v>
      </c>
      <c r="AB415">
        <v>79.497200000000007</v>
      </c>
      <c r="AC415">
        <v>25.4816</v>
      </c>
      <c r="AD415">
        <f>Table6360[[#This Row],[CFNM]]/Table6360[[#This Row],[CAREA]]</f>
        <v>0.32053455970776329</v>
      </c>
      <c r="AE415">
        <v>2.4278300000000002</v>
      </c>
      <c r="AF415">
        <f>-(Table7361[[#This Row],[time]]-2)*2</f>
        <v>-0.85566000000000031</v>
      </c>
      <c r="AG415">
        <v>77.924000000000007</v>
      </c>
      <c r="AH415">
        <v>7.1056699999999999</v>
      </c>
      <c r="AI415">
        <f>Table7361[[#This Row],[CFNM]]/Table7361[[#This Row],[CAREA]]</f>
        <v>9.1187182382834547E-2</v>
      </c>
      <c r="AJ415">
        <v>2.4278300000000002</v>
      </c>
      <c r="AK415">
        <f>-(Table8362[[#This Row],[time]]-2)*2</f>
        <v>-0.85566000000000031</v>
      </c>
      <c r="AL415">
        <v>83.078100000000006</v>
      </c>
      <c r="AM415">
        <v>37.699199999999998</v>
      </c>
      <c r="AN415">
        <f>Table8362[[#This Row],[CFNM]]/Table8362[[#This Row],[CAREA]]</f>
        <v>0.45378023811329332</v>
      </c>
    </row>
    <row r="416" spans="1:40" x14ac:dyDescent="0.25">
      <c r="A416">
        <v>2.4542000000000002</v>
      </c>
      <c r="B416">
        <f>-(Table1355[[#This Row],[time]]-2)*2</f>
        <v>-0.90840000000000032</v>
      </c>
      <c r="C416">
        <v>70.937799999999996</v>
      </c>
      <c r="D416">
        <v>2.98124E-3</v>
      </c>
      <c r="E416">
        <f>Table1355[[#This Row],[CFNM]]/Table1355[[#This Row],[CAREA]]</f>
        <v>4.2026113017319401E-5</v>
      </c>
      <c r="F416">
        <v>2.4542000000000002</v>
      </c>
      <c r="G416">
        <f>-(Table2356[[#This Row],[time]]-2)*2</f>
        <v>-0.90840000000000032</v>
      </c>
      <c r="H416">
        <v>85.167900000000003</v>
      </c>
      <c r="I416">
        <v>29.351900000000001</v>
      </c>
      <c r="J416">
        <f>Table2356[[#This Row],[CFNM]]/Table2356[[#This Row],[CAREA]]</f>
        <v>0.34463571369025181</v>
      </c>
      <c r="K416">
        <v>2.4542000000000002</v>
      </c>
      <c r="L416">
        <f>-(Table3357[[#This Row],[time]]-2)*2</f>
        <v>-0.90840000000000032</v>
      </c>
      <c r="M416">
        <v>62.883400000000002</v>
      </c>
      <c r="N416">
        <v>1.50847E-3</v>
      </c>
      <c r="O416">
        <f>Table3357[[#This Row],[CFNM]]/Table3357[[#This Row],[CAREA]]</f>
        <v>2.3988365769026485E-5</v>
      </c>
      <c r="P416">
        <v>2.4542000000000002</v>
      </c>
      <c r="Q416">
        <f>-(Table4358[[#This Row],[time]]-2)*2</f>
        <v>-0.90840000000000032</v>
      </c>
      <c r="R416">
        <v>77.275400000000005</v>
      </c>
      <c r="S416">
        <v>28.245999999999999</v>
      </c>
      <c r="T416">
        <f>Table4358[[#This Row],[CFNM]]/Table4358[[#This Row],[CAREA]]</f>
        <v>0.36552382776407494</v>
      </c>
      <c r="U416">
        <v>2.4542000000000002</v>
      </c>
      <c r="V416">
        <f>-(Table5359[[#This Row],[time]]-2)*2</f>
        <v>-0.90840000000000032</v>
      </c>
      <c r="W416">
        <v>82.868099999999998</v>
      </c>
      <c r="X416">
        <v>3.90187E-3</v>
      </c>
      <c r="Y416">
        <f>Table5359[[#This Row],[CFNM]]/Table5359[[#This Row],[CAREA]]</f>
        <v>4.7085307856702398E-5</v>
      </c>
      <c r="Z416">
        <v>2.4542000000000002</v>
      </c>
      <c r="AA416">
        <f>-(Table6360[[#This Row],[time]]-2)*2</f>
        <v>-0.90840000000000032</v>
      </c>
      <c r="AB416">
        <v>78.572199999999995</v>
      </c>
      <c r="AC416">
        <v>27.836500000000001</v>
      </c>
      <c r="AD416">
        <f>Table6360[[#This Row],[CFNM]]/Table6360[[#This Row],[CAREA]]</f>
        <v>0.35427924889464724</v>
      </c>
      <c r="AE416">
        <v>2.4542000000000002</v>
      </c>
      <c r="AF416">
        <f>-(Table7361[[#This Row],[time]]-2)*2</f>
        <v>-0.90840000000000032</v>
      </c>
      <c r="AG416">
        <v>77.134399999999999</v>
      </c>
      <c r="AH416">
        <v>6.1938500000000003</v>
      </c>
      <c r="AI416">
        <f>Table7361[[#This Row],[CFNM]]/Table7361[[#This Row],[CAREA]]</f>
        <v>8.0299451347258813E-2</v>
      </c>
      <c r="AJ416">
        <v>2.4542000000000002</v>
      </c>
      <c r="AK416">
        <f>-(Table8362[[#This Row],[time]]-2)*2</f>
        <v>-0.90840000000000032</v>
      </c>
      <c r="AL416">
        <v>82.994799999999998</v>
      </c>
      <c r="AM416">
        <v>39.899000000000001</v>
      </c>
      <c r="AN416">
        <f>Table8362[[#This Row],[CFNM]]/Table8362[[#This Row],[CAREA]]</f>
        <v>0.48074096208437156</v>
      </c>
    </row>
    <row r="417" spans="1:40" x14ac:dyDescent="0.25">
      <c r="A417">
        <v>2.5061499999999999</v>
      </c>
      <c r="B417">
        <f>-(Table1355[[#This Row],[time]]-2)*2</f>
        <v>-1.0122999999999998</v>
      </c>
      <c r="C417">
        <v>68.896699999999996</v>
      </c>
      <c r="D417">
        <v>2.3877299999999998E-3</v>
      </c>
      <c r="E417">
        <f>Table1355[[#This Row],[CFNM]]/Table1355[[#This Row],[CAREA]]</f>
        <v>3.4656667155320939E-5</v>
      </c>
      <c r="F417">
        <v>2.5061499999999999</v>
      </c>
      <c r="G417">
        <f>-(Table2356[[#This Row],[time]]-2)*2</f>
        <v>-1.0122999999999998</v>
      </c>
      <c r="H417">
        <v>83.812299999999993</v>
      </c>
      <c r="I417">
        <v>32.533999999999999</v>
      </c>
      <c r="J417">
        <f>Table2356[[#This Row],[CFNM]]/Table2356[[#This Row],[CAREA]]</f>
        <v>0.38817691436698432</v>
      </c>
      <c r="K417">
        <v>2.5061499999999999</v>
      </c>
      <c r="L417">
        <f>-(Table3357[[#This Row],[time]]-2)*2</f>
        <v>-1.0122999999999998</v>
      </c>
      <c r="M417">
        <v>59.039400000000001</v>
      </c>
      <c r="N417">
        <v>1.2666400000000001E-3</v>
      </c>
      <c r="O417">
        <f>Table3357[[#This Row],[CFNM]]/Table3357[[#This Row],[CAREA]]</f>
        <v>2.1454147569250366E-5</v>
      </c>
      <c r="P417">
        <v>2.5061499999999999</v>
      </c>
      <c r="Q417">
        <f>-(Table4358[[#This Row],[time]]-2)*2</f>
        <v>-1.0122999999999998</v>
      </c>
      <c r="R417">
        <v>76.122299999999996</v>
      </c>
      <c r="S417">
        <v>31.572399999999998</v>
      </c>
      <c r="T417">
        <f>Table4358[[#This Row],[CFNM]]/Table4358[[#This Row],[CAREA]]</f>
        <v>0.41475888143159101</v>
      </c>
      <c r="U417">
        <v>2.5061499999999999</v>
      </c>
      <c r="V417">
        <f>-(Table5359[[#This Row],[time]]-2)*2</f>
        <v>-1.0122999999999998</v>
      </c>
      <c r="W417">
        <v>82.334500000000006</v>
      </c>
      <c r="X417">
        <v>3.6278700000000001E-3</v>
      </c>
      <c r="Y417">
        <f>Table5359[[#This Row],[CFNM]]/Table5359[[#This Row],[CAREA]]</f>
        <v>4.4062574012109138E-5</v>
      </c>
      <c r="Z417">
        <v>2.5061499999999999</v>
      </c>
      <c r="AA417">
        <f>-(Table6360[[#This Row],[time]]-2)*2</f>
        <v>-1.0122999999999998</v>
      </c>
      <c r="AB417">
        <v>77.242999999999995</v>
      </c>
      <c r="AC417">
        <v>31.317799999999998</v>
      </c>
      <c r="AD417">
        <f>Table6360[[#This Row],[CFNM]]/Table6360[[#This Row],[CAREA]]</f>
        <v>0.40544515360615202</v>
      </c>
      <c r="AE417">
        <v>2.5061499999999999</v>
      </c>
      <c r="AF417">
        <f>-(Table7361[[#This Row],[time]]-2)*2</f>
        <v>-1.0122999999999998</v>
      </c>
      <c r="AG417">
        <v>76.076999999999998</v>
      </c>
      <c r="AH417">
        <v>4.9420599999999997</v>
      </c>
      <c r="AI417">
        <f>Table7361[[#This Row],[CFNM]]/Table7361[[#This Row],[CAREA]]</f>
        <v>6.4961289220132237E-2</v>
      </c>
      <c r="AJ417">
        <v>2.5061499999999999</v>
      </c>
      <c r="AK417">
        <f>-(Table8362[[#This Row],[time]]-2)*2</f>
        <v>-1.0122999999999998</v>
      </c>
      <c r="AL417">
        <v>83.1096</v>
      </c>
      <c r="AM417">
        <v>43.176200000000001</v>
      </c>
      <c r="AN417">
        <f>Table8362[[#This Row],[CFNM]]/Table8362[[#This Row],[CAREA]]</f>
        <v>0.51950917824174347</v>
      </c>
    </row>
    <row r="418" spans="1:40" x14ac:dyDescent="0.25">
      <c r="A418">
        <v>2.5507599999999999</v>
      </c>
      <c r="B418">
        <f>-(Table1355[[#This Row],[time]]-2)*2</f>
        <v>-1.1015199999999998</v>
      </c>
      <c r="C418">
        <v>67.404200000000003</v>
      </c>
      <c r="D418">
        <v>2.2775500000000001E-3</v>
      </c>
      <c r="E418">
        <f>Table1355[[#This Row],[CFNM]]/Table1355[[#This Row],[CAREA]]</f>
        <v>3.3789437453452454E-5</v>
      </c>
      <c r="F418">
        <v>2.5507599999999999</v>
      </c>
      <c r="G418">
        <f>-(Table2356[[#This Row],[time]]-2)*2</f>
        <v>-1.1015199999999998</v>
      </c>
      <c r="H418">
        <v>83.314400000000006</v>
      </c>
      <c r="I418">
        <v>33.8018</v>
      </c>
      <c r="J418">
        <f>Table2356[[#This Row],[CFNM]]/Table2356[[#This Row],[CAREA]]</f>
        <v>0.40571377817040027</v>
      </c>
      <c r="K418">
        <v>2.5507599999999999</v>
      </c>
      <c r="L418">
        <f>-(Table3357[[#This Row],[time]]-2)*2</f>
        <v>-1.1015199999999998</v>
      </c>
      <c r="M418">
        <v>57.363300000000002</v>
      </c>
      <c r="N418">
        <v>1.17818E-3</v>
      </c>
      <c r="O418">
        <f>Table3357[[#This Row],[CFNM]]/Table3357[[#This Row],[CAREA]]</f>
        <v>2.0538915996813294E-5</v>
      </c>
      <c r="P418">
        <v>2.5507599999999999</v>
      </c>
      <c r="Q418">
        <f>-(Table4358[[#This Row],[time]]-2)*2</f>
        <v>-1.1015199999999998</v>
      </c>
      <c r="R418">
        <v>75.649600000000007</v>
      </c>
      <c r="S418">
        <v>32.911000000000001</v>
      </c>
      <c r="T418">
        <f>Table4358[[#This Row],[CFNM]]/Table4358[[#This Row],[CAREA]]</f>
        <v>0.43504526131003995</v>
      </c>
      <c r="U418">
        <v>2.5507599999999999</v>
      </c>
      <c r="V418">
        <f>-(Table5359[[#This Row],[time]]-2)*2</f>
        <v>-1.1015199999999998</v>
      </c>
      <c r="W418">
        <v>82.011300000000006</v>
      </c>
      <c r="X418">
        <v>3.5185199999999998E-3</v>
      </c>
      <c r="Y418">
        <f>Table5359[[#This Row],[CFNM]]/Table5359[[#This Row],[CAREA]]</f>
        <v>4.290286826327591E-5</v>
      </c>
      <c r="Z418">
        <v>2.5507599999999999</v>
      </c>
      <c r="AA418">
        <f>-(Table6360[[#This Row],[time]]-2)*2</f>
        <v>-1.1015199999999998</v>
      </c>
      <c r="AB418">
        <v>76.848799999999997</v>
      </c>
      <c r="AC418">
        <v>32.710999999999999</v>
      </c>
      <c r="AD418">
        <f>Table6360[[#This Row],[CFNM]]/Table6360[[#This Row],[CAREA]]</f>
        <v>0.42565401151351745</v>
      </c>
      <c r="AE418">
        <v>2.5507599999999999</v>
      </c>
      <c r="AF418">
        <f>-(Table7361[[#This Row],[time]]-2)*2</f>
        <v>-1.1015199999999998</v>
      </c>
      <c r="AG418">
        <v>75.659099999999995</v>
      </c>
      <c r="AH418">
        <v>4.4776699999999998</v>
      </c>
      <c r="AI418">
        <f>Table7361[[#This Row],[CFNM]]/Table7361[[#This Row],[CAREA]]</f>
        <v>5.9182173723980332E-2</v>
      </c>
      <c r="AJ418">
        <v>2.5507599999999999</v>
      </c>
      <c r="AK418">
        <f>-(Table8362[[#This Row],[time]]-2)*2</f>
        <v>-1.1015199999999998</v>
      </c>
      <c r="AL418">
        <v>83.117900000000006</v>
      </c>
      <c r="AM418">
        <v>44.538699999999999</v>
      </c>
      <c r="AN418">
        <f>Table8362[[#This Row],[CFNM]]/Table8362[[#This Row],[CAREA]]</f>
        <v>0.5358496785890885</v>
      </c>
    </row>
    <row r="419" spans="1:40" x14ac:dyDescent="0.25">
      <c r="A419">
        <v>2.60453</v>
      </c>
      <c r="B419">
        <f>-(Table1355[[#This Row],[time]]-2)*2</f>
        <v>-1.20906</v>
      </c>
      <c r="C419">
        <v>65.221000000000004</v>
      </c>
      <c r="D419">
        <v>2.0788899999999999E-3</v>
      </c>
      <c r="E419">
        <f>Table1355[[#This Row],[CFNM]]/Table1355[[#This Row],[CAREA]]</f>
        <v>3.1874549608255005E-5</v>
      </c>
      <c r="F419">
        <v>2.60453</v>
      </c>
      <c r="G419">
        <f>-(Table2356[[#This Row],[time]]-2)*2</f>
        <v>-1.20906</v>
      </c>
      <c r="H419">
        <v>82.368499999999997</v>
      </c>
      <c r="I419">
        <v>36.015300000000003</v>
      </c>
      <c r="J419">
        <f>Table2356[[#This Row],[CFNM]]/Table2356[[#This Row],[CAREA]]</f>
        <v>0.43724603458846528</v>
      </c>
      <c r="K419">
        <v>2.60453</v>
      </c>
      <c r="L419">
        <f>-(Table3357[[#This Row],[time]]-2)*2</f>
        <v>-1.20906</v>
      </c>
      <c r="M419">
        <v>55.437100000000001</v>
      </c>
      <c r="N419">
        <v>1.0299899999999999E-3</v>
      </c>
      <c r="O419">
        <f>Table3357[[#This Row],[CFNM]]/Table3357[[#This Row],[CAREA]]</f>
        <v>1.8579435071459365E-5</v>
      </c>
      <c r="P419">
        <v>2.60453</v>
      </c>
      <c r="Q419">
        <f>-(Table4358[[#This Row],[time]]-2)*2</f>
        <v>-1.20906</v>
      </c>
      <c r="R419">
        <v>75.135300000000001</v>
      </c>
      <c r="S419">
        <v>35.320300000000003</v>
      </c>
      <c r="T419">
        <f>Table4358[[#This Row],[CFNM]]/Table4358[[#This Row],[CAREA]]</f>
        <v>0.47008929225011414</v>
      </c>
      <c r="U419">
        <v>2.60453</v>
      </c>
      <c r="V419">
        <f>-(Table5359[[#This Row],[time]]-2)*2</f>
        <v>-1.20906</v>
      </c>
      <c r="W419">
        <v>81.364199999999997</v>
      </c>
      <c r="X419">
        <v>3.3246399999999998E-3</v>
      </c>
      <c r="Y419">
        <f>Table5359[[#This Row],[CFNM]]/Table5359[[#This Row],[CAREA]]</f>
        <v>4.0861214145779099E-5</v>
      </c>
      <c r="Z419">
        <v>2.60453</v>
      </c>
      <c r="AA419">
        <f>-(Table6360[[#This Row],[time]]-2)*2</f>
        <v>-1.20906</v>
      </c>
      <c r="AB419">
        <v>75.754499999999993</v>
      </c>
      <c r="AC419">
        <v>35.216000000000001</v>
      </c>
      <c r="AD419">
        <f>Table6360[[#This Row],[CFNM]]/Table6360[[#This Row],[CAREA]]</f>
        <v>0.46487007372499328</v>
      </c>
      <c r="AE419">
        <v>2.60453</v>
      </c>
      <c r="AF419">
        <f>-(Table7361[[#This Row],[time]]-2)*2</f>
        <v>-1.20906</v>
      </c>
      <c r="AG419">
        <v>74.781099999999995</v>
      </c>
      <c r="AH419">
        <v>3.6953100000000001</v>
      </c>
      <c r="AI419">
        <f>Table7361[[#This Row],[CFNM]]/Table7361[[#This Row],[CAREA]]</f>
        <v>4.9415025989187109E-2</v>
      </c>
      <c r="AJ419">
        <v>2.60453</v>
      </c>
      <c r="AK419">
        <f>-(Table8362[[#This Row],[time]]-2)*2</f>
        <v>-1.20906</v>
      </c>
      <c r="AL419">
        <v>82.428200000000004</v>
      </c>
      <c r="AM419">
        <v>47.0242</v>
      </c>
      <c r="AN419">
        <f>Table8362[[#This Row],[CFNM]]/Table8362[[#This Row],[CAREA]]</f>
        <v>0.57048679942058667</v>
      </c>
    </row>
    <row r="420" spans="1:40" x14ac:dyDescent="0.25">
      <c r="A420">
        <v>2.65273</v>
      </c>
      <c r="B420">
        <f>-(Table1355[[#This Row],[time]]-2)*2</f>
        <v>-1.3054600000000001</v>
      </c>
      <c r="C420">
        <v>61.553100000000001</v>
      </c>
      <c r="D420">
        <v>1.9567299999999998E-3</v>
      </c>
      <c r="E420">
        <f>Table1355[[#This Row],[CFNM]]/Table1355[[#This Row],[CAREA]]</f>
        <v>3.1789300620114986E-5</v>
      </c>
      <c r="F420">
        <v>2.65273</v>
      </c>
      <c r="G420">
        <f>-(Table2356[[#This Row],[time]]-2)*2</f>
        <v>-1.3054600000000001</v>
      </c>
      <c r="H420">
        <v>81.796000000000006</v>
      </c>
      <c r="I420">
        <v>37.337899999999998</v>
      </c>
      <c r="J420">
        <f>Table2356[[#This Row],[CFNM]]/Table2356[[#This Row],[CAREA]]</f>
        <v>0.45647586679055202</v>
      </c>
      <c r="K420">
        <v>2.65273</v>
      </c>
      <c r="L420">
        <f>-(Table3357[[#This Row],[time]]-2)*2</f>
        <v>-1.3054600000000001</v>
      </c>
      <c r="M420">
        <v>52.178100000000001</v>
      </c>
      <c r="N420">
        <v>9.4305099999999998E-4</v>
      </c>
      <c r="O420">
        <f>Table3357[[#This Row],[CFNM]]/Table3357[[#This Row],[CAREA]]</f>
        <v>1.8073693752743008E-5</v>
      </c>
      <c r="P420">
        <v>2.65273</v>
      </c>
      <c r="Q420">
        <f>-(Table4358[[#This Row],[time]]-2)*2</f>
        <v>-1.3054600000000001</v>
      </c>
      <c r="R420">
        <v>74.650800000000004</v>
      </c>
      <c r="S420">
        <v>36.790300000000002</v>
      </c>
      <c r="T420">
        <f>Table4358[[#This Row],[CFNM]]/Table4358[[#This Row],[CAREA]]</f>
        <v>0.49283195893413062</v>
      </c>
      <c r="U420">
        <v>2.65273</v>
      </c>
      <c r="V420">
        <f>-(Table5359[[#This Row],[time]]-2)*2</f>
        <v>-1.3054600000000001</v>
      </c>
      <c r="W420">
        <v>80.601699999999994</v>
      </c>
      <c r="X420">
        <v>3.2067100000000002E-3</v>
      </c>
      <c r="Y420">
        <f>Table5359[[#This Row],[CFNM]]/Table5359[[#This Row],[CAREA]]</f>
        <v>3.9784644740743688E-5</v>
      </c>
      <c r="Z420">
        <v>2.65273</v>
      </c>
      <c r="AA420">
        <f>-(Table6360[[#This Row],[time]]-2)*2</f>
        <v>-1.3054600000000001</v>
      </c>
      <c r="AB420">
        <v>74.703999999999994</v>
      </c>
      <c r="AC420">
        <v>36.759700000000002</v>
      </c>
      <c r="AD420">
        <f>Table6360[[#This Row],[CFNM]]/Table6360[[#This Row],[CAREA]]</f>
        <v>0.4920713750267724</v>
      </c>
      <c r="AE420">
        <v>2.65273</v>
      </c>
      <c r="AF420">
        <f>-(Table7361[[#This Row],[time]]-2)*2</f>
        <v>-1.3054600000000001</v>
      </c>
      <c r="AG420">
        <v>74.273300000000006</v>
      </c>
      <c r="AH420">
        <v>3.23068</v>
      </c>
      <c r="AI420">
        <f>Table7361[[#This Row],[CFNM]]/Table7361[[#This Row],[CAREA]]</f>
        <v>4.3497192126915052E-2</v>
      </c>
      <c r="AJ420">
        <v>2.65273</v>
      </c>
      <c r="AK420">
        <f>-(Table8362[[#This Row],[time]]-2)*2</f>
        <v>-1.3054600000000001</v>
      </c>
      <c r="AL420">
        <v>82.331299999999999</v>
      </c>
      <c r="AM420">
        <v>48.5364</v>
      </c>
      <c r="AN420">
        <f>Table8362[[#This Row],[CFNM]]/Table8362[[#This Row],[CAREA]]</f>
        <v>0.58952549030563106</v>
      </c>
    </row>
    <row r="421" spans="1:40" x14ac:dyDescent="0.25">
      <c r="A421">
        <v>2.7006199999999998</v>
      </c>
      <c r="B421">
        <f>-(Table1355[[#This Row],[time]]-2)*2</f>
        <v>-1.4012399999999996</v>
      </c>
      <c r="C421">
        <v>59.4056</v>
      </c>
      <c r="D421">
        <v>1.7870900000000001E-3</v>
      </c>
      <c r="E421">
        <f>Table1355[[#This Row],[CFNM]]/Table1355[[#This Row],[CAREA]]</f>
        <v>3.0082854141697079E-5</v>
      </c>
      <c r="F421">
        <v>2.7006199999999998</v>
      </c>
      <c r="G421">
        <f>-(Table2356[[#This Row],[time]]-2)*2</f>
        <v>-1.4012399999999996</v>
      </c>
      <c r="H421">
        <v>81.034099999999995</v>
      </c>
      <c r="I421">
        <v>39.135899999999999</v>
      </c>
      <c r="J421">
        <f>Table2356[[#This Row],[CFNM]]/Table2356[[#This Row],[CAREA]]</f>
        <v>0.48295594077061388</v>
      </c>
      <c r="K421">
        <v>2.7006199999999998</v>
      </c>
      <c r="L421">
        <f>-(Table3357[[#This Row],[time]]-2)*2</f>
        <v>-1.4012399999999996</v>
      </c>
      <c r="M421">
        <v>50.680599999999998</v>
      </c>
      <c r="N421">
        <v>8.2691600000000002E-4</v>
      </c>
      <c r="O421">
        <f>Table3357[[#This Row],[CFNM]]/Table3357[[#This Row],[CAREA]]</f>
        <v>1.6316223564835462E-5</v>
      </c>
      <c r="P421">
        <v>2.7006199999999998</v>
      </c>
      <c r="Q421">
        <f>-(Table4358[[#This Row],[time]]-2)*2</f>
        <v>-1.4012399999999996</v>
      </c>
      <c r="R421">
        <v>73.937200000000004</v>
      </c>
      <c r="S421">
        <v>38.772599999999997</v>
      </c>
      <c r="T421">
        <f>Table4358[[#This Row],[CFNM]]/Table4358[[#This Row],[CAREA]]</f>
        <v>0.52439908462857665</v>
      </c>
      <c r="U421">
        <v>2.7006199999999998</v>
      </c>
      <c r="V421">
        <f>-(Table5359[[#This Row],[time]]-2)*2</f>
        <v>-1.4012399999999996</v>
      </c>
      <c r="W421">
        <v>80.199600000000004</v>
      </c>
      <c r="X421">
        <v>3.0401400000000002E-3</v>
      </c>
      <c r="Y421">
        <f>Table5359[[#This Row],[CFNM]]/Table5359[[#This Row],[CAREA]]</f>
        <v>3.7907171606840935E-5</v>
      </c>
      <c r="Z421">
        <v>2.7006199999999998</v>
      </c>
      <c r="AA421">
        <f>-(Table6360[[#This Row],[time]]-2)*2</f>
        <v>-1.4012399999999996</v>
      </c>
      <c r="AB421">
        <v>73.997699999999995</v>
      </c>
      <c r="AC421">
        <v>38.894799999999996</v>
      </c>
      <c r="AD421">
        <f>Table6360[[#This Row],[CFNM]]/Table6360[[#This Row],[CAREA]]</f>
        <v>0.52562174229739567</v>
      </c>
      <c r="AE421">
        <v>2.7006199999999998</v>
      </c>
      <c r="AF421">
        <f>-(Table7361[[#This Row],[time]]-2)*2</f>
        <v>-1.4012399999999996</v>
      </c>
      <c r="AG421">
        <v>73.624799999999993</v>
      </c>
      <c r="AH421">
        <v>2.5911200000000001</v>
      </c>
      <c r="AI421">
        <f>Table7361[[#This Row],[CFNM]]/Table7361[[#This Row],[CAREA]]</f>
        <v>3.5193576077626021E-2</v>
      </c>
      <c r="AJ421">
        <v>2.7006199999999998</v>
      </c>
      <c r="AK421">
        <f>-(Table8362[[#This Row],[time]]-2)*2</f>
        <v>-1.4012399999999996</v>
      </c>
      <c r="AL421">
        <v>82.190899999999999</v>
      </c>
      <c r="AM421">
        <v>50.607399999999998</v>
      </c>
      <c r="AN421">
        <f>Table8362[[#This Row],[CFNM]]/Table8362[[#This Row],[CAREA]]</f>
        <v>0.61572996523946077</v>
      </c>
    </row>
    <row r="422" spans="1:40" x14ac:dyDescent="0.25">
      <c r="A422">
        <v>2.75176</v>
      </c>
      <c r="B422">
        <f>-(Table1355[[#This Row],[time]]-2)*2</f>
        <v>-1.50352</v>
      </c>
      <c r="C422">
        <v>55.860500000000002</v>
      </c>
      <c r="D422">
        <v>1.6259099999999999E-3</v>
      </c>
      <c r="E422">
        <f>Table1355[[#This Row],[CFNM]]/Table1355[[#This Row],[CAREA]]</f>
        <v>2.9106613796868985E-5</v>
      </c>
      <c r="F422">
        <v>2.75176</v>
      </c>
      <c r="G422">
        <f>-(Table2356[[#This Row],[time]]-2)*2</f>
        <v>-1.50352</v>
      </c>
      <c r="H422">
        <v>80.2928</v>
      </c>
      <c r="I422">
        <v>40.885300000000001</v>
      </c>
      <c r="J422">
        <f>Table2356[[#This Row],[CFNM]]/Table2356[[#This Row],[CAREA]]</f>
        <v>0.50920256859892798</v>
      </c>
      <c r="K422">
        <v>2.75176</v>
      </c>
      <c r="L422">
        <f>-(Table3357[[#This Row],[time]]-2)*2</f>
        <v>-1.50352</v>
      </c>
      <c r="M422">
        <v>49.932299999999998</v>
      </c>
      <c r="N422">
        <v>7.1413100000000001E-4</v>
      </c>
      <c r="O422">
        <f>Table3357[[#This Row],[CFNM]]/Table3357[[#This Row],[CAREA]]</f>
        <v>1.4301984887537727E-5</v>
      </c>
      <c r="P422">
        <v>2.75176</v>
      </c>
      <c r="Q422">
        <f>-(Table4358[[#This Row],[time]]-2)*2</f>
        <v>-1.50352</v>
      </c>
      <c r="R422">
        <v>73.241500000000002</v>
      </c>
      <c r="S422">
        <v>40.699399999999997</v>
      </c>
      <c r="T422">
        <f>Table4358[[#This Row],[CFNM]]/Table4358[[#This Row],[CAREA]]</f>
        <v>0.55568769072179014</v>
      </c>
      <c r="U422">
        <v>2.75176</v>
      </c>
      <c r="V422">
        <f>-(Table5359[[#This Row],[time]]-2)*2</f>
        <v>-1.50352</v>
      </c>
      <c r="W422">
        <v>79.757599999999996</v>
      </c>
      <c r="X422">
        <v>2.8680699999999999E-3</v>
      </c>
      <c r="Y422">
        <f>Table5359[[#This Row],[CFNM]]/Table5359[[#This Row],[CAREA]]</f>
        <v>3.59598332948835E-5</v>
      </c>
      <c r="Z422">
        <v>2.75176</v>
      </c>
      <c r="AA422">
        <f>-(Table6360[[#This Row],[time]]-2)*2</f>
        <v>-1.50352</v>
      </c>
      <c r="AB422">
        <v>73.165199999999999</v>
      </c>
      <c r="AC422">
        <v>40.999200000000002</v>
      </c>
      <c r="AD422">
        <f>Table6360[[#This Row],[CFNM]]/Table6360[[#This Row],[CAREA]]</f>
        <v>0.56036476357612641</v>
      </c>
      <c r="AE422">
        <v>2.75176</v>
      </c>
      <c r="AF422">
        <f>-(Table7361[[#This Row],[time]]-2)*2</f>
        <v>-1.50352</v>
      </c>
      <c r="AG422">
        <v>72.984099999999998</v>
      </c>
      <c r="AH422">
        <v>2.0430799999999998</v>
      </c>
      <c r="AI422">
        <f>Table7361[[#This Row],[CFNM]]/Table7361[[#This Row],[CAREA]]</f>
        <v>2.7993494473453805E-2</v>
      </c>
      <c r="AJ422">
        <v>2.75176</v>
      </c>
      <c r="AK422">
        <f>-(Table8362[[#This Row],[time]]-2)*2</f>
        <v>-1.50352</v>
      </c>
      <c r="AL422">
        <v>82.167400000000001</v>
      </c>
      <c r="AM422">
        <v>52.621299999999998</v>
      </c>
      <c r="AN422">
        <f>Table8362[[#This Row],[CFNM]]/Table8362[[#This Row],[CAREA]]</f>
        <v>0.64041578533579002</v>
      </c>
    </row>
    <row r="423" spans="1:40" x14ac:dyDescent="0.25">
      <c r="A423">
        <v>2.80444</v>
      </c>
      <c r="B423">
        <f>-(Table1355[[#This Row],[time]]-2)*2</f>
        <v>-1.6088800000000001</v>
      </c>
      <c r="C423">
        <v>53.597499999999997</v>
      </c>
      <c r="D423">
        <v>1.47335E-3</v>
      </c>
      <c r="E423">
        <f>Table1355[[#This Row],[CFNM]]/Table1355[[#This Row],[CAREA]]</f>
        <v>2.7489155277764822E-5</v>
      </c>
      <c r="F423">
        <v>2.80444</v>
      </c>
      <c r="G423">
        <f>-(Table2356[[#This Row],[time]]-2)*2</f>
        <v>-1.6088800000000001</v>
      </c>
      <c r="H423">
        <v>79.590599999999995</v>
      </c>
      <c r="I423">
        <v>42.601300000000002</v>
      </c>
      <c r="J423">
        <f>Table2356[[#This Row],[CFNM]]/Table2356[[#This Row],[CAREA]]</f>
        <v>0.53525541960985346</v>
      </c>
      <c r="K423">
        <v>2.80444</v>
      </c>
      <c r="L423">
        <f>-(Table3357[[#This Row],[time]]-2)*2</f>
        <v>-1.6088800000000001</v>
      </c>
      <c r="M423">
        <v>42.014200000000002</v>
      </c>
      <c r="N423">
        <v>6.0853100000000005E-4</v>
      </c>
      <c r="O423">
        <f>Table3357[[#This Row],[CFNM]]/Table3357[[#This Row],[CAREA]]</f>
        <v>1.4483936383413227E-5</v>
      </c>
      <c r="P423">
        <v>2.80444</v>
      </c>
      <c r="Q423">
        <f>-(Table4358[[#This Row],[time]]-2)*2</f>
        <v>-1.6088800000000001</v>
      </c>
      <c r="R423">
        <v>72.574299999999994</v>
      </c>
      <c r="S423">
        <v>42.540300000000002</v>
      </c>
      <c r="T423">
        <f>Table4358[[#This Row],[CFNM]]/Table4358[[#This Row],[CAREA]]</f>
        <v>0.58616204358843293</v>
      </c>
      <c r="U423">
        <v>2.80444</v>
      </c>
      <c r="V423">
        <f>-(Table5359[[#This Row],[time]]-2)*2</f>
        <v>-1.6088800000000001</v>
      </c>
      <c r="W423">
        <v>79.253399999999999</v>
      </c>
      <c r="X423">
        <v>2.6899900000000002E-3</v>
      </c>
      <c r="Y423">
        <f>Table5359[[#This Row],[CFNM]]/Table5359[[#This Row],[CAREA]]</f>
        <v>3.3941635311544996E-5</v>
      </c>
      <c r="Z423">
        <v>2.80444</v>
      </c>
      <c r="AA423">
        <f>-(Table6360[[#This Row],[time]]-2)*2</f>
        <v>-1.6088800000000001</v>
      </c>
      <c r="AB423">
        <v>72.335099999999997</v>
      </c>
      <c r="AC423">
        <v>43.125399999999999</v>
      </c>
      <c r="AD423">
        <f>Table6360[[#This Row],[CFNM]]/Table6360[[#This Row],[CAREA]]</f>
        <v>0.5961891253347269</v>
      </c>
      <c r="AE423">
        <v>2.80444</v>
      </c>
      <c r="AF423">
        <f>-(Table7361[[#This Row],[time]]-2)*2</f>
        <v>-1.6088800000000001</v>
      </c>
      <c r="AG423">
        <v>72.372399999999999</v>
      </c>
      <c r="AH423">
        <v>1.6529100000000001</v>
      </c>
      <c r="AI423">
        <f>Table7361[[#This Row],[CFNM]]/Table7361[[#This Row],[CAREA]]</f>
        <v>2.2838955181809641E-2</v>
      </c>
      <c r="AJ423">
        <v>2.80444</v>
      </c>
      <c r="AK423">
        <f>-(Table8362[[#This Row],[time]]-2)*2</f>
        <v>-1.6088800000000001</v>
      </c>
      <c r="AL423">
        <v>82.189499999999995</v>
      </c>
      <c r="AM423">
        <v>54.569400000000002</v>
      </c>
      <c r="AN423">
        <f>Table8362[[#This Row],[CFNM]]/Table8362[[#This Row],[CAREA]]</f>
        <v>0.66394612450495505</v>
      </c>
    </row>
    <row r="424" spans="1:40" x14ac:dyDescent="0.25">
      <c r="A424">
        <v>2.8583699999999999</v>
      </c>
      <c r="B424">
        <f>-(Table1355[[#This Row],[time]]-2)*2</f>
        <v>-1.7167399999999997</v>
      </c>
      <c r="C424">
        <v>50.826700000000002</v>
      </c>
      <c r="D424">
        <v>1.32935E-3</v>
      </c>
      <c r="E424">
        <f>Table1355[[#This Row],[CFNM]]/Table1355[[#This Row],[CAREA]]</f>
        <v>2.6154560496746788E-5</v>
      </c>
      <c r="F424">
        <v>2.8583699999999999</v>
      </c>
      <c r="G424">
        <f>-(Table2356[[#This Row],[time]]-2)*2</f>
        <v>-1.7167399999999997</v>
      </c>
      <c r="H424">
        <v>78.874600000000001</v>
      </c>
      <c r="I424">
        <v>44.2896</v>
      </c>
      <c r="J424">
        <f>Table2356[[#This Row],[CFNM]]/Table2356[[#This Row],[CAREA]]</f>
        <v>0.56151917093715842</v>
      </c>
      <c r="K424">
        <v>2.8583699999999999</v>
      </c>
      <c r="L424">
        <f>-(Table3357[[#This Row],[time]]-2)*2</f>
        <v>-1.7167399999999997</v>
      </c>
      <c r="M424">
        <v>39.7254</v>
      </c>
      <c r="N424">
        <v>5.1597500000000001E-4</v>
      </c>
      <c r="O424">
        <f>Table3357[[#This Row],[CFNM]]/Table3357[[#This Row],[CAREA]]</f>
        <v>1.2988541336273518E-5</v>
      </c>
      <c r="P424">
        <v>2.8583699999999999</v>
      </c>
      <c r="Q424">
        <f>-(Table4358[[#This Row],[time]]-2)*2</f>
        <v>-1.7167399999999997</v>
      </c>
      <c r="R424">
        <v>71.887600000000006</v>
      </c>
      <c r="S424">
        <v>44.314399999999999</v>
      </c>
      <c r="T424">
        <f>Table4358[[#This Row],[CFNM]]/Table4358[[#This Row],[CAREA]]</f>
        <v>0.61644010928171189</v>
      </c>
      <c r="U424">
        <v>2.8583699999999999</v>
      </c>
      <c r="V424">
        <f>-(Table5359[[#This Row],[time]]-2)*2</f>
        <v>-1.7167399999999997</v>
      </c>
      <c r="W424">
        <v>78.164500000000004</v>
      </c>
      <c r="X424">
        <v>2.5082799999999999E-3</v>
      </c>
      <c r="Y424">
        <f>Table5359[[#This Row],[CFNM]]/Table5359[[#This Row],[CAREA]]</f>
        <v>3.2089759417638438E-5</v>
      </c>
      <c r="Z424">
        <v>2.8583699999999999</v>
      </c>
      <c r="AA424">
        <f>-(Table6360[[#This Row],[time]]-2)*2</f>
        <v>-1.7167399999999997</v>
      </c>
      <c r="AB424">
        <v>71.882599999999996</v>
      </c>
      <c r="AC424">
        <v>45.209000000000003</v>
      </c>
      <c r="AD424">
        <f>Table6360[[#This Row],[CFNM]]/Table6360[[#This Row],[CAREA]]</f>
        <v>0.6289282802792332</v>
      </c>
      <c r="AE424">
        <v>2.8583699999999999</v>
      </c>
      <c r="AF424">
        <f>-(Table7361[[#This Row],[time]]-2)*2</f>
        <v>-1.7167399999999997</v>
      </c>
      <c r="AG424">
        <v>71.790499999999994</v>
      </c>
      <c r="AH424">
        <v>1.2594399999999999</v>
      </c>
      <c r="AI424">
        <f>Table7361[[#This Row],[CFNM]]/Table7361[[#This Row],[CAREA]]</f>
        <v>1.7543268259727959E-2</v>
      </c>
      <c r="AJ424">
        <v>2.8583699999999999</v>
      </c>
      <c r="AK424">
        <f>-(Table8362[[#This Row],[time]]-2)*2</f>
        <v>-1.7167399999999997</v>
      </c>
      <c r="AL424">
        <v>81.951599999999999</v>
      </c>
      <c r="AM424">
        <v>56.4863</v>
      </c>
      <c r="AN424">
        <f>Table8362[[#This Row],[CFNM]]/Table8362[[#This Row],[CAREA]]</f>
        <v>0.68926415103548921</v>
      </c>
    </row>
    <row r="425" spans="1:40" x14ac:dyDescent="0.25">
      <c r="A425">
        <v>2.9134199999999999</v>
      </c>
      <c r="B425">
        <f>-(Table1355[[#This Row],[time]]-2)*2</f>
        <v>-1.8268399999999998</v>
      </c>
      <c r="C425">
        <v>42.757300000000001</v>
      </c>
      <c r="D425">
        <v>1.1389600000000001E-3</v>
      </c>
      <c r="E425">
        <f>Table1355[[#This Row],[CFNM]]/Table1355[[#This Row],[CAREA]]</f>
        <v>2.6637790505948694E-5</v>
      </c>
      <c r="F425">
        <v>2.9134199999999999</v>
      </c>
      <c r="G425">
        <f>-(Table2356[[#This Row],[time]]-2)*2</f>
        <v>-1.8268399999999998</v>
      </c>
      <c r="H425">
        <v>77.844999999999999</v>
      </c>
      <c r="I425">
        <v>46.697499999999998</v>
      </c>
      <c r="J425">
        <f>Table2356[[#This Row],[CFNM]]/Table2356[[#This Row],[CAREA]]</f>
        <v>0.59987796261802295</v>
      </c>
      <c r="K425">
        <v>2.9134199999999999</v>
      </c>
      <c r="L425">
        <f>-(Table3357[[#This Row],[time]]-2)*2</f>
        <v>-1.8268399999999998</v>
      </c>
      <c r="M425">
        <v>35.7879</v>
      </c>
      <c r="N425">
        <v>3.9751700000000001E-4</v>
      </c>
      <c r="O425">
        <f>Table3357[[#This Row],[CFNM]]/Table3357[[#This Row],[CAREA]]</f>
        <v>1.1107581053931636E-5</v>
      </c>
      <c r="P425">
        <v>2.9134199999999999</v>
      </c>
      <c r="Q425">
        <f>-(Table4358[[#This Row],[time]]-2)*2</f>
        <v>-1.8268399999999998</v>
      </c>
      <c r="R425">
        <v>70.989199999999997</v>
      </c>
      <c r="S425">
        <v>46.774299999999997</v>
      </c>
      <c r="T425">
        <f>Table4358[[#This Row],[CFNM]]/Table4358[[#This Row],[CAREA]]</f>
        <v>0.65889318375189465</v>
      </c>
      <c r="U425">
        <v>2.9134199999999999</v>
      </c>
      <c r="V425">
        <f>-(Table5359[[#This Row],[time]]-2)*2</f>
        <v>-1.8268399999999998</v>
      </c>
      <c r="W425">
        <v>76.627300000000005</v>
      </c>
      <c r="X425">
        <v>2.2577000000000001E-3</v>
      </c>
      <c r="Y425">
        <f>Table5359[[#This Row],[CFNM]]/Table5359[[#This Row],[CAREA]]</f>
        <v>2.9463389679657248E-5</v>
      </c>
      <c r="Z425">
        <v>2.9134199999999999</v>
      </c>
      <c r="AA425">
        <f>-(Table6360[[#This Row],[time]]-2)*2</f>
        <v>-1.8268399999999998</v>
      </c>
      <c r="AB425">
        <v>70.292400000000001</v>
      </c>
      <c r="AC425">
        <v>48.181399999999996</v>
      </c>
      <c r="AD425">
        <f>Table6360[[#This Row],[CFNM]]/Table6360[[#This Row],[CAREA]]</f>
        <v>0.68544252294700414</v>
      </c>
      <c r="AE425">
        <v>2.9134199999999999</v>
      </c>
      <c r="AF425">
        <f>-(Table7361[[#This Row],[time]]-2)*2</f>
        <v>-1.8268399999999998</v>
      </c>
      <c r="AG425">
        <v>71.092699999999994</v>
      </c>
      <c r="AH425">
        <v>0.75500800000000001</v>
      </c>
      <c r="AI425">
        <f>Table7361[[#This Row],[CFNM]]/Table7361[[#This Row],[CAREA]]</f>
        <v>1.062004959721603E-2</v>
      </c>
      <c r="AJ425">
        <v>2.9134199999999999</v>
      </c>
      <c r="AK425">
        <f>-(Table8362[[#This Row],[time]]-2)*2</f>
        <v>-1.8268399999999998</v>
      </c>
      <c r="AL425">
        <v>81.987899999999996</v>
      </c>
      <c r="AM425">
        <v>59.1678</v>
      </c>
      <c r="AN425">
        <f>Table8362[[#This Row],[CFNM]]/Table8362[[#This Row],[CAREA]]</f>
        <v>0.7216650261806925</v>
      </c>
    </row>
    <row r="426" spans="1:40" x14ac:dyDescent="0.25">
      <c r="A426">
        <v>2.9619599999999999</v>
      </c>
      <c r="B426">
        <f>-(Table1355[[#This Row],[time]]-2)*2</f>
        <v>-1.9239199999999999</v>
      </c>
      <c r="C426">
        <v>38.341700000000003</v>
      </c>
      <c r="D426">
        <v>1.0399000000000001E-3</v>
      </c>
      <c r="E426">
        <f>Table1355[[#This Row],[CFNM]]/Table1355[[#This Row],[CAREA]]</f>
        <v>2.7121906436073519E-5</v>
      </c>
      <c r="F426">
        <v>2.9619599999999999</v>
      </c>
      <c r="G426">
        <f>-(Table2356[[#This Row],[time]]-2)*2</f>
        <v>-1.9239199999999999</v>
      </c>
      <c r="H426">
        <v>77.202799999999996</v>
      </c>
      <c r="I426">
        <v>48.074800000000003</v>
      </c>
      <c r="J426">
        <f>Table2356[[#This Row],[CFNM]]/Table2356[[#This Row],[CAREA]]</f>
        <v>0.6227079846844934</v>
      </c>
      <c r="K426">
        <v>2.9619599999999999</v>
      </c>
      <c r="L426">
        <f>-(Table3357[[#This Row],[time]]-2)*2</f>
        <v>-1.9239199999999999</v>
      </c>
      <c r="M426">
        <v>33.064599999999999</v>
      </c>
      <c r="N426">
        <v>3.3113100000000003E-4</v>
      </c>
      <c r="O426">
        <f>Table3357[[#This Row],[CFNM]]/Table3357[[#This Row],[CAREA]]</f>
        <v>1.0014668255475645E-5</v>
      </c>
      <c r="P426">
        <v>2.9619599999999999</v>
      </c>
      <c r="Q426">
        <f>-(Table4358[[#This Row],[time]]-2)*2</f>
        <v>-1.9239199999999999</v>
      </c>
      <c r="R426">
        <v>70.495000000000005</v>
      </c>
      <c r="S426">
        <v>48.158499999999997</v>
      </c>
      <c r="T426">
        <f>Table4358[[#This Row],[CFNM]]/Table4358[[#This Row],[CAREA]]</f>
        <v>0.68314774097453712</v>
      </c>
      <c r="U426">
        <v>2.9619599999999999</v>
      </c>
      <c r="V426">
        <f>-(Table5359[[#This Row],[time]]-2)*2</f>
        <v>-1.9239199999999999</v>
      </c>
      <c r="W426">
        <v>74.688900000000004</v>
      </c>
      <c r="X426">
        <v>2.1127400000000001E-3</v>
      </c>
      <c r="Y426">
        <f>Table5359[[#This Row],[CFNM]]/Table5359[[#This Row],[CAREA]]</f>
        <v>2.8287201980481706E-5</v>
      </c>
      <c r="Z426">
        <v>2.9619599999999999</v>
      </c>
      <c r="AA426">
        <f>-(Table6360[[#This Row],[time]]-2)*2</f>
        <v>-1.9239199999999999</v>
      </c>
      <c r="AB426">
        <v>69.876999999999995</v>
      </c>
      <c r="AC426">
        <v>49.930799999999998</v>
      </c>
      <c r="AD426">
        <f>Table6360[[#This Row],[CFNM]]/Table6360[[#This Row],[CAREA]]</f>
        <v>0.71455271405469611</v>
      </c>
      <c r="AE426">
        <v>2.9619599999999999</v>
      </c>
      <c r="AF426">
        <f>-(Table7361[[#This Row],[time]]-2)*2</f>
        <v>-1.9239199999999999</v>
      </c>
      <c r="AG426">
        <v>70.639499999999998</v>
      </c>
      <c r="AH426">
        <v>0.52684699999999995</v>
      </c>
      <c r="AI426">
        <f>Table7361[[#This Row],[CFNM]]/Table7361[[#This Row],[CAREA]]</f>
        <v>7.4582492797938826E-3</v>
      </c>
      <c r="AJ426">
        <v>2.9619599999999999</v>
      </c>
      <c r="AK426">
        <f>-(Table8362[[#This Row],[time]]-2)*2</f>
        <v>-1.9239199999999999</v>
      </c>
      <c r="AL426">
        <v>82.031400000000005</v>
      </c>
      <c r="AM426">
        <v>60.691299999999998</v>
      </c>
      <c r="AN426">
        <f>Table8362[[#This Row],[CFNM]]/Table8362[[#This Row],[CAREA]]</f>
        <v>0.73985449474225717</v>
      </c>
    </row>
    <row r="427" spans="1:40" x14ac:dyDescent="0.25">
      <c r="A427">
        <v>3</v>
      </c>
      <c r="B427">
        <f>-(Table1355[[#This Row],[time]]-2)*2</f>
        <v>-2</v>
      </c>
      <c r="C427">
        <v>34.385599999999997</v>
      </c>
      <c r="D427">
        <v>9.6553399999999999E-4</v>
      </c>
      <c r="E427">
        <f>Table1355[[#This Row],[CFNM]]/Table1355[[#This Row],[CAREA]]</f>
        <v>2.8079603089665444E-5</v>
      </c>
      <c r="F427">
        <v>3</v>
      </c>
      <c r="G427">
        <f>-(Table2356[[#This Row],[time]]-2)*2</f>
        <v>-2</v>
      </c>
      <c r="H427">
        <v>76.671800000000005</v>
      </c>
      <c r="I427">
        <v>49.2104</v>
      </c>
      <c r="J427">
        <f>Table2356[[#This Row],[CFNM]]/Table2356[[#This Row],[CAREA]]</f>
        <v>0.64183180778330495</v>
      </c>
      <c r="K427">
        <v>3</v>
      </c>
      <c r="L427">
        <f>-(Table3357[[#This Row],[time]]-2)*2</f>
        <v>-2</v>
      </c>
      <c r="M427">
        <v>30.393799999999999</v>
      </c>
      <c r="N427">
        <v>2.7905600000000002E-4</v>
      </c>
      <c r="O427">
        <f>Table3357[[#This Row],[CFNM]]/Table3357[[#This Row],[CAREA]]</f>
        <v>9.1813461956056832E-6</v>
      </c>
      <c r="P427">
        <v>3</v>
      </c>
      <c r="Q427">
        <f>-(Table4358[[#This Row],[time]]-2)*2</f>
        <v>-2</v>
      </c>
      <c r="R427">
        <v>70.071399999999997</v>
      </c>
      <c r="S427">
        <v>49.350499999999997</v>
      </c>
      <c r="T427">
        <f>Table4358[[#This Row],[CFNM]]/Table4358[[#This Row],[CAREA]]</f>
        <v>0.7042887683134631</v>
      </c>
      <c r="U427">
        <v>3</v>
      </c>
      <c r="V427">
        <f>-(Table5359[[#This Row],[time]]-2)*2</f>
        <v>-2</v>
      </c>
      <c r="W427">
        <v>74.292199999999994</v>
      </c>
      <c r="X427">
        <v>1.99365E-3</v>
      </c>
      <c r="Y427">
        <f>Table5359[[#This Row],[CFNM]]/Table5359[[#This Row],[CAREA]]</f>
        <v>2.6835253229814169E-5</v>
      </c>
      <c r="Z427">
        <v>3</v>
      </c>
      <c r="AA427">
        <f>-(Table6360[[#This Row],[time]]-2)*2</f>
        <v>-2</v>
      </c>
      <c r="AB427">
        <v>69.173100000000005</v>
      </c>
      <c r="AC427">
        <v>51.419699999999999</v>
      </c>
      <c r="AD427">
        <f>Table6360[[#This Row],[CFNM]]/Table6360[[#This Row],[CAREA]]</f>
        <v>0.74334820905814536</v>
      </c>
      <c r="AE427">
        <v>3</v>
      </c>
      <c r="AF427">
        <f>-(Table7361[[#This Row],[time]]-2)*2</f>
        <v>-2</v>
      </c>
      <c r="AG427">
        <v>70.265699999999995</v>
      </c>
      <c r="AH427">
        <v>0.40406999999999998</v>
      </c>
      <c r="AI427">
        <f>Table7361[[#This Row],[CFNM]]/Table7361[[#This Row],[CAREA]]</f>
        <v>5.7506009333145479E-3</v>
      </c>
      <c r="AJ427">
        <v>3</v>
      </c>
      <c r="AK427">
        <f>-(Table8362[[#This Row],[time]]-2)*2</f>
        <v>-2</v>
      </c>
      <c r="AL427">
        <v>82.037999999999997</v>
      </c>
      <c r="AM427">
        <v>61.943199999999997</v>
      </c>
      <c r="AN427">
        <f>Table8362[[#This Row],[CFNM]]/Table8362[[#This Row],[CAREA]]</f>
        <v>0.75505497452400105</v>
      </c>
    </row>
    <row r="429" spans="1:40" x14ac:dyDescent="0.25">
      <c r="A429" t="s">
        <v>56</v>
      </c>
      <c r="E429" t="s">
        <v>1</v>
      </c>
    </row>
    <row r="430" spans="1:40" x14ac:dyDescent="0.25">
      <c r="A430" t="s">
        <v>57</v>
      </c>
      <c r="E430" t="s">
        <v>2</v>
      </c>
      <c r="F430" t="s">
        <v>3</v>
      </c>
    </row>
    <row r="432" spans="1:40" x14ac:dyDescent="0.25">
      <c r="A432" t="s">
        <v>4</v>
      </c>
      <c r="F432" t="s">
        <v>5</v>
      </c>
      <c r="K432" t="s">
        <v>6</v>
      </c>
      <c r="P432" t="s">
        <v>7</v>
      </c>
      <c r="U432" t="s">
        <v>8</v>
      </c>
      <c r="Z432" t="s">
        <v>9</v>
      </c>
      <c r="AE432" t="s">
        <v>10</v>
      </c>
      <c r="AJ432" t="s">
        <v>11</v>
      </c>
    </row>
    <row r="433" spans="1:40" x14ac:dyDescent="0.25">
      <c r="A433" t="s">
        <v>12</v>
      </c>
      <c r="B433" t="s">
        <v>13</v>
      </c>
      <c r="C433" t="s">
        <v>14</v>
      </c>
      <c r="D433" t="s">
        <v>15</v>
      </c>
      <c r="E433" t="s">
        <v>16</v>
      </c>
      <c r="F433" t="s">
        <v>12</v>
      </c>
      <c r="G433" t="s">
        <v>13</v>
      </c>
      <c r="H433" t="s">
        <v>14</v>
      </c>
      <c r="I433" t="s">
        <v>15</v>
      </c>
      <c r="J433" t="s">
        <v>16</v>
      </c>
      <c r="K433" t="s">
        <v>12</v>
      </c>
      <c r="L433" t="s">
        <v>13</v>
      </c>
      <c r="M433" t="s">
        <v>14</v>
      </c>
      <c r="N433" t="s">
        <v>15</v>
      </c>
      <c r="O433" t="s">
        <v>16</v>
      </c>
      <c r="P433" t="s">
        <v>12</v>
      </c>
      <c r="Q433" t="s">
        <v>13</v>
      </c>
      <c r="R433" t="s">
        <v>14</v>
      </c>
      <c r="S433" t="s">
        <v>15</v>
      </c>
      <c r="T433" t="s">
        <v>16</v>
      </c>
      <c r="U433" t="s">
        <v>12</v>
      </c>
      <c r="V433" t="s">
        <v>13</v>
      </c>
      <c r="W433" t="s">
        <v>14</v>
      </c>
      <c r="X433" t="s">
        <v>15</v>
      </c>
      <c r="Y433" t="s">
        <v>16</v>
      </c>
      <c r="Z433" t="s">
        <v>12</v>
      </c>
      <c r="AA433" t="s">
        <v>13</v>
      </c>
      <c r="AB433" t="s">
        <v>14</v>
      </c>
      <c r="AC433" t="s">
        <v>15</v>
      </c>
      <c r="AD433" t="s">
        <v>16</v>
      </c>
      <c r="AE433" t="s">
        <v>12</v>
      </c>
      <c r="AF433" t="s">
        <v>13</v>
      </c>
      <c r="AG433" t="s">
        <v>14</v>
      </c>
      <c r="AH433" t="s">
        <v>15</v>
      </c>
      <c r="AI433" t="s">
        <v>16</v>
      </c>
      <c r="AJ433" t="s">
        <v>12</v>
      </c>
      <c r="AK433" t="s">
        <v>13</v>
      </c>
      <c r="AL433" t="s">
        <v>14</v>
      </c>
      <c r="AM433" t="s">
        <v>15</v>
      </c>
      <c r="AN433" t="s">
        <v>16</v>
      </c>
    </row>
    <row r="434" spans="1:40" x14ac:dyDescent="0.25">
      <c r="A434">
        <v>2</v>
      </c>
      <c r="B434">
        <f>(Table110363[[#This Row],[time]]-2)*2</f>
        <v>0</v>
      </c>
      <c r="C434">
        <v>80.561000000000007</v>
      </c>
      <c r="D434">
        <v>3.98224</v>
      </c>
      <c r="E434" s="2">
        <f>Table110363[[#This Row],[CFNM]]/Table110363[[#This Row],[CAREA]]</f>
        <v>4.9431362569978023E-2</v>
      </c>
      <c r="F434">
        <v>2</v>
      </c>
      <c r="G434">
        <f>(Table211364[[#This Row],[time]]-2)*2</f>
        <v>0</v>
      </c>
      <c r="H434">
        <v>87.831800000000001</v>
      </c>
      <c r="I434">
        <v>3.8491699999999998E-3</v>
      </c>
      <c r="J434" s="2">
        <f>Table211364[[#This Row],[CFNM]]/Table211364[[#This Row],[CAREA]]</f>
        <v>4.3824332417188305E-5</v>
      </c>
      <c r="K434">
        <v>2</v>
      </c>
      <c r="L434">
        <f>(Table312365[[#This Row],[time]]-2)*2</f>
        <v>0</v>
      </c>
      <c r="M434">
        <v>85.166600000000003</v>
      </c>
      <c r="N434">
        <v>3.7004999999999998E-3</v>
      </c>
      <c r="O434">
        <f>Table312365[[#This Row],[CFNM]]/Table312365[[#This Row],[CAREA]]</f>
        <v>4.3450131859203019E-5</v>
      </c>
      <c r="P434">
        <v>2</v>
      </c>
      <c r="Q434">
        <f>(Table413366[[#This Row],[time]]-2)*2</f>
        <v>0</v>
      </c>
      <c r="R434">
        <v>79.101699999999994</v>
      </c>
      <c r="S434">
        <v>4.52579E-3</v>
      </c>
      <c r="T434">
        <f>Table413366[[#This Row],[CFNM]]/Table413366[[#This Row],[CAREA]]</f>
        <v>5.7214825977191392E-5</v>
      </c>
      <c r="U434">
        <v>2</v>
      </c>
      <c r="V434">
        <f>(Table514367[[#This Row],[time]]-2)*2</f>
        <v>0</v>
      </c>
      <c r="W434">
        <v>83.227800000000002</v>
      </c>
      <c r="X434">
        <v>3.5062700000000002</v>
      </c>
      <c r="Y434">
        <f>Table514367[[#This Row],[CFNM]]/Table514367[[#This Row],[CAREA]]</f>
        <v>4.2128591648463616E-2</v>
      </c>
      <c r="Z434">
        <v>2</v>
      </c>
      <c r="AA434">
        <f>(Table615368[[#This Row],[time]]-2)*2</f>
        <v>0</v>
      </c>
      <c r="AB434">
        <v>83.949600000000004</v>
      </c>
      <c r="AC434">
        <v>6.2740499999999999</v>
      </c>
      <c r="AD434">
        <f>Table615368[[#This Row],[CFNM]]/Table615368[[#This Row],[CAREA]]</f>
        <v>7.4735912976357233E-2</v>
      </c>
      <c r="AE434">
        <v>2</v>
      </c>
      <c r="AF434">
        <f>(Table716369[[#This Row],[time]]-2)*2</f>
        <v>0</v>
      </c>
      <c r="AG434">
        <v>78.459999999999994</v>
      </c>
      <c r="AH434">
        <v>14.7075</v>
      </c>
      <c r="AI434">
        <f>Table716369[[#This Row],[CFNM]]/Table716369[[#This Row],[CAREA]]</f>
        <v>0.18745220494519502</v>
      </c>
      <c r="AJ434">
        <v>2</v>
      </c>
      <c r="AK434">
        <f>(Table817370[[#This Row],[time]]-2)*2</f>
        <v>0</v>
      </c>
      <c r="AL434">
        <v>83.006</v>
      </c>
      <c r="AM434">
        <v>14.6487</v>
      </c>
      <c r="AN434">
        <f>Table817370[[#This Row],[CFNM]]/Table817370[[#This Row],[CAREA]]</f>
        <v>0.17647760402862445</v>
      </c>
    </row>
    <row r="435" spans="1:40" x14ac:dyDescent="0.25">
      <c r="A435">
        <v>2.0512600000000001</v>
      </c>
      <c r="B435">
        <f>(Table110363[[#This Row],[time]]-2)*2</f>
        <v>0.10252000000000017</v>
      </c>
      <c r="C435">
        <v>89.778099999999995</v>
      </c>
      <c r="D435">
        <v>12.538500000000001</v>
      </c>
      <c r="E435">
        <f>Table110363[[#This Row],[CFNM]]/Table110363[[#This Row],[CAREA]]</f>
        <v>0.13966100864241948</v>
      </c>
      <c r="F435">
        <v>2.0512600000000001</v>
      </c>
      <c r="G435">
        <f>(Table211364[[#This Row],[time]]-2)*2</f>
        <v>0.10252000000000017</v>
      </c>
      <c r="H435">
        <v>95.423599999999993</v>
      </c>
      <c r="I435">
        <v>0.88253700000000002</v>
      </c>
      <c r="J435">
        <f>Table211364[[#This Row],[CFNM]]/Table211364[[#This Row],[CAREA]]</f>
        <v>9.2486240301141442E-3</v>
      </c>
      <c r="K435">
        <v>2.0512600000000001</v>
      </c>
      <c r="L435">
        <f>(Table312365[[#This Row],[time]]-2)*2</f>
        <v>0.10252000000000017</v>
      </c>
      <c r="M435">
        <v>87.488500000000002</v>
      </c>
      <c r="N435">
        <v>6.4918399999999998</v>
      </c>
      <c r="O435">
        <f>Table312365[[#This Row],[CFNM]]/Table312365[[#This Row],[CAREA]]</f>
        <v>7.4202209433239796E-2</v>
      </c>
      <c r="P435">
        <v>2.0512600000000001</v>
      </c>
      <c r="Q435">
        <f>(Table413366[[#This Row],[time]]-2)*2</f>
        <v>0.10252000000000017</v>
      </c>
      <c r="R435">
        <v>87.414900000000003</v>
      </c>
      <c r="S435">
        <v>3.7518099999999999</v>
      </c>
      <c r="T435">
        <f>Table413366[[#This Row],[CFNM]]/Table413366[[#This Row],[CAREA]]</f>
        <v>4.2919570919831743E-2</v>
      </c>
      <c r="U435">
        <v>2.0512600000000001</v>
      </c>
      <c r="V435">
        <f>(Table514367[[#This Row],[time]]-2)*2</f>
        <v>0.10252000000000017</v>
      </c>
      <c r="W435">
        <v>82.548900000000003</v>
      </c>
      <c r="X435">
        <v>10.7323</v>
      </c>
      <c r="Y435">
        <f>Table514367[[#This Row],[CFNM]]/Table514367[[#This Row],[CAREA]]</f>
        <v>0.13001142353199133</v>
      </c>
      <c r="Z435">
        <v>2.0512600000000001</v>
      </c>
      <c r="AA435">
        <f>(Table615368[[#This Row],[time]]-2)*2</f>
        <v>0.10252000000000017</v>
      </c>
      <c r="AB435">
        <v>89.068899999999999</v>
      </c>
      <c r="AC435">
        <v>15.209</v>
      </c>
      <c r="AD435">
        <f>Table615368[[#This Row],[CFNM]]/Table615368[[#This Row],[CAREA]]</f>
        <v>0.17075544887160388</v>
      </c>
      <c r="AE435">
        <v>2.0512600000000001</v>
      </c>
      <c r="AF435">
        <f>(Table716369[[#This Row],[time]]-2)*2</f>
        <v>0.10252000000000017</v>
      </c>
      <c r="AG435">
        <v>78.569299999999998</v>
      </c>
      <c r="AH435">
        <v>22.581399999999999</v>
      </c>
      <c r="AI435">
        <f>Table716369[[#This Row],[CFNM]]/Table716369[[#This Row],[CAREA]]</f>
        <v>0.28740742249199114</v>
      </c>
      <c r="AJ435">
        <v>2.0512600000000001</v>
      </c>
      <c r="AK435">
        <f>(Table817370[[#This Row],[time]]-2)*2</f>
        <v>0.10252000000000017</v>
      </c>
      <c r="AL435">
        <v>83.224999999999994</v>
      </c>
      <c r="AM435">
        <v>17.617100000000001</v>
      </c>
      <c r="AN435">
        <f>Table817370[[#This Row],[CFNM]]/Table817370[[#This Row],[CAREA]]</f>
        <v>0.21168038449984983</v>
      </c>
    </row>
    <row r="436" spans="1:40" x14ac:dyDescent="0.25">
      <c r="A436">
        <v>2.1153300000000002</v>
      </c>
      <c r="B436">
        <f>(Table110363[[#This Row],[time]]-2)*2</f>
        <v>0.23066000000000031</v>
      </c>
      <c r="C436">
        <v>87.905500000000004</v>
      </c>
      <c r="D436">
        <v>15.032</v>
      </c>
      <c r="E436">
        <f>Table110363[[#This Row],[CFNM]]/Table110363[[#This Row],[CAREA]]</f>
        <v>0.17100181444847024</v>
      </c>
      <c r="F436">
        <v>2.1153300000000002</v>
      </c>
      <c r="G436">
        <f>(Table211364[[#This Row],[time]]-2)*2</f>
        <v>0.23066000000000031</v>
      </c>
      <c r="H436">
        <v>94.556200000000004</v>
      </c>
      <c r="I436">
        <v>5.4278699999999996E-3</v>
      </c>
      <c r="J436">
        <f>Table211364[[#This Row],[CFNM]]/Table211364[[#This Row],[CAREA]]</f>
        <v>5.7403639317146835E-5</v>
      </c>
      <c r="K436">
        <v>2.1153300000000002</v>
      </c>
      <c r="L436">
        <f>(Table312365[[#This Row],[time]]-2)*2</f>
        <v>0.23066000000000031</v>
      </c>
      <c r="M436">
        <v>85.932500000000005</v>
      </c>
      <c r="N436">
        <v>9.9347100000000008</v>
      </c>
      <c r="O436">
        <f>Table312365[[#This Row],[CFNM]]/Table312365[[#This Row],[CAREA]]</f>
        <v>0.1156106246181596</v>
      </c>
      <c r="P436">
        <v>2.1153300000000002</v>
      </c>
      <c r="Q436">
        <f>(Table413366[[#This Row],[time]]-2)*2</f>
        <v>0.23066000000000031</v>
      </c>
      <c r="R436">
        <v>88.551100000000005</v>
      </c>
      <c r="S436">
        <v>1.6645300000000001</v>
      </c>
      <c r="T436">
        <f>Table413366[[#This Row],[CFNM]]/Table413366[[#This Row],[CAREA]]</f>
        <v>1.8797394950486216E-2</v>
      </c>
      <c r="U436">
        <v>2.1153300000000002</v>
      </c>
      <c r="V436">
        <f>(Table514367[[#This Row],[time]]-2)*2</f>
        <v>0.23066000000000031</v>
      </c>
      <c r="W436">
        <v>80.277900000000002</v>
      </c>
      <c r="X436">
        <v>12.829000000000001</v>
      </c>
      <c r="Y436">
        <f>Table514367[[#This Row],[CFNM]]/Table514367[[#This Row],[CAREA]]</f>
        <v>0.15980736915141028</v>
      </c>
      <c r="Z436">
        <v>2.1153300000000002</v>
      </c>
      <c r="AA436">
        <f>(Table615368[[#This Row],[time]]-2)*2</f>
        <v>0.23066000000000031</v>
      </c>
      <c r="AB436">
        <v>89.959500000000006</v>
      </c>
      <c r="AC436">
        <v>14.246499999999999</v>
      </c>
      <c r="AD436">
        <f>Table615368[[#This Row],[CFNM]]/Table615368[[#This Row],[CAREA]]</f>
        <v>0.1583657090135005</v>
      </c>
      <c r="AE436">
        <v>2.1153300000000002</v>
      </c>
      <c r="AF436">
        <f>(Table716369[[#This Row],[time]]-2)*2</f>
        <v>0.23066000000000031</v>
      </c>
      <c r="AG436">
        <v>77.891599999999997</v>
      </c>
      <c r="AH436">
        <v>25.650200000000002</v>
      </c>
      <c r="AI436">
        <f>Table716369[[#This Row],[CFNM]]/Table716369[[#This Row],[CAREA]]</f>
        <v>0.32930636936460417</v>
      </c>
      <c r="AJ436">
        <v>2.1153300000000002</v>
      </c>
      <c r="AK436">
        <f>(Table817370[[#This Row],[time]]-2)*2</f>
        <v>0.23066000000000031</v>
      </c>
      <c r="AL436">
        <v>83.11</v>
      </c>
      <c r="AM436">
        <v>16.240200000000002</v>
      </c>
      <c r="AN436">
        <f>Table817370[[#This Row],[CFNM]]/Table817370[[#This Row],[CAREA]]</f>
        <v>0.19540608831668874</v>
      </c>
    </row>
    <row r="437" spans="1:40" x14ac:dyDescent="0.25">
      <c r="A437">
        <v>2.16533</v>
      </c>
      <c r="B437">
        <f>(Table110363[[#This Row],[time]]-2)*2</f>
        <v>0.33065999999999995</v>
      </c>
      <c r="C437">
        <v>85.606200000000001</v>
      </c>
      <c r="D437">
        <v>17.4831</v>
      </c>
      <c r="E437">
        <f>Table110363[[#This Row],[CFNM]]/Table110363[[#This Row],[CAREA]]</f>
        <v>0.20422703028518963</v>
      </c>
      <c r="F437">
        <v>2.16533</v>
      </c>
      <c r="G437">
        <f>(Table211364[[#This Row],[time]]-2)*2</f>
        <v>0.33065999999999995</v>
      </c>
      <c r="H437">
        <v>94.292699999999996</v>
      </c>
      <c r="I437">
        <v>4.6085299999999996E-3</v>
      </c>
      <c r="J437">
        <f>Table211364[[#This Row],[CFNM]]/Table211364[[#This Row],[CAREA]]</f>
        <v>4.8874727311870377E-5</v>
      </c>
      <c r="K437">
        <v>2.16533</v>
      </c>
      <c r="L437">
        <f>(Table312365[[#This Row],[time]]-2)*2</f>
        <v>0.33065999999999995</v>
      </c>
      <c r="M437">
        <v>84.3506</v>
      </c>
      <c r="N437">
        <v>13.158799999999999</v>
      </c>
      <c r="O437">
        <f>Table312365[[#This Row],[CFNM]]/Table312365[[#This Row],[CAREA]]</f>
        <v>0.15600126140181575</v>
      </c>
      <c r="P437">
        <v>2.16533</v>
      </c>
      <c r="Q437">
        <f>(Table413366[[#This Row],[time]]-2)*2</f>
        <v>0.33065999999999995</v>
      </c>
      <c r="R437">
        <v>88.999399999999994</v>
      </c>
      <c r="S437">
        <v>0.21126500000000001</v>
      </c>
      <c r="T437">
        <f>Table413366[[#This Row],[CFNM]]/Table413366[[#This Row],[CAREA]]</f>
        <v>2.3737800479553799E-3</v>
      </c>
      <c r="U437">
        <v>2.16533</v>
      </c>
      <c r="V437">
        <f>(Table514367[[#This Row],[time]]-2)*2</f>
        <v>0.33065999999999995</v>
      </c>
      <c r="W437">
        <v>76.823999999999998</v>
      </c>
      <c r="X437">
        <v>15.206200000000001</v>
      </c>
      <c r="Y437">
        <f>Table514367[[#This Row],[CFNM]]/Table514367[[#This Row],[CAREA]]</f>
        <v>0.1979355409767781</v>
      </c>
      <c r="Z437">
        <v>2.16533</v>
      </c>
      <c r="AA437">
        <f>(Table615368[[#This Row],[time]]-2)*2</f>
        <v>0.33065999999999995</v>
      </c>
      <c r="AB437">
        <v>91.810199999999995</v>
      </c>
      <c r="AC437">
        <v>13.2011</v>
      </c>
      <c r="AD437">
        <f>Table615368[[#This Row],[CFNM]]/Table615368[[#This Row],[CAREA]]</f>
        <v>0.14378685592668353</v>
      </c>
      <c r="AE437">
        <v>2.16533</v>
      </c>
      <c r="AF437">
        <f>(Table716369[[#This Row],[time]]-2)*2</f>
        <v>0.33065999999999995</v>
      </c>
      <c r="AG437">
        <v>77.691800000000001</v>
      </c>
      <c r="AH437">
        <v>28.208600000000001</v>
      </c>
      <c r="AI437">
        <f>Table716369[[#This Row],[CFNM]]/Table716369[[#This Row],[CAREA]]</f>
        <v>0.36308336272296432</v>
      </c>
      <c r="AJ437">
        <v>2.16533</v>
      </c>
      <c r="AK437">
        <f>(Table817370[[#This Row],[time]]-2)*2</f>
        <v>0.33065999999999995</v>
      </c>
      <c r="AL437">
        <v>82.993300000000005</v>
      </c>
      <c r="AM437">
        <v>15.210599999999999</v>
      </c>
      <c r="AN437">
        <f>Table817370[[#This Row],[CFNM]]/Table817370[[#This Row],[CAREA]]</f>
        <v>0.18327503545466922</v>
      </c>
    </row>
    <row r="438" spans="1:40" x14ac:dyDescent="0.25">
      <c r="A438">
        <v>2.2246999999999999</v>
      </c>
      <c r="B438">
        <f>(Table110363[[#This Row],[time]]-2)*2</f>
        <v>0.4493999999999998</v>
      </c>
      <c r="C438">
        <v>84.188000000000002</v>
      </c>
      <c r="D438">
        <v>20.5932</v>
      </c>
      <c r="E438">
        <f>Table110363[[#This Row],[CFNM]]/Table110363[[#This Row],[CAREA]]</f>
        <v>0.24460968309022663</v>
      </c>
      <c r="F438">
        <v>2.2246999999999999</v>
      </c>
      <c r="G438">
        <f>(Table211364[[#This Row],[time]]-2)*2</f>
        <v>0.4493999999999998</v>
      </c>
      <c r="H438">
        <v>94.463300000000004</v>
      </c>
      <c r="I438">
        <v>3.8557299999999999E-3</v>
      </c>
      <c r="J438">
        <f>Table211364[[#This Row],[CFNM]]/Table211364[[#This Row],[CAREA]]</f>
        <v>4.0817227431182264E-5</v>
      </c>
      <c r="K438">
        <v>2.2246999999999999</v>
      </c>
      <c r="L438">
        <f>(Table312365[[#This Row],[time]]-2)*2</f>
        <v>0.4493999999999998</v>
      </c>
      <c r="M438">
        <v>83.299700000000001</v>
      </c>
      <c r="N438">
        <v>16.300999999999998</v>
      </c>
      <c r="O438">
        <f>Table312365[[#This Row],[CFNM]]/Table312365[[#This Row],[CAREA]]</f>
        <v>0.1956909808798831</v>
      </c>
      <c r="P438">
        <v>2.2246999999999999</v>
      </c>
      <c r="Q438">
        <f>(Table413366[[#This Row],[time]]-2)*2</f>
        <v>0.4493999999999998</v>
      </c>
      <c r="R438">
        <v>88.607399999999998</v>
      </c>
      <c r="S438">
        <v>4.4758799999999998E-3</v>
      </c>
      <c r="T438">
        <f>Table413366[[#This Row],[CFNM]]/Table413366[[#This Row],[CAREA]]</f>
        <v>5.0513613987093625E-5</v>
      </c>
      <c r="U438">
        <v>2.2246999999999999</v>
      </c>
      <c r="V438">
        <f>(Table514367[[#This Row],[time]]-2)*2</f>
        <v>0.4493999999999998</v>
      </c>
      <c r="W438">
        <v>74.358500000000006</v>
      </c>
      <c r="X438">
        <v>18.3687</v>
      </c>
      <c r="Y438">
        <f>Table514367[[#This Row],[CFNM]]/Table514367[[#This Row],[CAREA]]</f>
        <v>0.24702892070173549</v>
      </c>
      <c r="Z438">
        <v>2.2246999999999999</v>
      </c>
      <c r="AA438">
        <f>(Table615368[[#This Row],[time]]-2)*2</f>
        <v>0.4493999999999998</v>
      </c>
      <c r="AB438">
        <v>91.454499999999996</v>
      </c>
      <c r="AC438">
        <v>12.176500000000001</v>
      </c>
      <c r="AD438">
        <f>Table615368[[#This Row],[CFNM]]/Table615368[[#This Row],[CAREA]]</f>
        <v>0.13314271030949817</v>
      </c>
      <c r="AE438">
        <v>2.2246999999999999</v>
      </c>
      <c r="AF438">
        <f>(Table716369[[#This Row],[time]]-2)*2</f>
        <v>0.4493999999999998</v>
      </c>
      <c r="AG438">
        <v>77.760900000000007</v>
      </c>
      <c r="AH438">
        <v>31.421399999999998</v>
      </c>
      <c r="AI438">
        <f>Table716369[[#This Row],[CFNM]]/Table716369[[#This Row],[CAREA]]</f>
        <v>0.40407711330501572</v>
      </c>
      <c r="AJ438">
        <v>2.2246999999999999</v>
      </c>
      <c r="AK438">
        <f>(Table817370[[#This Row],[time]]-2)*2</f>
        <v>0.4493999999999998</v>
      </c>
      <c r="AL438">
        <v>82.390500000000003</v>
      </c>
      <c r="AM438">
        <v>14.115</v>
      </c>
      <c r="AN438">
        <f>Table817370[[#This Row],[CFNM]]/Table817370[[#This Row],[CAREA]]</f>
        <v>0.17131829519180003</v>
      </c>
    </row>
    <row r="439" spans="1:40" x14ac:dyDescent="0.25">
      <c r="A439">
        <v>2.2668900000000001</v>
      </c>
      <c r="B439">
        <f>(Table110363[[#This Row],[time]]-2)*2</f>
        <v>0.53378000000000014</v>
      </c>
      <c r="C439">
        <v>82.891499999999994</v>
      </c>
      <c r="D439">
        <v>23.334299999999999</v>
      </c>
      <c r="E439">
        <f>Table110363[[#This Row],[CFNM]]/Table110363[[#This Row],[CAREA]]</f>
        <v>0.28150413492336368</v>
      </c>
      <c r="F439">
        <v>2.2668900000000001</v>
      </c>
      <c r="G439">
        <f>(Table211364[[#This Row],[time]]-2)*2</f>
        <v>0.53378000000000014</v>
      </c>
      <c r="H439">
        <v>93.9161</v>
      </c>
      <c r="I439">
        <v>3.25253E-3</v>
      </c>
      <c r="J439">
        <f>Table211364[[#This Row],[CFNM]]/Table211364[[#This Row],[CAREA]]</f>
        <v>3.4632294143389682E-5</v>
      </c>
      <c r="K439">
        <v>2.2668900000000001</v>
      </c>
      <c r="L439">
        <f>(Table312365[[#This Row],[time]]-2)*2</f>
        <v>0.53378000000000014</v>
      </c>
      <c r="M439">
        <v>82.482500000000002</v>
      </c>
      <c r="N439">
        <v>18.857199999999999</v>
      </c>
      <c r="O439">
        <f>Table312365[[#This Row],[CFNM]]/Table312365[[#This Row],[CAREA]]</f>
        <v>0.22862061649440787</v>
      </c>
      <c r="P439">
        <v>2.2668900000000001</v>
      </c>
      <c r="Q439">
        <f>(Table413366[[#This Row],[time]]-2)*2</f>
        <v>0.53378000000000014</v>
      </c>
      <c r="R439">
        <v>87.7714</v>
      </c>
      <c r="S439">
        <v>3.7084399999999999E-3</v>
      </c>
      <c r="T439">
        <f>Table413366[[#This Row],[CFNM]]/Table413366[[#This Row],[CAREA]]</f>
        <v>4.2251120524453298E-5</v>
      </c>
      <c r="U439">
        <v>2.2668900000000001</v>
      </c>
      <c r="V439">
        <f>(Table514367[[#This Row],[time]]-2)*2</f>
        <v>0.53378000000000014</v>
      </c>
      <c r="W439">
        <v>72.720699999999994</v>
      </c>
      <c r="X439">
        <v>20.980899999999998</v>
      </c>
      <c r="Y439">
        <f>Table514367[[#This Row],[CFNM]]/Table514367[[#This Row],[CAREA]]</f>
        <v>0.28851344940298979</v>
      </c>
      <c r="Z439">
        <v>2.2668900000000001</v>
      </c>
      <c r="AA439">
        <f>(Table615368[[#This Row],[time]]-2)*2</f>
        <v>0.53378000000000014</v>
      </c>
      <c r="AB439">
        <v>92.28</v>
      </c>
      <c r="AC439">
        <v>11.708</v>
      </c>
      <c r="AD439">
        <f>Table615368[[#This Row],[CFNM]]/Table615368[[#This Row],[CAREA]]</f>
        <v>0.1268747290853923</v>
      </c>
      <c r="AE439">
        <v>2.2668900000000001</v>
      </c>
      <c r="AF439">
        <f>(Table716369[[#This Row],[time]]-2)*2</f>
        <v>0.53378000000000014</v>
      </c>
      <c r="AG439">
        <v>77.773399999999995</v>
      </c>
      <c r="AH439">
        <v>34.263500000000001</v>
      </c>
      <c r="AI439">
        <f>Table716369[[#This Row],[CFNM]]/Table716369[[#This Row],[CAREA]]</f>
        <v>0.44055551126734849</v>
      </c>
      <c r="AJ439">
        <v>2.2668900000000001</v>
      </c>
      <c r="AK439">
        <f>(Table817370[[#This Row],[time]]-2)*2</f>
        <v>0.53378000000000014</v>
      </c>
      <c r="AL439">
        <v>81.817400000000006</v>
      </c>
      <c r="AM439">
        <v>13.3645</v>
      </c>
      <c r="AN439">
        <f>Table817370[[#This Row],[CFNM]]/Table817370[[#This Row],[CAREA]]</f>
        <v>0.16334544974540866</v>
      </c>
    </row>
    <row r="440" spans="1:40" x14ac:dyDescent="0.25">
      <c r="A440">
        <v>2.3262700000000001</v>
      </c>
      <c r="B440">
        <f>(Table110363[[#This Row],[time]]-2)*2</f>
        <v>0.65254000000000012</v>
      </c>
      <c r="C440">
        <v>82.005499999999998</v>
      </c>
      <c r="D440">
        <v>25.871600000000001</v>
      </c>
      <c r="E440">
        <f>Table110363[[#This Row],[CFNM]]/Table110363[[#This Row],[CAREA]]</f>
        <v>0.31548615641633793</v>
      </c>
      <c r="F440">
        <v>2.3262700000000001</v>
      </c>
      <c r="G440">
        <f>(Table211364[[#This Row],[time]]-2)*2</f>
        <v>0.65254000000000012</v>
      </c>
      <c r="H440">
        <v>90.775800000000004</v>
      </c>
      <c r="I440">
        <v>2.8133199999999998E-3</v>
      </c>
      <c r="J440">
        <f>Table211364[[#This Row],[CFNM]]/Table211364[[#This Row],[CAREA]]</f>
        <v>3.0991960412356592E-5</v>
      </c>
      <c r="K440">
        <v>2.3262700000000001</v>
      </c>
      <c r="L440">
        <f>(Table312365[[#This Row],[time]]-2)*2</f>
        <v>0.65254000000000012</v>
      </c>
      <c r="M440">
        <v>81.748199999999997</v>
      </c>
      <c r="N440">
        <v>21.109300000000001</v>
      </c>
      <c r="O440">
        <f>Table312365[[#This Row],[CFNM]]/Table312365[[#This Row],[CAREA]]</f>
        <v>0.25822342265640102</v>
      </c>
      <c r="P440">
        <v>2.3262700000000001</v>
      </c>
      <c r="Q440">
        <f>(Table413366[[#This Row],[time]]-2)*2</f>
        <v>0.65254000000000012</v>
      </c>
      <c r="R440">
        <v>86.268900000000002</v>
      </c>
      <c r="S440">
        <v>3.2029699999999999E-3</v>
      </c>
      <c r="T440">
        <f>Table413366[[#This Row],[CFNM]]/Table413366[[#This Row],[CAREA]]</f>
        <v>3.7127748238357041E-5</v>
      </c>
      <c r="U440">
        <v>2.3262700000000001</v>
      </c>
      <c r="V440">
        <f>(Table514367[[#This Row],[time]]-2)*2</f>
        <v>0.65254000000000012</v>
      </c>
      <c r="W440">
        <v>70.836600000000004</v>
      </c>
      <c r="X440">
        <v>23.383199999999999</v>
      </c>
      <c r="Y440">
        <f>Table514367[[#This Row],[CFNM]]/Table514367[[#This Row],[CAREA]]</f>
        <v>0.33010054124562721</v>
      </c>
      <c r="Z440">
        <v>2.3262700000000001</v>
      </c>
      <c r="AA440">
        <f>(Table615368[[#This Row],[time]]-2)*2</f>
        <v>0.65254000000000012</v>
      </c>
      <c r="AB440">
        <v>92.897800000000004</v>
      </c>
      <c r="AC440">
        <v>11.365</v>
      </c>
      <c r="AD440">
        <f>Table615368[[#This Row],[CFNM]]/Table615368[[#This Row],[CAREA]]</f>
        <v>0.12233874214459331</v>
      </c>
      <c r="AE440">
        <v>2.3262700000000001</v>
      </c>
      <c r="AF440">
        <f>(Table716369[[#This Row],[time]]-2)*2</f>
        <v>0.65254000000000012</v>
      </c>
      <c r="AG440">
        <v>77.785600000000002</v>
      </c>
      <c r="AH440">
        <v>36.871400000000001</v>
      </c>
      <c r="AI440">
        <f>Table716369[[#This Row],[CFNM]]/Table716369[[#This Row],[CAREA]]</f>
        <v>0.47401318495968403</v>
      </c>
      <c r="AJ440">
        <v>2.3262700000000001</v>
      </c>
      <c r="AK440">
        <f>(Table817370[[#This Row],[time]]-2)*2</f>
        <v>0.65254000000000012</v>
      </c>
      <c r="AL440">
        <v>81.360699999999994</v>
      </c>
      <c r="AM440">
        <v>12.750400000000001</v>
      </c>
      <c r="AN440">
        <f>Table817370[[#This Row],[CFNM]]/Table817370[[#This Row],[CAREA]]</f>
        <v>0.15671448254501255</v>
      </c>
    </row>
    <row r="441" spans="1:40" x14ac:dyDescent="0.25">
      <c r="A441">
        <v>2.3684599999999998</v>
      </c>
      <c r="B441">
        <f>(Table110363[[#This Row],[time]]-2)*2</f>
        <v>0.73691999999999958</v>
      </c>
      <c r="C441">
        <v>80.036699999999996</v>
      </c>
      <c r="D441">
        <v>28.539000000000001</v>
      </c>
      <c r="E441">
        <f>Table110363[[#This Row],[CFNM]]/Table110363[[#This Row],[CAREA]]</f>
        <v>0.35657392171341401</v>
      </c>
      <c r="F441">
        <v>2.3684599999999998</v>
      </c>
      <c r="G441">
        <f>(Table211364[[#This Row],[time]]-2)*2</f>
        <v>0.73691999999999958</v>
      </c>
      <c r="H441">
        <v>88.97</v>
      </c>
      <c r="I441">
        <v>2.4892999999999998E-3</v>
      </c>
      <c r="J441">
        <f>Table211364[[#This Row],[CFNM]]/Table211364[[#This Row],[CAREA]]</f>
        <v>2.797909407665505E-5</v>
      </c>
      <c r="K441">
        <v>2.3684599999999998</v>
      </c>
      <c r="L441">
        <f>(Table312365[[#This Row],[time]]-2)*2</f>
        <v>0.73691999999999958</v>
      </c>
      <c r="M441">
        <v>80.887500000000003</v>
      </c>
      <c r="N441">
        <v>23.347000000000001</v>
      </c>
      <c r="O441">
        <f>Table312365[[#This Row],[CFNM]]/Table312365[[#This Row],[CAREA]]</f>
        <v>0.28863545047133365</v>
      </c>
      <c r="P441">
        <v>2.3684599999999998</v>
      </c>
      <c r="Q441">
        <f>(Table413366[[#This Row],[time]]-2)*2</f>
        <v>0.73691999999999958</v>
      </c>
      <c r="R441">
        <v>85.100899999999996</v>
      </c>
      <c r="S441">
        <v>2.94297E-3</v>
      </c>
      <c r="T441">
        <f>Table413366[[#This Row],[CFNM]]/Table413366[[#This Row],[CAREA]]</f>
        <v>3.458212545343234E-5</v>
      </c>
      <c r="U441">
        <v>2.3684599999999998</v>
      </c>
      <c r="V441">
        <f>(Table514367[[#This Row],[time]]-2)*2</f>
        <v>0.73691999999999958</v>
      </c>
      <c r="W441">
        <v>69.6798</v>
      </c>
      <c r="X441">
        <v>25.960599999999999</v>
      </c>
      <c r="Y441">
        <f>Table514367[[#This Row],[CFNM]]/Table514367[[#This Row],[CAREA]]</f>
        <v>0.37256995571169838</v>
      </c>
      <c r="Z441">
        <v>2.3684599999999998</v>
      </c>
      <c r="AA441">
        <f>(Table615368[[#This Row],[time]]-2)*2</f>
        <v>0.73691999999999958</v>
      </c>
      <c r="AB441">
        <v>93.018900000000002</v>
      </c>
      <c r="AC441">
        <v>10.969799999999999</v>
      </c>
      <c r="AD441">
        <f>Table615368[[#This Row],[CFNM]]/Table615368[[#This Row],[CAREA]]</f>
        <v>0.11793087211308668</v>
      </c>
      <c r="AE441">
        <v>2.3684599999999998</v>
      </c>
      <c r="AF441">
        <f>(Table716369[[#This Row],[time]]-2)*2</f>
        <v>0.73691999999999958</v>
      </c>
      <c r="AG441">
        <v>77.771100000000004</v>
      </c>
      <c r="AH441">
        <v>39.678100000000001</v>
      </c>
      <c r="AI441">
        <f>Table716369[[#This Row],[CFNM]]/Table716369[[#This Row],[CAREA]]</f>
        <v>0.51019080352470259</v>
      </c>
      <c r="AJ441">
        <v>2.3684599999999998</v>
      </c>
      <c r="AK441">
        <f>(Table817370[[#This Row],[time]]-2)*2</f>
        <v>0.73691999999999958</v>
      </c>
      <c r="AL441">
        <v>80.906999999999996</v>
      </c>
      <c r="AM441">
        <v>12.1327</v>
      </c>
      <c r="AN441">
        <f>Table817370[[#This Row],[CFNM]]/Table817370[[#This Row],[CAREA]]</f>
        <v>0.14995859443558654</v>
      </c>
    </row>
    <row r="442" spans="1:40" x14ac:dyDescent="0.25">
      <c r="A442">
        <v>2.4278300000000002</v>
      </c>
      <c r="B442">
        <f>(Table110363[[#This Row],[time]]-2)*2</f>
        <v>0.85566000000000031</v>
      </c>
      <c r="C442">
        <v>78.939300000000003</v>
      </c>
      <c r="D442">
        <v>31.0304</v>
      </c>
      <c r="E442">
        <f>Table110363[[#This Row],[CFNM]]/Table110363[[#This Row],[CAREA]]</f>
        <v>0.39309190732626209</v>
      </c>
      <c r="F442">
        <v>2.4278300000000002</v>
      </c>
      <c r="G442">
        <f>(Table211364[[#This Row],[time]]-2)*2</f>
        <v>0.85566000000000031</v>
      </c>
      <c r="H442">
        <v>83.582999999999998</v>
      </c>
      <c r="I442">
        <v>2.2019000000000001E-3</v>
      </c>
      <c r="J442">
        <f>Table211364[[#This Row],[CFNM]]/Table211364[[#This Row],[CAREA]]</f>
        <v>2.6343873754232322E-5</v>
      </c>
      <c r="K442">
        <v>2.4278300000000002</v>
      </c>
      <c r="L442">
        <f>(Table312365[[#This Row],[time]]-2)*2</f>
        <v>0.85566000000000031</v>
      </c>
      <c r="M442">
        <v>80.328500000000005</v>
      </c>
      <c r="N442">
        <v>25.3947</v>
      </c>
      <c r="O442">
        <f>Table312365[[#This Row],[CFNM]]/Table312365[[#This Row],[CAREA]]</f>
        <v>0.31613561811810253</v>
      </c>
      <c r="P442">
        <v>2.4278300000000002</v>
      </c>
      <c r="Q442">
        <f>(Table413366[[#This Row],[time]]-2)*2</f>
        <v>0.85566000000000031</v>
      </c>
      <c r="R442">
        <v>84.662199999999999</v>
      </c>
      <c r="S442">
        <v>2.7218099999999999E-3</v>
      </c>
      <c r="T442">
        <f>Table413366[[#This Row],[CFNM]]/Table413366[[#This Row],[CAREA]]</f>
        <v>3.2149058257404129E-5</v>
      </c>
      <c r="U442">
        <v>2.4278300000000002</v>
      </c>
      <c r="V442">
        <f>(Table514367[[#This Row],[time]]-2)*2</f>
        <v>0.85566000000000031</v>
      </c>
      <c r="W442">
        <v>68.9816</v>
      </c>
      <c r="X442">
        <v>28.438600000000001</v>
      </c>
      <c r="Y442">
        <f>Table514367[[#This Row],[CFNM]]/Table514367[[#This Row],[CAREA]]</f>
        <v>0.41226356013777588</v>
      </c>
      <c r="Z442">
        <v>2.4278300000000002</v>
      </c>
      <c r="AA442">
        <f>(Table615368[[#This Row],[time]]-2)*2</f>
        <v>0.85566000000000031</v>
      </c>
      <c r="AB442">
        <v>92.433400000000006</v>
      </c>
      <c r="AC442">
        <v>10.591900000000001</v>
      </c>
      <c r="AD442">
        <f>Table615368[[#This Row],[CFNM]]/Table615368[[#This Row],[CAREA]]</f>
        <v>0.11458953148969961</v>
      </c>
      <c r="AE442">
        <v>2.4278300000000002</v>
      </c>
      <c r="AF442">
        <f>(Table716369[[#This Row],[time]]-2)*2</f>
        <v>0.85566000000000031</v>
      </c>
      <c r="AG442">
        <v>77.677000000000007</v>
      </c>
      <c r="AH442">
        <v>42.358400000000003</v>
      </c>
      <c r="AI442">
        <f>Table716369[[#This Row],[CFNM]]/Table716369[[#This Row],[CAREA]]</f>
        <v>0.54531457188099441</v>
      </c>
      <c r="AJ442">
        <v>2.4278300000000002</v>
      </c>
      <c r="AK442">
        <f>(Table817370[[#This Row],[time]]-2)*2</f>
        <v>0.85566000000000031</v>
      </c>
      <c r="AL442">
        <v>80.451099999999997</v>
      </c>
      <c r="AM442">
        <v>11.5649</v>
      </c>
      <c r="AN442">
        <f>Table817370[[#This Row],[CFNM]]/Table817370[[#This Row],[CAREA]]</f>
        <v>0.14375067587640195</v>
      </c>
    </row>
    <row r="443" spans="1:40" x14ac:dyDescent="0.25">
      <c r="A443">
        <v>2.4542000000000002</v>
      </c>
      <c r="B443">
        <f>(Table110363[[#This Row],[time]]-2)*2</f>
        <v>0.90840000000000032</v>
      </c>
      <c r="C443">
        <v>77.883700000000005</v>
      </c>
      <c r="D443">
        <v>33.440100000000001</v>
      </c>
      <c r="E443">
        <f>Table110363[[#This Row],[CFNM]]/Table110363[[#This Row],[CAREA]]</f>
        <v>0.42935941666869959</v>
      </c>
      <c r="F443">
        <v>2.4542000000000002</v>
      </c>
      <c r="G443">
        <f>(Table211364[[#This Row],[time]]-2)*2</f>
        <v>0.90840000000000032</v>
      </c>
      <c r="H443">
        <v>78.909099999999995</v>
      </c>
      <c r="I443">
        <v>1.91888E-3</v>
      </c>
      <c r="J443">
        <f>Table211364[[#This Row],[CFNM]]/Table211364[[#This Row],[CAREA]]</f>
        <v>2.4317600885069025E-5</v>
      </c>
      <c r="K443">
        <v>2.4542000000000002</v>
      </c>
      <c r="L443">
        <f>(Table312365[[#This Row],[time]]-2)*2</f>
        <v>0.90840000000000032</v>
      </c>
      <c r="M443">
        <v>79.713999999999999</v>
      </c>
      <c r="N443">
        <v>27.4359</v>
      </c>
      <c r="O443">
        <f>Table312365[[#This Row],[CFNM]]/Table312365[[#This Row],[CAREA]]</f>
        <v>0.34417919060641794</v>
      </c>
      <c r="P443">
        <v>2.4542000000000002</v>
      </c>
      <c r="Q443">
        <f>(Table413366[[#This Row],[time]]-2)*2</f>
        <v>0.90840000000000032</v>
      </c>
      <c r="R443">
        <v>83.011499999999998</v>
      </c>
      <c r="S443">
        <v>2.4880200000000001E-3</v>
      </c>
      <c r="T443">
        <f>Table413366[[#This Row],[CFNM]]/Table413366[[#This Row],[CAREA]]</f>
        <v>2.9971991832456949E-5</v>
      </c>
      <c r="U443">
        <v>2.4542000000000002</v>
      </c>
      <c r="V443">
        <f>(Table514367[[#This Row],[time]]-2)*2</f>
        <v>0.90840000000000032</v>
      </c>
      <c r="W443">
        <v>67.890799999999999</v>
      </c>
      <c r="X443">
        <v>30.929200000000002</v>
      </c>
      <c r="Y443">
        <f>Table514367[[#This Row],[CFNM]]/Table514367[[#This Row],[CAREA]]</f>
        <v>0.4555727727468229</v>
      </c>
      <c r="Z443">
        <v>2.4542000000000002</v>
      </c>
      <c r="AA443">
        <f>(Table615368[[#This Row],[time]]-2)*2</f>
        <v>0.90840000000000032</v>
      </c>
      <c r="AB443">
        <v>92.712199999999996</v>
      </c>
      <c r="AC443">
        <v>10.063800000000001</v>
      </c>
      <c r="AD443">
        <f>Table615368[[#This Row],[CFNM]]/Table615368[[#This Row],[CAREA]]</f>
        <v>0.10854882097501732</v>
      </c>
      <c r="AE443">
        <v>2.4542000000000002</v>
      </c>
      <c r="AF443">
        <f>(Table716369[[#This Row],[time]]-2)*2</f>
        <v>0.90840000000000032</v>
      </c>
      <c r="AG443">
        <v>77.438800000000001</v>
      </c>
      <c r="AH443">
        <v>45.116999999999997</v>
      </c>
      <c r="AI443">
        <f>Table716369[[#This Row],[CFNM]]/Table716369[[#This Row],[CAREA]]</f>
        <v>0.58261491655345898</v>
      </c>
      <c r="AJ443">
        <v>2.4542000000000002</v>
      </c>
      <c r="AK443">
        <f>(Table817370[[#This Row],[time]]-2)*2</f>
        <v>0.90840000000000032</v>
      </c>
      <c r="AL443">
        <v>80.007300000000001</v>
      </c>
      <c r="AM443">
        <v>10.9826</v>
      </c>
      <c r="AN443">
        <f>Table817370[[#This Row],[CFNM]]/Table817370[[#This Row],[CAREA]]</f>
        <v>0.13726997411486203</v>
      </c>
    </row>
    <row r="444" spans="1:40" x14ac:dyDescent="0.25">
      <c r="A444">
        <v>2.5061499999999999</v>
      </c>
      <c r="B444">
        <f>(Table110363[[#This Row],[time]]-2)*2</f>
        <v>1.0122999999999998</v>
      </c>
      <c r="C444">
        <v>76.933899999999994</v>
      </c>
      <c r="D444">
        <v>35.334299999999999</v>
      </c>
      <c r="E444">
        <f>Table110363[[#This Row],[CFNM]]/Table110363[[#This Row],[CAREA]]</f>
        <v>0.45928127912402728</v>
      </c>
      <c r="F444">
        <v>2.5061499999999999</v>
      </c>
      <c r="G444">
        <f>(Table211364[[#This Row],[time]]-2)*2</f>
        <v>1.0122999999999998</v>
      </c>
      <c r="H444">
        <v>73.061899999999994</v>
      </c>
      <c r="I444">
        <v>1.6966800000000001E-3</v>
      </c>
      <c r="J444">
        <f>Table211364[[#This Row],[CFNM]]/Table211364[[#This Row],[CAREA]]</f>
        <v>2.3222500372971416E-5</v>
      </c>
      <c r="K444">
        <v>2.5061499999999999</v>
      </c>
      <c r="L444">
        <f>(Table312365[[#This Row],[time]]-2)*2</f>
        <v>1.0122999999999998</v>
      </c>
      <c r="M444">
        <v>79.340800000000002</v>
      </c>
      <c r="N444">
        <v>29.1067</v>
      </c>
      <c r="O444">
        <f>Table312365[[#This Row],[CFNM]]/Table312365[[#This Row],[CAREA]]</f>
        <v>0.36685664878599661</v>
      </c>
      <c r="P444">
        <v>2.5061499999999999</v>
      </c>
      <c r="Q444">
        <f>(Table413366[[#This Row],[time]]-2)*2</f>
        <v>1.0122999999999998</v>
      </c>
      <c r="R444">
        <v>81.921099999999996</v>
      </c>
      <c r="S444">
        <v>2.2836100000000002E-3</v>
      </c>
      <c r="T444">
        <f>Table413366[[#This Row],[CFNM]]/Table413366[[#This Row],[CAREA]]</f>
        <v>2.7875724324990757E-5</v>
      </c>
      <c r="U444">
        <v>2.5061499999999999</v>
      </c>
      <c r="V444">
        <f>(Table514367[[#This Row],[time]]-2)*2</f>
        <v>1.0122999999999998</v>
      </c>
      <c r="W444">
        <v>67.229900000000001</v>
      </c>
      <c r="X444">
        <v>32.923900000000003</v>
      </c>
      <c r="Y444">
        <f>Table514367[[#This Row],[CFNM]]/Table514367[[#This Row],[CAREA]]</f>
        <v>0.48972109135964803</v>
      </c>
      <c r="Z444">
        <v>2.5061499999999999</v>
      </c>
      <c r="AA444">
        <f>(Table615368[[#This Row],[time]]-2)*2</f>
        <v>1.0122999999999998</v>
      </c>
      <c r="AB444">
        <v>91.991</v>
      </c>
      <c r="AC444">
        <v>9.5216799999999999</v>
      </c>
      <c r="AD444">
        <f>Table615368[[#This Row],[CFNM]]/Table615368[[#This Row],[CAREA]]</f>
        <v>0.10350664738941853</v>
      </c>
      <c r="AE444">
        <v>2.5061499999999999</v>
      </c>
      <c r="AF444">
        <f>(Table716369[[#This Row],[time]]-2)*2</f>
        <v>1.0122999999999998</v>
      </c>
      <c r="AG444">
        <v>77.398899999999998</v>
      </c>
      <c r="AH444">
        <v>47.412799999999997</v>
      </c>
      <c r="AI444">
        <f>Table716369[[#This Row],[CFNM]]/Table716369[[#This Row],[CAREA]]</f>
        <v>0.61257718132945038</v>
      </c>
      <c r="AJ444">
        <v>2.5061499999999999</v>
      </c>
      <c r="AK444">
        <f>(Table817370[[#This Row],[time]]-2)*2</f>
        <v>1.0122999999999998</v>
      </c>
      <c r="AL444">
        <v>79.591099999999997</v>
      </c>
      <c r="AM444">
        <v>10.519299999999999</v>
      </c>
      <c r="AN444">
        <f>Table817370[[#This Row],[CFNM]]/Table817370[[#This Row],[CAREA]]</f>
        <v>0.13216678749257141</v>
      </c>
    </row>
    <row r="445" spans="1:40" x14ac:dyDescent="0.25">
      <c r="A445">
        <v>2.5507599999999999</v>
      </c>
      <c r="B445">
        <f>(Table110363[[#This Row],[time]]-2)*2</f>
        <v>1.1015199999999998</v>
      </c>
      <c r="C445">
        <v>76.276700000000005</v>
      </c>
      <c r="D445">
        <v>37.409199999999998</v>
      </c>
      <c r="E445">
        <f>Table110363[[#This Row],[CFNM]]/Table110363[[#This Row],[CAREA]]</f>
        <v>0.49044072436274766</v>
      </c>
      <c r="F445">
        <v>2.5507599999999999</v>
      </c>
      <c r="G445">
        <f>(Table211364[[#This Row],[time]]-2)*2</f>
        <v>1.1015199999999998</v>
      </c>
      <c r="H445">
        <v>66.870199999999997</v>
      </c>
      <c r="I445">
        <v>1.4674200000000001E-3</v>
      </c>
      <c r="J445">
        <f>Table211364[[#This Row],[CFNM]]/Table211364[[#This Row],[CAREA]]</f>
        <v>2.1944304039766595E-5</v>
      </c>
      <c r="K445">
        <v>2.5507599999999999</v>
      </c>
      <c r="L445">
        <f>(Table312365[[#This Row],[time]]-2)*2</f>
        <v>1.1015199999999998</v>
      </c>
      <c r="M445">
        <v>78.894499999999994</v>
      </c>
      <c r="N445">
        <v>30.943300000000001</v>
      </c>
      <c r="O445">
        <f>Table312365[[#This Row],[CFNM]]/Table312365[[#This Row],[CAREA]]</f>
        <v>0.39221111737827102</v>
      </c>
      <c r="P445">
        <v>2.5507599999999999</v>
      </c>
      <c r="Q445">
        <f>(Table413366[[#This Row],[time]]-2)*2</f>
        <v>1.1015199999999998</v>
      </c>
      <c r="R445">
        <v>80.092100000000002</v>
      </c>
      <c r="S445">
        <v>2.0517000000000001E-3</v>
      </c>
      <c r="T445">
        <f>Table413366[[#This Row],[CFNM]]/Table413366[[#This Row],[CAREA]]</f>
        <v>2.5616758706539096E-5</v>
      </c>
      <c r="U445">
        <v>2.5507599999999999</v>
      </c>
      <c r="V445">
        <f>(Table514367[[#This Row],[time]]-2)*2</f>
        <v>1.1015199999999998</v>
      </c>
      <c r="W445">
        <v>66.403899999999993</v>
      </c>
      <c r="X445">
        <v>35.196100000000001</v>
      </c>
      <c r="Y445">
        <f>Table514367[[#This Row],[CFNM]]/Table514367[[#This Row],[CAREA]]</f>
        <v>0.53003061567166998</v>
      </c>
      <c r="Z445">
        <v>2.5507599999999999</v>
      </c>
      <c r="AA445">
        <f>(Table615368[[#This Row],[time]]-2)*2</f>
        <v>1.1015199999999998</v>
      </c>
      <c r="AB445">
        <v>92.087900000000005</v>
      </c>
      <c r="AC445">
        <v>8.86097</v>
      </c>
      <c r="AD445">
        <f>Table615368[[#This Row],[CFNM]]/Table615368[[#This Row],[CAREA]]</f>
        <v>9.6222956544779498E-2</v>
      </c>
      <c r="AE445">
        <v>2.5507599999999999</v>
      </c>
      <c r="AF445">
        <f>(Table716369[[#This Row],[time]]-2)*2</f>
        <v>1.1015199999999998</v>
      </c>
      <c r="AG445">
        <v>77.328000000000003</v>
      </c>
      <c r="AH445">
        <v>50.022599999999997</v>
      </c>
      <c r="AI445">
        <f>Table716369[[#This Row],[CFNM]]/Table716369[[#This Row],[CAREA]]</f>
        <v>0.64688857852265669</v>
      </c>
      <c r="AJ445">
        <v>2.5507599999999999</v>
      </c>
      <c r="AK445">
        <f>(Table817370[[#This Row],[time]]-2)*2</f>
        <v>1.1015199999999998</v>
      </c>
      <c r="AL445">
        <v>79.081400000000002</v>
      </c>
      <c r="AM445">
        <v>9.9679699999999993</v>
      </c>
      <c r="AN445">
        <f>Table817370[[#This Row],[CFNM]]/Table817370[[#This Row],[CAREA]]</f>
        <v>0.12604695920911868</v>
      </c>
    </row>
    <row r="446" spans="1:40" x14ac:dyDescent="0.25">
      <c r="A446">
        <v>2.60453</v>
      </c>
      <c r="B446">
        <f>(Table110363[[#This Row],[time]]-2)*2</f>
        <v>1.20906</v>
      </c>
      <c r="C446">
        <v>75.299199999999999</v>
      </c>
      <c r="D446">
        <v>39.217399999999998</v>
      </c>
      <c r="E446">
        <f>Table110363[[#This Row],[CFNM]]/Table110363[[#This Row],[CAREA]]</f>
        <v>0.52082093833666221</v>
      </c>
      <c r="F446">
        <v>2.60453</v>
      </c>
      <c r="G446">
        <f>(Table211364[[#This Row],[time]]-2)*2</f>
        <v>1.20906</v>
      </c>
      <c r="H446">
        <v>62.222099999999998</v>
      </c>
      <c r="I446">
        <v>1.28589E-3</v>
      </c>
      <c r="J446">
        <f>Table211364[[#This Row],[CFNM]]/Table211364[[#This Row],[CAREA]]</f>
        <v>2.0666129879897979E-5</v>
      </c>
      <c r="K446">
        <v>2.60453</v>
      </c>
      <c r="L446">
        <f>(Table312365[[#This Row],[time]]-2)*2</f>
        <v>1.20906</v>
      </c>
      <c r="M446">
        <v>78.499799999999993</v>
      </c>
      <c r="N446">
        <v>32.517099999999999</v>
      </c>
      <c r="O446">
        <f>Table312365[[#This Row],[CFNM]]/Table312365[[#This Row],[CAREA]]</f>
        <v>0.41423162861561436</v>
      </c>
      <c r="P446">
        <v>2.60453</v>
      </c>
      <c r="Q446">
        <f>(Table413366[[#This Row],[time]]-2)*2</f>
        <v>1.20906</v>
      </c>
      <c r="R446">
        <v>78.203599999999994</v>
      </c>
      <c r="S446">
        <v>1.8579099999999999E-3</v>
      </c>
      <c r="T446">
        <f>Table413366[[#This Row],[CFNM]]/Table413366[[#This Row],[CAREA]]</f>
        <v>2.3757346209125922E-5</v>
      </c>
      <c r="U446">
        <v>2.60453</v>
      </c>
      <c r="V446">
        <f>(Table514367[[#This Row],[time]]-2)*2</f>
        <v>1.20906</v>
      </c>
      <c r="W446">
        <v>64.560100000000006</v>
      </c>
      <c r="X446">
        <v>37.270400000000002</v>
      </c>
      <c r="Y446">
        <f>Table514367[[#This Row],[CFNM]]/Table514367[[#This Row],[CAREA]]</f>
        <v>0.57729774272344681</v>
      </c>
      <c r="Z446">
        <v>2.60453</v>
      </c>
      <c r="AA446">
        <f>(Table615368[[#This Row],[time]]-2)*2</f>
        <v>1.20906</v>
      </c>
      <c r="AB446">
        <v>91.757099999999994</v>
      </c>
      <c r="AC446">
        <v>8.2136700000000005</v>
      </c>
      <c r="AD446">
        <f>Table615368[[#This Row],[CFNM]]/Table615368[[#This Row],[CAREA]]</f>
        <v>8.9515361754022318E-2</v>
      </c>
      <c r="AE446">
        <v>2.60453</v>
      </c>
      <c r="AF446">
        <f>(Table716369[[#This Row],[time]]-2)*2</f>
        <v>1.20906</v>
      </c>
      <c r="AG446">
        <v>77.1755</v>
      </c>
      <c r="AH446">
        <v>52.4193</v>
      </c>
      <c r="AI446">
        <f>Table716369[[#This Row],[CFNM]]/Table716369[[#This Row],[CAREA]]</f>
        <v>0.67922203289904182</v>
      </c>
      <c r="AJ446">
        <v>2.60453</v>
      </c>
      <c r="AK446">
        <f>(Table817370[[#This Row],[time]]-2)*2</f>
        <v>1.20906</v>
      </c>
      <c r="AL446">
        <v>78.472899999999996</v>
      </c>
      <c r="AM446">
        <v>9.3984199999999998</v>
      </c>
      <c r="AN446">
        <f>Table817370[[#This Row],[CFNM]]/Table817370[[#This Row],[CAREA]]</f>
        <v>0.11976644166330033</v>
      </c>
    </row>
    <row r="447" spans="1:40" x14ac:dyDescent="0.25">
      <c r="A447">
        <v>2.65273</v>
      </c>
      <c r="B447">
        <f>(Table110363[[#This Row],[time]]-2)*2</f>
        <v>1.3054600000000001</v>
      </c>
      <c r="C447">
        <v>73.380499999999998</v>
      </c>
      <c r="D447">
        <v>41.836199999999998</v>
      </c>
      <c r="E447">
        <f>Table110363[[#This Row],[CFNM]]/Table110363[[#This Row],[CAREA]]</f>
        <v>0.57012694108107742</v>
      </c>
      <c r="F447">
        <v>2.65273</v>
      </c>
      <c r="G447">
        <f>(Table211364[[#This Row],[time]]-2)*2</f>
        <v>1.3054600000000001</v>
      </c>
      <c r="H447">
        <v>55.901299999999999</v>
      </c>
      <c r="I447">
        <v>1.05565E-3</v>
      </c>
      <c r="J447">
        <f>Table211364[[#This Row],[CFNM]]/Table211364[[#This Row],[CAREA]]</f>
        <v>1.8884176217726599E-5</v>
      </c>
      <c r="K447">
        <v>2.65273</v>
      </c>
      <c r="L447">
        <f>(Table312365[[#This Row],[time]]-2)*2</f>
        <v>1.3054600000000001</v>
      </c>
      <c r="M447">
        <v>77.996700000000004</v>
      </c>
      <c r="N447">
        <v>34.7059</v>
      </c>
      <c r="O447">
        <f>Table312365[[#This Row],[CFNM]]/Table312365[[#This Row],[CAREA]]</f>
        <v>0.44496626139311019</v>
      </c>
      <c r="P447">
        <v>2.65273</v>
      </c>
      <c r="Q447">
        <f>(Table413366[[#This Row],[time]]-2)*2</f>
        <v>1.3054600000000001</v>
      </c>
      <c r="R447">
        <v>74.846999999999994</v>
      </c>
      <c r="S447">
        <v>1.58946E-3</v>
      </c>
      <c r="T447">
        <f>Table413366[[#This Row],[CFNM]]/Table413366[[#This Row],[CAREA]]</f>
        <v>2.123612168824402E-5</v>
      </c>
      <c r="U447">
        <v>2.65273</v>
      </c>
      <c r="V447">
        <f>(Table514367[[#This Row],[time]]-2)*2</f>
        <v>1.3054600000000001</v>
      </c>
      <c r="W447">
        <v>63.494199999999999</v>
      </c>
      <c r="X447">
        <v>40.235999999999997</v>
      </c>
      <c r="Y447">
        <f>Table514367[[#This Row],[CFNM]]/Table514367[[#This Row],[CAREA]]</f>
        <v>0.63369567614049782</v>
      </c>
      <c r="Z447">
        <v>2.65273</v>
      </c>
      <c r="AA447">
        <f>(Table615368[[#This Row],[time]]-2)*2</f>
        <v>1.3054600000000001</v>
      </c>
      <c r="AB447">
        <v>90.939700000000002</v>
      </c>
      <c r="AC447">
        <v>7.1779299999999999</v>
      </c>
      <c r="AD447">
        <f>Table615368[[#This Row],[CFNM]]/Table615368[[#This Row],[CAREA]]</f>
        <v>7.8930654048781773E-2</v>
      </c>
      <c r="AE447">
        <v>2.65273</v>
      </c>
      <c r="AF447">
        <f>(Table716369[[#This Row],[time]]-2)*2</f>
        <v>1.3054600000000001</v>
      </c>
      <c r="AG447">
        <v>76.816999999999993</v>
      </c>
      <c r="AH447">
        <v>55.818899999999999</v>
      </c>
      <c r="AI447">
        <f>Table716369[[#This Row],[CFNM]]/Table716369[[#This Row],[CAREA]]</f>
        <v>0.72664774724344883</v>
      </c>
      <c r="AJ447">
        <v>2.65273</v>
      </c>
      <c r="AK447">
        <f>(Table817370[[#This Row],[time]]-2)*2</f>
        <v>1.3054600000000001</v>
      </c>
      <c r="AL447">
        <v>77.640299999999996</v>
      </c>
      <c r="AM447">
        <v>8.5089600000000001</v>
      </c>
      <c r="AN447">
        <f>Table817370[[#This Row],[CFNM]]/Table817370[[#This Row],[CAREA]]</f>
        <v>0.10959463062352928</v>
      </c>
    </row>
    <row r="448" spans="1:40" x14ac:dyDescent="0.25">
      <c r="A448">
        <v>2.7006199999999998</v>
      </c>
      <c r="B448">
        <f>(Table110363[[#This Row],[time]]-2)*2</f>
        <v>1.4012399999999996</v>
      </c>
      <c r="C448">
        <v>72.516199999999998</v>
      </c>
      <c r="D448">
        <v>42.797699999999999</v>
      </c>
      <c r="E448">
        <f>Table110363[[#This Row],[CFNM]]/Table110363[[#This Row],[CAREA]]</f>
        <v>0.59018122847032806</v>
      </c>
      <c r="F448">
        <v>2.7006199999999998</v>
      </c>
      <c r="G448">
        <f>(Table211364[[#This Row],[time]]-2)*2</f>
        <v>1.4012399999999996</v>
      </c>
      <c r="H448">
        <v>54.652099999999997</v>
      </c>
      <c r="I448">
        <v>9.7200900000000002E-4</v>
      </c>
      <c r="J448">
        <f>Table211364[[#This Row],[CFNM]]/Table211364[[#This Row],[CAREA]]</f>
        <v>1.7785391595199454E-5</v>
      </c>
      <c r="K448">
        <v>2.7006199999999998</v>
      </c>
      <c r="L448">
        <f>(Table312365[[#This Row],[time]]-2)*2</f>
        <v>1.4012399999999996</v>
      </c>
      <c r="M448">
        <v>77.8</v>
      </c>
      <c r="N448">
        <v>35.523400000000002</v>
      </c>
      <c r="O448">
        <f>Table312365[[#This Row],[CFNM]]/Table312365[[#This Row],[CAREA]]</f>
        <v>0.45659897172236508</v>
      </c>
      <c r="P448">
        <v>2.7006199999999998</v>
      </c>
      <c r="Q448">
        <f>(Table413366[[#This Row],[time]]-2)*2</f>
        <v>1.4012399999999996</v>
      </c>
      <c r="R448">
        <v>71.801599999999993</v>
      </c>
      <c r="S448">
        <v>1.49281E-3</v>
      </c>
      <c r="T448">
        <f>Table413366[[#This Row],[CFNM]]/Table413366[[#This Row],[CAREA]]</f>
        <v>2.0790762322845175E-5</v>
      </c>
      <c r="U448">
        <v>2.7006199999999998</v>
      </c>
      <c r="V448">
        <f>(Table514367[[#This Row],[time]]-2)*2</f>
        <v>1.4012399999999996</v>
      </c>
      <c r="W448">
        <v>62.693800000000003</v>
      </c>
      <c r="X448">
        <v>41.370800000000003</v>
      </c>
      <c r="Y448">
        <f>Table514367[[#This Row],[CFNM]]/Table514367[[#This Row],[CAREA]]</f>
        <v>0.65988662355767236</v>
      </c>
      <c r="Z448">
        <v>2.7006199999999998</v>
      </c>
      <c r="AA448">
        <f>(Table615368[[#This Row],[time]]-2)*2</f>
        <v>1.4012399999999996</v>
      </c>
      <c r="AB448">
        <v>90.747399999999999</v>
      </c>
      <c r="AC448">
        <v>6.8115100000000002</v>
      </c>
      <c r="AD448">
        <f>Table615368[[#This Row],[CFNM]]/Table615368[[#This Row],[CAREA]]</f>
        <v>7.5060111915052116E-2</v>
      </c>
      <c r="AE448">
        <v>2.7006199999999998</v>
      </c>
      <c r="AF448">
        <f>(Table716369[[#This Row],[time]]-2)*2</f>
        <v>1.4012399999999996</v>
      </c>
      <c r="AG448">
        <v>76.283299999999997</v>
      </c>
      <c r="AH448">
        <v>57.0657</v>
      </c>
      <c r="AI448">
        <f>Table716369[[#This Row],[CFNM]]/Table716369[[#This Row],[CAREA]]</f>
        <v>0.74807592225297015</v>
      </c>
      <c r="AJ448">
        <v>2.7006199999999998</v>
      </c>
      <c r="AK448">
        <f>(Table817370[[#This Row],[time]]-2)*2</f>
        <v>1.4012399999999996</v>
      </c>
      <c r="AL448">
        <v>77.318700000000007</v>
      </c>
      <c r="AM448">
        <v>8.1556899999999999</v>
      </c>
      <c r="AN448">
        <f>Table817370[[#This Row],[CFNM]]/Table817370[[#This Row],[CAREA]]</f>
        <v>0.10548146826058895</v>
      </c>
    </row>
    <row r="449" spans="1:40" x14ac:dyDescent="0.25">
      <c r="A449">
        <v>2.75176</v>
      </c>
      <c r="B449">
        <f>(Table110363[[#This Row],[time]]-2)*2</f>
        <v>1.50352</v>
      </c>
      <c r="C449">
        <v>71.934799999999996</v>
      </c>
      <c r="D449">
        <v>44.787700000000001</v>
      </c>
      <c r="E449">
        <f>Table110363[[#This Row],[CFNM]]/Table110363[[#This Row],[CAREA]]</f>
        <v>0.62261520154362016</v>
      </c>
      <c r="F449">
        <v>2.75176</v>
      </c>
      <c r="G449">
        <f>(Table211364[[#This Row],[time]]-2)*2</f>
        <v>1.50352</v>
      </c>
      <c r="H449">
        <v>49.109200000000001</v>
      </c>
      <c r="I449">
        <v>7.9765800000000003E-4</v>
      </c>
      <c r="J449">
        <f>Table211364[[#This Row],[CFNM]]/Table211364[[#This Row],[CAREA]]</f>
        <v>1.6242537039902909E-5</v>
      </c>
      <c r="K449">
        <v>2.75176</v>
      </c>
      <c r="L449">
        <f>(Table312365[[#This Row],[time]]-2)*2</f>
        <v>1.50352</v>
      </c>
      <c r="M449">
        <v>77.313000000000002</v>
      </c>
      <c r="N449">
        <v>37.276200000000003</v>
      </c>
      <c r="O449">
        <f>Table312365[[#This Row],[CFNM]]/Table312365[[#This Row],[CAREA]]</f>
        <v>0.48214659889022549</v>
      </c>
      <c r="P449">
        <v>2.75176</v>
      </c>
      <c r="Q449">
        <f>(Table413366[[#This Row],[time]]-2)*2</f>
        <v>1.50352</v>
      </c>
      <c r="R449">
        <v>64.669300000000007</v>
      </c>
      <c r="S449">
        <v>1.2983599999999999E-3</v>
      </c>
      <c r="T449">
        <f>Table413366[[#This Row],[CFNM]]/Table413366[[#This Row],[CAREA]]</f>
        <v>2.0076914393692212E-5</v>
      </c>
      <c r="U449">
        <v>2.75176</v>
      </c>
      <c r="V449">
        <f>(Table514367[[#This Row],[time]]-2)*2</f>
        <v>1.50352</v>
      </c>
      <c r="W449">
        <v>61.947499999999998</v>
      </c>
      <c r="X449">
        <v>43.814999999999998</v>
      </c>
      <c r="Y449">
        <f>Table514367[[#This Row],[CFNM]]/Table514367[[#This Row],[CAREA]]</f>
        <v>0.70729246539408364</v>
      </c>
      <c r="Z449">
        <v>2.75176</v>
      </c>
      <c r="AA449">
        <f>(Table615368[[#This Row],[time]]-2)*2</f>
        <v>1.50352</v>
      </c>
      <c r="AB449">
        <v>90.274799999999999</v>
      </c>
      <c r="AC449">
        <v>6.0197599999999998</v>
      </c>
      <c r="AD449">
        <f>Table615368[[#This Row],[CFNM]]/Table615368[[#This Row],[CAREA]]</f>
        <v>6.6682617962044777E-2</v>
      </c>
      <c r="AE449">
        <v>2.75176</v>
      </c>
      <c r="AF449">
        <f>(Table716369[[#This Row],[time]]-2)*2</f>
        <v>1.50352</v>
      </c>
      <c r="AG449">
        <v>75.922600000000003</v>
      </c>
      <c r="AH449">
        <v>59.718699999999998</v>
      </c>
      <c r="AI449">
        <f>Table716369[[#This Row],[CFNM]]/Table716369[[#This Row],[CAREA]]</f>
        <v>0.78657343136299329</v>
      </c>
      <c r="AJ449">
        <v>2.75176</v>
      </c>
      <c r="AK449">
        <f>(Table817370[[#This Row],[time]]-2)*2</f>
        <v>1.50352</v>
      </c>
      <c r="AL449">
        <v>76.776600000000002</v>
      </c>
      <c r="AM449">
        <v>7.4179899999999996</v>
      </c>
      <c r="AN449">
        <f>Table817370[[#This Row],[CFNM]]/Table817370[[#This Row],[CAREA]]</f>
        <v>9.661784970941667E-2</v>
      </c>
    </row>
    <row r="450" spans="1:40" x14ac:dyDescent="0.25">
      <c r="A450">
        <v>2.80444</v>
      </c>
      <c r="B450">
        <f>(Table110363[[#This Row],[time]]-2)*2</f>
        <v>1.6088800000000001</v>
      </c>
      <c r="C450">
        <v>71.516199999999998</v>
      </c>
      <c r="D450">
        <v>46.106000000000002</v>
      </c>
      <c r="E450">
        <f>Table110363[[#This Row],[CFNM]]/Table110363[[#This Row],[CAREA]]</f>
        <v>0.64469309051655432</v>
      </c>
      <c r="F450">
        <v>2.80444</v>
      </c>
      <c r="G450">
        <f>(Table211364[[#This Row],[time]]-2)*2</f>
        <v>1.6088800000000001</v>
      </c>
      <c r="H450">
        <v>44.483800000000002</v>
      </c>
      <c r="I450">
        <v>6.8952800000000002E-4</v>
      </c>
      <c r="J450">
        <f>Table211364[[#This Row],[CFNM]]/Table211364[[#This Row],[CAREA]]</f>
        <v>1.5500654170731816E-5</v>
      </c>
      <c r="K450">
        <v>2.80444</v>
      </c>
      <c r="L450">
        <f>(Table312365[[#This Row],[time]]-2)*2</f>
        <v>1.6088800000000001</v>
      </c>
      <c r="M450">
        <v>77.002099999999999</v>
      </c>
      <c r="N450">
        <v>38.5154</v>
      </c>
      <c r="O450">
        <f>Table312365[[#This Row],[CFNM]]/Table312365[[#This Row],[CAREA]]</f>
        <v>0.50018635855385762</v>
      </c>
      <c r="P450">
        <v>2.80444</v>
      </c>
      <c r="Q450">
        <f>(Table413366[[#This Row],[time]]-2)*2</f>
        <v>1.6088800000000001</v>
      </c>
      <c r="R450">
        <v>58.4328</v>
      </c>
      <c r="S450">
        <v>1.1785000000000001E-3</v>
      </c>
      <c r="T450">
        <f>Table413366[[#This Row],[CFNM]]/Table413366[[#This Row],[CAREA]]</f>
        <v>2.0168467025369316E-5</v>
      </c>
      <c r="U450">
        <v>2.80444</v>
      </c>
      <c r="V450">
        <f>(Table514367[[#This Row],[time]]-2)*2</f>
        <v>1.6088800000000001</v>
      </c>
      <c r="W450">
        <v>61.483699999999999</v>
      </c>
      <c r="X450">
        <v>45.4801</v>
      </c>
      <c r="Y450">
        <f>Table514367[[#This Row],[CFNM]]/Table514367[[#This Row],[CAREA]]</f>
        <v>0.73970987432441448</v>
      </c>
      <c r="Z450">
        <v>2.80444</v>
      </c>
      <c r="AA450">
        <f>(Table615368[[#This Row],[time]]-2)*2</f>
        <v>1.6088800000000001</v>
      </c>
      <c r="AB450">
        <v>89.668999999999997</v>
      </c>
      <c r="AC450">
        <v>5.49756</v>
      </c>
      <c r="AD450">
        <f>Table615368[[#This Row],[CFNM]]/Table615368[[#This Row],[CAREA]]</f>
        <v>6.1309482652867772E-2</v>
      </c>
      <c r="AE450">
        <v>2.80444</v>
      </c>
      <c r="AF450">
        <f>(Table716369[[#This Row],[time]]-2)*2</f>
        <v>1.6088800000000001</v>
      </c>
      <c r="AG450">
        <v>75.661500000000004</v>
      </c>
      <c r="AH450">
        <v>61.525199999999998</v>
      </c>
      <c r="AI450">
        <f>Table716369[[#This Row],[CFNM]]/Table716369[[#This Row],[CAREA]]</f>
        <v>0.81316389445094261</v>
      </c>
      <c r="AJ450">
        <v>2.80444</v>
      </c>
      <c r="AK450">
        <f>(Table817370[[#This Row],[time]]-2)*2</f>
        <v>1.6088800000000001</v>
      </c>
      <c r="AL450">
        <v>76.325599999999994</v>
      </c>
      <c r="AM450">
        <v>6.9160199999999996</v>
      </c>
      <c r="AN450">
        <f>Table817370[[#This Row],[CFNM]]/Table817370[[#This Row],[CAREA]]</f>
        <v>9.0612062008028765E-2</v>
      </c>
    </row>
    <row r="451" spans="1:40" x14ac:dyDescent="0.25">
      <c r="A451">
        <v>2.8583699999999999</v>
      </c>
      <c r="B451">
        <f>(Table110363[[#This Row],[time]]-2)*2</f>
        <v>1.7167399999999997</v>
      </c>
      <c r="C451">
        <v>70.426599999999993</v>
      </c>
      <c r="D451">
        <v>48.085500000000003</v>
      </c>
      <c r="E451">
        <f>Table110363[[#This Row],[CFNM]]/Table110363[[#This Row],[CAREA]]</f>
        <v>0.68277469024487913</v>
      </c>
      <c r="F451">
        <v>2.8583699999999999</v>
      </c>
      <c r="G451">
        <f>(Table211364[[#This Row],[time]]-2)*2</f>
        <v>1.7167399999999997</v>
      </c>
      <c r="H451">
        <v>39.134700000000002</v>
      </c>
      <c r="I451">
        <v>5.3724100000000004E-4</v>
      </c>
      <c r="J451">
        <f>Table211364[[#This Row],[CFNM]]/Table211364[[#This Row],[CAREA]]</f>
        <v>1.372799587067232E-5</v>
      </c>
      <c r="K451">
        <v>2.8583699999999999</v>
      </c>
      <c r="L451">
        <f>(Table312365[[#This Row],[time]]-2)*2</f>
        <v>1.7167399999999997</v>
      </c>
      <c r="M451">
        <v>76.508399999999995</v>
      </c>
      <c r="N451">
        <v>40.392600000000002</v>
      </c>
      <c r="O451">
        <f>Table312365[[#This Row],[CFNM]]/Table312365[[#This Row],[CAREA]]</f>
        <v>0.52794987217089895</v>
      </c>
      <c r="P451">
        <v>2.8583699999999999</v>
      </c>
      <c r="Q451">
        <f>(Table413366[[#This Row],[time]]-2)*2</f>
        <v>1.7167399999999997</v>
      </c>
      <c r="R451">
        <v>48.2742</v>
      </c>
      <c r="S451">
        <v>1.0248E-3</v>
      </c>
      <c r="T451">
        <f>Table413366[[#This Row],[CFNM]]/Table413366[[#This Row],[CAREA]]</f>
        <v>2.1228730874877262E-5</v>
      </c>
      <c r="U451">
        <v>2.8583699999999999</v>
      </c>
      <c r="V451">
        <f>(Table514367[[#This Row],[time]]-2)*2</f>
        <v>1.7167399999999997</v>
      </c>
      <c r="W451">
        <v>60.6631</v>
      </c>
      <c r="X451">
        <v>48.068300000000001</v>
      </c>
      <c r="Y451">
        <f>Table514367[[#This Row],[CFNM]]/Table514367[[#This Row],[CAREA]]</f>
        <v>0.79238120043321225</v>
      </c>
      <c r="Z451">
        <v>2.8583699999999999</v>
      </c>
      <c r="AA451">
        <f>(Table615368[[#This Row],[time]]-2)*2</f>
        <v>1.7167399999999997</v>
      </c>
      <c r="AB451">
        <v>89.166499999999999</v>
      </c>
      <c r="AC451">
        <v>4.7587900000000003</v>
      </c>
      <c r="AD451">
        <f>Table615368[[#This Row],[CFNM]]/Table615368[[#This Row],[CAREA]]</f>
        <v>5.3369707233097634E-2</v>
      </c>
      <c r="AE451">
        <v>2.8583699999999999</v>
      </c>
      <c r="AF451">
        <f>(Table716369[[#This Row],[time]]-2)*2</f>
        <v>1.7167399999999997</v>
      </c>
      <c r="AG451">
        <v>74.818299999999994</v>
      </c>
      <c r="AH451">
        <v>64.258200000000002</v>
      </c>
      <c r="AI451">
        <f>Table716369[[#This Row],[CFNM]]/Table716369[[#This Row],[CAREA]]</f>
        <v>0.85885672355560083</v>
      </c>
      <c r="AJ451">
        <v>2.8583699999999999</v>
      </c>
      <c r="AK451">
        <f>(Table817370[[#This Row],[time]]-2)*2</f>
        <v>1.7167399999999997</v>
      </c>
      <c r="AL451">
        <v>75.638400000000004</v>
      </c>
      <c r="AM451">
        <v>6.14147</v>
      </c>
      <c r="AN451">
        <f>Table817370[[#This Row],[CFNM]]/Table817370[[#This Row],[CAREA]]</f>
        <v>8.1195133688708371E-2</v>
      </c>
    </row>
    <row r="452" spans="1:40" x14ac:dyDescent="0.25">
      <c r="A452">
        <v>2.9134199999999999</v>
      </c>
      <c r="B452">
        <f>(Table110363[[#This Row],[time]]-2)*2</f>
        <v>1.8268399999999998</v>
      </c>
      <c r="C452">
        <v>69.628299999999996</v>
      </c>
      <c r="D452">
        <v>49.522599999999997</v>
      </c>
      <c r="E452">
        <f>Table110363[[#This Row],[CFNM]]/Table110363[[#This Row],[CAREA]]</f>
        <v>0.71124241149073009</v>
      </c>
      <c r="F452">
        <v>2.9134199999999999</v>
      </c>
      <c r="G452">
        <f>(Table211364[[#This Row],[time]]-2)*2</f>
        <v>1.8268399999999998</v>
      </c>
      <c r="H452">
        <v>33.381300000000003</v>
      </c>
      <c r="I452">
        <v>4.4705899999999998E-4</v>
      </c>
      <c r="J452">
        <f>Table211364[[#This Row],[CFNM]]/Table211364[[#This Row],[CAREA]]</f>
        <v>1.3392498195097253E-5</v>
      </c>
      <c r="K452">
        <v>2.9134199999999999</v>
      </c>
      <c r="L452">
        <f>(Table312365[[#This Row],[time]]-2)*2</f>
        <v>1.8268399999999998</v>
      </c>
      <c r="M452">
        <v>76.1571</v>
      </c>
      <c r="N452">
        <v>41.723300000000002</v>
      </c>
      <c r="O452">
        <f>Table312365[[#This Row],[CFNM]]/Table312365[[#This Row],[CAREA]]</f>
        <v>0.54785830868034635</v>
      </c>
      <c r="P452">
        <v>2.9134199999999999</v>
      </c>
      <c r="Q452">
        <f>(Table413366[[#This Row],[time]]-2)*2</f>
        <v>1.8268399999999998</v>
      </c>
      <c r="R452">
        <v>47.7575</v>
      </c>
      <c r="S452">
        <v>9.3024799999999995E-4</v>
      </c>
      <c r="T452">
        <f>Table413366[[#This Row],[CFNM]]/Table413366[[#This Row],[CAREA]]</f>
        <v>1.9478574045961365E-5</v>
      </c>
      <c r="U452">
        <v>2.9134199999999999</v>
      </c>
      <c r="V452">
        <f>(Table514367[[#This Row],[time]]-2)*2</f>
        <v>1.8268399999999998</v>
      </c>
      <c r="W452">
        <v>60.110100000000003</v>
      </c>
      <c r="X452">
        <v>49.919800000000002</v>
      </c>
      <c r="Y452">
        <f>Table514367[[#This Row],[CFNM]]/Table514367[[#This Row],[CAREA]]</f>
        <v>0.83047274917193614</v>
      </c>
      <c r="Z452">
        <v>2.9134199999999999</v>
      </c>
      <c r="AA452">
        <f>(Table615368[[#This Row],[time]]-2)*2</f>
        <v>1.8268399999999998</v>
      </c>
      <c r="AB452">
        <v>88.343299999999999</v>
      </c>
      <c r="AC452">
        <v>4.3105099999999998</v>
      </c>
      <c r="AD452">
        <f>Table615368[[#This Row],[CFNM]]/Table615368[[#This Row],[CAREA]]</f>
        <v>4.8792721123163837E-2</v>
      </c>
      <c r="AE452">
        <v>2.9134199999999999</v>
      </c>
      <c r="AF452">
        <f>(Table716369[[#This Row],[time]]-2)*2</f>
        <v>1.8268399999999998</v>
      </c>
      <c r="AG452">
        <v>74.436800000000005</v>
      </c>
      <c r="AH452">
        <v>66.143600000000006</v>
      </c>
      <c r="AI452">
        <f>Table716369[[#This Row],[CFNM]]/Table716369[[#This Row],[CAREA]]</f>
        <v>0.88858736538916239</v>
      </c>
      <c r="AJ452">
        <v>2.9134199999999999</v>
      </c>
      <c r="AK452">
        <f>(Table817370[[#This Row],[time]]-2)*2</f>
        <v>1.8268399999999998</v>
      </c>
      <c r="AL452">
        <v>75.110500000000002</v>
      </c>
      <c r="AM452">
        <v>5.6082999999999998</v>
      </c>
      <c r="AN452">
        <f>Table817370[[#This Row],[CFNM]]/Table817370[[#This Row],[CAREA]]</f>
        <v>7.4667323476744263E-2</v>
      </c>
    </row>
    <row r="453" spans="1:40" x14ac:dyDescent="0.25">
      <c r="A453">
        <v>2.9619599999999999</v>
      </c>
      <c r="B453">
        <f>(Table110363[[#This Row],[time]]-2)*2</f>
        <v>1.9239199999999999</v>
      </c>
      <c r="C453">
        <v>69.036000000000001</v>
      </c>
      <c r="D453">
        <v>51.252200000000002</v>
      </c>
      <c r="E453">
        <f>Table110363[[#This Row],[CFNM]]/Table110363[[#This Row],[CAREA]]</f>
        <v>0.74239816907120926</v>
      </c>
      <c r="F453">
        <v>2.9619599999999999</v>
      </c>
      <c r="G453">
        <f>(Table211364[[#This Row],[time]]-2)*2</f>
        <v>1.9239199999999999</v>
      </c>
      <c r="H453">
        <v>28.2407</v>
      </c>
      <c r="I453">
        <v>3.6234400000000001E-4</v>
      </c>
      <c r="J453">
        <f>Table211364[[#This Row],[CFNM]]/Table211364[[#This Row],[CAREA]]</f>
        <v>1.2830560149004806E-5</v>
      </c>
      <c r="K453">
        <v>2.9619599999999999</v>
      </c>
      <c r="L453">
        <f>(Table312365[[#This Row],[time]]-2)*2</f>
        <v>1.9239199999999999</v>
      </c>
      <c r="M453">
        <v>75.858400000000003</v>
      </c>
      <c r="N453">
        <v>43.205100000000002</v>
      </c>
      <c r="O453">
        <f>Table312365[[#This Row],[CFNM]]/Table312365[[#This Row],[CAREA]]</f>
        <v>0.5695493182033895</v>
      </c>
      <c r="P453">
        <v>2.9619599999999999</v>
      </c>
      <c r="Q453">
        <f>(Table413366[[#This Row],[time]]-2)*2</f>
        <v>1.9239199999999999</v>
      </c>
      <c r="R453">
        <v>43.0122</v>
      </c>
      <c r="S453">
        <v>8.2816200000000002E-4</v>
      </c>
      <c r="T453">
        <f>Table413366[[#This Row],[CFNM]]/Table413366[[#This Row],[CAREA]]</f>
        <v>1.9254118598909148E-5</v>
      </c>
      <c r="U453">
        <v>2.9619599999999999</v>
      </c>
      <c r="V453">
        <f>(Table514367[[#This Row],[time]]-2)*2</f>
        <v>1.9239199999999999</v>
      </c>
      <c r="W453">
        <v>59.484999999999999</v>
      </c>
      <c r="X453">
        <v>51.991900000000001</v>
      </c>
      <c r="Y453">
        <f>Table514367[[#This Row],[CFNM]]/Table514367[[#This Row],[CAREA]]</f>
        <v>0.87403379003110027</v>
      </c>
      <c r="Z453">
        <v>2.9619599999999999</v>
      </c>
      <c r="AA453">
        <f>(Table615368[[#This Row],[time]]-2)*2</f>
        <v>1.9239199999999999</v>
      </c>
      <c r="AB453">
        <v>88.284300000000002</v>
      </c>
      <c r="AC453">
        <v>3.8272400000000002</v>
      </c>
      <c r="AD453">
        <f>Table615368[[#This Row],[CFNM]]/Table615368[[#This Row],[CAREA]]</f>
        <v>4.3351309349453984E-2</v>
      </c>
      <c r="AE453">
        <v>2.9619599999999999</v>
      </c>
      <c r="AF453">
        <f>(Table716369[[#This Row],[time]]-2)*2</f>
        <v>1.9239199999999999</v>
      </c>
      <c r="AG453">
        <v>73.955600000000004</v>
      </c>
      <c r="AH453">
        <v>68.262600000000006</v>
      </c>
      <c r="AI453">
        <f>Table716369[[#This Row],[CFNM]]/Table716369[[#This Row],[CAREA]]</f>
        <v>0.92302138039580506</v>
      </c>
      <c r="AJ453">
        <v>2.9619599999999999</v>
      </c>
      <c r="AK453">
        <f>(Table817370[[#This Row],[time]]-2)*2</f>
        <v>1.9239199999999999</v>
      </c>
      <c r="AL453">
        <v>74.476500000000001</v>
      </c>
      <c r="AM453">
        <v>4.9819399999999998</v>
      </c>
      <c r="AN453">
        <f>Table817370[[#This Row],[CFNM]]/Table817370[[#This Row],[CAREA]]</f>
        <v>6.6892778258913876E-2</v>
      </c>
    </row>
    <row r="454" spans="1:40" x14ac:dyDescent="0.25">
      <c r="A454">
        <v>3</v>
      </c>
      <c r="B454">
        <f>(Table110363[[#This Row],[time]]-2)*2</f>
        <v>2</v>
      </c>
      <c r="C454">
        <v>68.512200000000007</v>
      </c>
      <c r="D454">
        <v>52.624299999999998</v>
      </c>
      <c r="E454">
        <f>Table110363[[#This Row],[CFNM]]/Table110363[[#This Row],[CAREA]]</f>
        <v>0.76810115570657478</v>
      </c>
      <c r="F454">
        <v>3</v>
      </c>
      <c r="G454">
        <f>(Table211364[[#This Row],[time]]-2)*2</f>
        <v>2</v>
      </c>
      <c r="H454">
        <v>24.8491</v>
      </c>
      <c r="I454">
        <v>3.0516099999999997E-4</v>
      </c>
      <c r="J454">
        <f>Table211364[[#This Row],[CFNM]]/Table211364[[#This Row],[CAREA]]</f>
        <v>1.2280565493317665E-5</v>
      </c>
      <c r="K454">
        <v>3</v>
      </c>
      <c r="L454">
        <f>(Table312365[[#This Row],[time]]-2)*2</f>
        <v>2</v>
      </c>
      <c r="M454">
        <v>75.647499999999994</v>
      </c>
      <c r="N454">
        <v>44.349600000000002</v>
      </c>
      <c r="O454">
        <f>Table312365[[#This Row],[CFNM]]/Table312365[[#This Row],[CAREA]]</f>
        <v>0.58626656531940913</v>
      </c>
      <c r="P454">
        <v>3</v>
      </c>
      <c r="Q454">
        <f>(Table413366[[#This Row],[time]]-2)*2</f>
        <v>2</v>
      </c>
      <c r="R454">
        <v>39.827300000000001</v>
      </c>
      <c r="S454">
        <v>7.4924300000000002E-4</v>
      </c>
      <c r="T454">
        <f>Table413366[[#This Row],[CFNM]]/Table413366[[#This Row],[CAREA]]</f>
        <v>1.8812297092697722E-5</v>
      </c>
      <c r="U454">
        <v>3</v>
      </c>
      <c r="V454">
        <f>(Table514367[[#This Row],[time]]-2)*2</f>
        <v>2</v>
      </c>
      <c r="W454">
        <v>58.472200000000001</v>
      </c>
      <c r="X454">
        <v>53.649000000000001</v>
      </c>
      <c r="Y454">
        <f>Table514367[[#This Row],[CFNM]]/Table514367[[#This Row],[CAREA]]</f>
        <v>0.91751293777213783</v>
      </c>
      <c r="Z454">
        <v>3</v>
      </c>
      <c r="AA454">
        <f>(Table615368[[#This Row],[time]]-2)*2</f>
        <v>2</v>
      </c>
      <c r="AB454">
        <v>88.008799999999994</v>
      </c>
      <c r="AC454">
        <v>3.43438</v>
      </c>
      <c r="AD454">
        <f>Table615368[[#This Row],[CFNM]]/Table615368[[#This Row],[CAREA]]</f>
        <v>3.9023143140231434E-2</v>
      </c>
      <c r="AE454">
        <v>3</v>
      </c>
      <c r="AF454">
        <f>(Table716369[[#This Row],[time]]-2)*2</f>
        <v>2</v>
      </c>
      <c r="AG454">
        <v>73.606899999999996</v>
      </c>
      <c r="AH454">
        <v>69.957499999999996</v>
      </c>
      <c r="AI454">
        <f>Table716369[[#This Row],[CFNM]]/Table716369[[#This Row],[CAREA]]</f>
        <v>0.95042040895622559</v>
      </c>
      <c r="AJ454">
        <v>3</v>
      </c>
      <c r="AK454">
        <f>(Table817370[[#This Row],[time]]-2)*2</f>
        <v>2</v>
      </c>
      <c r="AL454">
        <v>74.078400000000002</v>
      </c>
      <c r="AM454">
        <v>4.4582899999999999</v>
      </c>
      <c r="AN454">
        <f>Table817370[[#This Row],[CFNM]]/Table817370[[#This Row],[CAREA]]</f>
        <v>6.0183400289423095E-2</v>
      </c>
    </row>
    <row r="457" spans="1:40" x14ac:dyDescent="0.25">
      <c r="A457" s="1" t="s">
        <v>26</v>
      </c>
    </row>
    <row r="458" spans="1:40" x14ac:dyDescent="0.25">
      <c r="A458" t="s">
        <v>58</v>
      </c>
      <c r="F458" t="s">
        <v>1</v>
      </c>
    </row>
    <row r="459" spans="1:40" x14ac:dyDescent="0.25">
      <c r="F459" t="s">
        <v>2</v>
      </c>
      <c r="G459" t="s">
        <v>3</v>
      </c>
    </row>
    <row r="462" spans="1:40" x14ac:dyDescent="0.25">
      <c r="A462" t="s">
        <v>4</v>
      </c>
      <c r="F462" t="s">
        <v>5</v>
      </c>
      <c r="K462" t="s">
        <v>6</v>
      </c>
      <c r="P462" t="s">
        <v>7</v>
      </c>
      <c r="U462" t="s">
        <v>8</v>
      </c>
      <c r="Z462" t="s">
        <v>9</v>
      </c>
      <c r="AE462" t="s">
        <v>10</v>
      </c>
      <c r="AJ462" t="s">
        <v>11</v>
      </c>
    </row>
    <row r="463" spans="1:40" x14ac:dyDescent="0.25">
      <c r="A463" t="s">
        <v>12</v>
      </c>
      <c r="B463" t="s">
        <v>13</v>
      </c>
      <c r="C463" t="s">
        <v>14</v>
      </c>
      <c r="D463" t="s">
        <v>15</v>
      </c>
      <c r="E463" t="s">
        <v>16</v>
      </c>
      <c r="F463" t="s">
        <v>12</v>
      </c>
      <c r="G463" t="s">
        <v>13</v>
      </c>
      <c r="H463" t="s">
        <v>14</v>
      </c>
      <c r="I463" t="s">
        <v>15</v>
      </c>
      <c r="J463" t="s">
        <v>16</v>
      </c>
      <c r="K463" t="s">
        <v>12</v>
      </c>
      <c r="L463" t="s">
        <v>13</v>
      </c>
      <c r="M463" t="s">
        <v>14</v>
      </c>
      <c r="N463" t="s">
        <v>15</v>
      </c>
      <c r="O463" t="s">
        <v>16</v>
      </c>
      <c r="P463" t="s">
        <v>12</v>
      </c>
      <c r="Q463" t="s">
        <v>13</v>
      </c>
      <c r="R463" t="s">
        <v>14</v>
      </c>
      <c r="S463" t="s">
        <v>15</v>
      </c>
      <c r="T463" t="s">
        <v>16</v>
      </c>
      <c r="U463" t="s">
        <v>12</v>
      </c>
      <c r="V463" t="s">
        <v>13</v>
      </c>
      <c r="W463" t="s">
        <v>14</v>
      </c>
      <c r="X463" t="s">
        <v>15</v>
      </c>
      <c r="Y463" t="s">
        <v>16</v>
      </c>
      <c r="Z463" t="s">
        <v>12</v>
      </c>
      <c r="AA463" t="s">
        <v>13</v>
      </c>
      <c r="AB463" t="s">
        <v>14</v>
      </c>
      <c r="AC463" t="s">
        <v>15</v>
      </c>
      <c r="AD463" t="s">
        <v>16</v>
      </c>
      <c r="AE463" t="s">
        <v>12</v>
      </c>
      <c r="AF463" t="s">
        <v>13</v>
      </c>
      <c r="AG463" t="s">
        <v>14</v>
      </c>
      <c r="AH463" t="s">
        <v>15</v>
      </c>
      <c r="AI463" t="s">
        <v>16</v>
      </c>
      <c r="AJ463" t="s">
        <v>12</v>
      </c>
      <c r="AK463" t="s">
        <v>13</v>
      </c>
      <c r="AL463" t="s">
        <v>14</v>
      </c>
      <c r="AM463" t="s">
        <v>15</v>
      </c>
      <c r="AN463" t="s">
        <v>16</v>
      </c>
    </row>
    <row r="464" spans="1:40" x14ac:dyDescent="0.25">
      <c r="A464">
        <v>2</v>
      </c>
      <c r="B464">
        <f>-(Table1371[[#This Row],[time]]-2)*2</f>
        <v>0</v>
      </c>
      <c r="C464">
        <v>90.688999999999993</v>
      </c>
      <c r="D464">
        <v>10.0715</v>
      </c>
      <c r="E464" s="2">
        <f>Table1371[[#This Row],[CFNM]]/Table1371[[#This Row],[CAREA]]</f>
        <v>0.11105536503875885</v>
      </c>
      <c r="F464">
        <v>2</v>
      </c>
      <c r="G464">
        <f>-(Table2372[[#This Row],[time]]-2)*2</f>
        <v>0</v>
      </c>
      <c r="H464">
        <v>95.948400000000007</v>
      </c>
      <c r="I464">
        <v>3.4775999999999998</v>
      </c>
      <c r="J464" s="2">
        <f>Table2372[[#This Row],[CFNM]]/Table2372[[#This Row],[CAREA]]</f>
        <v>3.6244481408757204E-2</v>
      </c>
      <c r="K464">
        <v>2</v>
      </c>
      <c r="L464">
        <f>-(Table3373[[#This Row],[time]]-2)*2</f>
        <v>0</v>
      </c>
      <c r="M464">
        <v>88.963399999999993</v>
      </c>
      <c r="N464">
        <v>3.5141100000000001</v>
      </c>
      <c r="O464">
        <f>Table3373[[#This Row],[CFNM]]/Table3373[[#This Row],[CAREA]]</f>
        <v>3.9500626100171535E-2</v>
      </c>
      <c r="P464">
        <v>2</v>
      </c>
      <c r="Q464">
        <f>-(Table4374[[#This Row],[time]]-2)*2</f>
        <v>0</v>
      </c>
      <c r="R464">
        <v>86.468400000000003</v>
      </c>
      <c r="S464">
        <v>6.4569700000000001</v>
      </c>
      <c r="T464">
        <f>Table4374[[#This Row],[CFNM]]/Table4374[[#This Row],[CAREA]]</f>
        <v>7.467433189465747E-2</v>
      </c>
      <c r="U464">
        <v>2</v>
      </c>
      <c r="V464">
        <f>-(Table5375[[#This Row],[time]]-2)*2</f>
        <v>0</v>
      </c>
      <c r="W464">
        <v>82.746600000000001</v>
      </c>
      <c r="X464">
        <v>8.9821000000000009</v>
      </c>
      <c r="Y464">
        <f>Table5375[[#This Row],[CFNM]]/Table5375[[#This Row],[CAREA]]</f>
        <v>0.10854947514459809</v>
      </c>
      <c r="Z464">
        <v>2</v>
      </c>
      <c r="AA464">
        <f>-(Table6376[[#This Row],[time]]-2)*2</f>
        <v>0</v>
      </c>
      <c r="AB464">
        <v>88.940399999999997</v>
      </c>
      <c r="AC464">
        <v>15.745900000000001</v>
      </c>
      <c r="AD464">
        <f>Table6376[[#This Row],[CFNM]]/Table6376[[#This Row],[CAREA]]</f>
        <v>0.17703878102639523</v>
      </c>
      <c r="AE464">
        <v>2</v>
      </c>
      <c r="AF464">
        <f>-(Table7377[[#This Row],[time]]-2)*2</f>
        <v>0</v>
      </c>
      <c r="AG464">
        <v>78.945400000000006</v>
      </c>
      <c r="AH464">
        <v>19.654699999999998</v>
      </c>
      <c r="AI464">
        <f>Table7377[[#This Row],[CFNM]]/Table7377[[#This Row],[CAREA]]</f>
        <v>0.24896574087913922</v>
      </c>
      <c r="AJ464">
        <v>2</v>
      </c>
      <c r="AK464">
        <f>-(Table8378[[#This Row],[time]]-2)*2</f>
        <v>0</v>
      </c>
      <c r="AL464">
        <v>83.134900000000002</v>
      </c>
      <c r="AM464">
        <v>19.291699999999999</v>
      </c>
      <c r="AN464">
        <f>Table8378[[#This Row],[CFNM]]/Table8378[[#This Row],[CAREA]]</f>
        <v>0.23205296451911289</v>
      </c>
    </row>
    <row r="465" spans="1:40" x14ac:dyDescent="0.25">
      <c r="A465">
        <v>2.0512600000000001</v>
      </c>
      <c r="B465">
        <f>-(Table1371[[#This Row],[time]]-2)*2</f>
        <v>-0.10252000000000017</v>
      </c>
      <c r="C465">
        <v>90.680700000000002</v>
      </c>
      <c r="D465">
        <v>9.9914000000000005</v>
      </c>
      <c r="E465">
        <f>Table1371[[#This Row],[CFNM]]/Table1371[[#This Row],[CAREA]]</f>
        <v>0.11018221076811273</v>
      </c>
      <c r="F465">
        <v>2.0512600000000001</v>
      </c>
      <c r="G465">
        <f>-(Table2372[[#This Row],[time]]-2)*2</f>
        <v>-0.10252000000000017</v>
      </c>
      <c r="H465">
        <v>95.950500000000005</v>
      </c>
      <c r="I465">
        <v>3.5673400000000002</v>
      </c>
      <c r="J465">
        <f>Table2372[[#This Row],[CFNM]]/Table2372[[#This Row],[CAREA]]</f>
        <v>3.7178962068983488E-2</v>
      </c>
      <c r="K465">
        <v>2.0512600000000001</v>
      </c>
      <c r="L465">
        <f>-(Table3373[[#This Row],[time]]-2)*2</f>
        <v>-0.10252000000000017</v>
      </c>
      <c r="M465">
        <v>88.966700000000003</v>
      </c>
      <c r="N465">
        <v>3.3169900000000001</v>
      </c>
      <c r="O465">
        <f>Table3373[[#This Row],[CFNM]]/Table3373[[#This Row],[CAREA]]</f>
        <v>3.7283500455788515E-2</v>
      </c>
      <c r="P465">
        <v>2.0512600000000001</v>
      </c>
      <c r="Q465">
        <f>-(Table4374[[#This Row],[time]]-2)*2</f>
        <v>-0.10252000000000017</v>
      </c>
      <c r="R465">
        <v>86.487499999999997</v>
      </c>
      <c r="S465">
        <v>6.7070400000000001</v>
      </c>
      <c r="T465">
        <f>Table4374[[#This Row],[CFNM]]/Table4374[[#This Row],[CAREA]]</f>
        <v>7.7549241219829465E-2</v>
      </c>
      <c r="U465">
        <v>2.0512600000000001</v>
      </c>
      <c r="V465">
        <f>-(Table5375[[#This Row],[time]]-2)*2</f>
        <v>-0.10252000000000017</v>
      </c>
      <c r="W465">
        <v>82.521000000000001</v>
      </c>
      <c r="X465">
        <v>8.5165900000000008</v>
      </c>
      <c r="Y465">
        <f>Table5375[[#This Row],[CFNM]]/Table5375[[#This Row],[CAREA]]</f>
        <v>0.10320512354430994</v>
      </c>
      <c r="Z465">
        <v>2.0512600000000001</v>
      </c>
      <c r="AA465">
        <f>-(Table6376[[#This Row],[time]]-2)*2</f>
        <v>-0.10252000000000017</v>
      </c>
      <c r="AB465">
        <v>88.962400000000002</v>
      </c>
      <c r="AC465">
        <v>16.139600000000002</v>
      </c>
      <c r="AD465">
        <f>Table6376[[#This Row],[CFNM]]/Table6376[[#This Row],[CAREA]]</f>
        <v>0.18142046527521741</v>
      </c>
      <c r="AE465">
        <v>2.0512600000000001</v>
      </c>
      <c r="AF465">
        <f>-(Table7377[[#This Row],[time]]-2)*2</f>
        <v>-0.10252000000000017</v>
      </c>
      <c r="AG465">
        <v>78.994</v>
      </c>
      <c r="AH465">
        <v>18.579000000000001</v>
      </c>
      <c r="AI465">
        <f>Table7377[[#This Row],[CFNM]]/Table7377[[#This Row],[CAREA]]</f>
        <v>0.23519507810719803</v>
      </c>
      <c r="AJ465">
        <v>2.0512600000000001</v>
      </c>
      <c r="AK465">
        <f>-(Table8378[[#This Row],[time]]-2)*2</f>
        <v>-0.10252000000000017</v>
      </c>
      <c r="AL465">
        <v>83.168300000000002</v>
      </c>
      <c r="AM465">
        <v>20.191500000000001</v>
      </c>
      <c r="AN465">
        <f>Table8378[[#This Row],[CFNM]]/Table8378[[#This Row],[CAREA]]</f>
        <v>0.2427787991338046</v>
      </c>
    </row>
    <row r="466" spans="1:40" x14ac:dyDescent="0.25">
      <c r="A466">
        <v>2.1153300000000002</v>
      </c>
      <c r="B466">
        <f>-(Table1371[[#This Row],[time]]-2)*2</f>
        <v>-0.23066000000000031</v>
      </c>
      <c r="C466">
        <v>90.645499999999998</v>
      </c>
      <c r="D466">
        <v>9.5145800000000005</v>
      </c>
      <c r="E466">
        <f>Table1371[[#This Row],[CFNM]]/Table1371[[#This Row],[CAREA]]</f>
        <v>0.10496472522077765</v>
      </c>
      <c r="F466">
        <v>2.1153300000000002</v>
      </c>
      <c r="G466">
        <f>-(Table2372[[#This Row],[time]]-2)*2</f>
        <v>-0.23066000000000031</v>
      </c>
      <c r="H466">
        <v>95.959800000000001</v>
      </c>
      <c r="I466">
        <v>4.0651700000000002</v>
      </c>
      <c r="J466">
        <f>Table2372[[#This Row],[CFNM]]/Table2372[[#This Row],[CAREA]]</f>
        <v>4.2363260448646203E-2</v>
      </c>
      <c r="K466">
        <v>2.1153300000000002</v>
      </c>
      <c r="L466">
        <f>-(Table3373[[#This Row],[time]]-2)*2</f>
        <v>-0.23066000000000031</v>
      </c>
      <c r="M466">
        <v>88.974199999999996</v>
      </c>
      <c r="N466">
        <v>2.60744</v>
      </c>
      <c r="O466">
        <f>Table3373[[#This Row],[CFNM]]/Table3373[[#This Row],[CAREA]]</f>
        <v>2.9305573975377131E-2</v>
      </c>
      <c r="P466">
        <v>2.1153300000000002</v>
      </c>
      <c r="Q466">
        <f>-(Table4374[[#This Row],[time]]-2)*2</f>
        <v>-0.23066000000000031</v>
      </c>
      <c r="R466">
        <v>86.539500000000004</v>
      </c>
      <c r="S466">
        <v>7.5728499999999999</v>
      </c>
      <c r="T466">
        <f>Table4374[[#This Row],[CFNM]]/Table4374[[#This Row],[CAREA]]</f>
        <v>8.7507438799623291E-2</v>
      </c>
      <c r="U466">
        <v>2.1153300000000002</v>
      </c>
      <c r="V466">
        <f>-(Table5375[[#This Row],[time]]-2)*2</f>
        <v>-0.23066000000000031</v>
      </c>
      <c r="W466">
        <v>82.544499999999999</v>
      </c>
      <c r="X466">
        <v>7.3648300000000004</v>
      </c>
      <c r="Y466">
        <f>Table5375[[#This Row],[CFNM]]/Table5375[[#This Row],[CAREA]]</f>
        <v>8.9222540569026412E-2</v>
      </c>
      <c r="Z466">
        <v>2.1153300000000002</v>
      </c>
      <c r="AA466">
        <f>-(Table6376[[#This Row],[time]]-2)*2</f>
        <v>-0.23066000000000031</v>
      </c>
      <c r="AB466">
        <v>89.021100000000004</v>
      </c>
      <c r="AC466">
        <v>17.057700000000001</v>
      </c>
      <c r="AD466">
        <f>Table6376[[#This Row],[CFNM]]/Table6376[[#This Row],[CAREA]]</f>
        <v>0.19161412294388633</v>
      </c>
      <c r="AE466">
        <v>2.1153300000000002</v>
      </c>
      <c r="AF466">
        <f>-(Table7377[[#This Row],[time]]-2)*2</f>
        <v>-0.23066000000000031</v>
      </c>
      <c r="AG466">
        <v>79.144199999999998</v>
      </c>
      <c r="AH466">
        <v>16.7151</v>
      </c>
      <c r="AI466">
        <f>Table7377[[#This Row],[CFNM]]/Table7377[[#This Row],[CAREA]]</f>
        <v>0.21119804104406892</v>
      </c>
      <c r="AJ466">
        <v>2.1153300000000002</v>
      </c>
      <c r="AK466">
        <f>-(Table8378[[#This Row],[time]]-2)*2</f>
        <v>-0.23066000000000031</v>
      </c>
      <c r="AL466">
        <v>83.241</v>
      </c>
      <c r="AM466">
        <v>21.877700000000001</v>
      </c>
      <c r="AN466">
        <f>Table8378[[#This Row],[CFNM]]/Table8378[[#This Row],[CAREA]]</f>
        <v>0.26282360855828257</v>
      </c>
    </row>
    <row r="467" spans="1:40" x14ac:dyDescent="0.25">
      <c r="A467">
        <v>2.16533</v>
      </c>
      <c r="B467">
        <f>-(Table1371[[#This Row],[time]]-2)*2</f>
        <v>-0.33065999999999995</v>
      </c>
      <c r="C467">
        <v>90.597399999999993</v>
      </c>
      <c r="D467">
        <v>8.9332399999999996</v>
      </c>
      <c r="E467">
        <f>Table1371[[#This Row],[CFNM]]/Table1371[[#This Row],[CAREA]]</f>
        <v>9.8603712689326634E-2</v>
      </c>
      <c r="F467">
        <v>2.16533</v>
      </c>
      <c r="G467">
        <f>-(Table2372[[#This Row],[time]]-2)*2</f>
        <v>-0.33065999999999995</v>
      </c>
      <c r="H467">
        <v>95.976699999999994</v>
      </c>
      <c r="I467">
        <v>4.7137500000000001</v>
      </c>
      <c r="J467">
        <f>Table2372[[#This Row],[CFNM]]/Table2372[[#This Row],[CAREA]]</f>
        <v>4.9113482751542828E-2</v>
      </c>
      <c r="K467">
        <v>2.16533</v>
      </c>
      <c r="L467">
        <f>-(Table3373[[#This Row],[time]]-2)*2</f>
        <v>-0.33065999999999995</v>
      </c>
      <c r="M467">
        <v>88.982299999999995</v>
      </c>
      <c r="N467">
        <v>1.9183300000000001</v>
      </c>
      <c r="O467">
        <f>Table3373[[#This Row],[CFNM]]/Table3373[[#This Row],[CAREA]]</f>
        <v>2.1558557151253679E-2</v>
      </c>
      <c r="P467">
        <v>2.16533</v>
      </c>
      <c r="Q467">
        <f>-(Table4374[[#This Row],[time]]-2)*2</f>
        <v>-0.33065999999999995</v>
      </c>
      <c r="R467">
        <v>86.587000000000003</v>
      </c>
      <c r="S467">
        <v>8.5235199999999995</v>
      </c>
      <c r="T467">
        <f>Table4374[[#This Row],[CFNM]]/Table4374[[#This Row],[CAREA]]</f>
        <v>9.8438795662166373E-2</v>
      </c>
      <c r="U467">
        <v>2.16533</v>
      </c>
      <c r="V467">
        <f>-(Table5375[[#This Row],[time]]-2)*2</f>
        <v>-0.33065999999999995</v>
      </c>
      <c r="W467">
        <v>82.397900000000007</v>
      </c>
      <c r="X467">
        <v>6.2385400000000004</v>
      </c>
      <c r="Y467">
        <f>Table5375[[#This Row],[CFNM]]/Table5375[[#This Row],[CAREA]]</f>
        <v>7.5712366455941232E-2</v>
      </c>
      <c r="Z467">
        <v>2.16533</v>
      </c>
      <c r="AA467">
        <f>-(Table6376[[#This Row],[time]]-2)*2</f>
        <v>-0.33065999999999995</v>
      </c>
      <c r="AB467">
        <v>89.059899999999999</v>
      </c>
      <c r="AC467">
        <v>17.889099999999999</v>
      </c>
      <c r="AD467">
        <f>Table6376[[#This Row],[CFNM]]/Table6376[[#This Row],[CAREA]]</f>
        <v>0.20086593405112738</v>
      </c>
      <c r="AE467">
        <v>2.16533</v>
      </c>
      <c r="AF467">
        <f>-(Table7377[[#This Row],[time]]-2)*2</f>
        <v>-0.33065999999999995</v>
      </c>
      <c r="AG467">
        <v>79.321700000000007</v>
      </c>
      <c r="AH467">
        <v>15.147</v>
      </c>
      <c r="AI467">
        <f>Table7377[[#This Row],[CFNM]]/Table7377[[#This Row],[CAREA]]</f>
        <v>0.19095657304369421</v>
      </c>
      <c r="AJ467">
        <v>2.16533</v>
      </c>
      <c r="AK467">
        <f>-(Table8378[[#This Row],[time]]-2)*2</f>
        <v>-0.33065999999999995</v>
      </c>
      <c r="AL467">
        <v>83.216300000000004</v>
      </c>
      <c r="AM467">
        <v>23.370699999999999</v>
      </c>
      <c r="AN467">
        <f>Table8378[[#This Row],[CFNM]]/Table8378[[#This Row],[CAREA]]</f>
        <v>0.28084281565029928</v>
      </c>
    </row>
    <row r="468" spans="1:40" x14ac:dyDescent="0.25">
      <c r="A468">
        <v>2.2246999999999999</v>
      </c>
      <c r="B468">
        <f>-(Table1371[[#This Row],[time]]-2)*2</f>
        <v>-0.4493999999999998</v>
      </c>
      <c r="C468">
        <v>90.536500000000004</v>
      </c>
      <c r="D468">
        <v>8.2446699999999993</v>
      </c>
      <c r="E468">
        <f>Table1371[[#This Row],[CFNM]]/Table1371[[#This Row],[CAREA]]</f>
        <v>9.1064598255952006E-2</v>
      </c>
      <c r="F468">
        <v>2.2246999999999999</v>
      </c>
      <c r="G468">
        <f>-(Table2372[[#This Row],[time]]-2)*2</f>
        <v>-0.4493999999999998</v>
      </c>
      <c r="H468">
        <v>96.010199999999998</v>
      </c>
      <c r="I468">
        <v>5.6037400000000002</v>
      </c>
      <c r="J468">
        <f>Table2372[[#This Row],[CFNM]]/Table2372[[#This Row],[CAREA]]</f>
        <v>5.8366090269575524E-2</v>
      </c>
      <c r="K468">
        <v>2.2246999999999999</v>
      </c>
      <c r="L468">
        <f>-(Table3373[[#This Row],[time]]-2)*2</f>
        <v>-0.4493999999999998</v>
      </c>
      <c r="M468">
        <v>88.696200000000005</v>
      </c>
      <c r="N468">
        <v>1.21347</v>
      </c>
      <c r="O468">
        <f>Table3373[[#This Row],[CFNM]]/Table3373[[#This Row],[CAREA]]</f>
        <v>1.3681194910266731E-2</v>
      </c>
      <c r="P468">
        <v>2.2246999999999999</v>
      </c>
      <c r="Q468">
        <f>-(Table4374[[#This Row],[time]]-2)*2</f>
        <v>-0.4493999999999998</v>
      </c>
      <c r="R468">
        <v>86.635599999999997</v>
      </c>
      <c r="S468">
        <v>9.6338600000000003</v>
      </c>
      <c r="T468">
        <f>Table4374[[#This Row],[CFNM]]/Table4374[[#This Row],[CAREA]]</f>
        <v>0.11119978392254455</v>
      </c>
      <c r="U468">
        <v>2.2246999999999999</v>
      </c>
      <c r="V468">
        <f>-(Table5375[[#This Row],[time]]-2)*2</f>
        <v>-0.4493999999999998</v>
      </c>
      <c r="W468">
        <v>82.229600000000005</v>
      </c>
      <c r="X468">
        <v>5.0246700000000004</v>
      </c>
      <c r="Y468">
        <f>Table5375[[#This Row],[CFNM]]/Table5375[[#This Row],[CAREA]]</f>
        <v>6.1105368383161295E-2</v>
      </c>
      <c r="Z468">
        <v>2.2246999999999999</v>
      </c>
      <c r="AA468">
        <f>-(Table6376[[#This Row],[time]]-2)*2</f>
        <v>-0.4493999999999998</v>
      </c>
      <c r="AB468">
        <v>89.125699999999995</v>
      </c>
      <c r="AC468">
        <v>18.733899999999998</v>
      </c>
      <c r="AD468">
        <f>Table6376[[#This Row],[CFNM]]/Table6376[[#This Row],[CAREA]]</f>
        <v>0.21019638555433506</v>
      </c>
      <c r="AE468">
        <v>2.2246999999999999</v>
      </c>
      <c r="AF468">
        <f>-(Table7377[[#This Row],[time]]-2)*2</f>
        <v>-0.4493999999999998</v>
      </c>
      <c r="AG468">
        <v>79.507300000000001</v>
      </c>
      <c r="AH468">
        <v>13.545500000000001</v>
      </c>
      <c r="AI468">
        <f>Table7377[[#This Row],[CFNM]]/Table7377[[#This Row],[CAREA]]</f>
        <v>0.17036800394429191</v>
      </c>
      <c r="AJ468">
        <v>2.2246999999999999</v>
      </c>
      <c r="AK468">
        <f>-(Table8378[[#This Row],[time]]-2)*2</f>
        <v>-0.4493999999999998</v>
      </c>
      <c r="AL468">
        <v>83.133600000000001</v>
      </c>
      <c r="AM468">
        <v>25.016300000000001</v>
      </c>
      <c r="AN468">
        <f>Table8378[[#This Row],[CFNM]]/Table8378[[#This Row],[CAREA]]</f>
        <v>0.30091683747606263</v>
      </c>
    </row>
    <row r="469" spans="1:40" x14ac:dyDescent="0.25">
      <c r="A469">
        <v>2.2668900000000001</v>
      </c>
      <c r="B469">
        <f>-(Table1371[[#This Row],[time]]-2)*2</f>
        <v>-0.53378000000000014</v>
      </c>
      <c r="C469">
        <v>90.451899999999995</v>
      </c>
      <c r="D469">
        <v>7.4904099999999998</v>
      </c>
      <c r="E469">
        <f>Table1371[[#This Row],[CFNM]]/Table1371[[#This Row],[CAREA]]</f>
        <v>8.2810974672726606E-2</v>
      </c>
      <c r="F469">
        <v>2.2668900000000001</v>
      </c>
      <c r="G469">
        <f>-(Table2372[[#This Row],[time]]-2)*2</f>
        <v>-0.53378000000000014</v>
      </c>
      <c r="H469">
        <v>96.060599999999994</v>
      </c>
      <c r="I469">
        <v>6.6483299999999996</v>
      </c>
      <c r="J469">
        <f>Table2372[[#This Row],[CFNM]]/Table2372[[#This Row],[CAREA]]</f>
        <v>6.9209748846040933E-2</v>
      </c>
      <c r="K469">
        <v>2.2668900000000001</v>
      </c>
      <c r="L469">
        <f>-(Table3373[[#This Row],[time]]-2)*2</f>
        <v>-0.53378000000000014</v>
      </c>
      <c r="M469">
        <v>88.701999999999998</v>
      </c>
      <c r="N469">
        <v>0.59689099999999995</v>
      </c>
      <c r="O469">
        <f>Table3373[[#This Row],[CFNM]]/Table3373[[#This Row],[CAREA]]</f>
        <v>6.7291718337805229E-3</v>
      </c>
      <c r="P469">
        <v>2.2668900000000001</v>
      </c>
      <c r="Q469">
        <f>-(Table4374[[#This Row],[time]]-2)*2</f>
        <v>-0.53378000000000014</v>
      </c>
      <c r="R469">
        <v>86.695400000000006</v>
      </c>
      <c r="S469">
        <v>10.849500000000001</v>
      </c>
      <c r="T469">
        <f>Table4374[[#This Row],[CFNM]]/Table4374[[#This Row],[CAREA]]</f>
        <v>0.1251450480648339</v>
      </c>
      <c r="U469">
        <v>2.2668900000000001</v>
      </c>
      <c r="V469">
        <f>-(Table5375[[#This Row],[time]]-2)*2</f>
        <v>-0.53378000000000014</v>
      </c>
      <c r="W469">
        <v>81.892799999999994</v>
      </c>
      <c r="X469">
        <v>3.8564400000000001</v>
      </c>
      <c r="Y469">
        <f>Table5375[[#This Row],[CFNM]]/Table5375[[#This Row],[CAREA]]</f>
        <v>4.7091319383389021E-2</v>
      </c>
      <c r="Z469">
        <v>2.2668900000000001</v>
      </c>
      <c r="AA469">
        <f>-(Table6376[[#This Row],[time]]-2)*2</f>
        <v>-0.53378000000000014</v>
      </c>
      <c r="AB469">
        <v>89.237399999999994</v>
      </c>
      <c r="AC469">
        <v>19.567399999999999</v>
      </c>
      <c r="AD469">
        <f>Table6376[[#This Row],[CFNM]]/Table6376[[#This Row],[CAREA]]</f>
        <v>0.21927353329433624</v>
      </c>
      <c r="AE469">
        <v>2.2668900000000001</v>
      </c>
      <c r="AF469">
        <f>-(Table7377[[#This Row],[time]]-2)*2</f>
        <v>-0.53378000000000014</v>
      </c>
      <c r="AG469">
        <v>79.650800000000004</v>
      </c>
      <c r="AH469">
        <v>12.0023</v>
      </c>
      <c r="AI469">
        <f>Table7377[[#This Row],[CFNM]]/Table7377[[#This Row],[CAREA]]</f>
        <v>0.15068649655747338</v>
      </c>
      <c r="AJ469">
        <v>2.2668900000000001</v>
      </c>
      <c r="AK469">
        <f>-(Table8378[[#This Row],[time]]-2)*2</f>
        <v>-0.53378000000000014</v>
      </c>
      <c r="AL469">
        <v>83.077500000000001</v>
      </c>
      <c r="AM469">
        <v>26.760999999999999</v>
      </c>
      <c r="AN469">
        <f>Table8378[[#This Row],[CFNM]]/Table8378[[#This Row],[CAREA]]</f>
        <v>0.32212091119737596</v>
      </c>
    </row>
    <row r="470" spans="1:40" x14ac:dyDescent="0.25">
      <c r="A470">
        <v>2.3262700000000001</v>
      </c>
      <c r="B470">
        <f>-(Table1371[[#This Row],[time]]-2)*2</f>
        <v>-0.65254000000000012</v>
      </c>
      <c r="C470">
        <v>90.411299999999997</v>
      </c>
      <c r="D470">
        <v>6.7656299999999998</v>
      </c>
      <c r="E470">
        <f>Table1371[[#This Row],[CFNM]]/Table1371[[#This Row],[CAREA]]</f>
        <v>7.4831685862276065E-2</v>
      </c>
      <c r="F470">
        <v>2.3262700000000001</v>
      </c>
      <c r="G470">
        <f>-(Table2372[[#This Row],[time]]-2)*2</f>
        <v>-0.65254000000000012</v>
      </c>
      <c r="H470">
        <v>96.125299999999996</v>
      </c>
      <c r="I470">
        <v>7.9189400000000001</v>
      </c>
      <c r="J470">
        <f>Table2372[[#This Row],[CFNM]]/Table2372[[#This Row],[CAREA]]</f>
        <v>8.2381433399947787E-2</v>
      </c>
      <c r="K470">
        <v>2.3262700000000001</v>
      </c>
      <c r="L470">
        <f>-(Table3373[[#This Row],[time]]-2)*2</f>
        <v>-0.65254000000000012</v>
      </c>
      <c r="M470">
        <v>88</v>
      </c>
      <c r="N470">
        <v>2.1551000000000001E-2</v>
      </c>
      <c r="O470">
        <f>Table3373[[#This Row],[CFNM]]/Table3373[[#This Row],[CAREA]]</f>
        <v>2.4489772727272728E-4</v>
      </c>
      <c r="P470">
        <v>2.3262700000000001</v>
      </c>
      <c r="Q470">
        <f>-(Table4374[[#This Row],[time]]-2)*2</f>
        <v>-0.65254000000000012</v>
      </c>
      <c r="R470">
        <v>86.711299999999994</v>
      </c>
      <c r="S470">
        <v>12.260300000000001</v>
      </c>
      <c r="T470">
        <f>Table4374[[#This Row],[CFNM]]/Table4374[[#This Row],[CAREA]]</f>
        <v>0.14139218302574177</v>
      </c>
      <c r="U470">
        <v>2.3262700000000001</v>
      </c>
      <c r="V470">
        <f>-(Table5375[[#This Row],[time]]-2)*2</f>
        <v>-0.65254000000000012</v>
      </c>
      <c r="W470">
        <v>81.635400000000004</v>
      </c>
      <c r="X470">
        <v>2.6772100000000001</v>
      </c>
      <c r="Y470">
        <f>Table5375[[#This Row],[CFNM]]/Table5375[[#This Row],[CAREA]]</f>
        <v>3.2794718957707074E-2</v>
      </c>
      <c r="Z470">
        <v>2.3262700000000001</v>
      </c>
      <c r="AA470">
        <f>-(Table6376[[#This Row],[time]]-2)*2</f>
        <v>-0.65254000000000012</v>
      </c>
      <c r="AB470">
        <v>89.139200000000002</v>
      </c>
      <c r="AC470">
        <v>20.476900000000001</v>
      </c>
      <c r="AD470">
        <f>Table6376[[#This Row],[CFNM]]/Table6376[[#This Row],[CAREA]]</f>
        <v>0.22971823844055142</v>
      </c>
      <c r="AE470">
        <v>2.3262700000000001</v>
      </c>
      <c r="AF470">
        <f>-(Table7377[[#This Row],[time]]-2)*2</f>
        <v>-0.65254000000000012</v>
      </c>
      <c r="AG470">
        <v>79.6096</v>
      </c>
      <c r="AH470">
        <v>10.483599999999999</v>
      </c>
      <c r="AI470">
        <f>Table7377[[#This Row],[CFNM]]/Table7377[[#This Row],[CAREA]]</f>
        <v>0.13168763566203071</v>
      </c>
      <c r="AJ470">
        <v>2.3262700000000001</v>
      </c>
      <c r="AK470">
        <f>-(Table8378[[#This Row],[time]]-2)*2</f>
        <v>-0.65254000000000012</v>
      </c>
      <c r="AL470">
        <v>82.914599999999993</v>
      </c>
      <c r="AM470">
        <v>28.7117</v>
      </c>
      <c r="AN470">
        <f>Table8378[[#This Row],[CFNM]]/Table8378[[#This Row],[CAREA]]</f>
        <v>0.34628038970217551</v>
      </c>
    </row>
    <row r="471" spans="1:40" x14ac:dyDescent="0.25">
      <c r="A471">
        <v>2.3684599999999998</v>
      </c>
      <c r="B471">
        <f>-(Table1371[[#This Row],[time]]-2)*2</f>
        <v>-0.73691999999999958</v>
      </c>
      <c r="C471">
        <v>90.058700000000002</v>
      </c>
      <c r="D471">
        <v>6.1670600000000002</v>
      </c>
      <c r="E471">
        <f>Table1371[[#This Row],[CFNM]]/Table1371[[#This Row],[CAREA]]</f>
        <v>6.8478225868239276E-2</v>
      </c>
      <c r="F471">
        <v>2.3684599999999998</v>
      </c>
      <c r="G471">
        <f>-(Table2372[[#This Row],[time]]-2)*2</f>
        <v>-0.73691999999999958</v>
      </c>
      <c r="H471">
        <v>96.188400000000001</v>
      </c>
      <c r="I471">
        <v>9.26342</v>
      </c>
      <c r="J471">
        <f>Table2372[[#This Row],[CFNM]]/Table2372[[#This Row],[CAREA]]</f>
        <v>9.6304959849628433E-2</v>
      </c>
      <c r="K471">
        <v>2.3684599999999998</v>
      </c>
      <c r="L471">
        <f>-(Table3373[[#This Row],[time]]-2)*2</f>
        <v>-0.73691999999999958</v>
      </c>
      <c r="M471">
        <v>87.953500000000005</v>
      </c>
      <c r="N471">
        <v>4.4074700000000001E-3</v>
      </c>
      <c r="O471">
        <f>Table3373[[#This Row],[CFNM]]/Table3373[[#This Row],[CAREA]]</f>
        <v>5.0111365664811515E-5</v>
      </c>
      <c r="P471">
        <v>2.3684599999999998</v>
      </c>
      <c r="Q471">
        <f>-(Table4374[[#This Row],[time]]-2)*2</f>
        <v>-0.73691999999999958</v>
      </c>
      <c r="R471">
        <v>86.707400000000007</v>
      </c>
      <c r="S471">
        <v>13.7133</v>
      </c>
      <c r="T471">
        <f>Table4374[[#This Row],[CFNM]]/Table4374[[#This Row],[CAREA]]</f>
        <v>0.1581560512712871</v>
      </c>
      <c r="U471">
        <v>2.3684599999999998</v>
      </c>
      <c r="V471">
        <f>-(Table5375[[#This Row],[time]]-2)*2</f>
        <v>-0.73691999999999958</v>
      </c>
      <c r="W471">
        <v>81.929400000000001</v>
      </c>
      <c r="X471">
        <v>1.6971099999999999</v>
      </c>
      <c r="Y471">
        <f>Table5375[[#This Row],[CFNM]]/Table5375[[#This Row],[CAREA]]</f>
        <v>2.0714297919916413E-2</v>
      </c>
      <c r="Z471">
        <v>2.3684599999999998</v>
      </c>
      <c r="AA471">
        <f>-(Table6376[[#This Row],[time]]-2)*2</f>
        <v>-0.73691999999999958</v>
      </c>
      <c r="AB471">
        <v>88.403300000000002</v>
      </c>
      <c r="AC471">
        <v>21.419799999999999</v>
      </c>
      <c r="AD471">
        <f>Table6376[[#This Row],[CFNM]]/Table6376[[#This Row],[CAREA]]</f>
        <v>0.24229638486346097</v>
      </c>
      <c r="AE471">
        <v>2.3684599999999998</v>
      </c>
      <c r="AF471">
        <f>-(Table7377[[#This Row],[time]]-2)*2</f>
        <v>-0.73691999999999958</v>
      </c>
      <c r="AG471">
        <v>79.970600000000005</v>
      </c>
      <c r="AH471">
        <v>9.1253499999999992</v>
      </c>
      <c r="AI471">
        <f>Table7377[[#This Row],[CFNM]]/Table7377[[#This Row],[CAREA]]</f>
        <v>0.11410880998767045</v>
      </c>
      <c r="AJ471">
        <v>2.3684599999999998</v>
      </c>
      <c r="AK471">
        <f>-(Table8378[[#This Row],[time]]-2)*2</f>
        <v>-0.73691999999999958</v>
      </c>
      <c r="AL471">
        <v>82.887500000000003</v>
      </c>
      <c r="AM471">
        <v>30.650700000000001</v>
      </c>
      <c r="AN471">
        <f>Table8378[[#This Row],[CFNM]]/Table8378[[#This Row],[CAREA]]</f>
        <v>0.3697867591615141</v>
      </c>
    </row>
    <row r="472" spans="1:40" x14ac:dyDescent="0.25">
      <c r="A472">
        <v>2.4278300000000002</v>
      </c>
      <c r="B472">
        <f>-(Table1371[[#This Row],[time]]-2)*2</f>
        <v>-0.85566000000000031</v>
      </c>
      <c r="C472">
        <v>89.731300000000005</v>
      </c>
      <c r="D472">
        <v>5.5590400000000004</v>
      </c>
      <c r="E472">
        <f>Table1371[[#This Row],[CFNM]]/Table1371[[#This Row],[CAREA]]</f>
        <v>6.1952072465237887E-2</v>
      </c>
      <c r="F472">
        <v>2.4278300000000002</v>
      </c>
      <c r="G472">
        <f>-(Table2372[[#This Row],[time]]-2)*2</f>
        <v>-0.85566000000000031</v>
      </c>
      <c r="H472">
        <v>96.253799999999998</v>
      </c>
      <c r="I472">
        <v>10.7622</v>
      </c>
      <c r="J472">
        <f>Table2372[[#This Row],[CFNM]]/Table2372[[#This Row],[CAREA]]</f>
        <v>0.11181065059249609</v>
      </c>
      <c r="K472">
        <v>2.4278300000000002</v>
      </c>
      <c r="L472">
        <f>-(Table3373[[#This Row],[time]]-2)*2</f>
        <v>-0.85566000000000031</v>
      </c>
      <c r="M472">
        <v>87.843900000000005</v>
      </c>
      <c r="N472">
        <v>4.0170600000000002E-3</v>
      </c>
      <c r="O472">
        <f>Table3373[[#This Row],[CFNM]]/Table3373[[#This Row],[CAREA]]</f>
        <v>4.5729527036026409E-5</v>
      </c>
      <c r="P472">
        <v>2.4278300000000002</v>
      </c>
      <c r="Q472">
        <f>-(Table4374[[#This Row],[time]]-2)*2</f>
        <v>-0.85566000000000031</v>
      </c>
      <c r="R472">
        <v>86.693399999999997</v>
      </c>
      <c r="S472">
        <v>15.2303</v>
      </c>
      <c r="T472">
        <f>Table4374[[#This Row],[CFNM]]/Table4374[[#This Row],[CAREA]]</f>
        <v>0.17568004023374328</v>
      </c>
      <c r="U472">
        <v>2.4278300000000002</v>
      </c>
      <c r="V472">
        <f>-(Table5375[[#This Row],[time]]-2)*2</f>
        <v>-0.85566000000000031</v>
      </c>
      <c r="W472">
        <v>82.000699999999995</v>
      </c>
      <c r="X472">
        <v>0.79543799999999998</v>
      </c>
      <c r="Y472">
        <f>Table5375[[#This Row],[CFNM]]/Table5375[[#This Row],[CAREA]]</f>
        <v>9.700380606507018E-3</v>
      </c>
      <c r="Z472">
        <v>2.4278300000000002</v>
      </c>
      <c r="AA472">
        <f>-(Table6376[[#This Row],[time]]-2)*2</f>
        <v>-0.85566000000000031</v>
      </c>
      <c r="AB472">
        <v>87.182199999999995</v>
      </c>
      <c r="AC472">
        <v>22.4222</v>
      </c>
      <c r="AD472">
        <f>Table6376[[#This Row],[CFNM]]/Table6376[[#This Row],[CAREA]]</f>
        <v>0.25718782044958721</v>
      </c>
      <c r="AE472">
        <v>2.4278300000000002</v>
      </c>
      <c r="AF472">
        <f>-(Table7377[[#This Row],[time]]-2)*2</f>
        <v>-0.85566000000000031</v>
      </c>
      <c r="AG472">
        <v>79.982200000000006</v>
      </c>
      <c r="AH472">
        <v>7.8822599999999996</v>
      </c>
      <c r="AI472">
        <f>Table7377[[#This Row],[CFNM]]/Table7377[[#This Row],[CAREA]]</f>
        <v>9.8550177414474707E-2</v>
      </c>
      <c r="AJ472">
        <v>2.4278300000000002</v>
      </c>
      <c r="AK472">
        <f>-(Table8378[[#This Row],[time]]-2)*2</f>
        <v>-0.85566000000000031</v>
      </c>
      <c r="AL472">
        <v>82.821299999999994</v>
      </c>
      <c r="AM472">
        <v>32.572600000000001</v>
      </c>
      <c r="AN472">
        <f>Table8378[[#This Row],[CFNM]]/Table8378[[#This Row],[CAREA]]</f>
        <v>0.39328771704863369</v>
      </c>
    </row>
    <row r="473" spans="1:40" x14ac:dyDescent="0.25">
      <c r="A473">
        <v>2.4542000000000002</v>
      </c>
      <c r="B473">
        <f>-(Table1371[[#This Row],[time]]-2)*2</f>
        <v>-0.90840000000000032</v>
      </c>
      <c r="C473">
        <v>89.394099999999995</v>
      </c>
      <c r="D473">
        <v>4.9438199999999997</v>
      </c>
      <c r="E473">
        <f>Table1371[[#This Row],[CFNM]]/Table1371[[#This Row],[CAREA]]</f>
        <v>5.5303649793442745E-2</v>
      </c>
      <c r="F473">
        <v>2.4542000000000002</v>
      </c>
      <c r="G473">
        <f>-(Table2372[[#This Row],[time]]-2)*2</f>
        <v>-0.90840000000000032</v>
      </c>
      <c r="H473">
        <v>96.354299999999995</v>
      </c>
      <c r="I473">
        <v>12.3742</v>
      </c>
      <c r="J473">
        <f>Table2372[[#This Row],[CFNM]]/Table2372[[#This Row],[CAREA]]</f>
        <v>0.12842395201874748</v>
      </c>
      <c r="K473">
        <v>2.4542000000000002</v>
      </c>
      <c r="L473">
        <f>-(Table3373[[#This Row],[time]]-2)*2</f>
        <v>-0.90840000000000032</v>
      </c>
      <c r="M473">
        <v>87.697900000000004</v>
      </c>
      <c r="N473">
        <v>3.6073699999999999E-3</v>
      </c>
      <c r="O473">
        <f>Table3373[[#This Row],[CFNM]]/Table3373[[#This Row],[CAREA]]</f>
        <v>4.1134052240703594E-5</v>
      </c>
      <c r="P473">
        <v>2.4542000000000002</v>
      </c>
      <c r="Q473">
        <f>-(Table4374[[#This Row],[time]]-2)*2</f>
        <v>-0.90840000000000032</v>
      </c>
      <c r="R473">
        <v>86.669700000000006</v>
      </c>
      <c r="S473">
        <v>16.850999999999999</v>
      </c>
      <c r="T473">
        <f>Table4374[[#This Row],[CFNM]]/Table4374[[#This Row],[CAREA]]</f>
        <v>0.19442781041125096</v>
      </c>
      <c r="U473">
        <v>2.4542000000000002</v>
      </c>
      <c r="V473">
        <f>-(Table5375[[#This Row],[time]]-2)*2</f>
        <v>-0.90840000000000032</v>
      </c>
      <c r="W473">
        <v>81.719300000000004</v>
      </c>
      <c r="X473">
        <v>0.199213</v>
      </c>
      <c r="Y473">
        <f>Table5375[[#This Row],[CFNM]]/Table5375[[#This Row],[CAREA]]</f>
        <v>2.4377717381328522E-3</v>
      </c>
      <c r="Z473">
        <v>2.4542000000000002</v>
      </c>
      <c r="AA473">
        <f>-(Table6376[[#This Row],[time]]-2)*2</f>
        <v>-0.90840000000000032</v>
      </c>
      <c r="AB473">
        <v>87.073400000000007</v>
      </c>
      <c r="AC473">
        <v>23.662199999999999</v>
      </c>
      <c r="AD473">
        <f>Table6376[[#This Row],[CFNM]]/Table6376[[#This Row],[CAREA]]</f>
        <v>0.27175004077020076</v>
      </c>
      <c r="AE473">
        <v>2.4542000000000002</v>
      </c>
      <c r="AF473">
        <f>-(Table7377[[#This Row],[time]]-2)*2</f>
        <v>-0.90840000000000032</v>
      </c>
      <c r="AG473">
        <v>79.779300000000006</v>
      </c>
      <c r="AH473">
        <v>6.7070100000000004</v>
      </c>
      <c r="AI473">
        <f>Table7377[[#This Row],[CFNM]]/Table7377[[#This Row],[CAREA]]</f>
        <v>8.4069551876238574E-2</v>
      </c>
      <c r="AJ473">
        <v>2.4542000000000002</v>
      </c>
      <c r="AK473">
        <f>-(Table8378[[#This Row],[time]]-2)*2</f>
        <v>-0.90840000000000032</v>
      </c>
      <c r="AL473">
        <v>82.755499999999998</v>
      </c>
      <c r="AM473">
        <v>34.5015</v>
      </c>
      <c r="AN473">
        <f>Table8378[[#This Row],[CFNM]]/Table8378[[#This Row],[CAREA]]</f>
        <v>0.41690884593773225</v>
      </c>
    </row>
    <row r="474" spans="1:40" x14ac:dyDescent="0.25">
      <c r="A474">
        <v>2.5061499999999999</v>
      </c>
      <c r="B474">
        <f>-(Table1371[[#This Row],[time]]-2)*2</f>
        <v>-1.0122999999999998</v>
      </c>
      <c r="C474">
        <v>86.929500000000004</v>
      </c>
      <c r="D474">
        <v>4.2944399999999998</v>
      </c>
      <c r="E474">
        <f>Table1371[[#This Row],[CFNM]]/Table1371[[#This Row],[CAREA]]</f>
        <v>4.9401411488620081E-2</v>
      </c>
      <c r="F474">
        <v>2.5061499999999999</v>
      </c>
      <c r="G474">
        <f>-(Table2372[[#This Row],[time]]-2)*2</f>
        <v>-1.0122999999999998</v>
      </c>
      <c r="H474">
        <v>96.412899999999993</v>
      </c>
      <c r="I474">
        <v>14.1288</v>
      </c>
      <c r="J474">
        <f>Table2372[[#This Row],[CFNM]]/Table2372[[#This Row],[CAREA]]</f>
        <v>0.14654470511726128</v>
      </c>
      <c r="K474">
        <v>2.5061499999999999</v>
      </c>
      <c r="L474">
        <f>-(Table3373[[#This Row],[time]]-2)*2</f>
        <v>-1.0122999999999998</v>
      </c>
      <c r="M474">
        <v>83.814999999999998</v>
      </c>
      <c r="N474">
        <v>3.2335599999999999E-3</v>
      </c>
      <c r="O474">
        <f>Table3373[[#This Row],[CFNM]]/Table3373[[#This Row],[CAREA]]</f>
        <v>3.8579729165423853E-5</v>
      </c>
      <c r="P474">
        <v>2.5061499999999999</v>
      </c>
      <c r="Q474">
        <f>-(Table4374[[#This Row],[time]]-2)*2</f>
        <v>-1.0122999999999998</v>
      </c>
      <c r="R474">
        <v>86.613600000000005</v>
      </c>
      <c r="S474">
        <v>18.615200000000002</v>
      </c>
      <c r="T474">
        <f>Table4374[[#This Row],[CFNM]]/Table4374[[#This Row],[CAREA]]</f>
        <v>0.21492236784985269</v>
      </c>
      <c r="U474">
        <v>2.5061499999999999</v>
      </c>
      <c r="V474">
        <f>-(Table5375[[#This Row],[time]]-2)*2</f>
        <v>-1.0122999999999998</v>
      </c>
      <c r="W474">
        <v>81.5351</v>
      </c>
      <c r="X474">
        <v>5.3298099999999999E-3</v>
      </c>
      <c r="Y474">
        <f>Table5375[[#This Row],[CFNM]]/Table5375[[#This Row],[CAREA]]</f>
        <v>6.5368289239848843E-5</v>
      </c>
      <c r="Z474">
        <v>2.5061499999999999</v>
      </c>
      <c r="AA474">
        <f>-(Table6376[[#This Row],[time]]-2)*2</f>
        <v>-1.0122999999999998</v>
      </c>
      <c r="AB474">
        <v>86.876999999999995</v>
      </c>
      <c r="AC474">
        <v>25.235700000000001</v>
      </c>
      <c r="AD474">
        <f>Table6376[[#This Row],[CFNM]]/Table6376[[#This Row],[CAREA]]</f>
        <v>0.2904761904761905</v>
      </c>
      <c r="AE474">
        <v>2.5061499999999999</v>
      </c>
      <c r="AF474">
        <f>-(Table7377[[#This Row],[time]]-2)*2</f>
        <v>-1.0122999999999998</v>
      </c>
      <c r="AG474">
        <v>79.487700000000004</v>
      </c>
      <c r="AH474">
        <v>5.6479100000000004</v>
      </c>
      <c r="AI474">
        <f>Table7377[[#This Row],[CFNM]]/Table7377[[#This Row],[CAREA]]</f>
        <v>7.1053886324550841E-2</v>
      </c>
      <c r="AJ474">
        <v>2.5061499999999999</v>
      </c>
      <c r="AK474">
        <f>-(Table8378[[#This Row],[time]]-2)*2</f>
        <v>-1.0122999999999998</v>
      </c>
      <c r="AL474">
        <v>82.745099999999994</v>
      </c>
      <c r="AM474">
        <v>36.446800000000003</v>
      </c>
      <c r="AN474">
        <f>Table8378[[#This Row],[CFNM]]/Table8378[[#This Row],[CAREA]]</f>
        <v>0.44047079524950727</v>
      </c>
    </row>
    <row r="475" spans="1:40" x14ac:dyDescent="0.25">
      <c r="A475">
        <v>2.5507599999999999</v>
      </c>
      <c r="B475">
        <f>-(Table1371[[#This Row],[time]]-2)*2</f>
        <v>-1.1015199999999998</v>
      </c>
      <c r="C475">
        <v>86.228999999999999</v>
      </c>
      <c r="D475">
        <v>3.6031499999999999</v>
      </c>
      <c r="E475">
        <f>Table1371[[#This Row],[CFNM]]/Table1371[[#This Row],[CAREA]]</f>
        <v>4.178582611418432E-2</v>
      </c>
      <c r="F475">
        <v>2.5507599999999999</v>
      </c>
      <c r="G475">
        <f>-(Table2372[[#This Row],[time]]-2)*2</f>
        <v>-1.1015199999999998</v>
      </c>
      <c r="H475">
        <v>96.567899999999995</v>
      </c>
      <c r="I475">
        <v>16.127600000000001</v>
      </c>
      <c r="J475">
        <f>Table2372[[#This Row],[CFNM]]/Table2372[[#This Row],[CAREA]]</f>
        <v>0.16700787735883252</v>
      </c>
      <c r="K475">
        <v>2.5507599999999999</v>
      </c>
      <c r="L475">
        <f>-(Table3373[[#This Row],[time]]-2)*2</f>
        <v>-1.1015199999999998</v>
      </c>
      <c r="M475">
        <v>78.499200000000002</v>
      </c>
      <c r="N475">
        <v>2.92056E-3</v>
      </c>
      <c r="O475">
        <f>Table3373[[#This Row],[CFNM]]/Table3373[[#This Row],[CAREA]]</f>
        <v>3.7204965146141615E-5</v>
      </c>
      <c r="P475">
        <v>2.5507599999999999</v>
      </c>
      <c r="Q475">
        <f>-(Table4374[[#This Row],[time]]-2)*2</f>
        <v>-1.1015199999999998</v>
      </c>
      <c r="R475">
        <v>86.532499999999999</v>
      </c>
      <c r="S475">
        <v>20.569800000000001</v>
      </c>
      <c r="T475">
        <f>Table4374[[#This Row],[CFNM]]/Table4374[[#This Row],[CAREA]]</f>
        <v>0.23771184237136336</v>
      </c>
      <c r="U475">
        <v>2.5507599999999999</v>
      </c>
      <c r="V475">
        <f>-(Table5375[[#This Row],[time]]-2)*2</f>
        <v>-1.1015199999999998</v>
      </c>
      <c r="W475">
        <v>81.2684</v>
      </c>
      <c r="X475">
        <v>4.7850999999999996E-3</v>
      </c>
      <c r="Y475">
        <f>Table5375[[#This Row],[CFNM]]/Table5375[[#This Row],[CAREA]]</f>
        <v>5.8880204359874189E-5</v>
      </c>
      <c r="Z475">
        <v>2.5507599999999999</v>
      </c>
      <c r="AA475">
        <f>-(Table6376[[#This Row],[time]]-2)*2</f>
        <v>-1.1015199999999998</v>
      </c>
      <c r="AB475">
        <v>86.594899999999996</v>
      </c>
      <c r="AC475">
        <v>27.169499999999999</v>
      </c>
      <c r="AD475">
        <f>Table6376[[#This Row],[CFNM]]/Table6376[[#This Row],[CAREA]]</f>
        <v>0.31375404325196982</v>
      </c>
      <c r="AE475">
        <v>2.5507599999999999</v>
      </c>
      <c r="AF475">
        <f>-(Table7377[[#This Row],[time]]-2)*2</f>
        <v>-1.1015199999999998</v>
      </c>
      <c r="AG475">
        <v>79.137500000000003</v>
      </c>
      <c r="AH475">
        <v>4.7365000000000004</v>
      </c>
      <c r="AI475">
        <f>Table7377[[#This Row],[CFNM]]/Table7377[[#This Row],[CAREA]]</f>
        <v>5.9851524245774765E-2</v>
      </c>
      <c r="AJ475">
        <v>2.5507599999999999</v>
      </c>
      <c r="AK475">
        <f>-(Table8378[[#This Row],[time]]-2)*2</f>
        <v>-1.1015199999999998</v>
      </c>
      <c r="AL475">
        <v>82.775400000000005</v>
      </c>
      <c r="AM475">
        <v>38.486899999999999</v>
      </c>
      <c r="AN475">
        <f>Table8378[[#This Row],[CFNM]]/Table8378[[#This Row],[CAREA]]</f>
        <v>0.46495577188391718</v>
      </c>
    </row>
    <row r="476" spans="1:40" x14ac:dyDescent="0.25">
      <c r="A476">
        <v>2.60453</v>
      </c>
      <c r="B476">
        <f>-(Table1371[[#This Row],[time]]-2)*2</f>
        <v>-1.20906</v>
      </c>
      <c r="C476">
        <v>85.453599999999994</v>
      </c>
      <c r="D476">
        <v>2.9254899999999999</v>
      </c>
      <c r="E476">
        <f>Table1371[[#This Row],[CFNM]]/Table1371[[#This Row],[CAREA]]</f>
        <v>3.4234836215209188E-2</v>
      </c>
      <c r="F476">
        <v>2.60453</v>
      </c>
      <c r="G476">
        <f>-(Table2372[[#This Row],[time]]-2)*2</f>
        <v>-1.20906</v>
      </c>
      <c r="H476">
        <v>96.653700000000001</v>
      </c>
      <c r="I476">
        <v>18.262599999999999</v>
      </c>
      <c r="J476">
        <f>Table2372[[#This Row],[CFNM]]/Table2372[[#This Row],[CAREA]]</f>
        <v>0.18894879347609039</v>
      </c>
      <c r="K476">
        <v>2.60453</v>
      </c>
      <c r="L476">
        <f>-(Table3373[[#This Row],[time]]-2)*2</f>
        <v>-1.20906</v>
      </c>
      <c r="M476">
        <v>75.483099999999993</v>
      </c>
      <c r="N476">
        <v>2.6366699999999998E-3</v>
      </c>
      <c r="O476">
        <f>Table3373[[#This Row],[CFNM]]/Table3373[[#This Row],[CAREA]]</f>
        <v>3.4930600359550681E-5</v>
      </c>
      <c r="P476">
        <v>2.60453</v>
      </c>
      <c r="Q476">
        <f>-(Table4374[[#This Row],[time]]-2)*2</f>
        <v>-1.20906</v>
      </c>
      <c r="R476">
        <v>86.456299999999999</v>
      </c>
      <c r="S476">
        <v>22.638000000000002</v>
      </c>
      <c r="T476">
        <f>Table4374[[#This Row],[CFNM]]/Table4374[[#This Row],[CAREA]]</f>
        <v>0.26184326648260453</v>
      </c>
      <c r="U476">
        <v>2.60453</v>
      </c>
      <c r="V476">
        <f>-(Table5375[[#This Row],[time]]-2)*2</f>
        <v>-1.20906</v>
      </c>
      <c r="W476">
        <v>80.782200000000003</v>
      </c>
      <c r="X476">
        <v>4.5185099999999999E-3</v>
      </c>
      <c r="Y476">
        <f>Table5375[[#This Row],[CFNM]]/Table5375[[#This Row],[CAREA]]</f>
        <v>5.5934475664193346E-5</v>
      </c>
      <c r="Z476">
        <v>2.60453</v>
      </c>
      <c r="AA476">
        <f>-(Table6376[[#This Row],[time]]-2)*2</f>
        <v>-1.20906</v>
      </c>
      <c r="AB476">
        <v>86.220100000000002</v>
      </c>
      <c r="AC476">
        <v>29.244800000000001</v>
      </c>
      <c r="AD476">
        <f>Table6376[[#This Row],[CFNM]]/Table6376[[#This Row],[CAREA]]</f>
        <v>0.33918773000727209</v>
      </c>
      <c r="AE476">
        <v>2.60453</v>
      </c>
      <c r="AF476">
        <f>-(Table7377[[#This Row],[time]]-2)*2</f>
        <v>-1.20906</v>
      </c>
      <c r="AG476">
        <v>78.475999999999999</v>
      </c>
      <c r="AH476">
        <v>3.9916499999999999</v>
      </c>
      <c r="AI476">
        <f>Table7377[[#This Row],[CFNM]]/Table7377[[#This Row],[CAREA]]</f>
        <v>5.0864595545134818E-2</v>
      </c>
      <c r="AJ476">
        <v>2.60453</v>
      </c>
      <c r="AK476">
        <f>-(Table8378[[#This Row],[time]]-2)*2</f>
        <v>-1.20906</v>
      </c>
      <c r="AL476">
        <v>82.807599999999994</v>
      </c>
      <c r="AM476">
        <v>40.610599999999998</v>
      </c>
      <c r="AN476">
        <f>Table8378[[#This Row],[CFNM]]/Table8378[[#This Row],[CAREA]]</f>
        <v>0.4904211690714379</v>
      </c>
    </row>
    <row r="477" spans="1:40" x14ac:dyDescent="0.25">
      <c r="A477">
        <v>2.65273</v>
      </c>
      <c r="B477">
        <f>-(Table1371[[#This Row],[time]]-2)*2</f>
        <v>-1.3054600000000001</v>
      </c>
      <c r="C477">
        <v>83.136099999999999</v>
      </c>
      <c r="D477">
        <v>2.1841499999999998</v>
      </c>
      <c r="E477">
        <f>Table1371[[#This Row],[CFNM]]/Table1371[[#This Row],[CAREA]]</f>
        <v>2.6271980523503026E-2</v>
      </c>
      <c r="F477">
        <v>2.65273</v>
      </c>
      <c r="G477">
        <f>-(Table2372[[#This Row],[time]]-2)*2</f>
        <v>-1.3054600000000001</v>
      </c>
      <c r="H477">
        <v>96.785700000000006</v>
      </c>
      <c r="I477">
        <v>20.923200000000001</v>
      </c>
      <c r="J477">
        <f>Table2372[[#This Row],[CFNM]]/Table2372[[#This Row],[CAREA]]</f>
        <v>0.21618069611523191</v>
      </c>
      <c r="K477">
        <v>2.65273</v>
      </c>
      <c r="L477">
        <f>-(Table3373[[#This Row],[time]]-2)*2</f>
        <v>-1.3054600000000001</v>
      </c>
      <c r="M477">
        <v>73.2303</v>
      </c>
      <c r="N477">
        <v>2.3300500000000002E-3</v>
      </c>
      <c r="O477">
        <f>Table3373[[#This Row],[CFNM]]/Table3373[[#This Row],[CAREA]]</f>
        <v>3.1818113540433402E-5</v>
      </c>
      <c r="P477">
        <v>2.65273</v>
      </c>
      <c r="Q477">
        <f>-(Table4374[[#This Row],[time]]-2)*2</f>
        <v>-1.3054600000000001</v>
      </c>
      <c r="R477">
        <v>86.384200000000007</v>
      </c>
      <c r="S477">
        <v>25.189299999999999</v>
      </c>
      <c r="T477">
        <f>Table4374[[#This Row],[CFNM]]/Table4374[[#This Row],[CAREA]]</f>
        <v>0.29159614836972497</v>
      </c>
      <c r="U477">
        <v>2.65273</v>
      </c>
      <c r="V477">
        <f>-(Table5375[[#This Row],[time]]-2)*2</f>
        <v>-1.3054600000000001</v>
      </c>
      <c r="W477">
        <v>80.614199999999997</v>
      </c>
      <c r="X477">
        <v>4.1652499999999997E-3</v>
      </c>
      <c r="Y477">
        <f>Table5375[[#This Row],[CFNM]]/Table5375[[#This Row],[CAREA]]</f>
        <v>5.1668936738192528E-5</v>
      </c>
      <c r="Z477">
        <v>2.65273</v>
      </c>
      <c r="AA477">
        <f>-(Table6376[[#This Row],[time]]-2)*2</f>
        <v>-1.3054600000000001</v>
      </c>
      <c r="AB477">
        <v>85.352199999999996</v>
      </c>
      <c r="AC477">
        <v>31.859400000000001</v>
      </c>
      <c r="AD477">
        <f>Table6376[[#This Row],[CFNM]]/Table6376[[#This Row],[CAREA]]</f>
        <v>0.37326981612659077</v>
      </c>
      <c r="AE477">
        <v>2.65273</v>
      </c>
      <c r="AF477">
        <f>-(Table7377[[#This Row],[time]]-2)*2</f>
        <v>-1.3054600000000001</v>
      </c>
      <c r="AG477">
        <v>77.627600000000001</v>
      </c>
      <c r="AH477">
        <v>3.1963300000000001</v>
      </c>
      <c r="AI477">
        <f>Table7377[[#This Row],[CFNM]]/Table7377[[#This Row],[CAREA]]</f>
        <v>4.11751748089597E-2</v>
      </c>
      <c r="AJ477">
        <v>2.65273</v>
      </c>
      <c r="AK477">
        <f>-(Table8378[[#This Row],[time]]-2)*2</f>
        <v>-1.3054600000000001</v>
      </c>
      <c r="AL477">
        <v>82.961600000000004</v>
      </c>
      <c r="AM477">
        <v>43.173400000000001</v>
      </c>
      <c r="AN477">
        <f>Table8378[[#This Row],[CFNM]]/Table8378[[#This Row],[CAREA]]</f>
        <v>0.52040221017916721</v>
      </c>
    </row>
    <row r="478" spans="1:40" x14ac:dyDescent="0.25">
      <c r="A478">
        <v>2.7006199999999998</v>
      </c>
      <c r="B478">
        <f>-(Table1371[[#This Row],[time]]-2)*2</f>
        <v>-1.4012399999999996</v>
      </c>
      <c r="C478">
        <v>79.602000000000004</v>
      </c>
      <c r="D478">
        <v>1.69472</v>
      </c>
      <c r="E478">
        <f>Table1371[[#This Row],[CFNM]]/Table1371[[#This Row],[CAREA]]</f>
        <v>2.1289917338760331E-2</v>
      </c>
      <c r="F478">
        <v>2.7006199999999998</v>
      </c>
      <c r="G478">
        <f>-(Table2372[[#This Row],[time]]-2)*2</f>
        <v>-1.4012399999999996</v>
      </c>
      <c r="H478">
        <v>96.909599999999998</v>
      </c>
      <c r="I478">
        <v>22.867699999999999</v>
      </c>
      <c r="J478">
        <f>Table2372[[#This Row],[CFNM]]/Table2372[[#This Row],[CAREA]]</f>
        <v>0.23596939828458688</v>
      </c>
      <c r="K478">
        <v>2.7006199999999998</v>
      </c>
      <c r="L478">
        <f>-(Table3373[[#This Row],[time]]-2)*2</f>
        <v>-1.4012399999999996</v>
      </c>
      <c r="M478">
        <v>70.078900000000004</v>
      </c>
      <c r="N478">
        <v>2.1230099999999998E-3</v>
      </c>
      <c r="O478">
        <f>Table3373[[#This Row],[CFNM]]/Table3373[[#This Row],[CAREA]]</f>
        <v>3.0294567979805615E-5</v>
      </c>
      <c r="P478">
        <v>2.7006199999999998</v>
      </c>
      <c r="Q478">
        <f>-(Table4374[[#This Row],[time]]-2)*2</f>
        <v>-1.4012399999999996</v>
      </c>
      <c r="R478">
        <v>86.281199999999998</v>
      </c>
      <c r="S478">
        <v>27.0608</v>
      </c>
      <c r="T478">
        <f>Table4374[[#This Row],[CFNM]]/Table4374[[#This Row],[CAREA]]</f>
        <v>0.31363495176237699</v>
      </c>
      <c r="U478">
        <v>2.7006199999999998</v>
      </c>
      <c r="V478">
        <f>-(Table5375[[#This Row],[time]]-2)*2</f>
        <v>-1.4012399999999996</v>
      </c>
      <c r="W478">
        <v>80.415099999999995</v>
      </c>
      <c r="X478">
        <v>3.89865E-3</v>
      </c>
      <c r="Y478">
        <f>Table5375[[#This Row],[CFNM]]/Table5375[[#This Row],[CAREA]]</f>
        <v>4.8481566273000969E-5</v>
      </c>
      <c r="Z478">
        <v>2.7006199999999998</v>
      </c>
      <c r="AA478">
        <f>-(Table6376[[#This Row],[time]]-2)*2</f>
        <v>-1.4012399999999996</v>
      </c>
      <c r="AB478">
        <v>85.170699999999997</v>
      </c>
      <c r="AC478">
        <v>33.788400000000003</v>
      </c>
      <c r="AD478">
        <f>Table6376[[#This Row],[CFNM]]/Table6376[[#This Row],[CAREA]]</f>
        <v>0.39671389339291568</v>
      </c>
      <c r="AE478">
        <v>2.7006199999999998</v>
      </c>
      <c r="AF478">
        <f>-(Table7377[[#This Row],[time]]-2)*2</f>
        <v>-1.4012399999999996</v>
      </c>
      <c r="AG478">
        <v>77.058300000000003</v>
      </c>
      <c r="AH478">
        <v>2.7512699999999999</v>
      </c>
      <c r="AI478">
        <f>Table7377[[#This Row],[CFNM]]/Table7377[[#This Row],[CAREA]]</f>
        <v>3.5703746384231155E-2</v>
      </c>
      <c r="AJ478">
        <v>2.7006199999999998</v>
      </c>
      <c r="AK478">
        <f>-(Table8378[[#This Row],[time]]-2)*2</f>
        <v>-1.4012399999999996</v>
      </c>
      <c r="AL478">
        <v>82.993899999999996</v>
      </c>
      <c r="AM478">
        <v>45.034599999999998</v>
      </c>
      <c r="AN478">
        <f>Table8378[[#This Row],[CFNM]]/Table8378[[#This Row],[CAREA]]</f>
        <v>0.54262542186835416</v>
      </c>
    </row>
    <row r="479" spans="1:40" x14ac:dyDescent="0.25">
      <c r="A479">
        <v>2.75176</v>
      </c>
      <c r="B479">
        <f>-(Table1371[[#This Row],[time]]-2)*2</f>
        <v>-1.50352</v>
      </c>
      <c r="C479">
        <v>76.459699999999998</v>
      </c>
      <c r="D479">
        <v>1.3207199999999999</v>
      </c>
      <c r="E479">
        <f>Table1371[[#This Row],[CFNM]]/Table1371[[#This Row],[CAREA]]</f>
        <v>1.7273413314465004E-2</v>
      </c>
      <c r="F479">
        <v>2.75176</v>
      </c>
      <c r="G479">
        <f>-(Table2372[[#This Row],[time]]-2)*2</f>
        <v>-1.50352</v>
      </c>
      <c r="H479">
        <v>97.042400000000001</v>
      </c>
      <c r="I479">
        <v>24.720199999999998</v>
      </c>
      <c r="J479">
        <f>Table2372[[#This Row],[CFNM]]/Table2372[[#This Row],[CAREA]]</f>
        <v>0.2547360741284222</v>
      </c>
      <c r="K479">
        <v>2.75176</v>
      </c>
      <c r="L479">
        <f>-(Table3373[[#This Row],[time]]-2)*2</f>
        <v>-1.50352</v>
      </c>
      <c r="M479">
        <v>64.977199999999996</v>
      </c>
      <c r="N479">
        <v>1.9506599999999999E-3</v>
      </c>
      <c r="O479">
        <f>Table3373[[#This Row],[CFNM]]/Table3373[[#This Row],[CAREA]]</f>
        <v>3.0020684178450287E-5</v>
      </c>
      <c r="P479">
        <v>2.75176</v>
      </c>
      <c r="Q479">
        <f>-(Table4374[[#This Row],[time]]-2)*2</f>
        <v>-1.50352</v>
      </c>
      <c r="R479">
        <v>86.179000000000002</v>
      </c>
      <c r="S479">
        <v>28.856100000000001</v>
      </c>
      <c r="T479">
        <f>Table4374[[#This Row],[CFNM]]/Table4374[[#This Row],[CAREA]]</f>
        <v>0.33483911393727012</v>
      </c>
      <c r="U479">
        <v>2.75176</v>
      </c>
      <c r="V479">
        <f>-(Table5375[[#This Row],[time]]-2)*2</f>
        <v>-1.50352</v>
      </c>
      <c r="W479">
        <v>79.597200000000001</v>
      </c>
      <c r="X479">
        <v>3.6528300000000001E-3</v>
      </c>
      <c r="Y479">
        <f>Table5375[[#This Row],[CFNM]]/Table5375[[#This Row],[CAREA]]</f>
        <v>4.5891438392305257E-5</v>
      </c>
      <c r="Z479">
        <v>2.75176</v>
      </c>
      <c r="AA479">
        <f>-(Table6376[[#This Row],[time]]-2)*2</f>
        <v>-1.50352</v>
      </c>
      <c r="AB479">
        <v>85.099100000000007</v>
      </c>
      <c r="AC479">
        <v>35.610500000000002</v>
      </c>
      <c r="AD479">
        <f>Table6376[[#This Row],[CFNM]]/Table6376[[#This Row],[CAREA]]</f>
        <v>0.41845918464472598</v>
      </c>
      <c r="AE479">
        <v>2.75176</v>
      </c>
      <c r="AF479">
        <f>-(Table7377[[#This Row],[time]]-2)*2</f>
        <v>-1.50352</v>
      </c>
      <c r="AG479">
        <v>76.566199999999995</v>
      </c>
      <c r="AH479">
        <v>2.3697699999999999</v>
      </c>
      <c r="AI479">
        <f>Table7377[[#This Row],[CFNM]]/Table7377[[#This Row],[CAREA]]</f>
        <v>3.0950602223957832E-2</v>
      </c>
      <c r="AJ479">
        <v>2.75176</v>
      </c>
      <c r="AK479">
        <f>-(Table8378[[#This Row],[time]]-2)*2</f>
        <v>-1.50352</v>
      </c>
      <c r="AL479">
        <v>83.024500000000003</v>
      </c>
      <c r="AM479">
        <v>46.740200000000002</v>
      </c>
      <c r="AN479">
        <f>Table8378[[#This Row],[CFNM]]/Table8378[[#This Row],[CAREA]]</f>
        <v>0.56296876223283487</v>
      </c>
    </row>
    <row r="480" spans="1:40" x14ac:dyDescent="0.25">
      <c r="A480">
        <v>2.80444</v>
      </c>
      <c r="B480">
        <f>-(Table1371[[#This Row],[time]]-2)*2</f>
        <v>-1.6088800000000001</v>
      </c>
      <c r="C480">
        <v>72.505499999999998</v>
      </c>
      <c r="D480">
        <v>0.75854600000000005</v>
      </c>
      <c r="E480">
        <f>Table1371[[#This Row],[CFNM]]/Table1371[[#This Row],[CAREA]]</f>
        <v>1.0461909786154154E-2</v>
      </c>
      <c r="F480">
        <v>2.80444</v>
      </c>
      <c r="G480">
        <f>-(Table2372[[#This Row],[time]]-2)*2</f>
        <v>-1.6088800000000001</v>
      </c>
      <c r="H480">
        <v>97.228099999999998</v>
      </c>
      <c r="I480">
        <v>27.495100000000001</v>
      </c>
      <c r="J480">
        <f>Table2372[[#This Row],[CFNM]]/Table2372[[#This Row],[CAREA]]</f>
        <v>0.28278964620310387</v>
      </c>
      <c r="K480">
        <v>2.80444</v>
      </c>
      <c r="L480">
        <f>-(Table3373[[#This Row],[time]]-2)*2</f>
        <v>-1.6088800000000001</v>
      </c>
      <c r="M480">
        <v>62.956499999999998</v>
      </c>
      <c r="N480">
        <v>1.71334E-3</v>
      </c>
      <c r="O480">
        <f>Table3373[[#This Row],[CFNM]]/Table3373[[#This Row],[CAREA]]</f>
        <v>2.7214664093461358E-5</v>
      </c>
      <c r="P480">
        <v>2.80444</v>
      </c>
      <c r="Q480">
        <f>-(Table4374[[#This Row],[time]]-2)*2</f>
        <v>-1.6088800000000001</v>
      </c>
      <c r="R480">
        <v>85.960400000000007</v>
      </c>
      <c r="S480">
        <v>31.413</v>
      </c>
      <c r="T480">
        <f>Table4374[[#This Row],[CFNM]]/Table4374[[#This Row],[CAREA]]</f>
        <v>0.36543571225820259</v>
      </c>
      <c r="U480">
        <v>2.80444</v>
      </c>
      <c r="V480">
        <f>-(Table5375[[#This Row],[time]]-2)*2</f>
        <v>-1.6088800000000001</v>
      </c>
      <c r="W480">
        <v>79.283299999999997</v>
      </c>
      <c r="X480">
        <v>3.2982599999999999E-3</v>
      </c>
      <c r="Y480">
        <f>Table5375[[#This Row],[CFNM]]/Table5375[[#This Row],[CAREA]]</f>
        <v>4.1600942443112234E-5</v>
      </c>
      <c r="Z480">
        <v>2.80444</v>
      </c>
      <c r="AA480">
        <f>-(Table6376[[#This Row],[time]]-2)*2</f>
        <v>-1.6088800000000001</v>
      </c>
      <c r="AB480">
        <v>84.796800000000005</v>
      </c>
      <c r="AC480">
        <v>38.296599999999998</v>
      </c>
      <c r="AD480">
        <f>Table6376[[#This Row],[CFNM]]/Table6376[[#This Row],[CAREA]]</f>
        <v>0.4516278916185516</v>
      </c>
      <c r="AE480">
        <v>2.80444</v>
      </c>
      <c r="AF480">
        <f>-(Table7377[[#This Row],[time]]-2)*2</f>
        <v>-1.6088800000000001</v>
      </c>
      <c r="AG480">
        <v>75.814499999999995</v>
      </c>
      <c r="AH480">
        <v>1.81839</v>
      </c>
      <c r="AI480">
        <f>Table7377[[#This Row],[CFNM]]/Table7377[[#This Row],[CAREA]]</f>
        <v>2.3984725876976042E-2</v>
      </c>
      <c r="AJ480">
        <v>2.80444</v>
      </c>
      <c r="AK480">
        <f>-(Table8378[[#This Row],[time]]-2)*2</f>
        <v>-1.6088800000000001</v>
      </c>
      <c r="AL480">
        <v>83.119100000000003</v>
      </c>
      <c r="AM480">
        <v>49.162599999999998</v>
      </c>
      <c r="AN480">
        <f>Table8378[[#This Row],[CFNM]]/Table8378[[#This Row],[CAREA]]</f>
        <v>0.59147175558926879</v>
      </c>
    </row>
    <row r="481" spans="1:40" x14ac:dyDescent="0.25">
      <c r="A481">
        <v>2.8583699999999999</v>
      </c>
      <c r="B481">
        <f>-(Table1371[[#This Row],[time]]-2)*2</f>
        <v>-1.7167399999999997</v>
      </c>
      <c r="C481">
        <v>65.779700000000005</v>
      </c>
      <c r="D481">
        <v>9.2486399999999996E-2</v>
      </c>
      <c r="E481">
        <f>Table1371[[#This Row],[CFNM]]/Table1371[[#This Row],[CAREA]]</f>
        <v>1.4060021556802477E-3</v>
      </c>
      <c r="F481">
        <v>2.8583699999999999</v>
      </c>
      <c r="G481">
        <f>-(Table2372[[#This Row],[time]]-2)*2</f>
        <v>-1.7167399999999997</v>
      </c>
      <c r="H481">
        <v>97.451499999999996</v>
      </c>
      <c r="I481">
        <v>30.971800000000002</v>
      </c>
      <c r="J481">
        <f>Table2372[[#This Row],[CFNM]]/Table2372[[#This Row],[CAREA]]</f>
        <v>0.31781758105313929</v>
      </c>
      <c r="K481">
        <v>2.8583699999999999</v>
      </c>
      <c r="L481">
        <f>-(Table3373[[#This Row],[time]]-2)*2</f>
        <v>-1.7167399999999997</v>
      </c>
      <c r="M481">
        <v>59.438699999999997</v>
      </c>
      <c r="N481">
        <v>1.4212999999999999E-3</v>
      </c>
      <c r="O481">
        <f>Table3373[[#This Row],[CFNM]]/Table3373[[#This Row],[CAREA]]</f>
        <v>2.3912030377514984E-5</v>
      </c>
      <c r="P481">
        <v>2.8583699999999999</v>
      </c>
      <c r="Q481">
        <f>-(Table4374[[#This Row],[time]]-2)*2</f>
        <v>-1.7167399999999997</v>
      </c>
      <c r="R481">
        <v>85.423000000000002</v>
      </c>
      <c r="S481">
        <v>34.436100000000003</v>
      </c>
      <c r="T481">
        <f>Table4374[[#This Row],[CFNM]]/Table4374[[#This Row],[CAREA]]</f>
        <v>0.40312445126019925</v>
      </c>
      <c r="U481">
        <v>2.8583699999999999</v>
      </c>
      <c r="V481">
        <f>-(Table5375[[#This Row],[time]]-2)*2</f>
        <v>-1.7167399999999997</v>
      </c>
      <c r="W481">
        <v>78.161299999999997</v>
      </c>
      <c r="X481">
        <v>2.9111599999999999E-3</v>
      </c>
      <c r="Y481">
        <f>Table5375[[#This Row],[CFNM]]/Table5375[[#This Row],[CAREA]]</f>
        <v>3.724554223125767E-5</v>
      </c>
      <c r="Z481">
        <v>2.8583699999999999</v>
      </c>
      <c r="AA481">
        <f>-(Table6376[[#This Row],[time]]-2)*2</f>
        <v>-1.7167399999999997</v>
      </c>
      <c r="AB481">
        <v>83.998000000000005</v>
      </c>
      <c r="AC481">
        <v>41.846800000000002</v>
      </c>
      <c r="AD481">
        <f>Table6376[[#This Row],[CFNM]]/Table6376[[#This Row],[CAREA]]</f>
        <v>0.49818805209647848</v>
      </c>
      <c r="AE481">
        <v>2.8583699999999999</v>
      </c>
      <c r="AF481">
        <f>-(Table7377[[#This Row],[time]]-2)*2</f>
        <v>-1.7167399999999997</v>
      </c>
      <c r="AG481">
        <v>74.872900000000001</v>
      </c>
      <c r="AH481">
        <v>1.2906</v>
      </c>
      <c r="AI481">
        <f>Table7377[[#This Row],[CFNM]]/Table7377[[#This Row],[CAREA]]</f>
        <v>1.7237211327462941E-2</v>
      </c>
      <c r="AJ481">
        <v>2.8583699999999999</v>
      </c>
      <c r="AK481">
        <f>-(Table8378[[#This Row],[time]]-2)*2</f>
        <v>-1.7167399999999997</v>
      </c>
      <c r="AL481">
        <v>82.956599999999995</v>
      </c>
      <c r="AM481">
        <v>52.140900000000002</v>
      </c>
      <c r="AN481">
        <f>Table8378[[#This Row],[CFNM]]/Table8378[[#This Row],[CAREA]]</f>
        <v>0.62853226868024969</v>
      </c>
    </row>
    <row r="482" spans="1:40" x14ac:dyDescent="0.25">
      <c r="A482">
        <v>2.9134199999999999</v>
      </c>
      <c r="B482">
        <f>-(Table1371[[#This Row],[time]]-2)*2</f>
        <v>-1.8268399999999998</v>
      </c>
      <c r="C482">
        <v>62.873100000000001</v>
      </c>
      <c r="D482">
        <v>3.03638E-3</v>
      </c>
      <c r="E482">
        <f>Table1371[[#This Row],[CFNM]]/Table1371[[#This Row],[CAREA]]</f>
        <v>4.829378541856533E-5</v>
      </c>
      <c r="F482">
        <v>2.9134199999999999</v>
      </c>
      <c r="G482">
        <f>-(Table2372[[#This Row],[time]]-2)*2</f>
        <v>-1.8268399999999998</v>
      </c>
      <c r="H482">
        <v>97.534099999999995</v>
      </c>
      <c r="I482">
        <v>32.4358</v>
      </c>
      <c r="J482">
        <f>Table2372[[#This Row],[CFNM]]/Table2372[[#This Row],[CAREA]]</f>
        <v>0.33255856156974845</v>
      </c>
      <c r="K482">
        <v>2.9134199999999999</v>
      </c>
      <c r="L482">
        <f>-(Table3373[[#This Row],[time]]-2)*2</f>
        <v>-1.8268399999999998</v>
      </c>
      <c r="M482">
        <v>56.929600000000001</v>
      </c>
      <c r="N482">
        <v>1.3084699999999999E-3</v>
      </c>
      <c r="O482">
        <f>Table3373[[#This Row],[CFNM]]/Table3373[[#This Row],[CAREA]]</f>
        <v>2.2984001292824821E-5</v>
      </c>
      <c r="P482">
        <v>2.9134199999999999</v>
      </c>
      <c r="Q482">
        <f>-(Table4374[[#This Row],[time]]-2)*2</f>
        <v>-1.8268399999999998</v>
      </c>
      <c r="R482">
        <v>85.13</v>
      </c>
      <c r="S482">
        <v>35.712299999999999</v>
      </c>
      <c r="T482">
        <f>Table4374[[#This Row],[CFNM]]/Table4374[[#This Row],[CAREA]]</f>
        <v>0.41950311288617409</v>
      </c>
      <c r="U482">
        <v>2.9134199999999999</v>
      </c>
      <c r="V482">
        <f>-(Table5375[[#This Row],[time]]-2)*2</f>
        <v>-1.8268399999999998</v>
      </c>
      <c r="W482">
        <v>77.921999999999997</v>
      </c>
      <c r="X482">
        <v>2.76538E-3</v>
      </c>
      <c r="Y482">
        <f>Table5375[[#This Row],[CFNM]]/Table5375[[#This Row],[CAREA]]</f>
        <v>3.5489078822412158E-5</v>
      </c>
      <c r="Z482">
        <v>2.9134199999999999</v>
      </c>
      <c r="AA482">
        <f>-(Table6376[[#This Row],[time]]-2)*2</f>
        <v>-1.8268399999999998</v>
      </c>
      <c r="AB482">
        <v>83.651899999999998</v>
      </c>
      <c r="AC482">
        <v>43.367600000000003</v>
      </c>
      <c r="AD482">
        <f>Table6376[[#This Row],[CFNM]]/Table6376[[#This Row],[CAREA]]</f>
        <v>0.51842934828736709</v>
      </c>
      <c r="AE482">
        <v>2.9134199999999999</v>
      </c>
      <c r="AF482">
        <f>-(Table7377[[#This Row],[time]]-2)*2</f>
        <v>-1.8268399999999998</v>
      </c>
      <c r="AG482">
        <v>74.4709</v>
      </c>
      <c r="AH482">
        <v>1.13341</v>
      </c>
      <c r="AI482">
        <f>Table7377[[#This Row],[CFNM]]/Table7377[[#This Row],[CAREA]]</f>
        <v>1.5219501845687376E-2</v>
      </c>
      <c r="AJ482">
        <v>2.9134199999999999</v>
      </c>
      <c r="AK482">
        <f>-(Table8378[[#This Row],[time]]-2)*2</f>
        <v>-1.8268399999999998</v>
      </c>
      <c r="AL482">
        <v>82.961799999999997</v>
      </c>
      <c r="AM482">
        <v>53.334800000000001</v>
      </c>
      <c r="AN482">
        <f>Table8378[[#This Row],[CFNM]]/Table8378[[#This Row],[CAREA]]</f>
        <v>0.64288383328230592</v>
      </c>
    </row>
    <row r="483" spans="1:40" x14ac:dyDescent="0.25">
      <c r="A483">
        <v>2.9619599999999999</v>
      </c>
      <c r="B483">
        <f>-(Table1371[[#This Row],[time]]-2)*2</f>
        <v>-1.9239199999999999</v>
      </c>
      <c r="C483">
        <v>59.182899999999997</v>
      </c>
      <c r="D483">
        <v>2.37419E-3</v>
      </c>
      <c r="E483">
        <f>Table1371[[#This Row],[CFNM]]/Table1371[[#This Row],[CAREA]]</f>
        <v>4.0116148414491349E-5</v>
      </c>
      <c r="F483">
        <v>2.9619599999999999</v>
      </c>
      <c r="G483">
        <f>-(Table2372[[#This Row],[time]]-2)*2</f>
        <v>-1.9239199999999999</v>
      </c>
      <c r="H483">
        <v>97.639600000000002</v>
      </c>
      <c r="I483">
        <v>35.186300000000003</v>
      </c>
      <c r="J483">
        <f>Table2372[[#This Row],[CFNM]]/Table2372[[#This Row],[CAREA]]</f>
        <v>0.36036915349919502</v>
      </c>
      <c r="K483">
        <v>2.9619599999999999</v>
      </c>
      <c r="L483">
        <f>-(Table3373[[#This Row],[time]]-2)*2</f>
        <v>-1.9239199999999999</v>
      </c>
      <c r="M483">
        <v>53.635300000000001</v>
      </c>
      <c r="N483">
        <v>1.11999E-3</v>
      </c>
      <c r="O483">
        <f>Table3373[[#This Row],[CFNM]]/Table3373[[#This Row],[CAREA]]</f>
        <v>2.0881583583945646E-5</v>
      </c>
      <c r="P483">
        <v>2.9619599999999999</v>
      </c>
      <c r="Q483">
        <f>-(Table4374[[#This Row],[time]]-2)*2</f>
        <v>-1.9239199999999999</v>
      </c>
      <c r="R483">
        <v>84.371899999999997</v>
      </c>
      <c r="S483">
        <v>38.424100000000003</v>
      </c>
      <c r="T483">
        <f>Table4374[[#This Row],[CFNM]]/Table4374[[#This Row],[CAREA]]</f>
        <v>0.45541347296908097</v>
      </c>
      <c r="U483">
        <v>2.9619599999999999</v>
      </c>
      <c r="V483">
        <f>-(Table5375[[#This Row],[time]]-2)*2</f>
        <v>-1.9239199999999999</v>
      </c>
      <c r="W483">
        <v>76.739199999999997</v>
      </c>
      <c r="X483">
        <v>2.4957199999999999E-3</v>
      </c>
      <c r="Y483">
        <f>Table5375[[#This Row],[CFNM]]/Table5375[[#This Row],[CAREA]]</f>
        <v>3.2522100829823608E-5</v>
      </c>
      <c r="Z483">
        <v>2.9619599999999999</v>
      </c>
      <c r="AA483">
        <f>-(Table6376[[#This Row],[time]]-2)*2</f>
        <v>-1.9239199999999999</v>
      </c>
      <c r="AB483">
        <v>82.9435</v>
      </c>
      <c r="AC483">
        <v>46.256300000000003</v>
      </c>
      <c r="AD483">
        <f>Table6376[[#This Row],[CFNM]]/Table6376[[#This Row],[CAREA]]</f>
        <v>0.55768444784702842</v>
      </c>
      <c r="AE483">
        <v>2.9619599999999999</v>
      </c>
      <c r="AF483">
        <f>-(Table7377[[#This Row],[time]]-2)*2</f>
        <v>-1.9239199999999999</v>
      </c>
      <c r="AG483">
        <v>73.806600000000003</v>
      </c>
      <c r="AH483">
        <v>0.81921699999999997</v>
      </c>
      <c r="AI483">
        <f>Table7377[[#This Row],[CFNM]]/Table7377[[#This Row],[CAREA]]</f>
        <v>1.1099508716022685E-2</v>
      </c>
      <c r="AJ483">
        <v>2.9619599999999999</v>
      </c>
      <c r="AK483">
        <f>-(Table8378[[#This Row],[time]]-2)*2</f>
        <v>-1.9239199999999999</v>
      </c>
      <c r="AL483">
        <v>82.911600000000007</v>
      </c>
      <c r="AM483">
        <v>55.579000000000001</v>
      </c>
      <c r="AN483">
        <f>Table8378[[#This Row],[CFNM]]/Table8378[[#This Row],[CAREA]]</f>
        <v>0.67034045899488126</v>
      </c>
    </row>
    <row r="484" spans="1:40" x14ac:dyDescent="0.25">
      <c r="A484">
        <v>3</v>
      </c>
      <c r="B484">
        <f>-(Table1371[[#This Row],[time]]-2)*2</f>
        <v>-2</v>
      </c>
      <c r="C484">
        <v>55.073300000000003</v>
      </c>
      <c r="D484">
        <v>2.1164500000000002E-3</v>
      </c>
      <c r="E484">
        <f>Table1371[[#This Row],[CFNM]]/Table1371[[#This Row],[CAREA]]</f>
        <v>3.8429692791243672E-5</v>
      </c>
      <c r="F484">
        <v>3</v>
      </c>
      <c r="G484">
        <f>-(Table2372[[#This Row],[time]]-2)*2</f>
        <v>-2</v>
      </c>
      <c r="H484">
        <v>97.647599999999997</v>
      </c>
      <c r="I484">
        <v>37.702500000000001</v>
      </c>
      <c r="J484">
        <f>Table2372[[#This Row],[CFNM]]/Table2372[[#This Row],[CAREA]]</f>
        <v>0.38610779988448257</v>
      </c>
      <c r="K484">
        <v>3</v>
      </c>
      <c r="L484">
        <f>-(Table3373[[#This Row],[time]]-2)*2</f>
        <v>-2</v>
      </c>
      <c r="M484">
        <v>48.414400000000001</v>
      </c>
      <c r="N484">
        <v>9.4951599999999997E-4</v>
      </c>
      <c r="O484">
        <f>Table3373[[#This Row],[CFNM]]/Table3373[[#This Row],[CAREA]]</f>
        <v>1.961226411976602E-5</v>
      </c>
      <c r="P484">
        <v>3</v>
      </c>
      <c r="Q484">
        <f>-(Table4374[[#This Row],[time]]-2)*2</f>
        <v>-2</v>
      </c>
      <c r="R484">
        <v>83.67</v>
      </c>
      <c r="S484">
        <v>40.812100000000001</v>
      </c>
      <c r="T484">
        <f>Table4374[[#This Row],[CFNM]]/Table4374[[#This Row],[CAREA]]</f>
        <v>0.48777459065375883</v>
      </c>
      <c r="U484">
        <v>3</v>
      </c>
      <c r="V484">
        <f>-(Table5375[[#This Row],[time]]-2)*2</f>
        <v>-2</v>
      </c>
      <c r="W484">
        <v>76.223699999999994</v>
      </c>
      <c r="X484">
        <v>2.2509000000000001E-3</v>
      </c>
      <c r="Y484">
        <f>Table5375[[#This Row],[CFNM]]/Table5375[[#This Row],[CAREA]]</f>
        <v>2.9530185493488249E-5</v>
      </c>
      <c r="Z484">
        <v>3</v>
      </c>
      <c r="AA484">
        <f>-(Table6376[[#This Row],[time]]-2)*2</f>
        <v>-2</v>
      </c>
      <c r="AB484">
        <v>82.105699999999999</v>
      </c>
      <c r="AC484">
        <v>48.9086</v>
      </c>
      <c r="AD484">
        <f>Table6376[[#This Row],[CFNM]]/Table6376[[#This Row],[CAREA]]</f>
        <v>0.59567849735158462</v>
      </c>
      <c r="AE484">
        <v>3</v>
      </c>
      <c r="AF484">
        <f>-(Table7377[[#This Row],[time]]-2)*2</f>
        <v>-2</v>
      </c>
      <c r="AG484">
        <v>73.130600000000001</v>
      </c>
      <c r="AH484">
        <v>0.52793100000000004</v>
      </c>
      <c r="AI484">
        <f>Table7377[[#This Row],[CFNM]]/Table7377[[#This Row],[CAREA]]</f>
        <v>7.2190163898559565E-3</v>
      </c>
      <c r="AJ484">
        <v>3</v>
      </c>
      <c r="AK484">
        <f>-(Table8378[[#This Row],[time]]-2)*2</f>
        <v>-2</v>
      </c>
      <c r="AL484">
        <v>82.818399999999997</v>
      </c>
      <c r="AM484">
        <v>57.672800000000002</v>
      </c>
      <c r="AN484">
        <f>Table8378[[#This Row],[CFNM]]/Table8378[[#This Row],[CAREA]]</f>
        <v>0.69637665059938381</v>
      </c>
    </row>
    <row r="486" spans="1:40" x14ac:dyDescent="0.25">
      <c r="A486" t="s">
        <v>59</v>
      </c>
      <c r="E486" t="s">
        <v>1</v>
      </c>
    </row>
    <row r="487" spans="1:40" x14ac:dyDescent="0.25">
      <c r="A487" t="s">
        <v>60</v>
      </c>
      <c r="E487" t="s">
        <v>2</v>
      </c>
      <c r="F487" t="s">
        <v>3</v>
      </c>
    </row>
    <row r="489" spans="1:40" x14ac:dyDescent="0.25">
      <c r="A489" t="s">
        <v>4</v>
      </c>
      <c r="F489" t="s">
        <v>5</v>
      </c>
      <c r="K489" t="s">
        <v>6</v>
      </c>
      <c r="P489" t="s">
        <v>7</v>
      </c>
      <c r="U489" t="s">
        <v>8</v>
      </c>
      <c r="Z489" t="s">
        <v>9</v>
      </c>
      <c r="AE489" t="s">
        <v>10</v>
      </c>
      <c r="AJ489" t="s">
        <v>11</v>
      </c>
    </row>
    <row r="490" spans="1:40" x14ac:dyDescent="0.25">
      <c r="A490" t="s">
        <v>12</v>
      </c>
      <c r="B490" t="s">
        <v>13</v>
      </c>
      <c r="C490" t="s">
        <v>14</v>
      </c>
      <c r="D490" t="s">
        <v>15</v>
      </c>
      <c r="E490" t="s">
        <v>16</v>
      </c>
      <c r="F490" t="s">
        <v>12</v>
      </c>
      <c r="G490" t="s">
        <v>13</v>
      </c>
      <c r="H490" t="s">
        <v>14</v>
      </c>
      <c r="I490" t="s">
        <v>15</v>
      </c>
      <c r="J490" t="s">
        <v>16</v>
      </c>
      <c r="K490" t="s">
        <v>12</v>
      </c>
      <c r="L490" t="s">
        <v>13</v>
      </c>
      <c r="M490" t="s">
        <v>14</v>
      </c>
      <c r="N490" t="s">
        <v>15</v>
      </c>
      <c r="O490" t="s">
        <v>16</v>
      </c>
      <c r="P490" t="s">
        <v>12</v>
      </c>
      <c r="Q490" t="s">
        <v>13</v>
      </c>
      <c r="R490" t="s">
        <v>14</v>
      </c>
      <c r="S490" t="s">
        <v>15</v>
      </c>
      <c r="T490" t="s">
        <v>16</v>
      </c>
      <c r="U490" t="s">
        <v>12</v>
      </c>
      <c r="V490" t="s">
        <v>13</v>
      </c>
      <c r="W490" t="s">
        <v>14</v>
      </c>
      <c r="X490" t="s">
        <v>15</v>
      </c>
      <c r="Y490" t="s">
        <v>16</v>
      </c>
      <c r="Z490" t="s">
        <v>12</v>
      </c>
      <c r="AA490" t="s">
        <v>13</v>
      </c>
      <c r="AB490" t="s">
        <v>14</v>
      </c>
      <c r="AC490" t="s">
        <v>15</v>
      </c>
      <c r="AD490" t="s">
        <v>16</v>
      </c>
      <c r="AE490" t="s">
        <v>12</v>
      </c>
      <c r="AF490" t="s">
        <v>13</v>
      </c>
      <c r="AG490" t="s">
        <v>14</v>
      </c>
      <c r="AH490" t="s">
        <v>15</v>
      </c>
      <c r="AI490" t="s">
        <v>16</v>
      </c>
      <c r="AJ490" t="s">
        <v>12</v>
      </c>
      <c r="AK490" t="s">
        <v>13</v>
      </c>
      <c r="AL490" t="s">
        <v>14</v>
      </c>
      <c r="AM490" t="s">
        <v>15</v>
      </c>
      <c r="AN490" t="s">
        <v>16</v>
      </c>
    </row>
    <row r="491" spans="1:40" x14ac:dyDescent="0.25">
      <c r="A491">
        <v>2</v>
      </c>
      <c r="B491">
        <f>(Table110379[[#This Row],[time]]-2)*2</f>
        <v>0</v>
      </c>
      <c r="C491">
        <v>90.688999999999993</v>
      </c>
      <c r="D491">
        <v>10.0715</v>
      </c>
      <c r="E491" s="2">
        <f>Table110379[[#This Row],[CFNM]]/Table110379[[#This Row],[CAREA]]</f>
        <v>0.11105536503875885</v>
      </c>
      <c r="F491">
        <v>2</v>
      </c>
      <c r="G491">
        <f>(Table211380[[#This Row],[time]]-2)*2</f>
        <v>0</v>
      </c>
      <c r="H491">
        <v>95.948400000000007</v>
      </c>
      <c r="I491">
        <v>3.4775999999999998</v>
      </c>
      <c r="J491" s="2">
        <f>Table211380[[#This Row],[CFNM]]/Table211380[[#This Row],[CAREA]]</f>
        <v>3.6244481408757204E-2</v>
      </c>
      <c r="K491">
        <v>2</v>
      </c>
      <c r="L491">
        <f>(Table312381[[#This Row],[time]]-2)*2</f>
        <v>0</v>
      </c>
      <c r="M491">
        <v>88.963399999999993</v>
      </c>
      <c r="N491">
        <v>3.5141100000000001</v>
      </c>
      <c r="O491">
        <f>Table312381[[#This Row],[CFNM]]/Table312381[[#This Row],[CAREA]]</f>
        <v>3.9500626100171535E-2</v>
      </c>
      <c r="P491">
        <v>2</v>
      </c>
      <c r="Q491">
        <f>(Table413382[[#This Row],[time]]-2)*2</f>
        <v>0</v>
      </c>
      <c r="R491">
        <v>86.444900000000004</v>
      </c>
      <c r="S491">
        <v>6.4569700000000001</v>
      </c>
      <c r="T491">
        <f>Table413382[[#This Row],[CFNM]]/Table413382[[#This Row],[CAREA]]</f>
        <v>7.4694632071990369E-2</v>
      </c>
      <c r="U491">
        <v>2</v>
      </c>
      <c r="V491">
        <f>(Table514383[[#This Row],[time]]-2)*2</f>
        <v>0</v>
      </c>
      <c r="W491">
        <v>82.746600000000001</v>
      </c>
      <c r="X491">
        <v>8.9821000000000009</v>
      </c>
      <c r="Y491">
        <f>Table514383[[#This Row],[CFNM]]/Table514383[[#This Row],[CAREA]]</f>
        <v>0.10854947514459809</v>
      </c>
      <c r="Z491">
        <v>2</v>
      </c>
      <c r="AA491">
        <f>(Table615384[[#This Row],[time]]-2)*2</f>
        <v>0</v>
      </c>
      <c r="AB491">
        <v>88.940399999999997</v>
      </c>
      <c r="AC491">
        <v>15.745900000000001</v>
      </c>
      <c r="AD491">
        <f>Table615384[[#This Row],[CFNM]]/Table615384[[#This Row],[CAREA]]</f>
        <v>0.17703878102639523</v>
      </c>
      <c r="AE491">
        <v>2</v>
      </c>
      <c r="AF491">
        <f>(Table716385[[#This Row],[time]]-2)*2</f>
        <v>0</v>
      </c>
      <c r="AG491">
        <v>78.945400000000006</v>
      </c>
      <c r="AH491">
        <v>19.654699999999998</v>
      </c>
      <c r="AI491">
        <f>Table716385[[#This Row],[CFNM]]/Table716385[[#This Row],[CAREA]]</f>
        <v>0.24896574087913922</v>
      </c>
      <c r="AJ491">
        <v>2</v>
      </c>
      <c r="AK491">
        <f>(Table817386[[#This Row],[time]]-2)*2</f>
        <v>0</v>
      </c>
      <c r="AL491">
        <v>83.134900000000002</v>
      </c>
      <c r="AM491">
        <v>19.291699999999999</v>
      </c>
      <c r="AN491">
        <f>Table817386[[#This Row],[CFNM]]/Table817386[[#This Row],[CAREA]]</f>
        <v>0.23205296451911289</v>
      </c>
    </row>
    <row r="492" spans="1:40" x14ac:dyDescent="0.25">
      <c r="A492">
        <v>2.0512600000000001</v>
      </c>
      <c r="B492">
        <f>(Table110379[[#This Row],[time]]-2)*2</f>
        <v>0.10252000000000017</v>
      </c>
      <c r="C492">
        <v>90.679199999999994</v>
      </c>
      <c r="D492">
        <v>10.7652</v>
      </c>
      <c r="E492">
        <f>Table110379[[#This Row],[CFNM]]/Table110379[[#This Row],[CAREA]]</f>
        <v>0.1187174125929651</v>
      </c>
      <c r="F492">
        <v>2.0512600000000001</v>
      </c>
      <c r="G492">
        <f>(Table211380[[#This Row],[time]]-2)*2</f>
        <v>0.10252000000000017</v>
      </c>
      <c r="H492">
        <v>95.921499999999995</v>
      </c>
      <c r="I492">
        <v>2.9724699999999999</v>
      </c>
      <c r="J492">
        <f>Table211380[[#This Row],[CFNM]]/Table211380[[#This Row],[CAREA]]</f>
        <v>3.0988568777594181E-2</v>
      </c>
      <c r="K492">
        <v>2.0512600000000001</v>
      </c>
      <c r="L492">
        <f>(Table312381[[#This Row],[time]]-2)*2</f>
        <v>0.10252000000000017</v>
      </c>
      <c r="M492">
        <v>88.936499999999995</v>
      </c>
      <c r="N492">
        <v>4.3928599999999998</v>
      </c>
      <c r="O492">
        <f>Table312381[[#This Row],[CFNM]]/Table312381[[#This Row],[CAREA]]</f>
        <v>4.9393218757203171E-2</v>
      </c>
      <c r="P492">
        <v>2.0512600000000001</v>
      </c>
      <c r="Q492">
        <f>(Table413382[[#This Row],[time]]-2)*2</f>
        <v>0.10252000000000017</v>
      </c>
      <c r="R492">
        <v>86.456199999999995</v>
      </c>
      <c r="S492">
        <v>5.7188600000000003</v>
      </c>
      <c r="T492">
        <f>Table413382[[#This Row],[CFNM]]/Table413382[[#This Row],[CAREA]]</f>
        <v>6.6147482771623092E-2</v>
      </c>
      <c r="U492">
        <v>2.0512600000000001</v>
      </c>
      <c r="V492">
        <f>(Table514383[[#This Row],[time]]-2)*2</f>
        <v>0.10252000000000017</v>
      </c>
      <c r="W492">
        <v>82.785899999999998</v>
      </c>
      <c r="X492">
        <v>10.179600000000001</v>
      </c>
      <c r="Y492">
        <f>Table514383[[#This Row],[CFNM]]/Table514383[[#This Row],[CAREA]]</f>
        <v>0.12296296833156371</v>
      </c>
      <c r="Z492">
        <v>2.0512600000000001</v>
      </c>
      <c r="AA492">
        <f>(Table615384[[#This Row],[time]]-2)*2</f>
        <v>0.10252000000000017</v>
      </c>
      <c r="AB492">
        <v>88.879900000000006</v>
      </c>
      <c r="AC492">
        <v>15.2502</v>
      </c>
      <c r="AD492">
        <f>Table615384[[#This Row],[CFNM]]/Table615384[[#This Row],[CAREA]]</f>
        <v>0.17158210123998788</v>
      </c>
      <c r="AE492">
        <v>2.0512600000000001</v>
      </c>
      <c r="AF492">
        <f>(Table716385[[#This Row],[time]]-2)*2</f>
        <v>0.10252000000000017</v>
      </c>
      <c r="AG492">
        <v>78.819699999999997</v>
      </c>
      <c r="AH492">
        <v>21.366599999999998</v>
      </c>
      <c r="AI492">
        <f>Table716385[[#This Row],[CFNM]]/Table716385[[#This Row],[CAREA]]</f>
        <v>0.27108197569896864</v>
      </c>
      <c r="AJ492">
        <v>2.0512600000000001</v>
      </c>
      <c r="AK492">
        <f>(Table817386[[#This Row],[time]]-2)*2</f>
        <v>0.10252000000000017</v>
      </c>
      <c r="AL492">
        <v>83.065299999999993</v>
      </c>
      <c r="AM492">
        <v>18.042100000000001</v>
      </c>
      <c r="AN492">
        <f>Table817386[[#This Row],[CFNM]]/Table817386[[#This Row],[CAREA]]</f>
        <v>0.21720381434847044</v>
      </c>
    </row>
    <row r="493" spans="1:40" x14ac:dyDescent="0.25">
      <c r="A493">
        <v>2.1153300000000002</v>
      </c>
      <c r="B493">
        <f>(Table110379[[#This Row],[time]]-2)*2</f>
        <v>0.23066000000000031</v>
      </c>
      <c r="C493">
        <v>90.648399999999995</v>
      </c>
      <c r="D493">
        <v>12.651899999999999</v>
      </c>
      <c r="E493">
        <f>Table110379[[#This Row],[CFNM]]/Table110379[[#This Row],[CAREA]]</f>
        <v>0.13957113418438716</v>
      </c>
      <c r="F493">
        <v>2.1153300000000002</v>
      </c>
      <c r="G493">
        <f>(Table211380[[#This Row],[time]]-2)*2</f>
        <v>0.23066000000000031</v>
      </c>
      <c r="H493">
        <v>95.651300000000006</v>
      </c>
      <c r="I493">
        <v>1.5060899999999999</v>
      </c>
      <c r="J493">
        <f>Table211380[[#This Row],[CFNM]]/Table211380[[#This Row],[CAREA]]</f>
        <v>1.5745630221439749E-2</v>
      </c>
      <c r="K493">
        <v>2.1153300000000002</v>
      </c>
      <c r="L493">
        <f>(Table312381[[#This Row],[time]]-2)*2</f>
        <v>0.23066000000000031</v>
      </c>
      <c r="M493">
        <v>88.823899999999995</v>
      </c>
      <c r="N493">
        <v>6.7005600000000003</v>
      </c>
      <c r="O493">
        <f>Table312381[[#This Row],[CFNM]]/Table312381[[#This Row],[CAREA]]</f>
        <v>7.5436453477048415E-2</v>
      </c>
      <c r="P493">
        <v>2.1153300000000002</v>
      </c>
      <c r="Q493">
        <f>(Table413382[[#This Row],[time]]-2)*2</f>
        <v>0.23066000000000031</v>
      </c>
      <c r="R493">
        <v>86.550600000000003</v>
      </c>
      <c r="S493">
        <v>3.7126000000000001</v>
      </c>
      <c r="T493">
        <f>Table413382[[#This Row],[CFNM]]/Table413382[[#This Row],[CAREA]]</f>
        <v>4.289513879742024E-2</v>
      </c>
      <c r="U493">
        <v>2.1153300000000002</v>
      </c>
      <c r="V493">
        <f>(Table514383[[#This Row],[time]]-2)*2</f>
        <v>0.23066000000000031</v>
      </c>
      <c r="W493">
        <v>83.224500000000006</v>
      </c>
      <c r="X493">
        <v>12.639099999999999</v>
      </c>
      <c r="Y493">
        <f>Table514383[[#This Row],[CFNM]]/Table514383[[#This Row],[CAREA]]</f>
        <v>0.15186753900594174</v>
      </c>
      <c r="Z493">
        <v>2.1153300000000002</v>
      </c>
      <c r="AA493">
        <f>(Table615384[[#This Row],[time]]-2)*2</f>
        <v>0.23066000000000031</v>
      </c>
      <c r="AB493">
        <v>89.379300000000001</v>
      </c>
      <c r="AC493">
        <v>14.5337</v>
      </c>
      <c r="AD493">
        <f>Table615384[[#This Row],[CFNM]]/Table615384[[#This Row],[CAREA]]</f>
        <v>0.1626070018449462</v>
      </c>
      <c r="AE493">
        <v>2.1153300000000002</v>
      </c>
      <c r="AF493">
        <f>(Table716385[[#This Row],[time]]-2)*2</f>
        <v>0.23066000000000031</v>
      </c>
      <c r="AG493">
        <v>78.541200000000003</v>
      </c>
      <c r="AH493">
        <v>24.303899999999999</v>
      </c>
      <c r="AI493">
        <f>Table716385[[#This Row],[CFNM]]/Table716385[[#This Row],[CAREA]]</f>
        <v>0.30944141418771293</v>
      </c>
      <c r="AJ493">
        <v>2.1153300000000002</v>
      </c>
      <c r="AK493">
        <f>(Table817386[[#This Row],[time]]-2)*2</f>
        <v>0.23066000000000031</v>
      </c>
      <c r="AL493">
        <v>83.169399999999996</v>
      </c>
      <c r="AM493">
        <v>16.305299999999999</v>
      </c>
      <c r="AN493">
        <f>Table817386[[#This Row],[CFNM]]/Table817386[[#This Row],[CAREA]]</f>
        <v>0.19604926812024615</v>
      </c>
    </row>
    <row r="494" spans="1:40" x14ac:dyDescent="0.25">
      <c r="A494">
        <v>2.16533</v>
      </c>
      <c r="B494">
        <f>(Table110379[[#This Row],[time]]-2)*2</f>
        <v>0.33065999999999995</v>
      </c>
      <c r="C494">
        <v>90.592200000000005</v>
      </c>
      <c r="D494">
        <v>14.3477</v>
      </c>
      <c r="E494">
        <f>Table110379[[#This Row],[CFNM]]/Table110379[[#This Row],[CAREA]]</f>
        <v>0.15837676974397352</v>
      </c>
      <c r="F494">
        <v>2.16533</v>
      </c>
      <c r="G494">
        <f>(Table211380[[#This Row],[time]]-2)*2</f>
        <v>0.33065999999999995</v>
      </c>
      <c r="H494">
        <v>95.006900000000002</v>
      </c>
      <c r="I494">
        <v>0.37394899999999998</v>
      </c>
      <c r="J494">
        <f>Table211380[[#This Row],[CFNM]]/Table211380[[#This Row],[CAREA]]</f>
        <v>3.9360193838552772E-3</v>
      </c>
      <c r="K494">
        <v>2.16533</v>
      </c>
      <c r="L494">
        <f>(Table312381[[#This Row],[time]]-2)*2</f>
        <v>0.33065999999999995</v>
      </c>
      <c r="M494">
        <v>88.699700000000007</v>
      </c>
      <c r="N494">
        <v>8.9665400000000002</v>
      </c>
      <c r="O494">
        <f>Table312381[[#This Row],[CFNM]]/Table312381[[#This Row],[CAREA]]</f>
        <v>0.10108872972512871</v>
      </c>
      <c r="P494">
        <v>2.16533</v>
      </c>
      <c r="Q494">
        <f>(Table413382[[#This Row],[time]]-2)*2</f>
        <v>0.33065999999999995</v>
      </c>
      <c r="R494">
        <v>86.747900000000001</v>
      </c>
      <c r="S494">
        <v>2.21678</v>
      </c>
      <c r="T494">
        <f>Table413382[[#This Row],[CFNM]]/Table413382[[#This Row],[CAREA]]</f>
        <v>2.5554278547376939E-2</v>
      </c>
      <c r="U494">
        <v>2.16533</v>
      </c>
      <c r="V494">
        <f>(Table514383[[#This Row],[time]]-2)*2</f>
        <v>0.33065999999999995</v>
      </c>
      <c r="W494">
        <v>82.504199999999997</v>
      </c>
      <c r="X494">
        <v>14.7401</v>
      </c>
      <c r="Y494">
        <f>Table514383[[#This Row],[CFNM]]/Table514383[[#This Row],[CAREA]]</f>
        <v>0.17865878343163136</v>
      </c>
      <c r="Z494">
        <v>2.16533</v>
      </c>
      <c r="AA494">
        <f>(Table615384[[#This Row],[time]]-2)*2</f>
        <v>0.33065999999999995</v>
      </c>
      <c r="AB494">
        <v>88.855800000000002</v>
      </c>
      <c r="AC494">
        <v>14.122</v>
      </c>
      <c r="AD494">
        <f>Table615384[[#This Row],[CFNM]]/Table615384[[#This Row],[CAREA]]</f>
        <v>0.15893166231129538</v>
      </c>
      <c r="AE494">
        <v>2.16533</v>
      </c>
      <c r="AF494">
        <f>(Table716385[[#This Row],[time]]-2)*2</f>
        <v>0.33065999999999995</v>
      </c>
      <c r="AG494">
        <v>78.000500000000002</v>
      </c>
      <c r="AH494">
        <v>26.7256</v>
      </c>
      <c r="AI494">
        <f>Table716385[[#This Row],[CFNM]]/Table716385[[#This Row],[CAREA]]</f>
        <v>0.34263370106601881</v>
      </c>
      <c r="AJ494">
        <v>2.16533</v>
      </c>
      <c r="AK494">
        <f>(Table817386[[#This Row],[time]]-2)*2</f>
        <v>0.33065999999999995</v>
      </c>
      <c r="AL494">
        <v>83.100999999999999</v>
      </c>
      <c r="AM494">
        <v>15.0909</v>
      </c>
      <c r="AN494">
        <f>Table817386[[#This Row],[CFNM]]/Table817386[[#This Row],[CAREA]]</f>
        <v>0.18159709269443208</v>
      </c>
    </row>
    <row r="495" spans="1:40" x14ac:dyDescent="0.25">
      <c r="A495">
        <v>2.2246999999999999</v>
      </c>
      <c r="B495">
        <f>(Table110379[[#This Row],[time]]-2)*2</f>
        <v>0.4493999999999998</v>
      </c>
      <c r="C495">
        <v>90.598799999999997</v>
      </c>
      <c r="D495">
        <v>15.5632</v>
      </c>
      <c r="E495">
        <f>Table110379[[#This Row],[CFNM]]/Table110379[[#This Row],[CAREA]]</f>
        <v>0.17178152470010641</v>
      </c>
      <c r="F495">
        <v>2.2246999999999999</v>
      </c>
      <c r="G495">
        <f>(Table211380[[#This Row],[time]]-2)*2</f>
        <v>0.4493999999999998</v>
      </c>
      <c r="H495">
        <v>94.749200000000002</v>
      </c>
      <c r="I495">
        <v>6.3148800000000001E-3</v>
      </c>
      <c r="J495">
        <f>Table211380[[#This Row],[CFNM]]/Table211380[[#This Row],[CAREA]]</f>
        <v>6.6648372756709291E-5</v>
      </c>
      <c r="K495">
        <v>2.2246999999999999</v>
      </c>
      <c r="L495">
        <f>(Table312381[[#This Row],[time]]-2)*2</f>
        <v>0.4493999999999998</v>
      </c>
      <c r="M495">
        <v>88.279799999999994</v>
      </c>
      <c r="N495">
        <v>10.7309</v>
      </c>
      <c r="O495">
        <f>Table312381[[#This Row],[CFNM]]/Table312381[[#This Row],[CAREA]]</f>
        <v>0.12155555404520628</v>
      </c>
      <c r="P495">
        <v>2.2246999999999999</v>
      </c>
      <c r="Q495">
        <f>(Table413382[[#This Row],[time]]-2)*2</f>
        <v>0.4493999999999998</v>
      </c>
      <c r="R495">
        <v>86.886600000000001</v>
      </c>
      <c r="S495">
        <v>1.3827400000000001</v>
      </c>
      <c r="T495">
        <f>Table413382[[#This Row],[CFNM]]/Table413382[[#This Row],[CAREA]]</f>
        <v>1.5914306694012656E-2</v>
      </c>
      <c r="U495">
        <v>2.2246999999999999</v>
      </c>
      <c r="V495">
        <f>(Table514383[[#This Row],[time]]-2)*2</f>
        <v>0.4493999999999998</v>
      </c>
      <c r="W495">
        <v>82.6678</v>
      </c>
      <c r="X495">
        <v>16.329000000000001</v>
      </c>
      <c r="Y495">
        <f>Table514383[[#This Row],[CFNM]]/Table514383[[#This Row],[CAREA]]</f>
        <v>0.19752551779532054</v>
      </c>
      <c r="Z495">
        <v>2.2246999999999999</v>
      </c>
      <c r="AA495">
        <f>(Table615384[[#This Row],[time]]-2)*2</f>
        <v>0.4493999999999998</v>
      </c>
      <c r="AB495">
        <v>88.891199999999998</v>
      </c>
      <c r="AC495">
        <v>13.9389</v>
      </c>
      <c r="AD495">
        <f>Table615384[[#This Row],[CFNM]]/Table615384[[#This Row],[CAREA]]</f>
        <v>0.15680854797775259</v>
      </c>
      <c r="AE495">
        <v>2.2246999999999999</v>
      </c>
      <c r="AF495">
        <f>(Table716385[[#This Row],[time]]-2)*2</f>
        <v>0.4493999999999998</v>
      </c>
      <c r="AG495">
        <v>77.892099999999999</v>
      </c>
      <c r="AH495">
        <v>28.5914</v>
      </c>
      <c r="AI495">
        <f>Table716385[[#This Row],[CFNM]]/Table716385[[#This Row],[CAREA]]</f>
        <v>0.36706418237536287</v>
      </c>
      <c r="AJ495">
        <v>2.2246999999999999</v>
      </c>
      <c r="AK495">
        <f>(Table817386[[#This Row],[time]]-2)*2</f>
        <v>0.4493999999999998</v>
      </c>
      <c r="AL495">
        <v>83.106499999999997</v>
      </c>
      <c r="AM495">
        <v>14.237500000000001</v>
      </c>
      <c r="AN495">
        <f>Table817386[[#This Row],[CFNM]]/Table817386[[#This Row],[CAREA]]</f>
        <v>0.17131632303129118</v>
      </c>
    </row>
    <row r="496" spans="1:40" x14ac:dyDescent="0.25">
      <c r="A496">
        <v>2.2668900000000001</v>
      </c>
      <c r="B496">
        <f>(Table110379[[#This Row],[time]]-2)*2</f>
        <v>0.53378000000000014</v>
      </c>
      <c r="C496">
        <v>90.489400000000003</v>
      </c>
      <c r="D496">
        <v>17.305099999999999</v>
      </c>
      <c r="E496">
        <f>Table110379[[#This Row],[CFNM]]/Table110379[[#This Row],[CAREA]]</f>
        <v>0.19123897384666047</v>
      </c>
      <c r="F496">
        <v>2.2668900000000001</v>
      </c>
      <c r="G496">
        <f>(Table211380[[#This Row],[time]]-2)*2</f>
        <v>0.53378000000000014</v>
      </c>
      <c r="H496">
        <v>93.090199999999996</v>
      </c>
      <c r="I496">
        <v>4.9782999999999997E-3</v>
      </c>
      <c r="J496">
        <f>Table211380[[#This Row],[CFNM]]/Table211380[[#This Row],[CAREA]]</f>
        <v>5.3478239385026564E-5</v>
      </c>
      <c r="K496">
        <v>2.2668900000000001</v>
      </c>
      <c r="L496">
        <f>(Table312381[[#This Row],[time]]-2)*2</f>
        <v>0.53378000000000014</v>
      </c>
      <c r="M496">
        <v>87.868899999999996</v>
      </c>
      <c r="N496">
        <v>13.449199999999999</v>
      </c>
      <c r="O496">
        <f>Table312381[[#This Row],[CFNM]]/Table312381[[#This Row],[CAREA]]</f>
        <v>0.15305984256090607</v>
      </c>
      <c r="P496">
        <v>2.2668900000000001</v>
      </c>
      <c r="Q496">
        <f>(Table413382[[#This Row],[time]]-2)*2</f>
        <v>0.53378000000000014</v>
      </c>
      <c r="R496">
        <v>87.141099999999994</v>
      </c>
      <c r="S496">
        <v>0.39604400000000001</v>
      </c>
      <c r="T496">
        <f>Table413382[[#This Row],[CFNM]]/Table413382[[#This Row],[CAREA]]</f>
        <v>4.5448588553506902E-3</v>
      </c>
      <c r="U496">
        <v>2.2668900000000001</v>
      </c>
      <c r="V496">
        <f>(Table514383[[#This Row],[time]]-2)*2</f>
        <v>0.53378000000000014</v>
      </c>
      <c r="W496">
        <v>81.632099999999994</v>
      </c>
      <c r="X496">
        <v>18.788599999999999</v>
      </c>
      <c r="Y496">
        <f>Table514383[[#This Row],[CFNM]]/Table514383[[#This Row],[CAREA]]</f>
        <v>0.23016190934693584</v>
      </c>
      <c r="Z496">
        <v>2.2668900000000001</v>
      </c>
      <c r="AA496">
        <f>(Table615384[[#This Row],[time]]-2)*2</f>
        <v>0.53378000000000014</v>
      </c>
      <c r="AB496">
        <v>89.18</v>
      </c>
      <c r="AC496">
        <v>13.711399999999999</v>
      </c>
      <c r="AD496">
        <f>Table615384[[#This Row],[CFNM]]/Table615384[[#This Row],[CAREA]]</f>
        <v>0.15374971966808701</v>
      </c>
      <c r="AE496">
        <v>2.2668900000000001</v>
      </c>
      <c r="AF496">
        <f>(Table716385[[#This Row],[time]]-2)*2</f>
        <v>0.53378000000000014</v>
      </c>
      <c r="AG496">
        <v>77.724900000000005</v>
      </c>
      <c r="AH496">
        <v>31.3626</v>
      </c>
      <c r="AI496">
        <f>Table716385[[#This Row],[CFNM]]/Table716385[[#This Row],[CAREA]]</f>
        <v>0.4035077562016805</v>
      </c>
      <c r="AJ496">
        <v>2.2668900000000001</v>
      </c>
      <c r="AK496">
        <f>(Table817386[[#This Row],[time]]-2)*2</f>
        <v>0.53378000000000014</v>
      </c>
      <c r="AL496">
        <v>82.786600000000007</v>
      </c>
      <c r="AM496">
        <v>13.1958</v>
      </c>
      <c r="AN496">
        <f>Table817386[[#This Row],[CFNM]]/Table817386[[#This Row],[CAREA]]</f>
        <v>0.15939536108500649</v>
      </c>
    </row>
    <row r="497" spans="1:40" x14ac:dyDescent="0.25">
      <c r="A497">
        <v>2.3262700000000001</v>
      </c>
      <c r="B497">
        <f>(Table110379[[#This Row],[time]]-2)*2</f>
        <v>0.65254000000000012</v>
      </c>
      <c r="C497">
        <v>90.325199999999995</v>
      </c>
      <c r="D497">
        <v>19.326499999999999</v>
      </c>
      <c r="E497">
        <f>Table110379[[#This Row],[CFNM]]/Table110379[[#This Row],[CAREA]]</f>
        <v>0.21396575927869521</v>
      </c>
      <c r="F497">
        <v>2.3262700000000001</v>
      </c>
      <c r="G497">
        <f>(Table211380[[#This Row],[time]]-2)*2</f>
        <v>0.65254000000000012</v>
      </c>
      <c r="H497">
        <v>92.315200000000004</v>
      </c>
      <c r="I497">
        <v>4.2110799999999999E-3</v>
      </c>
      <c r="J497">
        <f>Table211380[[#This Row],[CFNM]]/Table211380[[#This Row],[CAREA]]</f>
        <v>4.5616323205712599E-5</v>
      </c>
      <c r="K497">
        <v>2.3262700000000001</v>
      </c>
      <c r="L497">
        <f>(Table312381[[#This Row],[time]]-2)*2</f>
        <v>0.65254000000000012</v>
      </c>
      <c r="M497">
        <v>87.372</v>
      </c>
      <c r="N497">
        <v>16.485499999999998</v>
      </c>
      <c r="O497">
        <f>Table312381[[#This Row],[CFNM]]/Table312381[[#This Row],[CAREA]]</f>
        <v>0.18868172870027008</v>
      </c>
      <c r="P497">
        <v>2.3262700000000001</v>
      </c>
      <c r="Q497">
        <f>(Table413382[[#This Row],[time]]-2)*2</f>
        <v>0.65254000000000012</v>
      </c>
      <c r="R497">
        <v>87.453800000000001</v>
      </c>
      <c r="S497">
        <v>4.9116000000000003E-3</v>
      </c>
      <c r="T497">
        <f>Table413382[[#This Row],[CFNM]]/Table413382[[#This Row],[CAREA]]</f>
        <v>5.6162225083415477E-5</v>
      </c>
      <c r="U497">
        <v>2.3262700000000001</v>
      </c>
      <c r="V497">
        <f>(Table514383[[#This Row],[time]]-2)*2</f>
        <v>0.65254000000000012</v>
      </c>
      <c r="W497">
        <v>80.853899999999996</v>
      </c>
      <c r="X497">
        <v>21.693899999999999</v>
      </c>
      <c r="Y497">
        <f>Table514383[[#This Row],[CFNM]]/Table514383[[#This Row],[CAREA]]</f>
        <v>0.26830987744561485</v>
      </c>
      <c r="Z497">
        <v>2.3262700000000001</v>
      </c>
      <c r="AA497">
        <f>(Table615384[[#This Row],[time]]-2)*2</f>
        <v>0.65254000000000012</v>
      </c>
      <c r="AB497">
        <v>91.6755</v>
      </c>
      <c r="AC497">
        <v>13.3994</v>
      </c>
      <c r="AD497">
        <f>Table615384[[#This Row],[CFNM]]/Table615384[[#This Row],[CAREA]]</f>
        <v>0.14616118810369183</v>
      </c>
      <c r="AE497">
        <v>2.3262700000000001</v>
      </c>
      <c r="AF497">
        <f>(Table716385[[#This Row],[time]]-2)*2</f>
        <v>0.65254000000000012</v>
      </c>
      <c r="AG497">
        <v>77.714699999999993</v>
      </c>
      <c r="AH497">
        <v>34.311999999999998</v>
      </c>
      <c r="AI497">
        <f>Table716385[[#This Row],[CFNM]]/Table716385[[#This Row],[CAREA]]</f>
        <v>0.44151235223194585</v>
      </c>
      <c r="AJ497">
        <v>2.3262700000000001</v>
      </c>
      <c r="AK497">
        <f>(Table817386[[#This Row],[time]]-2)*2</f>
        <v>0.65254000000000012</v>
      </c>
      <c r="AL497">
        <v>82.225700000000003</v>
      </c>
      <c r="AM497">
        <v>12.3573</v>
      </c>
      <c r="AN497">
        <f>Table817386[[#This Row],[CFNM]]/Table817386[[#This Row],[CAREA]]</f>
        <v>0.15028512983167064</v>
      </c>
    </row>
    <row r="498" spans="1:40" x14ac:dyDescent="0.25">
      <c r="A498">
        <v>2.3684599999999998</v>
      </c>
      <c r="B498">
        <f>(Table110379[[#This Row],[time]]-2)*2</f>
        <v>0.73691999999999958</v>
      </c>
      <c r="C498">
        <v>90.237899999999996</v>
      </c>
      <c r="D498">
        <v>20.993600000000001</v>
      </c>
      <c r="E498">
        <f>Table110379[[#This Row],[CFNM]]/Table110379[[#This Row],[CAREA]]</f>
        <v>0.23264725797032068</v>
      </c>
      <c r="F498">
        <v>2.3684599999999998</v>
      </c>
      <c r="G498">
        <f>(Table211380[[#This Row],[time]]-2)*2</f>
        <v>0.73691999999999958</v>
      </c>
      <c r="H498">
        <v>90.738</v>
      </c>
      <c r="I498">
        <v>3.6685300000000001E-3</v>
      </c>
      <c r="J498">
        <f>Table211380[[#This Row],[CFNM]]/Table211380[[#This Row],[CAREA]]</f>
        <v>4.0429919107760808E-5</v>
      </c>
      <c r="K498">
        <v>2.3684599999999998</v>
      </c>
      <c r="L498">
        <f>(Table312381[[#This Row],[time]]-2)*2</f>
        <v>0.73691999999999958</v>
      </c>
      <c r="M498">
        <v>86.744799999999998</v>
      </c>
      <c r="N498">
        <v>18.754799999999999</v>
      </c>
      <c r="O498">
        <f>Table312381[[#This Row],[CFNM]]/Table312381[[#This Row],[CAREA]]</f>
        <v>0.21620661987807915</v>
      </c>
      <c r="P498">
        <v>2.3684599999999998</v>
      </c>
      <c r="Q498">
        <f>(Table413382[[#This Row],[time]]-2)*2</f>
        <v>0.73691999999999958</v>
      </c>
      <c r="R498">
        <v>87.295599999999993</v>
      </c>
      <c r="S498">
        <v>4.3181599999999997E-3</v>
      </c>
      <c r="T498">
        <f>Table413382[[#This Row],[CFNM]]/Table413382[[#This Row],[CAREA]]</f>
        <v>4.9465952464958142E-5</v>
      </c>
      <c r="U498">
        <v>2.3684599999999998</v>
      </c>
      <c r="V498">
        <f>(Table514383[[#This Row],[time]]-2)*2</f>
        <v>0.73691999999999958</v>
      </c>
      <c r="W498">
        <v>78.256900000000002</v>
      </c>
      <c r="X498">
        <v>23.879899999999999</v>
      </c>
      <c r="Y498">
        <f>Table514383[[#This Row],[CFNM]]/Table514383[[#This Row],[CAREA]]</f>
        <v>0.30514753331655098</v>
      </c>
      <c r="Z498">
        <v>2.3684599999999998</v>
      </c>
      <c r="AA498">
        <f>(Table615384[[#This Row],[time]]-2)*2</f>
        <v>0.73691999999999958</v>
      </c>
      <c r="AB498">
        <v>91.501999999999995</v>
      </c>
      <c r="AC498">
        <v>12.7989</v>
      </c>
      <c r="AD498">
        <f>Table615384[[#This Row],[CFNM]]/Table615384[[#This Row],[CAREA]]</f>
        <v>0.13987563113374571</v>
      </c>
      <c r="AE498">
        <v>2.3684599999999998</v>
      </c>
      <c r="AF498">
        <f>(Table716385[[#This Row],[time]]-2)*2</f>
        <v>0.73691999999999958</v>
      </c>
      <c r="AG498">
        <v>77.749099999999999</v>
      </c>
      <c r="AH498">
        <v>36.441800000000001</v>
      </c>
      <c r="AI498">
        <f>Table716385[[#This Row],[CFNM]]/Table716385[[#This Row],[CAREA]]</f>
        <v>0.46871024873599826</v>
      </c>
      <c r="AJ498">
        <v>2.3684599999999998</v>
      </c>
      <c r="AK498">
        <f>(Table817386[[#This Row],[time]]-2)*2</f>
        <v>0.73691999999999958</v>
      </c>
      <c r="AL498">
        <v>81.800799999999995</v>
      </c>
      <c r="AM498">
        <v>11.8497</v>
      </c>
      <c r="AN498">
        <f>Table817386[[#This Row],[CFNM]]/Table817386[[#This Row],[CAREA]]</f>
        <v>0.14486044146267518</v>
      </c>
    </row>
    <row r="499" spans="1:40" x14ac:dyDescent="0.25">
      <c r="A499">
        <v>2.4278300000000002</v>
      </c>
      <c r="B499">
        <f>(Table110379[[#This Row],[time]]-2)*2</f>
        <v>0.85566000000000031</v>
      </c>
      <c r="C499">
        <v>90.114500000000007</v>
      </c>
      <c r="D499">
        <v>23.6554</v>
      </c>
      <c r="E499">
        <f>Table110379[[#This Row],[CFNM]]/Table110379[[#This Row],[CAREA]]</f>
        <v>0.26250381459143646</v>
      </c>
      <c r="F499">
        <v>2.4278300000000002</v>
      </c>
      <c r="G499">
        <f>(Table211380[[#This Row],[time]]-2)*2</f>
        <v>0.85566000000000031</v>
      </c>
      <c r="H499">
        <v>86.250900000000001</v>
      </c>
      <c r="I499">
        <v>2.9762299999999998E-3</v>
      </c>
      <c r="J499">
        <f>Table211380[[#This Row],[CFNM]]/Table211380[[#This Row],[CAREA]]</f>
        <v>3.4506654423316161E-5</v>
      </c>
      <c r="K499">
        <v>2.4278300000000002</v>
      </c>
      <c r="L499">
        <f>(Table312381[[#This Row],[time]]-2)*2</f>
        <v>0.85566000000000031</v>
      </c>
      <c r="M499">
        <v>85.657499999999999</v>
      </c>
      <c r="N499">
        <v>22.825600000000001</v>
      </c>
      <c r="O499">
        <f>Table312381[[#This Row],[CFNM]]/Table312381[[#This Row],[CAREA]]</f>
        <v>0.26647520649096695</v>
      </c>
      <c r="P499">
        <v>2.4278300000000002</v>
      </c>
      <c r="Q499">
        <f>(Table413382[[#This Row],[time]]-2)*2</f>
        <v>0.85566000000000031</v>
      </c>
      <c r="R499">
        <v>87.221500000000006</v>
      </c>
      <c r="S499">
        <v>3.4081200000000002E-3</v>
      </c>
      <c r="T499">
        <f>Table413382[[#This Row],[CFNM]]/Table413382[[#This Row],[CAREA]]</f>
        <v>3.9074310806395214E-5</v>
      </c>
      <c r="U499">
        <v>2.4278300000000002</v>
      </c>
      <c r="V499">
        <f>(Table514383[[#This Row],[time]]-2)*2</f>
        <v>0.85566000000000031</v>
      </c>
      <c r="W499">
        <v>76.798100000000005</v>
      </c>
      <c r="X499">
        <v>27.146999999999998</v>
      </c>
      <c r="Y499">
        <f>Table514383[[#This Row],[CFNM]]/Table514383[[#This Row],[CAREA]]</f>
        <v>0.35348530757922392</v>
      </c>
      <c r="Z499">
        <v>2.4278300000000002</v>
      </c>
      <c r="AA499">
        <f>(Table615384[[#This Row],[time]]-2)*2</f>
        <v>0.85566000000000031</v>
      </c>
      <c r="AB499">
        <v>91.085599999999999</v>
      </c>
      <c r="AC499">
        <v>11.7034</v>
      </c>
      <c r="AD499">
        <f>Table615384[[#This Row],[CFNM]]/Table615384[[#This Row],[CAREA]]</f>
        <v>0.12848792783930721</v>
      </c>
      <c r="AE499">
        <v>2.4278300000000002</v>
      </c>
      <c r="AF499">
        <f>(Table716385[[#This Row],[time]]-2)*2</f>
        <v>0.85566000000000031</v>
      </c>
      <c r="AG499">
        <v>77.717200000000005</v>
      </c>
      <c r="AH499">
        <v>39.4285</v>
      </c>
      <c r="AI499">
        <f>Table716385[[#This Row],[CFNM]]/Table716385[[#This Row],[CAREA]]</f>
        <v>0.50733299707143331</v>
      </c>
      <c r="AJ499">
        <v>2.4278300000000002</v>
      </c>
      <c r="AK499">
        <f>(Table817386[[#This Row],[time]]-2)*2</f>
        <v>0.85566000000000031</v>
      </c>
      <c r="AL499">
        <v>81.213300000000004</v>
      </c>
      <c r="AM499">
        <v>11.073600000000001</v>
      </c>
      <c r="AN499">
        <f>Table817386[[#This Row],[CFNM]]/Table817386[[#This Row],[CAREA]]</f>
        <v>0.13635205071090573</v>
      </c>
    </row>
    <row r="500" spans="1:40" x14ac:dyDescent="0.25">
      <c r="A500">
        <v>2.4542000000000002</v>
      </c>
      <c r="B500">
        <f>(Table110379[[#This Row],[time]]-2)*2</f>
        <v>0.90840000000000032</v>
      </c>
      <c r="C500">
        <v>89.8399</v>
      </c>
      <c r="D500">
        <v>26.568000000000001</v>
      </c>
      <c r="E500">
        <f>Table110379[[#This Row],[CFNM]]/Table110379[[#This Row],[CAREA]]</f>
        <v>0.2957260638090648</v>
      </c>
      <c r="F500">
        <v>2.4542000000000002</v>
      </c>
      <c r="G500">
        <f>(Table211380[[#This Row],[time]]-2)*2</f>
        <v>0.90840000000000032</v>
      </c>
      <c r="H500">
        <v>75.366299999999995</v>
      </c>
      <c r="I500">
        <v>2.2851400000000002E-3</v>
      </c>
      <c r="J500">
        <f>Table211380[[#This Row],[CFNM]]/Table211380[[#This Row],[CAREA]]</f>
        <v>3.0320448264011903E-5</v>
      </c>
      <c r="K500">
        <v>2.4542000000000002</v>
      </c>
      <c r="L500">
        <f>(Table312381[[#This Row],[time]]-2)*2</f>
        <v>0.90840000000000032</v>
      </c>
      <c r="M500">
        <v>84.806100000000001</v>
      </c>
      <c r="N500">
        <v>26.610600000000002</v>
      </c>
      <c r="O500">
        <f>Table312381[[#This Row],[CFNM]]/Table312381[[#This Row],[CAREA]]</f>
        <v>0.31378167372394206</v>
      </c>
      <c r="P500">
        <v>2.4542000000000002</v>
      </c>
      <c r="Q500">
        <f>(Table413382[[#This Row],[time]]-2)*2</f>
        <v>0.90840000000000032</v>
      </c>
      <c r="R500">
        <v>86.068200000000004</v>
      </c>
      <c r="S500">
        <v>2.7623700000000001E-3</v>
      </c>
      <c r="T500">
        <f>Table413382[[#This Row],[CFNM]]/Table413382[[#This Row],[CAREA]]</f>
        <v>3.2095129211485773E-5</v>
      </c>
      <c r="U500">
        <v>2.4542000000000002</v>
      </c>
      <c r="V500">
        <f>(Table514383[[#This Row],[time]]-2)*2</f>
        <v>0.90840000000000032</v>
      </c>
      <c r="W500">
        <v>74.601299999999995</v>
      </c>
      <c r="X500">
        <v>30.6555</v>
      </c>
      <c r="Y500">
        <f>Table514383[[#This Row],[CFNM]]/Table514383[[#This Row],[CAREA]]</f>
        <v>0.41092447450647646</v>
      </c>
      <c r="Z500">
        <v>2.4542000000000002</v>
      </c>
      <c r="AA500">
        <f>(Table615384[[#This Row],[time]]-2)*2</f>
        <v>0.90840000000000032</v>
      </c>
      <c r="AB500">
        <v>91.981200000000001</v>
      </c>
      <c r="AC500">
        <v>10.178599999999999</v>
      </c>
      <c r="AD500">
        <f>Table615384[[#This Row],[CFNM]]/Table615384[[#This Row],[CAREA]]</f>
        <v>0.11065956956421528</v>
      </c>
      <c r="AE500">
        <v>2.4542000000000002</v>
      </c>
      <c r="AF500">
        <f>(Table716385[[#This Row],[time]]-2)*2</f>
        <v>0.90840000000000032</v>
      </c>
      <c r="AG500">
        <v>77.644300000000001</v>
      </c>
      <c r="AH500">
        <v>42.481499999999997</v>
      </c>
      <c r="AI500">
        <f>Table716385[[#This Row],[CFNM]]/Table716385[[#This Row],[CAREA]]</f>
        <v>0.54712966695559107</v>
      </c>
      <c r="AJ500">
        <v>2.4542000000000002</v>
      </c>
      <c r="AK500">
        <f>(Table817386[[#This Row],[time]]-2)*2</f>
        <v>0.90840000000000032</v>
      </c>
      <c r="AL500">
        <v>80.752499999999998</v>
      </c>
      <c r="AM500">
        <v>10.3674</v>
      </c>
      <c r="AN500">
        <f>Table817386[[#This Row],[CFNM]]/Table817386[[#This Row],[CAREA]]</f>
        <v>0.12838487972508592</v>
      </c>
    </row>
    <row r="501" spans="1:40" x14ac:dyDescent="0.25">
      <c r="A501">
        <v>2.5061499999999999</v>
      </c>
      <c r="B501">
        <f>(Table110379[[#This Row],[time]]-2)*2</f>
        <v>1.0122999999999998</v>
      </c>
      <c r="C501">
        <v>89.441800000000001</v>
      </c>
      <c r="D501">
        <v>29.242599999999999</v>
      </c>
      <c r="E501">
        <f>Table110379[[#This Row],[CFNM]]/Table110379[[#This Row],[CAREA]]</f>
        <v>0.32694556683787668</v>
      </c>
      <c r="F501">
        <v>2.5061499999999999</v>
      </c>
      <c r="G501">
        <f>(Table211380[[#This Row],[time]]-2)*2</f>
        <v>1.0122999999999998</v>
      </c>
      <c r="H501">
        <v>63.894599999999997</v>
      </c>
      <c r="I501">
        <v>1.8049699999999999E-3</v>
      </c>
      <c r="J501">
        <f>Table211380[[#This Row],[CFNM]]/Table211380[[#This Row],[CAREA]]</f>
        <v>2.8249179116858075E-5</v>
      </c>
      <c r="K501">
        <v>2.5061499999999999</v>
      </c>
      <c r="L501">
        <f>(Table312381[[#This Row],[time]]-2)*2</f>
        <v>1.0122999999999998</v>
      </c>
      <c r="M501">
        <v>84.136399999999995</v>
      </c>
      <c r="N501">
        <v>29.6294</v>
      </c>
      <c r="O501">
        <f>Table312381[[#This Row],[CFNM]]/Table312381[[#This Row],[CAREA]]</f>
        <v>0.35215911305927045</v>
      </c>
      <c r="P501">
        <v>2.5061499999999999</v>
      </c>
      <c r="Q501">
        <f>(Table413382[[#This Row],[time]]-2)*2</f>
        <v>1.0122999999999998</v>
      </c>
      <c r="R501">
        <v>82.751499999999993</v>
      </c>
      <c r="S501">
        <v>2.31394E-3</v>
      </c>
      <c r="T501">
        <f>Table413382[[#This Row],[CFNM]]/Table413382[[#This Row],[CAREA]]</f>
        <v>2.7962514274665717E-5</v>
      </c>
      <c r="U501">
        <v>2.5061499999999999</v>
      </c>
      <c r="V501">
        <f>(Table514383[[#This Row],[time]]-2)*2</f>
        <v>1.0122999999999998</v>
      </c>
      <c r="W501">
        <v>73.126400000000004</v>
      </c>
      <c r="X501">
        <v>33.605699999999999</v>
      </c>
      <c r="Y501">
        <f>Table514383[[#This Row],[CFNM]]/Table514383[[#This Row],[CAREA]]</f>
        <v>0.45955632986171885</v>
      </c>
      <c r="Z501">
        <v>2.5061499999999999</v>
      </c>
      <c r="AA501">
        <f>(Table615384[[#This Row],[time]]-2)*2</f>
        <v>1.0122999999999998</v>
      </c>
      <c r="AB501">
        <v>92.291499999999999</v>
      </c>
      <c r="AC501">
        <v>8.7573600000000003</v>
      </c>
      <c r="AD501">
        <f>Table615384[[#This Row],[CFNM]]/Table615384[[#This Row],[CAREA]]</f>
        <v>9.4888044944550692E-2</v>
      </c>
      <c r="AE501">
        <v>2.5061499999999999</v>
      </c>
      <c r="AF501">
        <f>(Table716385[[#This Row],[time]]-2)*2</f>
        <v>1.0122999999999998</v>
      </c>
      <c r="AG501">
        <v>77.505600000000001</v>
      </c>
      <c r="AH501">
        <v>45.093499999999999</v>
      </c>
      <c r="AI501">
        <f>Table716385[[#This Row],[CFNM]]/Table716385[[#This Row],[CAREA]]</f>
        <v>0.58180957246960219</v>
      </c>
      <c r="AJ501">
        <v>2.5061499999999999</v>
      </c>
      <c r="AK501">
        <f>(Table817386[[#This Row],[time]]-2)*2</f>
        <v>1.0122999999999998</v>
      </c>
      <c r="AL501">
        <v>80.314899999999994</v>
      </c>
      <c r="AM501">
        <v>9.8616700000000002</v>
      </c>
      <c r="AN501">
        <f>Table817386[[#This Row],[CFNM]]/Table817386[[#This Row],[CAREA]]</f>
        <v>0.12278755249648572</v>
      </c>
    </row>
    <row r="502" spans="1:40" x14ac:dyDescent="0.25">
      <c r="A502">
        <v>2.5507599999999999</v>
      </c>
      <c r="B502">
        <f>(Table110379[[#This Row],[time]]-2)*2</f>
        <v>1.1015199999999998</v>
      </c>
      <c r="C502">
        <v>89.015500000000003</v>
      </c>
      <c r="D502">
        <v>32.474499999999999</v>
      </c>
      <c r="E502">
        <f>Table110379[[#This Row],[CFNM]]/Table110379[[#This Row],[CAREA]]</f>
        <v>0.36481848666805217</v>
      </c>
      <c r="F502">
        <v>2.5507599999999999</v>
      </c>
      <c r="G502">
        <f>(Table211380[[#This Row],[time]]-2)*2</f>
        <v>1.1015199999999998</v>
      </c>
      <c r="H502">
        <v>56.085900000000002</v>
      </c>
      <c r="I502">
        <v>1.35866E-3</v>
      </c>
      <c r="J502">
        <f>Table211380[[#This Row],[CFNM]]/Table211380[[#This Row],[CAREA]]</f>
        <v>2.4224626867002223E-5</v>
      </c>
      <c r="K502">
        <v>2.5507599999999999</v>
      </c>
      <c r="L502">
        <f>(Table312381[[#This Row],[time]]-2)*2</f>
        <v>1.1015199999999998</v>
      </c>
      <c r="M502">
        <v>83.362300000000005</v>
      </c>
      <c r="N502">
        <v>33.005099999999999</v>
      </c>
      <c r="O502">
        <f>Table312381[[#This Row],[CFNM]]/Table312381[[#This Row],[CAREA]]</f>
        <v>0.39592357696464703</v>
      </c>
      <c r="P502">
        <v>2.5507599999999999</v>
      </c>
      <c r="Q502">
        <f>(Table413382[[#This Row],[time]]-2)*2</f>
        <v>1.1015199999999998</v>
      </c>
      <c r="R502">
        <v>79.539299999999997</v>
      </c>
      <c r="S502">
        <v>1.8373599999999999E-3</v>
      </c>
      <c r="T502">
        <f>Table413382[[#This Row],[CFNM]]/Table413382[[#This Row],[CAREA]]</f>
        <v>2.3100027282110855E-5</v>
      </c>
      <c r="U502">
        <v>2.5507599999999999</v>
      </c>
      <c r="V502">
        <f>(Table514383[[#This Row],[time]]-2)*2</f>
        <v>1.1015199999999998</v>
      </c>
      <c r="W502">
        <v>70.915300000000002</v>
      </c>
      <c r="X502">
        <v>36.9617</v>
      </c>
      <c r="Y502">
        <f>Table514383[[#This Row],[CFNM]]/Table514383[[#This Row],[CAREA]]</f>
        <v>0.52120910438227008</v>
      </c>
      <c r="Z502">
        <v>2.5507599999999999</v>
      </c>
      <c r="AA502">
        <f>(Table615384[[#This Row],[time]]-2)*2</f>
        <v>1.1015199999999998</v>
      </c>
      <c r="AB502">
        <v>91.548699999999997</v>
      </c>
      <c r="AC502">
        <v>7.2187599999999996</v>
      </c>
      <c r="AD502">
        <f>Table615384[[#This Row],[CFNM]]/Table615384[[#This Row],[CAREA]]</f>
        <v>7.8851583911076842E-2</v>
      </c>
      <c r="AE502">
        <v>2.5507599999999999</v>
      </c>
      <c r="AF502">
        <f>(Table716385[[#This Row],[time]]-2)*2</f>
        <v>1.1015199999999998</v>
      </c>
      <c r="AG502">
        <v>77.235200000000006</v>
      </c>
      <c r="AH502">
        <v>48.067599999999999</v>
      </c>
      <c r="AI502">
        <f>Table716385[[#This Row],[CFNM]]/Table716385[[#This Row],[CAREA]]</f>
        <v>0.62235353828306261</v>
      </c>
      <c r="AJ502">
        <v>2.5507599999999999</v>
      </c>
      <c r="AK502">
        <f>(Table817386[[#This Row],[time]]-2)*2</f>
        <v>1.1015199999999998</v>
      </c>
      <c r="AL502">
        <v>79.795199999999994</v>
      </c>
      <c r="AM502">
        <v>9.15442</v>
      </c>
      <c r="AN502">
        <f>Table817386[[#This Row],[CFNM]]/Table817386[[#This Row],[CAREA]]</f>
        <v>0.11472394329483479</v>
      </c>
    </row>
    <row r="503" spans="1:40" x14ac:dyDescent="0.25">
      <c r="A503">
        <v>2.60453</v>
      </c>
      <c r="B503">
        <f>(Table110379[[#This Row],[time]]-2)*2</f>
        <v>1.20906</v>
      </c>
      <c r="C503">
        <v>88.276200000000003</v>
      </c>
      <c r="D503">
        <v>35.651699999999998</v>
      </c>
      <c r="E503">
        <f>Table110379[[#This Row],[CFNM]]/Table110379[[#This Row],[CAREA]]</f>
        <v>0.40386536801538803</v>
      </c>
      <c r="F503">
        <v>2.60453</v>
      </c>
      <c r="G503">
        <f>(Table211380[[#This Row],[time]]-2)*2</f>
        <v>1.20906</v>
      </c>
      <c r="H503">
        <v>48.686599999999999</v>
      </c>
      <c r="I503">
        <v>1.0113100000000001E-3</v>
      </c>
      <c r="J503">
        <f>Table211380[[#This Row],[CFNM]]/Table211380[[#This Row],[CAREA]]</f>
        <v>2.0771834549958306E-5</v>
      </c>
      <c r="K503">
        <v>2.60453</v>
      </c>
      <c r="L503">
        <f>(Table312381[[#This Row],[time]]-2)*2</f>
        <v>1.20906</v>
      </c>
      <c r="M503">
        <v>82.720399999999998</v>
      </c>
      <c r="N503">
        <v>36.251399999999997</v>
      </c>
      <c r="O503">
        <f>Table312381[[#This Row],[CFNM]]/Table312381[[#This Row],[CAREA]]</f>
        <v>0.43824014390646077</v>
      </c>
      <c r="P503">
        <v>2.60453</v>
      </c>
      <c r="Q503">
        <f>(Table413382[[#This Row],[time]]-2)*2</f>
        <v>1.20906</v>
      </c>
      <c r="R503">
        <v>72.092699999999994</v>
      </c>
      <c r="S503">
        <v>1.4805599999999999E-3</v>
      </c>
      <c r="T503">
        <f>Table413382[[#This Row],[CFNM]]/Table413382[[#This Row],[CAREA]]</f>
        <v>2.0536892084774186E-5</v>
      </c>
      <c r="U503">
        <v>2.60453</v>
      </c>
      <c r="V503">
        <f>(Table514383[[#This Row],[time]]-2)*2</f>
        <v>1.20906</v>
      </c>
      <c r="W503">
        <v>69.480400000000003</v>
      </c>
      <c r="X503">
        <v>40.247799999999998</v>
      </c>
      <c r="Y503">
        <f>Table514383[[#This Row],[CFNM]]/Table514383[[#This Row],[CAREA]]</f>
        <v>0.57926839799425445</v>
      </c>
      <c r="Z503">
        <v>2.60453</v>
      </c>
      <c r="AA503">
        <f>(Table615384[[#This Row],[time]]-2)*2</f>
        <v>1.20906</v>
      </c>
      <c r="AB503">
        <v>91.831299999999999</v>
      </c>
      <c r="AC503">
        <v>5.9644399999999997</v>
      </c>
      <c r="AD503">
        <f>Table615384[[#This Row],[CFNM]]/Table615384[[#This Row],[CAREA]]</f>
        <v>6.4949968039219735E-2</v>
      </c>
      <c r="AE503">
        <v>2.60453</v>
      </c>
      <c r="AF503">
        <f>(Table716385[[#This Row],[time]]-2)*2</f>
        <v>1.20906</v>
      </c>
      <c r="AG503">
        <v>77.192400000000006</v>
      </c>
      <c r="AH503">
        <v>50.894599999999997</v>
      </c>
      <c r="AI503">
        <f>Table716385[[#This Row],[CFNM]]/Table716385[[#This Row],[CAREA]]</f>
        <v>0.6593213839704426</v>
      </c>
      <c r="AJ503">
        <v>2.60453</v>
      </c>
      <c r="AK503">
        <f>(Table817386[[#This Row],[time]]-2)*2</f>
        <v>1.20906</v>
      </c>
      <c r="AL503">
        <v>79.272599999999997</v>
      </c>
      <c r="AM503">
        <v>8.4166000000000007</v>
      </c>
      <c r="AN503">
        <f>Table817386[[#This Row],[CFNM]]/Table817386[[#This Row],[CAREA]]</f>
        <v>0.10617287688305924</v>
      </c>
    </row>
    <row r="504" spans="1:40" x14ac:dyDescent="0.25">
      <c r="A504">
        <v>2.65273</v>
      </c>
      <c r="B504">
        <f>(Table110379[[#This Row],[time]]-2)*2</f>
        <v>1.3054600000000001</v>
      </c>
      <c r="C504">
        <v>86.839200000000005</v>
      </c>
      <c r="D504">
        <v>41.1447</v>
      </c>
      <c r="E504">
        <f>Table110379[[#This Row],[CFNM]]/Table110379[[#This Row],[CAREA]]</f>
        <v>0.47380330541967219</v>
      </c>
      <c r="F504">
        <v>2.65273</v>
      </c>
      <c r="G504">
        <f>(Table211380[[#This Row],[time]]-2)*2</f>
        <v>1.3054600000000001</v>
      </c>
      <c r="H504">
        <v>37.860399999999998</v>
      </c>
      <c r="I504">
        <v>6.2850700000000005E-4</v>
      </c>
      <c r="J504">
        <f>Table211380[[#This Row],[CFNM]]/Table211380[[#This Row],[CAREA]]</f>
        <v>1.660064341634003E-5</v>
      </c>
      <c r="K504">
        <v>2.65273</v>
      </c>
      <c r="L504">
        <f>(Table312381[[#This Row],[time]]-2)*2</f>
        <v>1.3054600000000001</v>
      </c>
      <c r="M504">
        <v>81.913399999999996</v>
      </c>
      <c r="N504">
        <v>40.805100000000003</v>
      </c>
      <c r="O504">
        <f>Table312381[[#This Row],[CFNM]]/Table312381[[#This Row],[CAREA]]</f>
        <v>0.49814926495542861</v>
      </c>
      <c r="P504">
        <v>2.65273</v>
      </c>
      <c r="Q504">
        <f>(Table413382[[#This Row],[time]]-2)*2</f>
        <v>1.3054600000000001</v>
      </c>
      <c r="R504">
        <v>58.373100000000001</v>
      </c>
      <c r="S504">
        <v>1.08511E-3</v>
      </c>
      <c r="T504">
        <f>Table413382[[#This Row],[CFNM]]/Table413382[[#This Row],[CAREA]]</f>
        <v>1.858921318209929E-5</v>
      </c>
      <c r="U504">
        <v>2.65273</v>
      </c>
      <c r="V504">
        <f>(Table514383[[#This Row],[time]]-2)*2</f>
        <v>1.3054600000000001</v>
      </c>
      <c r="W504">
        <v>68.311999999999998</v>
      </c>
      <c r="X504">
        <v>45.019100000000002</v>
      </c>
      <c r="Y504">
        <f>Table514383[[#This Row],[CFNM]]/Table514383[[#This Row],[CAREA]]</f>
        <v>0.65902184096498428</v>
      </c>
      <c r="Z504">
        <v>2.65273</v>
      </c>
      <c r="AA504">
        <f>(Table615384[[#This Row],[time]]-2)*2</f>
        <v>1.3054600000000001</v>
      </c>
      <c r="AB504">
        <v>91.447299999999998</v>
      </c>
      <c r="AC504">
        <v>4.7076399999999996</v>
      </c>
      <c r="AD504">
        <f>Table615384[[#This Row],[CFNM]]/Table615384[[#This Row],[CAREA]]</f>
        <v>5.1479267293840274E-2</v>
      </c>
      <c r="AE504">
        <v>2.65273</v>
      </c>
      <c r="AF504">
        <f>(Table716385[[#This Row],[time]]-2)*2</f>
        <v>1.3054600000000001</v>
      </c>
      <c r="AG504">
        <v>77.223299999999995</v>
      </c>
      <c r="AH504">
        <v>55.1479</v>
      </c>
      <c r="AI504">
        <f>Table716385[[#This Row],[CFNM]]/Table716385[[#This Row],[CAREA]]</f>
        <v>0.71413550055488439</v>
      </c>
      <c r="AJ504">
        <v>2.65273</v>
      </c>
      <c r="AK504">
        <f>(Table817386[[#This Row],[time]]-2)*2</f>
        <v>1.3054600000000001</v>
      </c>
      <c r="AL504">
        <v>78.171800000000005</v>
      </c>
      <c r="AM504">
        <v>7.3421700000000003</v>
      </c>
      <c r="AN504">
        <f>Table817386[[#This Row],[CFNM]]/Table817386[[#This Row],[CAREA]]</f>
        <v>9.3923512059335967E-2</v>
      </c>
    </row>
    <row r="505" spans="1:40" x14ac:dyDescent="0.25">
      <c r="A505">
        <v>2.7006199999999998</v>
      </c>
      <c r="B505">
        <f>(Table110379[[#This Row],[time]]-2)*2</f>
        <v>1.4012399999999996</v>
      </c>
      <c r="C505">
        <v>85.854699999999994</v>
      </c>
      <c r="D505">
        <v>43.2333</v>
      </c>
      <c r="E505">
        <f>Table110379[[#This Row],[CFNM]]/Table110379[[#This Row],[CAREA]]</f>
        <v>0.50356357893044879</v>
      </c>
      <c r="F505">
        <v>2.7006199999999998</v>
      </c>
      <c r="G505">
        <f>(Table211380[[#This Row],[time]]-2)*2</f>
        <v>1.4012399999999996</v>
      </c>
      <c r="H505">
        <v>35.254899999999999</v>
      </c>
      <c r="I505">
        <v>5.1931199999999996E-4</v>
      </c>
      <c r="J505">
        <f>Table211380[[#This Row],[CFNM]]/Table211380[[#This Row],[CAREA]]</f>
        <v>1.473020771580688E-5</v>
      </c>
      <c r="K505">
        <v>2.7006199999999998</v>
      </c>
      <c r="L505">
        <f>(Table312381[[#This Row],[time]]-2)*2</f>
        <v>1.4012399999999996</v>
      </c>
      <c r="M505">
        <v>81.561099999999996</v>
      </c>
      <c r="N505">
        <v>42.451900000000002</v>
      </c>
      <c r="O505">
        <f>Table312381[[#This Row],[CFNM]]/Table312381[[#This Row],[CAREA]]</f>
        <v>0.52049199924964229</v>
      </c>
      <c r="P505">
        <v>2.7006199999999998</v>
      </c>
      <c r="Q505">
        <f>(Table413382[[#This Row],[time]]-2)*2</f>
        <v>1.4012399999999996</v>
      </c>
      <c r="R505">
        <v>50.455100000000002</v>
      </c>
      <c r="S505">
        <v>9.6861799999999997E-4</v>
      </c>
      <c r="T505">
        <f>Table413382[[#This Row],[CFNM]]/Table413382[[#This Row],[CAREA]]</f>
        <v>1.9197623233330228E-5</v>
      </c>
      <c r="U505">
        <v>2.7006199999999998</v>
      </c>
      <c r="V505">
        <f>(Table514383[[#This Row],[time]]-2)*2</f>
        <v>1.4012399999999996</v>
      </c>
      <c r="W505">
        <v>67.711600000000004</v>
      </c>
      <c r="X505">
        <v>46.794499999999999</v>
      </c>
      <c r="Y505">
        <f>Table514383[[#This Row],[CFNM]]/Table514383[[#This Row],[CAREA]]</f>
        <v>0.69108542701693654</v>
      </c>
      <c r="Z505">
        <v>2.7006199999999998</v>
      </c>
      <c r="AA505">
        <f>(Table615384[[#This Row],[time]]-2)*2</f>
        <v>1.4012399999999996</v>
      </c>
      <c r="AB505">
        <v>91.147599999999997</v>
      </c>
      <c r="AC505">
        <v>4.2931100000000004</v>
      </c>
      <c r="AD505">
        <f>Table615384[[#This Row],[CFNM]]/Table615384[[#This Row],[CAREA]]</f>
        <v>4.710063676937188E-2</v>
      </c>
      <c r="AE505">
        <v>2.7006199999999998</v>
      </c>
      <c r="AF505">
        <f>(Table716385[[#This Row],[time]]-2)*2</f>
        <v>1.4012399999999996</v>
      </c>
      <c r="AG505">
        <v>77.117699999999999</v>
      </c>
      <c r="AH505">
        <v>56.763500000000001</v>
      </c>
      <c r="AI505">
        <f>Table716385[[#This Row],[CFNM]]/Table716385[[#This Row],[CAREA]]</f>
        <v>0.73606318653175606</v>
      </c>
      <c r="AJ505">
        <v>2.7006199999999998</v>
      </c>
      <c r="AK505">
        <f>(Table817386[[#This Row],[time]]-2)*2</f>
        <v>1.4012399999999996</v>
      </c>
      <c r="AL505">
        <v>77.816400000000002</v>
      </c>
      <c r="AM505">
        <v>6.9492000000000003</v>
      </c>
      <c r="AN505">
        <f>Table817386[[#This Row],[CFNM]]/Table817386[[#This Row],[CAREA]]</f>
        <v>8.9302512066865083E-2</v>
      </c>
    </row>
    <row r="506" spans="1:40" x14ac:dyDescent="0.25">
      <c r="A506">
        <v>2.75176</v>
      </c>
      <c r="B506">
        <f>(Table110379[[#This Row],[time]]-2)*2</f>
        <v>1.50352</v>
      </c>
      <c r="C506">
        <v>84.720399999999998</v>
      </c>
      <c r="D506">
        <v>45.774099999999997</v>
      </c>
      <c r="E506">
        <f>Table110379[[#This Row],[CFNM]]/Table110379[[#This Row],[CAREA]]</f>
        <v>0.54029607981076577</v>
      </c>
      <c r="F506">
        <v>2.75176</v>
      </c>
      <c r="G506">
        <f>(Table211380[[#This Row],[time]]-2)*2</f>
        <v>1.50352</v>
      </c>
      <c r="H506">
        <v>30.401299999999999</v>
      </c>
      <c r="I506">
        <v>4.1079000000000002E-4</v>
      </c>
      <c r="J506">
        <f>Table211380[[#This Row],[CFNM]]/Table211380[[#This Row],[CAREA]]</f>
        <v>1.3512251120840228E-5</v>
      </c>
      <c r="K506">
        <v>2.75176</v>
      </c>
      <c r="L506">
        <f>(Table312381[[#This Row],[time]]-2)*2</f>
        <v>1.50352</v>
      </c>
      <c r="M506">
        <v>81.113399999999999</v>
      </c>
      <c r="N506">
        <v>44.400599999999997</v>
      </c>
      <c r="O506">
        <f>Table312381[[#This Row],[CFNM]]/Table312381[[#This Row],[CAREA]]</f>
        <v>0.54738921066063062</v>
      </c>
      <c r="P506">
        <v>2.75176</v>
      </c>
      <c r="Q506">
        <f>(Table413382[[#This Row],[time]]-2)*2</f>
        <v>1.50352</v>
      </c>
      <c r="R506">
        <v>46.185899999999997</v>
      </c>
      <c r="S506">
        <v>8.4375499999999996E-4</v>
      </c>
      <c r="T506">
        <f>Table413382[[#This Row],[CFNM]]/Table413382[[#This Row],[CAREA]]</f>
        <v>1.826867074150336E-5</v>
      </c>
      <c r="U506">
        <v>2.75176</v>
      </c>
      <c r="V506">
        <f>(Table514383[[#This Row],[time]]-2)*2</f>
        <v>1.50352</v>
      </c>
      <c r="W506">
        <v>67.055800000000005</v>
      </c>
      <c r="X506">
        <v>48.928800000000003</v>
      </c>
      <c r="Y506">
        <f>Table514383[[#This Row],[CFNM]]/Table514383[[#This Row],[CAREA]]</f>
        <v>0.72967289928686252</v>
      </c>
      <c r="Z506">
        <v>2.75176</v>
      </c>
      <c r="AA506">
        <f>(Table615384[[#This Row],[time]]-2)*2</f>
        <v>1.50352</v>
      </c>
      <c r="AB506">
        <v>90.26</v>
      </c>
      <c r="AC506">
        <v>3.7944100000000001</v>
      </c>
      <c r="AD506">
        <f>Table615384[[#This Row],[CFNM]]/Table615384[[#This Row],[CAREA]]</f>
        <v>4.2038666075781078E-2</v>
      </c>
      <c r="AE506">
        <v>2.75176</v>
      </c>
      <c r="AF506">
        <f>(Table716385[[#This Row],[time]]-2)*2</f>
        <v>1.50352</v>
      </c>
      <c r="AG506">
        <v>76.994</v>
      </c>
      <c r="AH506">
        <v>58.724299999999999</v>
      </c>
      <c r="AI506">
        <f>Table716385[[#This Row],[CFNM]]/Table716385[[#This Row],[CAREA]]</f>
        <v>0.76271267891004491</v>
      </c>
      <c r="AJ506">
        <v>2.75176</v>
      </c>
      <c r="AK506">
        <f>(Table817386[[#This Row],[time]]-2)*2</f>
        <v>1.50352</v>
      </c>
      <c r="AL506">
        <v>77.3536</v>
      </c>
      <c r="AM506">
        <v>6.4757600000000002</v>
      </c>
      <c r="AN506">
        <f>Table817386[[#This Row],[CFNM]]/Table817386[[#This Row],[CAREA]]</f>
        <v>8.3716336408389533E-2</v>
      </c>
    </row>
    <row r="507" spans="1:40" x14ac:dyDescent="0.25">
      <c r="A507">
        <v>2.80444</v>
      </c>
      <c r="B507">
        <f>(Table110379[[#This Row],[time]]-2)*2</f>
        <v>1.6088800000000001</v>
      </c>
      <c r="C507">
        <v>83.816500000000005</v>
      </c>
      <c r="D507">
        <v>48.683300000000003</v>
      </c>
      <c r="E507">
        <f>Table110379[[#This Row],[CFNM]]/Table110379[[#This Row],[CAREA]]</f>
        <v>0.58083193643256403</v>
      </c>
      <c r="F507">
        <v>2.80444</v>
      </c>
      <c r="G507">
        <f>(Table211380[[#This Row],[time]]-2)*2</f>
        <v>1.6088800000000001</v>
      </c>
      <c r="H507">
        <v>24.378799999999998</v>
      </c>
      <c r="I507">
        <v>3.1237399999999997E-4</v>
      </c>
      <c r="J507">
        <f>Table211380[[#This Row],[CFNM]]/Table211380[[#This Row],[CAREA]]</f>
        <v>1.2813346021953501E-5</v>
      </c>
      <c r="K507">
        <v>2.80444</v>
      </c>
      <c r="L507">
        <f>(Table312381[[#This Row],[time]]-2)*2</f>
        <v>1.6088800000000001</v>
      </c>
      <c r="M507">
        <v>80.566400000000002</v>
      </c>
      <c r="N507">
        <v>46.588700000000003</v>
      </c>
      <c r="O507">
        <f>Table312381[[#This Row],[CFNM]]/Table312381[[#This Row],[CAREA]]</f>
        <v>0.57826463637446879</v>
      </c>
      <c r="P507">
        <v>2.80444</v>
      </c>
      <c r="Q507">
        <f>(Table413382[[#This Row],[time]]-2)*2</f>
        <v>1.6088800000000001</v>
      </c>
      <c r="R507">
        <v>40.306699999999999</v>
      </c>
      <c r="S507">
        <v>7.2967400000000003E-4</v>
      </c>
      <c r="T507">
        <f>Table413382[[#This Row],[CFNM]]/Table413382[[#This Row],[CAREA]]</f>
        <v>1.8103044903204679E-5</v>
      </c>
      <c r="U507">
        <v>2.80444</v>
      </c>
      <c r="V507">
        <f>(Table514383[[#This Row],[time]]-2)*2</f>
        <v>1.6088800000000001</v>
      </c>
      <c r="W507">
        <v>66.327299999999994</v>
      </c>
      <c r="X507">
        <v>51.382800000000003</v>
      </c>
      <c r="Y507">
        <f>Table514383[[#This Row],[CFNM]]/Table514383[[#This Row],[CAREA]]</f>
        <v>0.7746855367246972</v>
      </c>
      <c r="Z507">
        <v>2.80444</v>
      </c>
      <c r="AA507">
        <f>(Table615384[[#This Row],[time]]-2)*2</f>
        <v>1.6088800000000001</v>
      </c>
      <c r="AB507">
        <v>90.330500000000001</v>
      </c>
      <c r="AC507">
        <v>3.25021</v>
      </c>
      <c r="AD507">
        <f>Table615384[[#This Row],[CFNM]]/Table615384[[#This Row],[CAREA]]</f>
        <v>3.5981313067015019E-2</v>
      </c>
      <c r="AE507">
        <v>2.80444</v>
      </c>
      <c r="AF507">
        <f>(Table716385[[#This Row],[time]]-2)*2</f>
        <v>1.6088800000000001</v>
      </c>
      <c r="AG507">
        <v>76.801500000000004</v>
      </c>
      <c r="AH507">
        <v>61.008000000000003</v>
      </c>
      <c r="AI507">
        <f>Table716385[[#This Row],[CFNM]]/Table716385[[#This Row],[CAREA]]</f>
        <v>0.79435948516630539</v>
      </c>
      <c r="AJ507">
        <v>2.80444</v>
      </c>
      <c r="AK507">
        <f>(Table817386[[#This Row],[time]]-2)*2</f>
        <v>1.6088800000000001</v>
      </c>
      <c r="AL507">
        <v>76.903999999999996</v>
      </c>
      <c r="AM507">
        <v>5.9611000000000001</v>
      </c>
      <c r="AN507">
        <f>Table817386[[#This Row],[CFNM]]/Table817386[[#This Row],[CAREA]]</f>
        <v>7.7513523353791747E-2</v>
      </c>
    </row>
    <row r="508" spans="1:40" x14ac:dyDescent="0.25">
      <c r="A508">
        <v>2.8583699999999999</v>
      </c>
      <c r="B508">
        <f>(Table110379[[#This Row],[time]]-2)*2</f>
        <v>1.7167399999999997</v>
      </c>
      <c r="C508">
        <v>82.759399999999999</v>
      </c>
      <c r="D508">
        <v>51.734900000000003</v>
      </c>
      <c r="E508">
        <f>Table110379[[#This Row],[CFNM]]/Table110379[[#This Row],[CAREA]]</f>
        <v>0.62512415508087305</v>
      </c>
      <c r="F508">
        <v>2.8583699999999999</v>
      </c>
      <c r="G508">
        <f>(Table211380[[#This Row],[time]]-2)*2</f>
        <v>1.7167399999999997</v>
      </c>
      <c r="H508">
        <v>18.228899999999999</v>
      </c>
      <c r="I508">
        <v>2.36937E-4</v>
      </c>
      <c r="J508">
        <f>Table211380[[#This Row],[CFNM]]/Table211380[[#This Row],[CAREA]]</f>
        <v>1.2997876997514936E-5</v>
      </c>
      <c r="K508">
        <v>2.8583699999999999</v>
      </c>
      <c r="L508">
        <f>(Table312381[[#This Row],[time]]-2)*2</f>
        <v>1.7167399999999997</v>
      </c>
      <c r="M508">
        <v>80.136700000000005</v>
      </c>
      <c r="N508">
        <v>48.822400000000002</v>
      </c>
      <c r="O508">
        <f>Table312381[[#This Row],[CFNM]]/Table312381[[#This Row],[CAREA]]</f>
        <v>0.60923896292210689</v>
      </c>
      <c r="P508">
        <v>2.8583699999999999</v>
      </c>
      <c r="Q508">
        <f>(Table413382[[#This Row],[time]]-2)*2</f>
        <v>1.7167399999999997</v>
      </c>
      <c r="R508">
        <v>35.764499999999998</v>
      </c>
      <c r="S508">
        <v>6.2391599999999997E-4</v>
      </c>
      <c r="T508">
        <f>Table413382[[#This Row],[CFNM]]/Table413382[[#This Row],[CAREA]]</f>
        <v>1.7445120161053559E-5</v>
      </c>
      <c r="U508">
        <v>2.8583699999999999</v>
      </c>
      <c r="V508">
        <f>(Table514383[[#This Row],[time]]-2)*2</f>
        <v>1.7167399999999997</v>
      </c>
      <c r="W508">
        <v>64.973100000000002</v>
      </c>
      <c r="X508">
        <v>54.026400000000002</v>
      </c>
      <c r="Y508">
        <f>Table514383[[#This Row],[CFNM]]/Table514383[[#This Row],[CAREA]]</f>
        <v>0.83151950576469336</v>
      </c>
      <c r="Z508">
        <v>2.8583699999999999</v>
      </c>
      <c r="AA508">
        <f>(Table615384[[#This Row],[time]]-2)*2</f>
        <v>1.7167399999999997</v>
      </c>
      <c r="AB508">
        <v>89.671099999999996</v>
      </c>
      <c r="AC508">
        <v>2.7411300000000001</v>
      </c>
      <c r="AD508">
        <f>Table615384[[#This Row],[CFNM]]/Table615384[[#This Row],[CAREA]]</f>
        <v>3.0568711658494209E-2</v>
      </c>
      <c r="AE508">
        <v>2.8583699999999999</v>
      </c>
      <c r="AF508">
        <f>(Table716385[[#This Row],[time]]-2)*2</f>
        <v>1.7167399999999997</v>
      </c>
      <c r="AG508">
        <v>76.037300000000002</v>
      </c>
      <c r="AH508">
        <v>63.515999999999998</v>
      </c>
      <c r="AI508">
        <f>Table716385[[#This Row],[CFNM]]/Table716385[[#This Row],[CAREA]]</f>
        <v>0.8353268724691697</v>
      </c>
      <c r="AJ508">
        <v>2.8583699999999999</v>
      </c>
      <c r="AK508">
        <f>(Table817386[[#This Row],[time]]-2)*2</f>
        <v>1.7167399999999997</v>
      </c>
      <c r="AL508">
        <v>76.240799999999993</v>
      </c>
      <c r="AM508">
        <v>5.3830600000000004</v>
      </c>
      <c r="AN508">
        <f>Table817386[[#This Row],[CFNM]]/Table817386[[#This Row],[CAREA]]</f>
        <v>7.0606027219021844E-2</v>
      </c>
    </row>
    <row r="509" spans="1:40" x14ac:dyDescent="0.25">
      <c r="A509">
        <v>2.9134199999999999</v>
      </c>
      <c r="B509">
        <f>(Table110379[[#This Row],[time]]-2)*2</f>
        <v>1.8268399999999998</v>
      </c>
      <c r="C509">
        <v>81.747</v>
      </c>
      <c r="D509">
        <v>54.502699999999997</v>
      </c>
      <c r="E509">
        <f>Table110379[[#This Row],[CFNM]]/Table110379[[#This Row],[CAREA]]</f>
        <v>0.66672416113129529</v>
      </c>
      <c r="F509">
        <v>2.9134199999999999</v>
      </c>
      <c r="G509">
        <f>(Table211380[[#This Row],[time]]-2)*2</f>
        <v>1.8268399999999998</v>
      </c>
      <c r="H509">
        <v>16.072600000000001</v>
      </c>
      <c r="I509">
        <v>1.8303199999999999E-4</v>
      </c>
      <c r="J509">
        <f>Table211380[[#This Row],[CFNM]]/Table211380[[#This Row],[CAREA]]</f>
        <v>1.1387827731667556E-5</v>
      </c>
      <c r="K509">
        <v>2.9134199999999999</v>
      </c>
      <c r="L509">
        <f>(Table312381[[#This Row],[time]]-2)*2</f>
        <v>1.8268399999999998</v>
      </c>
      <c r="M509">
        <v>79.7577</v>
      </c>
      <c r="N509">
        <v>50.7258</v>
      </c>
      <c r="O509">
        <f>Table312381[[#This Row],[CFNM]]/Table312381[[#This Row],[CAREA]]</f>
        <v>0.63599878130888932</v>
      </c>
      <c r="P509">
        <v>2.9134199999999999</v>
      </c>
      <c r="Q509">
        <f>(Table413382[[#This Row],[time]]-2)*2</f>
        <v>1.8268399999999998</v>
      </c>
      <c r="R509">
        <v>33.2881</v>
      </c>
      <c r="S509">
        <v>5.4434600000000002E-4</v>
      </c>
      <c r="T509">
        <f>Table413382[[#This Row],[CFNM]]/Table413382[[#This Row],[CAREA]]</f>
        <v>1.6352570438084483E-5</v>
      </c>
      <c r="U509">
        <v>2.9134199999999999</v>
      </c>
      <c r="V509">
        <f>(Table514383[[#This Row],[time]]-2)*2</f>
        <v>1.8268399999999998</v>
      </c>
      <c r="W509">
        <v>63.713700000000003</v>
      </c>
      <c r="X509">
        <v>56.377200000000002</v>
      </c>
      <c r="Y509">
        <f>Table514383[[#This Row],[CFNM]]/Table514383[[#This Row],[CAREA]]</f>
        <v>0.88485208047876673</v>
      </c>
      <c r="Z509">
        <v>2.9134199999999999</v>
      </c>
      <c r="AA509">
        <f>(Table615384[[#This Row],[time]]-2)*2</f>
        <v>1.8268399999999998</v>
      </c>
      <c r="AB509">
        <v>89.594499999999996</v>
      </c>
      <c r="AC509">
        <v>2.2928899999999999</v>
      </c>
      <c r="AD509">
        <f>Table615384[[#This Row],[CFNM]]/Table615384[[#This Row],[CAREA]]</f>
        <v>2.5591861107545664E-2</v>
      </c>
      <c r="AE509">
        <v>2.9134199999999999</v>
      </c>
      <c r="AF509">
        <f>(Table716385[[#This Row],[time]]-2)*2</f>
        <v>1.8268399999999998</v>
      </c>
      <c r="AG509">
        <v>75.711200000000005</v>
      </c>
      <c r="AH509">
        <v>65.8048</v>
      </c>
      <c r="AI509">
        <f>Table716385[[#This Row],[CFNM]]/Table716385[[#This Row],[CAREA]]</f>
        <v>0.8691554221832436</v>
      </c>
      <c r="AJ509">
        <v>2.9134199999999999</v>
      </c>
      <c r="AK509">
        <f>(Table817386[[#This Row],[time]]-2)*2</f>
        <v>1.8268399999999998</v>
      </c>
      <c r="AL509">
        <v>75.640900000000002</v>
      </c>
      <c r="AM509">
        <v>4.8601299999999998</v>
      </c>
      <c r="AN509">
        <f>Table817386[[#This Row],[CFNM]]/Table817386[[#This Row],[CAREA]]</f>
        <v>6.4252672826473511E-2</v>
      </c>
    </row>
    <row r="510" spans="1:40" x14ac:dyDescent="0.25">
      <c r="A510">
        <v>2.9619599999999999</v>
      </c>
      <c r="B510">
        <f>(Table110379[[#This Row],[time]]-2)*2</f>
        <v>1.9239199999999999</v>
      </c>
      <c r="C510">
        <v>80.829499999999996</v>
      </c>
      <c r="D510">
        <v>56.957599999999999</v>
      </c>
      <c r="E510">
        <f>Table110379[[#This Row],[CFNM]]/Table110379[[#This Row],[CAREA]]</f>
        <v>0.70466352012569666</v>
      </c>
      <c r="F510">
        <v>2.9619599999999999</v>
      </c>
      <c r="G510">
        <f>(Table211380[[#This Row],[time]]-2)*2</f>
        <v>1.9239199999999999</v>
      </c>
      <c r="H510">
        <v>11.940899999999999</v>
      </c>
      <c r="I510">
        <v>1.4530899999999999E-4</v>
      </c>
      <c r="J510">
        <f>Table211380[[#This Row],[CFNM]]/Table211380[[#This Row],[CAREA]]</f>
        <v>1.2169015735832308E-5</v>
      </c>
      <c r="K510">
        <v>2.9619599999999999</v>
      </c>
      <c r="L510">
        <f>(Table312381[[#This Row],[time]]-2)*2</f>
        <v>1.9239199999999999</v>
      </c>
      <c r="M510">
        <v>79.456299999999999</v>
      </c>
      <c r="N510">
        <v>52.364400000000003</v>
      </c>
      <c r="O510">
        <f>Table312381[[#This Row],[CFNM]]/Table312381[[#This Row],[CAREA]]</f>
        <v>0.65903395954757527</v>
      </c>
      <c r="P510">
        <v>2.9619599999999999</v>
      </c>
      <c r="Q510">
        <f>(Table413382[[#This Row],[time]]-2)*2</f>
        <v>1.9239199999999999</v>
      </c>
      <c r="R510">
        <v>30.666499999999999</v>
      </c>
      <c r="S510">
        <v>4.7618699999999999E-4</v>
      </c>
      <c r="T510">
        <f>Table413382[[#This Row],[CFNM]]/Table413382[[#This Row],[CAREA]]</f>
        <v>1.5527921347398629E-5</v>
      </c>
      <c r="U510">
        <v>2.9619599999999999</v>
      </c>
      <c r="V510">
        <f>(Table514383[[#This Row],[time]]-2)*2</f>
        <v>1.9239199999999999</v>
      </c>
      <c r="W510">
        <v>63.012900000000002</v>
      </c>
      <c r="X510">
        <v>58.453699999999998</v>
      </c>
      <c r="Y510">
        <f>Table514383[[#This Row],[CFNM]]/Table514383[[#This Row],[CAREA]]</f>
        <v>0.92764656125967848</v>
      </c>
      <c r="Z510">
        <v>2.9619599999999999</v>
      </c>
      <c r="AA510">
        <f>(Table615384[[#This Row],[time]]-2)*2</f>
        <v>1.9239199999999999</v>
      </c>
      <c r="AB510">
        <v>88.659300000000002</v>
      </c>
      <c r="AC510">
        <v>1.91388</v>
      </c>
      <c r="AD510">
        <f>Table615384[[#This Row],[CFNM]]/Table615384[[#This Row],[CAREA]]</f>
        <v>2.1586906280559398E-2</v>
      </c>
      <c r="AE510">
        <v>2.9619599999999999</v>
      </c>
      <c r="AF510">
        <f>(Table716385[[#This Row],[time]]-2)*2</f>
        <v>1.9239199999999999</v>
      </c>
      <c r="AG510">
        <v>75.076700000000002</v>
      </c>
      <c r="AH510">
        <v>67.878900000000002</v>
      </c>
      <c r="AI510">
        <f>Table716385[[#This Row],[CFNM]]/Table716385[[#This Row],[CAREA]]</f>
        <v>0.90412737906700746</v>
      </c>
      <c r="AJ510">
        <v>2.9619599999999999</v>
      </c>
      <c r="AK510">
        <f>(Table817386[[#This Row],[time]]-2)*2</f>
        <v>1.9239199999999999</v>
      </c>
      <c r="AL510">
        <v>75.059399999999997</v>
      </c>
      <c r="AM510">
        <v>4.3755699999999997</v>
      </c>
      <c r="AN510">
        <f>Table817386[[#This Row],[CFNM]]/Table817386[[#This Row],[CAREA]]</f>
        <v>5.8294763880340106E-2</v>
      </c>
    </row>
    <row r="511" spans="1:40" x14ac:dyDescent="0.25">
      <c r="A511">
        <v>3</v>
      </c>
      <c r="B511">
        <f>(Table110379[[#This Row],[time]]-2)*2</f>
        <v>2</v>
      </c>
      <c r="C511">
        <v>79.223699999999994</v>
      </c>
      <c r="D511">
        <v>59.268500000000003</v>
      </c>
      <c r="E511">
        <f>Table110379[[#This Row],[CFNM]]/Table110379[[#This Row],[CAREA]]</f>
        <v>0.74811577848547861</v>
      </c>
      <c r="F511">
        <v>3</v>
      </c>
      <c r="G511">
        <f>(Table211380[[#This Row],[time]]-2)*2</f>
        <v>2</v>
      </c>
      <c r="H511">
        <v>9.8864099999999997</v>
      </c>
      <c r="I511">
        <v>1.1709099999999999E-4</v>
      </c>
      <c r="J511">
        <f>Table211380[[#This Row],[CFNM]]/Table211380[[#This Row],[CAREA]]</f>
        <v>1.1843631813772643E-5</v>
      </c>
      <c r="K511">
        <v>3</v>
      </c>
      <c r="L511">
        <f>(Table312381[[#This Row],[time]]-2)*2</f>
        <v>2</v>
      </c>
      <c r="M511">
        <v>79.092399999999998</v>
      </c>
      <c r="N511">
        <v>53.859200000000001</v>
      </c>
      <c r="O511">
        <f>Table312381[[#This Row],[CFNM]]/Table312381[[#This Row],[CAREA]]</f>
        <v>0.68096555421254135</v>
      </c>
      <c r="P511">
        <v>3</v>
      </c>
      <c r="Q511">
        <f>(Table413382[[#This Row],[time]]-2)*2</f>
        <v>2</v>
      </c>
      <c r="R511">
        <v>29.055700000000002</v>
      </c>
      <c r="S511">
        <v>4.1536600000000002E-4</v>
      </c>
      <c r="T511">
        <f>Table413382[[#This Row],[CFNM]]/Table413382[[#This Row],[CAREA]]</f>
        <v>1.4295508282368004E-5</v>
      </c>
      <c r="U511">
        <v>3</v>
      </c>
      <c r="V511">
        <f>(Table514383[[#This Row],[time]]-2)*2</f>
        <v>2</v>
      </c>
      <c r="W511">
        <v>62.124299999999998</v>
      </c>
      <c r="X511">
        <v>60.485199999999999</v>
      </c>
      <c r="Y511">
        <f>Table514383[[#This Row],[CFNM]]/Table514383[[#This Row],[CAREA]]</f>
        <v>0.97361579929270836</v>
      </c>
      <c r="Z511">
        <v>3</v>
      </c>
      <c r="AA511">
        <f>(Table615384[[#This Row],[time]]-2)*2</f>
        <v>2</v>
      </c>
      <c r="AB511">
        <v>88.326499999999996</v>
      </c>
      <c r="AC511">
        <v>1.5805800000000001</v>
      </c>
      <c r="AD511">
        <f>Table615384[[#This Row],[CFNM]]/Table615384[[#This Row],[CAREA]]</f>
        <v>1.789474280085818E-2</v>
      </c>
      <c r="AE511">
        <v>3</v>
      </c>
      <c r="AF511">
        <f>(Table716385[[#This Row],[time]]-2)*2</f>
        <v>2</v>
      </c>
      <c r="AG511">
        <v>74.782499999999999</v>
      </c>
      <c r="AH511">
        <v>69.9495</v>
      </c>
      <c r="AI511">
        <f>Table716385[[#This Row],[CFNM]]/Table716385[[#This Row],[CAREA]]</f>
        <v>0.93537258048340188</v>
      </c>
      <c r="AJ511">
        <v>3</v>
      </c>
      <c r="AK511">
        <f>(Table817386[[#This Row],[time]]-2)*2</f>
        <v>2</v>
      </c>
      <c r="AL511">
        <v>74.446200000000005</v>
      </c>
      <c r="AM511">
        <v>3.86856</v>
      </c>
      <c r="AN511">
        <f>Table817386[[#This Row],[CFNM]]/Table817386[[#This Row],[CAREA]]</f>
        <v>5.196450591165163E-2</v>
      </c>
    </row>
    <row r="514" spans="1:40" x14ac:dyDescent="0.25">
      <c r="A514" s="1" t="s">
        <v>27</v>
      </c>
    </row>
    <row r="515" spans="1:40" x14ac:dyDescent="0.25">
      <c r="A515" t="s">
        <v>61</v>
      </c>
      <c r="F515" t="s">
        <v>1</v>
      </c>
    </row>
    <row r="516" spans="1:40" x14ac:dyDescent="0.25">
      <c r="F516" t="s">
        <v>2</v>
      </c>
      <c r="G516" t="s">
        <v>3</v>
      </c>
    </row>
    <row r="519" spans="1:40" x14ac:dyDescent="0.25">
      <c r="A519" t="s">
        <v>4</v>
      </c>
      <c r="F519" t="s">
        <v>5</v>
      </c>
      <c r="K519" t="s">
        <v>6</v>
      </c>
      <c r="P519" t="s">
        <v>7</v>
      </c>
      <c r="U519" t="s">
        <v>8</v>
      </c>
      <c r="Z519" t="s">
        <v>9</v>
      </c>
      <c r="AE519" t="s">
        <v>10</v>
      </c>
      <c r="AJ519" t="s">
        <v>11</v>
      </c>
    </row>
    <row r="520" spans="1:40" x14ac:dyDescent="0.25">
      <c r="A520" t="s">
        <v>12</v>
      </c>
      <c r="B520" t="s">
        <v>13</v>
      </c>
      <c r="C520" t="s">
        <v>14</v>
      </c>
      <c r="D520" t="s">
        <v>15</v>
      </c>
      <c r="E520" t="s">
        <v>16</v>
      </c>
      <c r="F520" t="s">
        <v>12</v>
      </c>
      <c r="G520" t="s">
        <v>13</v>
      </c>
      <c r="H520" t="s">
        <v>14</v>
      </c>
      <c r="I520" t="s">
        <v>15</v>
      </c>
      <c r="J520" t="s">
        <v>16</v>
      </c>
      <c r="K520" t="s">
        <v>12</v>
      </c>
      <c r="L520" t="s">
        <v>13</v>
      </c>
      <c r="M520" t="s">
        <v>14</v>
      </c>
      <c r="N520" t="s">
        <v>15</v>
      </c>
      <c r="O520" t="s">
        <v>16</v>
      </c>
      <c r="P520" t="s">
        <v>12</v>
      </c>
      <c r="Q520" t="s">
        <v>13</v>
      </c>
      <c r="R520" t="s">
        <v>14</v>
      </c>
      <c r="S520" t="s">
        <v>15</v>
      </c>
      <c r="T520" t="s">
        <v>16</v>
      </c>
      <c r="U520" t="s">
        <v>12</v>
      </c>
      <c r="V520" t="s">
        <v>13</v>
      </c>
      <c r="W520" t="s">
        <v>14</v>
      </c>
      <c r="X520" t="s">
        <v>15</v>
      </c>
      <c r="Y520" t="s">
        <v>16</v>
      </c>
      <c r="Z520" t="s">
        <v>12</v>
      </c>
      <c r="AA520" t="s">
        <v>13</v>
      </c>
      <c r="AB520" t="s">
        <v>14</v>
      </c>
      <c r="AC520" t="s">
        <v>15</v>
      </c>
      <c r="AD520" t="s">
        <v>16</v>
      </c>
      <c r="AE520" t="s">
        <v>12</v>
      </c>
      <c r="AF520" t="s">
        <v>13</v>
      </c>
      <c r="AG520" t="s">
        <v>14</v>
      </c>
      <c r="AH520" t="s">
        <v>15</v>
      </c>
      <c r="AI520" t="s">
        <v>16</v>
      </c>
      <c r="AJ520" t="s">
        <v>12</v>
      </c>
      <c r="AK520" t="s">
        <v>13</v>
      </c>
      <c r="AL520" t="s">
        <v>14</v>
      </c>
      <c r="AM520" t="s">
        <v>15</v>
      </c>
      <c r="AN520" t="s">
        <v>16</v>
      </c>
    </row>
    <row r="521" spans="1:40" x14ac:dyDescent="0.25">
      <c r="A521">
        <v>2</v>
      </c>
      <c r="B521">
        <f>-(Table1387[[#This Row],[time]]-2)*2</f>
        <v>0</v>
      </c>
      <c r="C521">
        <v>88.270499999999998</v>
      </c>
      <c r="D521">
        <v>6.2275299999999998</v>
      </c>
      <c r="E521" s="2">
        <f>Table1387[[#This Row],[CFNM]]/Table1387[[#This Row],[CAREA]]</f>
        <v>7.0550523674387258E-2</v>
      </c>
      <c r="F521">
        <v>2</v>
      </c>
      <c r="G521">
        <f>-(Table2388[[#This Row],[time]]-2)*2</f>
        <v>0</v>
      </c>
      <c r="H521">
        <v>91.525499999999994</v>
      </c>
      <c r="I521">
        <v>4.7580499999999998E-3</v>
      </c>
      <c r="J521" s="2">
        <f>Table2388[[#This Row],[CFNM]]/Table2388[[#This Row],[CAREA]]</f>
        <v>5.1986058530136412E-5</v>
      </c>
      <c r="K521">
        <v>2</v>
      </c>
      <c r="L521">
        <f>-(Table3389[[#This Row],[time]]-2)*2</f>
        <v>0</v>
      </c>
      <c r="M521">
        <v>87.679299999999998</v>
      </c>
      <c r="N521">
        <v>0.66283899999999996</v>
      </c>
      <c r="O521">
        <f>Table3389[[#This Row],[CFNM]]/Table3389[[#This Row],[CAREA]]</f>
        <v>7.55981172294943E-3</v>
      </c>
      <c r="P521">
        <v>2</v>
      </c>
      <c r="Q521">
        <f>-(Table4390[[#This Row],[time]]-2)*2</f>
        <v>0</v>
      </c>
      <c r="R521">
        <v>81.933000000000007</v>
      </c>
      <c r="S521">
        <v>6.07223E-2</v>
      </c>
      <c r="T521">
        <f>Table4390[[#This Row],[CFNM]]/Table4390[[#This Row],[CAREA]]</f>
        <v>7.4112140407406042E-4</v>
      </c>
      <c r="U521">
        <v>2</v>
      </c>
      <c r="V521">
        <f>-(Table5391[[#This Row],[time]]-2)*2</f>
        <v>0</v>
      </c>
      <c r="W521">
        <v>82.935699999999997</v>
      </c>
      <c r="X521">
        <v>5.1279199999999996</v>
      </c>
      <c r="Y521">
        <f>Table5391[[#This Row],[CFNM]]/Table5391[[#This Row],[CAREA]]</f>
        <v>6.1830068354158704E-2</v>
      </c>
      <c r="Z521">
        <v>2</v>
      </c>
      <c r="AA521">
        <f>-(Table6392[[#This Row],[time]]-2)*2</f>
        <v>0</v>
      </c>
      <c r="AB521">
        <v>86.346400000000003</v>
      </c>
      <c r="AC521">
        <v>6.9678800000000001</v>
      </c>
      <c r="AD521">
        <f>Table6392[[#This Row],[CFNM]]/Table6392[[#This Row],[CAREA]]</f>
        <v>8.0696821176099984E-2</v>
      </c>
      <c r="AE521">
        <v>2</v>
      </c>
      <c r="AF521">
        <f>-(Table7393[[#This Row],[time]]-2)*2</f>
        <v>0</v>
      </c>
      <c r="AG521">
        <v>78.678799999999995</v>
      </c>
      <c r="AH521">
        <v>17.726099999999999</v>
      </c>
      <c r="AI521">
        <f>Table7393[[#This Row],[CFNM]]/Table7393[[#This Row],[CAREA]]</f>
        <v>0.22529703045801411</v>
      </c>
      <c r="AJ521">
        <v>2</v>
      </c>
      <c r="AK521">
        <f>-(Table8394[[#This Row],[time]]-2)*2</f>
        <v>0</v>
      </c>
      <c r="AL521">
        <v>83.316699999999997</v>
      </c>
      <c r="AM521">
        <v>16.678599999999999</v>
      </c>
      <c r="AN521">
        <f>Table8394[[#This Row],[CFNM]]/Table8394[[#This Row],[CAREA]]</f>
        <v>0.200183156558049</v>
      </c>
    </row>
    <row r="522" spans="1:40" x14ac:dyDescent="0.25">
      <c r="A522">
        <v>2.0512600000000001</v>
      </c>
      <c r="B522">
        <f>-(Table1387[[#This Row],[time]]-2)*2</f>
        <v>-0.10252000000000017</v>
      </c>
      <c r="C522">
        <v>88.991100000000003</v>
      </c>
      <c r="D522">
        <v>7.79148</v>
      </c>
      <c r="E522">
        <f>Table1387[[#This Row],[CFNM]]/Table1387[[#This Row],[CAREA]]</f>
        <v>8.7553474448568452E-2</v>
      </c>
      <c r="F522">
        <v>2.0512600000000001</v>
      </c>
      <c r="G522">
        <f>-(Table2388[[#This Row],[time]]-2)*2</f>
        <v>-0.10252000000000017</v>
      </c>
      <c r="H522">
        <v>94.329599999999999</v>
      </c>
      <c r="I522">
        <v>6.5432699999999997</v>
      </c>
      <c r="J522">
        <f>Table2388[[#This Row],[CFNM]]/Table2388[[#This Row],[CAREA]]</f>
        <v>6.936603144718094E-2</v>
      </c>
      <c r="K522">
        <v>2.0512600000000001</v>
      </c>
      <c r="L522">
        <f>-(Table3389[[#This Row],[time]]-2)*2</f>
        <v>-0.10252000000000017</v>
      </c>
      <c r="M522">
        <v>88.990799999999993</v>
      </c>
      <c r="N522">
        <v>0.41997400000000001</v>
      </c>
      <c r="O522">
        <f>Table3389[[#This Row],[CFNM]]/Table3389[[#This Row],[CAREA]]</f>
        <v>4.7192968261887749E-3</v>
      </c>
      <c r="P522">
        <v>2.0512600000000001</v>
      </c>
      <c r="Q522">
        <f>-(Table4390[[#This Row],[time]]-2)*2</f>
        <v>-0.10252000000000017</v>
      </c>
      <c r="R522">
        <v>84.309299999999993</v>
      </c>
      <c r="S522">
        <v>8.8309300000000004</v>
      </c>
      <c r="T522">
        <f>Table4390[[#This Row],[CFNM]]/Table4390[[#This Row],[CAREA]]</f>
        <v>0.10474443507418518</v>
      </c>
      <c r="U522">
        <v>2.0512600000000001</v>
      </c>
      <c r="V522">
        <f>-(Table5391[[#This Row],[time]]-2)*2</f>
        <v>-0.10252000000000017</v>
      </c>
      <c r="W522">
        <v>82.336399999999998</v>
      </c>
      <c r="X522">
        <v>5.1081200000000004</v>
      </c>
      <c r="Y522">
        <f>Table5391[[#This Row],[CFNM]]/Table5391[[#This Row],[CAREA]]</f>
        <v>6.2039632531905704E-2</v>
      </c>
      <c r="Z522">
        <v>2.0512600000000001</v>
      </c>
      <c r="AA522">
        <f>-(Table6392[[#This Row],[time]]-2)*2</f>
        <v>-0.10252000000000017</v>
      </c>
      <c r="AB522">
        <v>86.880600000000001</v>
      </c>
      <c r="AC522">
        <v>14.4527</v>
      </c>
      <c r="AD522">
        <f>Table6392[[#This Row],[CFNM]]/Table6392[[#This Row],[CAREA]]</f>
        <v>0.16635129131244489</v>
      </c>
      <c r="AE522">
        <v>2.0512600000000001</v>
      </c>
      <c r="AF522">
        <f>-(Table7393[[#This Row],[time]]-2)*2</f>
        <v>-0.10252000000000017</v>
      </c>
      <c r="AG522">
        <v>79.388999999999996</v>
      </c>
      <c r="AH522">
        <v>17.223600000000001</v>
      </c>
      <c r="AI522">
        <f>Table7393[[#This Row],[CFNM]]/Table7393[[#This Row],[CAREA]]</f>
        <v>0.21695197067603827</v>
      </c>
      <c r="AJ522">
        <v>2.0512600000000001</v>
      </c>
      <c r="AK522">
        <f>-(Table8394[[#This Row],[time]]-2)*2</f>
        <v>-0.10252000000000017</v>
      </c>
      <c r="AL522">
        <v>83.126900000000006</v>
      </c>
      <c r="AM522">
        <v>21.801200000000001</v>
      </c>
      <c r="AN522">
        <f>Table8394[[#This Row],[CFNM]]/Table8394[[#This Row],[CAREA]]</f>
        <v>0.26226408058041378</v>
      </c>
    </row>
    <row r="523" spans="1:40" x14ac:dyDescent="0.25">
      <c r="A523">
        <v>2.1153300000000002</v>
      </c>
      <c r="B523">
        <f>-(Table1387[[#This Row],[time]]-2)*2</f>
        <v>-0.23066000000000031</v>
      </c>
      <c r="C523">
        <v>86.229600000000005</v>
      </c>
      <c r="D523">
        <v>6.0607600000000001</v>
      </c>
      <c r="E523">
        <f>Table1387[[#This Row],[CFNM]]/Table1387[[#This Row],[CAREA]]</f>
        <v>7.0286305398610222E-2</v>
      </c>
      <c r="F523">
        <v>2.1153300000000002</v>
      </c>
      <c r="G523">
        <f>-(Table2388[[#This Row],[time]]-2)*2</f>
        <v>-0.23066000000000031</v>
      </c>
      <c r="H523">
        <v>93.098100000000002</v>
      </c>
      <c r="I523">
        <v>9.3736899999999999</v>
      </c>
      <c r="J523">
        <f>Table2388[[#This Row],[CFNM]]/Table2388[[#This Row],[CAREA]]</f>
        <v>0.10068615793447987</v>
      </c>
      <c r="K523">
        <v>2.1153300000000002</v>
      </c>
      <c r="L523">
        <f>-(Table3389[[#This Row],[time]]-2)*2</f>
        <v>-0.23066000000000031</v>
      </c>
      <c r="M523">
        <v>88.616699999999994</v>
      </c>
      <c r="N523">
        <v>4.2141000000000001E-3</v>
      </c>
      <c r="O523">
        <f>Table3389[[#This Row],[CFNM]]/Table3389[[#This Row],[CAREA]]</f>
        <v>4.7554242033386489E-5</v>
      </c>
      <c r="P523">
        <v>2.1153300000000002</v>
      </c>
      <c r="Q523">
        <f>-(Table4390[[#This Row],[time]]-2)*2</f>
        <v>-0.23066000000000031</v>
      </c>
      <c r="R523">
        <v>82.368799999999993</v>
      </c>
      <c r="S523">
        <v>11.005599999999999</v>
      </c>
      <c r="T523">
        <f>Table4390[[#This Row],[CFNM]]/Table4390[[#This Row],[CAREA]]</f>
        <v>0.13361369839065276</v>
      </c>
      <c r="U523">
        <v>2.1153300000000002</v>
      </c>
      <c r="V523">
        <f>-(Table5391[[#This Row],[time]]-2)*2</f>
        <v>-0.23066000000000031</v>
      </c>
      <c r="W523">
        <v>82.224999999999994</v>
      </c>
      <c r="X523">
        <v>2.0436299999999998</v>
      </c>
      <c r="Y523">
        <f>Table5391[[#This Row],[CFNM]]/Table5391[[#This Row],[CAREA]]</f>
        <v>2.4854119793250227E-2</v>
      </c>
      <c r="Z523">
        <v>2.1153300000000002</v>
      </c>
      <c r="AA523">
        <f>-(Table6392[[#This Row],[time]]-2)*2</f>
        <v>-0.23066000000000031</v>
      </c>
      <c r="AB523">
        <v>85.461100000000002</v>
      </c>
      <c r="AC523">
        <v>12.994300000000001</v>
      </c>
      <c r="AD523">
        <f>Table6392[[#This Row],[CFNM]]/Table6392[[#This Row],[CAREA]]</f>
        <v>0.15204929494237729</v>
      </c>
      <c r="AE523">
        <v>2.1153300000000002</v>
      </c>
      <c r="AF523">
        <f>-(Table7393[[#This Row],[time]]-2)*2</f>
        <v>-0.23066000000000031</v>
      </c>
      <c r="AG523">
        <v>79.692800000000005</v>
      </c>
      <c r="AH523">
        <v>15.308</v>
      </c>
      <c r="AI523">
        <f>Table7393[[#This Row],[CFNM]]/Table7393[[#This Row],[CAREA]]</f>
        <v>0.19208761644715708</v>
      </c>
      <c r="AJ523">
        <v>2.1153300000000002</v>
      </c>
      <c r="AK523">
        <f>-(Table8394[[#This Row],[time]]-2)*2</f>
        <v>-0.23066000000000031</v>
      </c>
      <c r="AL523">
        <v>83.026399999999995</v>
      </c>
      <c r="AM523">
        <v>23.963000000000001</v>
      </c>
      <c r="AN523">
        <f>Table8394[[#This Row],[CFNM]]/Table8394[[#This Row],[CAREA]]</f>
        <v>0.28861904165422086</v>
      </c>
    </row>
    <row r="524" spans="1:40" x14ac:dyDescent="0.25">
      <c r="A524">
        <v>2.16533</v>
      </c>
      <c r="B524">
        <f>-(Table1387[[#This Row],[time]]-2)*2</f>
        <v>-0.33065999999999995</v>
      </c>
      <c r="C524">
        <v>84.941599999999994</v>
      </c>
      <c r="D524">
        <v>4.6046399999999998</v>
      </c>
      <c r="E524">
        <f>Table1387[[#This Row],[CFNM]]/Table1387[[#This Row],[CAREA]]</f>
        <v>5.4209480395942623E-2</v>
      </c>
      <c r="F524">
        <v>2.16533</v>
      </c>
      <c r="G524">
        <f>-(Table2388[[#This Row],[time]]-2)*2</f>
        <v>-0.33065999999999995</v>
      </c>
      <c r="H524">
        <v>92.002499999999998</v>
      </c>
      <c r="I524">
        <v>12.375400000000001</v>
      </c>
      <c r="J524">
        <f>Table2388[[#This Row],[CFNM]]/Table2388[[#This Row],[CAREA]]</f>
        <v>0.13451156218581017</v>
      </c>
      <c r="K524">
        <v>2.16533</v>
      </c>
      <c r="L524">
        <f>-(Table3389[[#This Row],[time]]-2)*2</f>
        <v>-0.33065999999999995</v>
      </c>
      <c r="M524">
        <v>85.572100000000006</v>
      </c>
      <c r="N524">
        <v>3.3296699999999999E-3</v>
      </c>
      <c r="O524">
        <f>Table3389[[#This Row],[CFNM]]/Table3389[[#This Row],[CAREA]]</f>
        <v>3.8910696360145415E-5</v>
      </c>
      <c r="P524">
        <v>2.16533</v>
      </c>
      <c r="Q524">
        <f>-(Table4390[[#This Row],[time]]-2)*2</f>
        <v>-0.33065999999999995</v>
      </c>
      <c r="R524">
        <v>81.308000000000007</v>
      </c>
      <c r="S524">
        <v>13.4475</v>
      </c>
      <c r="T524">
        <f>Table4390[[#This Row],[CFNM]]/Table4390[[#This Row],[CAREA]]</f>
        <v>0.16538962955674716</v>
      </c>
      <c r="U524">
        <v>2.16533</v>
      </c>
      <c r="V524">
        <f>-(Table5391[[#This Row],[time]]-2)*2</f>
        <v>-0.33065999999999995</v>
      </c>
      <c r="W524">
        <v>83.070599999999999</v>
      </c>
      <c r="X524">
        <v>0.38565500000000003</v>
      </c>
      <c r="Y524">
        <f>Table5391[[#This Row],[CFNM]]/Table5391[[#This Row],[CAREA]]</f>
        <v>4.6424968641131763E-3</v>
      </c>
      <c r="Z524">
        <v>2.16533</v>
      </c>
      <c r="AA524">
        <f>-(Table6392[[#This Row],[time]]-2)*2</f>
        <v>-0.33065999999999995</v>
      </c>
      <c r="AB524">
        <v>84.276300000000006</v>
      </c>
      <c r="AC524">
        <v>13.3133</v>
      </c>
      <c r="AD524">
        <f>Table6392[[#This Row],[CFNM]]/Table6392[[#This Row],[CAREA]]</f>
        <v>0.15797205145456075</v>
      </c>
      <c r="AE524">
        <v>2.16533</v>
      </c>
      <c r="AF524">
        <f>-(Table7393[[#This Row],[time]]-2)*2</f>
        <v>-0.33065999999999995</v>
      </c>
      <c r="AG524">
        <v>80.015100000000004</v>
      </c>
      <c r="AH524">
        <v>13.5473</v>
      </c>
      <c r="AI524">
        <f>Table7393[[#This Row],[CFNM]]/Table7393[[#This Row],[CAREA]]</f>
        <v>0.1693092928709706</v>
      </c>
      <c r="AJ524">
        <v>2.16533</v>
      </c>
      <c r="AK524">
        <f>-(Table8394[[#This Row],[time]]-2)*2</f>
        <v>-0.33065999999999995</v>
      </c>
      <c r="AL524">
        <v>82.898399999999995</v>
      </c>
      <c r="AM524">
        <v>26.2316</v>
      </c>
      <c r="AN524">
        <f>Table8394[[#This Row],[CFNM]]/Table8394[[#This Row],[CAREA]]</f>
        <v>0.31643071518871296</v>
      </c>
    </row>
    <row r="525" spans="1:40" x14ac:dyDescent="0.25">
      <c r="A525">
        <v>2.2246999999999999</v>
      </c>
      <c r="B525">
        <f>-(Table1387[[#This Row],[time]]-2)*2</f>
        <v>-0.4493999999999998</v>
      </c>
      <c r="C525">
        <v>82.0595</v>
      </c>
      <c r="D525">
        <v>3.0217499999999999</v>
      </c>
      <c r="E525">
        <f>Table1387[[#This Row],[CFNM]]/Table1387[[#This Row],[CAREA]]</f>
        <v>3.6823889982268966E-2</v>
      </c>
      <c r="F525">
        <v>2.2246999999999999</v>
      </c>
      <c r="G525">
        <f>-(Table2388[[#This Row],[time]]-2)*2</f>
        <v>-0.4493999999999998</v>
      </c>
      <c r="H525">
        <v>90.359300000000005</v>
      </c>
      <c r="I525">
        <v>16.449300000000001</v>
      </c>
      <c r="J525">
        <f>Table2388[[#This Row],[CFNM]]/Table2388[[#This Row],[CAREA]]</f>
        <v>0.18204324292020854</v>
      </c>
      <c r="K525">
        <v>2.2246999999999999</v>
      </c>
      <c r="L525">
        <f>-(Table3389[[#This Row],[time]]-2)*2</f>
        <v>-0.4493999999999998</v>
      </c>
      <c r="M525">
        <v>77.232799999999997</v>
      </c>
      <c r="N525">
        <v>2.7484200000000001E-3</v>
      </c>
      <c r="O525">
        <f>Table3389[[#This Row],[CFNM]]/Table3389[[#This Row],[CAREA]]</f>
        <v>3.5586175821671622E-5</v>
      </c>
      <c r="P525">
        <v>2.2246999999999999</v>
      </c>
      <c r="Q525">
        <f>-(Table4390[[#This Row],[time]]-2)*2</f>
        <v>-0.4493999999999998</v>
      </c>
      <c r="R525">
        <v>80.316800000000001</v>
      </c>
      <c r="S525">
        <v>16.741499999999998</v>
      </c>
      <c r="T525">
        <f>Table4390[[#This Row],[CFNM]]/Table4390[[#This Row],[CAREA]]</f>
        <v>0.20844331447468026</v>
      </c>
      <c r="U525">
        <v>2.2246999999999999</v>
      </c>
      <c r="V525">
        <f>-(Table5391[[#This Row],[time]]-2)*2</f>
        <v>-0.4493999999999998</v>
      </c>
      <c r="W525">
        <v>82.849800000000002</v>
      </c>
      <c r="X525">
        <v>4.77759E-3</v>
      </c>
      <c r="Y525">
        <f>Table5391[[#This Row],[CFNM]]/Table5391[[#This Row],[CAREA]]</f>
        <v>5.7665679337789585E-5</v>
      </c>
      <c r="Z525">
        <v>2.2246999999999999</v>
      </c>
      <c r="AA525">
        <f>-(Table6392[[#This Row],[time]]-2)*2</f>
        <v>-0.4493999999999998</v>
      </c>
      <c r="AB525">
        <v>83.397000000000006</v>
      </c>
      <c r="AC525">
        <v>15.709899999999999</v>
      </c>
      <c r="AD525">
        <f>Table6392[[#This Row],[CFNM]]/Table6392[[#This Row],[CAREA]]</f>
        <v>0.18837488159046487</v>
      </c>
      <c r="AE525">
        <v>2.2246999999999999</v>
      </c>
      <c r="AF525">
        <f>-(Table7393[[#This Row],[time]]-2)*2</f>
        <v>-0.4493999999999998</v>
      </c>
      <c r="AG525">
        <v>80.117800000000003</v>
      </c>
      <c r="AH525">
        <v>11.5571</v>
      </c>
      <c r="AI525">
        <f>Table7393[[#This Row],[CFNM]]/Table7393[[#This Row],[CAREA]]</f>
        <v>0.14425133990199432</v>
      </c>
      <c r="AJ525">
        <v>2.2246999999999999</v>
      </c>
      <c r="AK525">
        <f>-(Table8394[[#This Row],[time]]-2)*2</f>
        <v>-0.4493999999999998</v>
      </c>
      <c r="AL525">
        <v>82.778000000000006</v>
      </c>
      <c r="AM525">
        <v>29.176200000000001</v>
      </c>
      <c r="AN525">
        <f>Table8394[[#This Row],[CFNM]]/Table8394[[#This Row],[CAREA]]</f>
        <v>0.35246321486385268</v>
      </c>
    </row>
    <row r="526" spans="1:40" x14ac:dyDescent="0.25">
      <c r="A526">
        <v>2.2668900000000001</v>
      </c>
      <c r="B526">
        <f>-(Table1387[[#This Row],[time]]-2)*2</f>
        <v>-0.53378000000000014</v>
      </c>
      <c r="C526">
        <v>78.167199999999994</v>
      </c>
      <c r="D526">
        <v>1.97136</v>
      </c>
      <c r="E526">
        <f>Table1387[[#This Row],[CFNM]]/Table1387[[#This Row],[CAREA]]</f>
        <v>2.5219785280782735E-2</v>
      </c>
      <c r="F526">
        <v>2.2668900000000001</v>
      </c>
      <c r="G526">
        <f>-(Table2388[[#This Row],[time]]-2)*2</f>
        <v>-0.53378000000000014</v>
      </c>
      <c r="H526">
        <v>89.084900000000005</v>
      </c>
      <c r="I526">
        <v>19.619599999999998</v>
      </c>
      <c r="J526">
        <f>Table2388[[#This Row],[CFNM]]/Table2388[[#This Row],[CAREA]]</f>
        <v>0.22023485461621439</v>
      </c>
      <c r="K526">
        <v>2.2668900000000001</v>
      </c>
      <c r="L526">
        <f>-(Table3389[[#This Row],[time]]-2)*2</f>
        <v>-0.53378000000000014</v>
      </c>
      <c r="M526">
        <v>74.139300000000006</v>
      </c>
      <c r="N526">
        <v>2.4033700000000002E-3</v>
      </c>
      <c r="O526">
        <f>Table3389[[#This Row],[CFNM]]/Table3389[[#This Row],[CAREA]]</f>
        <v>3.2416950254453442E-5</v>
      </c>
      <c r="P526">
        <v>2.2668900000000001</v>
      </c>
      <c r="Q526">
        <f>-(Table4390[[#This Row],[time]]-2)*2</f>
        <v>-0.53378000000000014</v>
      </c>
      <c r="R526">
        <v>79.532399999999996</v>
      </c>
      <c r="S526">
        <v>19.317499999999999</v>
      </c>
      <c r="T526">
        <f>Table4390[[#This Row],[CFNM]]/Table4390[[#This Row],[CAREA]]</f>
        <v>0.24288843289024348</v>
      </c>
      <c r="U526">
        <v>2.2668900000000001</v>
      </c>
      <c r="V526">
        <f>-(Table5391[[#This Row],[time]]-2)*2</f>
        <v>-0.53378000000000014</v>
      </c>
      <c r="W526">
        <v>82.855500000000006</v>
      </c>
      <c r="X526">
        <v>4.5482700000000001E-3</v>
      </c>
      <c r="Y526">
        <f>Table5391[[#This Row],[CFNM]]/Table5391[[#This Row],[CAREA]]</f>
        <v>5.4894002208664478E-5</v>
      </c>
      <c r="Z526">
        <v>2.2668900000000001</v>
      </c>
      <c r="AA526">
        <f>-(Table6392[[#This Row],[time]]-2)*2</f>
        <v>-0.53378000000000014</v>
      </c>
      <c r="AB526">
        <v>82.188100000000006</v>
      </c>
      <c r="AC526">
        <v>18.3188</v>
      </c>
      <c r="AD526">
        <f>Table6392[[#This Row],[CFNM]]/Table6392[[#This Row],[CAREA]]</f>
        <v>0.22288871503295488</v>
      </c>
      <c r="AE526">
        <v>2.2668900000000001</v>
      </c>
      <c r="AF526">
        <f>-(Table7393[[#This Row],[time]]-2)*2</f>
        <v>-0.53378000000000014</v>
      </c>
      <c r="AG526">
        <v>79.794499999999999</v>
      </c>
      <c r="AH526">
        <v>10.196999999999999</v>
      </c>
      <c r="AI526">
        <f>Table7393[[#This Row],[CFNM]]/Table7393[[#This Row],[CAREA]]</f>
        <v>0.1277907625212264</v>
      </c>
      <c r="AJ526">
        <v>2.2668900000000001</v>
      </c>
      <c r="AK526">
        <f>-(Table8394[[#This Row],[time]]-2)*2</f>
        <v>-0.53378000000000014</v>
      </c>
      <c r="AL526">
        <v>82.832499999999996</v>
      </c>
      <c r="AM526">
        <v>31.552199999999999</v>
      </c>
      <c r="AN526">
        <f>Table8394[[#This Row],[CFNM]]/Table8394[[#This Row],[CAREA]]</f>
        <v>0.38091570337729758</v>
      </c>
    </row>
    <row r="527" spans="1:40" x14ac:dyDescent="0.25">
      <c r="A527">
        <v>2.3262700000000001</v>
      </c>
      <c r="B527">
        <f>-(Table1387[[#This Row],[time]]-2)*2</f>
        <v>-0.65254000000000012</v>
      </c>
      <c r="C527">
        <v>76.446899999999999</v>
      </c>
      <c r="D527">
        <v>1.3333200000000001</v>
      </c>
      <c r="E527">
        <f>Table1387[[#This Row],[CFNM]]/Table1387[[#This Row],[CAREA]]</f>
        <v>1.7441125801046217E-2</v>
      </c>
      <c r="F527">
        <v>2.3262700000000001</v>
      </c>
      <c r="G527">
        <f>-(Table2388[[#This Row],[time]]-2)*2</f>
        <v>-0.65254000000000012</v>
      </c>
      <c r="H527">
        <v>88.210499999999996</v>
      </c>
      <c r="I527">
        <v>21.7226</v>
      </c>
      <c r="J527">
        <f>Table2388[[#This Row],[CFNM]]/Table2388[[#This Row],[CAREA]]</f>
        <v>0.24625866535163049</v>
      </c>
      <c r="K527">
        <v>2.3262700000000001</v>
      </c>
      <c r="L527">
        <f>-(Table3389[[#This Row],[time]]-2)*2</f>
        <v>-0.65254000000000012</v>
      </c>
      <c r="M527">
        <v>71.401499999999999</v>
      </c>
      <c r="N527">
        <v>2.1861300000000001E-3</v>
      </c>
      <c r="O527">
        <f>Table3389[[#This Row],[CFNM]]/Table3389[[#This Row],[CAREA]]</f>
        <v>3.0617424003697402E-5</v>
      </c>
      <c r="P527">
        <v>2.3262700000000001</v>
      </c>
      <c r="Q527">
        <f>-(Table4390[[#This Row],[time]]-2)*2</f>
        <v>-0.65254000000000012</v>
      </c>
      <c r="R527">
        <v>79.1571</v>
      </c>
      <c r="S527">
        <v>21.0794</v>
      </c>
      <c r="T527">
        <f>Table4390[[#This Row],[CFNM]]/Table4390[[#This Row],[CAREA]]</f>
        <v>0.26629828530858257</v>
      </c>
      <c r="U527">
        <v>2.3262700000000001</v>
      </c>
      <c r="V527">
        <f>-(Table5391[[#This Row],[time]]-2)*2</f>
        <v>-0.65254000000000012</v>
      </c>
      <c r="W527">
        <v>82.709100000000007</v>
      </c>
      <c r="X527">
        <v>4.4134300000000003E-3</v>
      </c>
      <c r="Y527">
        <f>Table5391[[#This Row],[CFNM]]/Table5391[[#This Row],[CAREA]]</f>
        <v>5.3360875647298788E-5</v>
      </c>
      <c r="Z527">
        <v>2.3262700000000001</v>
      </c>
      <c r="AA527">
        <f>-(Table6392[[#This Row],[time]]-2)*2</f>
        <v>-0.65254000000000012</v>
      </c>
      <c r="AB527">
        <v>81.678899999999999</v>
      </c>
      <c r="AC527">
        <v>20.252099999999999</v>
      </c>
      <c r="AD527">
        <f>Table6392[[#This Row],[CFNM]]/Table6392[[#This Row],[CAREA]]</f>
        <v>0.24794775639730701</v>
      </c>
      <c r="AE527">
        <v>2.3262700000000001</v>
      </c>
      <c r="AF527">
        <f>-(Table7393[[#This Row],[time]]-2)*2</f>
        <v>-0.65254000000000012</v>
      </c>
      <c r="AG527">
        <v>79.453900000000004</v>
      </c>
      <c r="AH527">
        <v>9.2848600000000001</v>
      </c>
      <c r="AI527">
        <f>Table7393[[#This Row],[CFNM]]/Table7393[[#This Row],[CAREA]]</f>
        <v>0.11685845502863924</v>
      </c>
      <c r="AJ527">
        <v>2.3262700000000001</v>
      </c>
      <c r="AK527">
        <f>-(Table8394[[#This Row],[time]]-2)*2</f>
        <v>-0.65254000000000012</v>
      </c>
      <c r="AL527">
        <v>82.837500000000006</v>
      </c>
      <c r="AM527">
        <v>33.192599999999999</v>
      </c>
      <c r="AN527">
        <f>Table8394[[#This Row],[CFNM]]/Table8394[[#This Row],[CAREA]]</f>
        <v>0.40069533725667716</v>
      </c>
    </row>
    <row r="528" spans="1:40" x14ac:dyDescent="0.25">
      <c r="A528">
        <v>2.3684599999999998</v>
      </c>
      <c r="B528">
        <f>-(Table1387[[#This Row],[time]]-2)*2</f>
        <v>-0.73691999999999958</v>
      </c>
      <c r="C528">
        <v>75.332300000000004</v>
      </c>
      <c r="D528">
        <v>0.70125599999999999</v>
      </c>
      <c r="E528">
        <f>Table1387[[#This Row],[CFNM]]/Table1387[[#This Row],[CAREA]]</f>
        <v>9.3088356521704493E-3</v>
      </c>
      <c r="F528">
        <v>2.3684599999999998</v>
      </c>
      <c r="G528">
        <f>-(Table2388[[#This Row],[time]]-2)*2</f>
        <v>-0.73691999999999958</v>
      </c>
      <c r="H528">
        <v>87.124899999999997</v>
      </c>
      <c r="I528">
        <v>24.400600000000001</v>
      </c>
      <c r="J528">
        <f>Table2388[[#This Row],[CFNM]]/Table2388[[#This Row],[CAREA]]</f>
        <v>0.28006459691775831</v>
      </c>
      <c r="K528">
        <v>2.3684599999999998</v>
      </c>
      <c r="L528">
        <f>-(Table3389[[#This Row],[time]]-2)*2</f>
        <v>-0.73691999999999958</v>
      </c>
      <c r="M528">
        <v>70.174300000000002</v>
      </c>
      <c r="N528">
        <v>1.9314200000000001E-3</v>
      </c>
      <c r="O528">
        <f>Table3389[[#This Row],[CFNM]]/Table3389[[#This Row],[CAREA]]</f>
        <v>2.7523181563620869E-5</v>
      </c>
      <c r="P528">
        <v>2.3684599999999998</v>
      </c>
      <c r="Q528">
        <f>-(Table4390[[#This Row],[time]]-2)*2</f>
        <v>-0.73691999999999958</v>
      </c>
      <c r="R528">
        <v>78.608099999999993</v>
      </c>
      <c r="S528">
        <v>23.4512</v>
      </c>
      <c r="T528">
        <f>Table4390[[#This Row],[CFNM]]/Table4390[[#This Row],[CAREA]]</f>
        <v>0.29833057916423372</v>
      </c>
      <c r="U528">
        <v>2.3684599999999998</v>
      </c>
      <c r="V528">
        <f>-(Table5391[[#This Row],[time]]-2)*2</f>
        <v>-0.73691999999999958</v>
      </c>
      <c r="W528">
        <v>83.374099999999999</v>
      </c>
      <c r="X528">
        <v>4.2643500000000001E-3</v>
      </c>
      <c r="Y528">
        <f>Table5391[[#This Row],[CFNM]]/Table5391[[#This Row],[CAREA]]</f>
        <v>5.1147178800130975E-5</v>
      </c>
      <c r="Z528">
        <v>2.3684599999999998</v>
      </c>
      <c r="AA528">
        <f>-(Table6392[[#This Row],[time]]-2)*2</f>
        <v>-0.73691999999999958</v>
      </c>
      <c r="AB528">
        <v>80.776399999999995</v>
      </c>
      <c r="AC528">
        <v>22.843399999999999</v>
      </c>
      <c r="AD528">
        <f>Table6392[[#This Row],[CFNM]]/Table6392[[#This Row],[CAREA]]</f>
        <v>0.2827979459347037</v>
      </c>
      <c r="AE528">
        <v>2.3684599999999998</v>
      </c>
      <c r="AF528">
        <f>-(Table7393[[#This Row],[time]]-2)*2</f>
        <v>-0.73691999999999958</v>
      </c>
      <c r="AG528">
        <v>78.783900000000003</v>
      </c>
      <c r="AH528">
        <v>8.1970600000000005</v>
      </c>
      <c r="AI528">
        <f>Table7393[[#This Row],[CFNM]]/Table7393[[#This Row],[CAREA]]</f>
        <v>0.10404486195783656</v>
      </c>
      <c r="AJ528">
        <v>2.3684599999999998</v>
      </c>
      <c r="AK528">
        <f>-(Table8394[[#This Row],[time]]-2)*2</f>
        <v>-0.73691999999999958</v>
      </c>
      <c r="AL528">
        <v>83.0321</v>
      </c>
      <c r="AM528">
        <v>35.421300000000002</v>
      </c>
      <c r="AN528">
        <f>Table8394[[#This Row],[CFNM]]/Table8394[[#This Row],[CAREA]]</f>
        <v>0.42659766524031073</v>
      </c>
    </row>
    <row r="529" spans="1:40" x14ac:dyDescent="0.25">
      <c r="A529">
        <v>2.4278300000000002</v>
      </c>
      <c r="B529">
        <f>-(Table1387[[#This Row],[time]]-2)*2</f>
        <v>-0.85566000000000031</v>
      </c>
      <c r="C529">
        <v>72.725099999999998</v>
      </c>
      <c r="D529">
        <v>5.2461000000000001E-2</v>
      </c>
      <c r="E529">
        <f>Table1387[[#This Row],[CFNM]]/Table1387[[#This Row],[CAREA]]</f>
        <v>7.2136030063898158E-4</v>
      </c>
      <c r="F529">
        <v>2.4278300000000002</v>
      </c>
      <c r="G529">
        <f>-(Table2388[[#This Row],[time]]-2)*2</f>
        <v>-0.85566000000000031</v>
      </c>
      <c r="H529">
        <v>85.453999999999994</v>
      </c>
      <c r="I529">
        <v>28.172799999999999</v>
      </c>
      <c r="J529">
        <f>Table2388[[#This Row],[CFNM]]/Table2388[[#This Row],[CAREA]]</f>
        <v>0.32968380649238188</v>
      </c>
      <c r="K529">
        <v>2.4278300000000002</v>
      </c>
      <c r="L529">
        <f>-(Table3389[[#This Row],[time]]-2)*2</f>
        <v>-0.85566000000000031</v>
      </c>
      <c r="M529">
        <v>65.067099999999996</v>
      </c>
      <c r="N529">
        <v>1.6081100000000001E-3</v>
      </c>
      <c r="O529">
        <f>Table3389[[#This Row],[CFNM]]/Table3389[[#This Row],[CAREA]]</f>
        <v>2.4714640732413159E-5</v>
      </c>
      <c r="P529">
        <v>2.4278300000000002</v>
      </c>
      <c r="Q529">
        <f>-(Table4390[[#This Row],[time]]-2)*2</f>
        <v>-0.85566000000000031</v>
      </c>
      <c r="R529">
        <v>77.492199999999997</v>
      </c>
      <c r="S529">
        <v>27.069800000000001</v>
      </c>
      <c r="T529">
        <f>Table4390[[#This Row],[CFNM]]/Table4390[[#This Row],[CAREA]]</f>
        <v>0.34932289959505602</v>
      </c>
      <c r="U529">
        <v>2.4278300000000002</v>
      </c>
      <c r="V529">
        <f>-(Table5391[[#This Row],[time]]-2)*2</f>
        <v>-0.85566000000000031</v>
      </c>
      <c r="W529">
        <v>83.026300000000006</v>
      </c>
      <c r="X529">
        <v>4.0107800000000002E-3</v>
      </c>
      <c r="Y529">
        <f>Table5391[[#This Row],[CFNM]]/Table5391[[#This Row],[CAREA]]</f>
        <v>4.8307343576673896E-5</v>
      </c>
      <c r="Z529">
        <v>2.4278300000000002</v>
      </c>
      <c r="AA529">
        <f>-(Table6392[[#This Row],[time]]-2)*2</f>
        <v>-0.85566000000000031</v>
      </c>
      <c r="AB529">
        <v>78.975499999999997</v>
      </c>
      <c r="AC529">
        <v>26.5776</v>
      </c>
      <c r="AD529">
        <f>Table6392[[#This Row],[CFNM]]/Table6392[[#This Row],[CAREA]]</f>
        <v>0.33652968325619975</v>
      </c>
      <c r="AE529">
        <v>2.4278300000000002</v>
      </c>
      <c r="AF529">
        <f>-(Table7393[[#This Row],[time]]-2)*2</f>
        <v>-0.85566000000000031</v>
      </c>
      <c r="AG529">
        <v>77.495500000000007</v>
      </c>
      <c r="AH529">
        <v>6.6689299999999996</v>
      </c>
      <c r="AI529">
        <f>Table7393[[#This Row],[CFNM]]/Table7393[[#This Row],[CAREA]]</f>
        <v>8.6055706460375109E-2</v>
      </c>
      <c r="AJ529">
        <v>2.4278300000000002</v>
      </c>
      <c r="AK529">
        <f>-(Table8394[[#This Row],[time]]-2)*2</f>
        <v>-0.85566000000000031</v>
      </c>
      <c r="AL529">
        <v>82.954800000000006</v>
      </c>
      <c r="AM529">
        <v>38.806100000000001</v>
      </c>
      <c r="AN529">
        <f>Table8394[[#This Row],[CFNM]]/Table8394[[#This Row],[CAREA]]</f>
        <v>0.46779812620848943</v>
      </c>
    </row>
    <row r="530" spans="1:40" x14ac:dyDescent="0.25">
      <c r="A530">
        <v>2.4542000000000002</v>
      </c>
      <c r="B530">
        <f>-(Table1387[[#This Row],[time]]-2)*2</f>
        <v>-0.90840000000000032</v>
      </c>
      <c r="C530">
        <v>72.104699999999994</v>
      </c>
      <c r="D530">
        <v>3.0244E-3</v>
      </c>
      <c r="E530">
        <f>Table1387[[#This Row],[CFNM]]/Table1387[[#This Row],[CAREA]]</f>
        <v>4.1944561172850041E-5</v>
      </c>
      <c r="F530">
        <v>2.4542000000000002</v>
      </c>
      <c r="G530">
        <f>-(Table2388[[#This Row],[time]]-2)*2</f>
        <v>-0.90840000000000032</v>
      </c>
      <c r="H530">
        <v>84.937899999999999</v>
      </c>
      <c r="I530">
        <v>29.313600000000001</v>
      </c>
      <c r="J530">
        <f>Table2388[[#This Row],[CFNM]]/Table2388[[#This Row],[CAREA]]</f>
        <v>0.34511802151925114</v>
      </c>
      <c r="K530">
        <v>2.4542000000000002</v>
      </c>
      <c r="L530">
        <f>-(Table3389[[#This Row],[time]]-2)*2</f>
        <v>-0.90840000000000032</v>
      </c>
      <c r="M530">
        <v>62.882399999999997</v>
      </c>
      <c r="N530">
        <v>1.51815E-3</v>
      </c>
      <c r="O530">
        <f>Table3389[[#This Row],[CFNM]]/Table3389[[#This Row],[CAREA]]</f>
        <v>2.4142685393687264E-5</v>
      </c>
      <c r="P530">
        <v>2.4542000000000002</v>
      </c>
      <c r="Q530">
        <f>-(Table4390[[#This Row],[time]]-2)*2</f>
        <v>-0.90840000000000032</v>
      </c>
      <c r="R530">
        <v>77.144900000000007</v>
      </c>
      <c r="S530">
        <v>28.247199999999999</v>
      </c>
      <c r="T530">
        <f>Table4390[[#This Row],[CFNM]]/Table4390[[#This Row],[CAREA]]</f>
        <v>0.36615771100876399</v>
      </c>
      <c r="U530">
        <v>2.4542000000000002</v>
      </c>
      <c r="V530">
        <f>-(Table5391[[#This Row],[time]]-2)*2</f>
        <v>-0.90840000000000032</v>
      </c>
      <c r="W530">
        <v>82.856800000000007</v>
      </c>
      <c r="X530">
        <v>3.9203500000000004E-3</v>
      </c>
      <c r="Y530">
        <f>Table5391[[#This Row],[CFNM]]/Table5391[[#This Row],[CAREA]]</f>
        <v>4.7314764750750696E-5</v>
      </c>
      <c r="Z530">
        <v>2.4542000000000002</v>
      </c>
      <c r="AA530">
        <f>-(Table6392[[#This Row],[time]]-2)*2</f>
        <v>-0.90840000000000032</v>
      </c>
      <c r="AB530">
        <v>78.492599999999996</v>
      </c>
      <c r="AC530">
        <v>27.790800000000001</v>
      </c>
      <c r="AD530">
        <f>Table6392[[#This Row],[CFNM]]/Table6392[[#This Row],[CAREA]]</f>
        <v>0.35405630594476423</v>
      </c>
      <c r="AE530">
        <v>2.4542000000000002</v>
      </c>
      <c r="AF530">
        <f>-(Table7393[[#This Row],[time]]-2)*2</f>
        <v>-0.90840000000000032</v>
      </c>
      <c r="AG530">
        <v>77.109099999999998</v>
      </c>
      <c r="AH530">
        <v>6.19496</v>
      </c>
      <c r="AI530">
        <f>Table7393[[#This Row],[CFNM]]/Table7393[[#This Row],[CAREA]]</f>
        <v>8.0340193310517186E-2</v>
      </c>
      <c r="AJ530">
        <v>2.4542000000000002</v>
      </c>
      <c r="AK530">
        <f>-(Table8394[[#This Row],[time]]-2)*2</f>
        <v>-0.90840000000000032</v>
      </c>
      <c r="AL530">
        <v>83.001199999999997</v>
      </c>
      <c r="AM530">
        <v>39.941499999999998</v>
      </c>
      <c r="AN530">
        <f>Table8394[[#This Row],[CFNM]]/Table8394[[#This Row],[CAREA]]</f>
        <v>0.48121593422745695</v>
      </c>
    </row>
    <row r="531" spans="1:40" x14ac:dyDescent="0.25">
      <c r="A531">
        <v>2.5061499999999999</v>
      </c>
      <c r="B531">
        <f>-(Table1387[[#This Row],[time]]-2)*2</f>
        <v>-1.0122999999999998</v>
      </c>
      <c r="C531">
        <v>70.0946</v>
      </c>
      <c r="D531">
        <v>2.5039900000000002E-3</v>
      </c>
      <c r="E531">
        <f>Table1387[[#This Row],[CFNM]]/Table1387[[#This Row],[CAREA]]</f>
        <v>3.5723008619779556E-5</v>
      </c>
      <c r="F531">
        <v>2.5061499999999999</v>
      </c>
      <c r="G531">
        <f>-(Table2388[[#This Row],[time]]-2)*2</f>
        <v>-1.0122999999999998</v>
      </c>
      <c r="H531">
        <v>84.083299999999994</v>
      </c>
      <c r="I531">
        <v>31.371700000000001</v>
      </c>
      <c r="J531">
        <f>Table2388[[#This Row],[CFNM]]/Table2388[[#This Row],[CAREA]]</f>
        <v>0.37310262561055529</v>
      </c>
      <c r="K531">
        <v>2.5061499999999999</v>
      </c>
      <c r="L531">
        <f>-(Table3389[[#This Row],[time]]-2)*2</f>
        <v>-1.0122999999999998</v>
      </c>
      <c r="M531">
        <v>61.380899999999997</v>
      </c>
      <c r="N531">
        <v>1.3576899999999999E-3</v>
      </c>
      <c r="O531">
        <f>Table3389[[#This Row],[CFNM]]/Table3389[[#This Row],[CAREA]]</f>
        <v>2.2119095679600659E-5</v>
      </c>
      <c r="P531">
        <v>2.5061499999999999</v>
      </c>
      <c r="Q531">
        <f>-(Table4390[[#This Row],[time]]-2)*2</f>
        <v>-1.0122999999999998</v>
      </c>
      <c r="R531">
        <v>76.409000000000006</v>
      </c>
      <c r="S531">
        <v>30.405899999999999</v>
      </c>
      <c r="T531">
        <f>Table4390[[#This Row],[CFNM]]/Table4390[[#This Row],[CAREA]]</f>
        <v>0.39793610700310167</v>
      </c>
      <c r="U531">
        <v>2.5061499999999999</v>
      </c>
      <c r="V531">
        <f>-(Table5391[[#This Row],[time]]-2)*2</f>
        <v>-1.0122999999999998</v>
      </c>
      <c r="W531">
        <v>82.54</v>
      </c>
      <c r="X531">
        <v>3.74414E-3</v>
      </c>
      <c r="Y531">
        <f>Table5391[[#This Row],[CFNM]]/Table5391[[#This Row],[CAREA]]</f>
        <v>4.536152168645505E-5</v>
      </c>
      <c r="Z531">
        <v>2.5061499999999999</v>
      </c>
      <c r="AA531">
        <f>-(Table6392[[#This Row],[time]]-2)*2</f>
        <v>-1.0122999999999998</v>
      </c>
      <c r="AB531">
        <v>77.52</v>
      </c>
      <c r="AC531">
        <v>30.063099999999999</v>
      </c>
      <c r="AD531">
        <f>Table6392[[#This Row],[CFNM]]/Table6392[[#This Row],[CAREA]]</f>
        <v>0.38781088751289988</v>
      </c>
      <c r="AE531">
        <v>2.5061499999999999</v>
      </c>
      <c r="AF531">
        <f>-(Table7393[[#This Row],[time]]-2)*2</f>
        <v>-1.0122999999999998</v>
      </c>
      <c r="AG531">
        <v>76.440799999999996</v>
      </c>
      <c r="AH531">
        <v>5.3742999999999999</v>
      </c>
      <c r="AI531">
        <f>Table7393[[#This Row],[CFNM]]/Table7393[[#This Row],[CAREA]]</f>
        <v>7.0306694854056995E-2</v>
      </c>
      <c r="AJ531">
        <v>2.5061499999999999</v>
      </c>
      <c r="AK531">
        <f>-(Table8394[[#This Row],[time]]-2)*2</f>
        <v>-1.0122999999999998</v>
      </c>
      <c r="AL531">
        <v>83.090299999999999</v>
      </c>
      <c r="AM531">
        <v>42.060899999999997</v>
      </c>
      <c r="AN531">
        <f>Table8394[[#This Row],[CFNM]]/Table8394[[#This Row],[CAREA]]</f>
        <v>0.50620710239342015</v>
      </c>
    </row>
    <row r="532" spans="1:40" x14ac:dyDescent="0.25">
      <c r="A532">
        <v>2.5507599999999999</v>
      </c>
      <c r="B532">
        <f>-(Table1387[[#This Row],[time]]-2)*2</f>
        <v>-1.1015199999999998</v>
      </c>
      <c r="C532">
        <v>67.737799999999993</v>
      </c>
      <c r="D532">
        <v>2.27561E-3</v>
      </c>
      <c r="E532">
        <f>Table1387[[#This Row],[CFNM]]/Table1387[[#This Row],[CAREA]]</f>
        <v>3.359438895269702E-5</v>
      </c>
      <c r="F532">
        <v>2.5507599999999999</v>
      </c>
      <c r="G532">
        <f>-(Table2388[[#This Row],[time]]-2)*2</f>
        <v>-1.1015199999999998</v>
      </c>
      <c r="H532">
        <v>83.058700000000002</v>
      </c>
      <c r="I532">
        <v>33.953899999999997</v>
      </c>
      <c r="J532">
        <f>Table2388[[#This Row],[CFNM]]/Table2388[[#This Row],[CAREA]]</f>
        <v>0.40879402157751082</v>
      </c>
      <c r="K532">
        <v>2.5507599999999999</v>
      </c>
      <c r="L532">
        <f>-(Table3389[[#This Row],[time]]-2)*2</f>
        <v>-1.1015199999999998</v>
      </c>
      <c r="M532">
        <v>57.362200000000001</v>
      </c>
      <c r="N532">
        <v>1.1715199999999999E-3</v>
      </c>
      <c r="O532">
        <f>Table3389[[#This Row],[CFNM]]/Table3389[[#This Row],[CAREA]]</f>
        <v>2.042320552559002E-5</v>
      </c>
      <c r="P532">
        <v>2.5507599999999999</v>
      </c>
      <c r="Q532">
        <f>-(Table4390[[#This Row],[time]]-2)*2</f>
        <v>-1.1015199999999998</v>
      </c>
      <c r="R532">
        <v>75.470100000000002</v>
      </c>
      <c r="S532">
        <v>33.125300000000003</v>
      </c>
      <c r="T532">
        <f>Table4390[[#This Row],[CFNM]]/Table4390[[#This Row],[CAREA]]</f>
        <v>0.43891951912081739</v>
      </c>
      <c r="U532">
        <v>2.5507599999999999</v>
      </c>
      <c r="V532">
        <f>-(Table5391[[#This Row],[time]]-2)*2</f>
        <v>-1.1015199999999998</v>
      </c>
      <c r="W532">
        <v>81.926400000000001</v>
      </c>
      <c r="X532">
        <v>3.5217299999999998E-3</v>
      </c>
      <c r="Y532">
        <f>Table5391[[#This Row],[CFNM]]/Table5391[[#This Row],[CAREA]]</f>
        <v>4.2986509842981017E-5</v>
      </c>
      <c r="Z532">
        <v>2.5507599999999999</v>
      </c>
      <c r="AA532">
        <f>-(Table6392[[#This Row],[time]]-2)*2</f>
        <v>-1.1015199999999998</v>
      </c>
      <c r="AB532">
        <v>76.727900000000005</v>
      </c>
      <c r="AC532">
        <v>32.907499999999999</v>
      </c>
      <c r="AD532">
        <f>Table6392[[#This Row],[CFNM]]/Table6392[[#This Row],[CAREA]]</f>
        <v>0.42888571171633783</v>
      </c>
      <c r="AE532">
        <v>2.5507599999999999</v>
      </c>
      <c r="AF532">
        <f>-(Table7393[[#This Row],[time]]-2)*2</f>
        <v>-1.1015199999999998</v>
      </c>
      <c r="AG532">
        <v>75.557599999999994</v>
      </c>
      <c r="AH532">
        <v>4.3934699999999998</v>
      </c>
      <c r="AI532">
        <f>Table7393[[#This Row],[CFNM]]/Table7393[[#This Row],[CAREA]]</f>
        <v>5.8147294249685011E-2</v>
      </c>
      <c r="AJ532">
        <v>2.5507599999999999</v>
      </c>
      <c r="AK532">
        <f>-(Table8394[[#This Row],[time]]-2)*2</f>
        <v>-1.1015199999999998</v>
      </c>
      <c r="AL532">
        <v>83.112099999999998</v>
      </c>
      <c r="AM532">
        <v>44.816000000000003</v>
      </c>
      <c r="AN532">
        <f>Table8394[[#This Row],[CFNM]]/Table8394[[#This Row],[CAREA]]</f>
        <v>0.53922353062911421</v>
      </c>
    </row>
    <row r="533" spans="1:40" x14ac:dyDescent="0.25">
      <c r="A533">
        <v>2.60453</v>
      </c>
      <c r="B533">
        <f>-(Table1387[[#This Row],[time]]-2)*2</f>
        <v>-1.20906</v>
      </c>
      <c r="C533">
        <v>65.530500000000004</v>
      </c>
      <c r="D533">
        <v>2.0863499999999998E-3</v>
      </c>
      <c r="E533">
        <f>Table1387[[#This Row],[CFNM]]/Table1387[[#This Row],[CAREA]]</f>
        <v>3.1837846498958494E-5</v>
      </c>
      <c r="F533">
        <v>2.60453</v>
      </c>
      <c r="G533">
        <f>-(Table2388[[#This Row],[time]]-2)*2</f>
        <v>-1.20906</v>
      </c>
      <c r="H533">
        <v>82.181700000000006</v>
      </c>
      <c r="I533">
        <v>36.011400000000002</v>
      </c>
      <c r="J533">
        <f>Table2388[[#This Row],[CFNM]]/Table2388[[#This Row],[CAREA]]</f>
        <v>0.43819244430329379</v>
      </c>
      <c r="K533">
        <v>2.60453</v>
      </c>
      <c r="L533">
        <f>-(Table3389[[#This Row],[time]]-2)*2</f>
        <v>-1.20906</v>
      </c>
      <c r="M533">
        <v>56.180199999999999</v>
      </c>
      <c r="N533">
        <v>1.03203E-3</v>
      </c>
      <c r="O533">
        <f>Table3389[[#This Row],[CFNM]]/Table3389[[#This Row],[CAREA]]</f>
        <v>1.8369995122836872E-5</v>
      </c>
      <c r="P533">
        <v>2.60453</v>
      </c>
      <c r="Q533">
        <f>-(Table4390[[#This Row],[time]]-2)*2</f>
        <v>-1.20906</v>
      </c>
      <c r="R533">
        <v>74.986599999999996</v>
      </c>
      <c r="S533">
        <v>35.377000000000002</v>
      </c>
      <c r="T533">
        <f>Table4390[[#This Row],[CFNM]]/Table4390[[#This Row],[CAREA]]</f>
        <v>0.47177762426886943</v>
      </c>
      <c r="U533">
        <v>2.60453</v>
      </c>
      <c r="V533">
        <f>-(Table5391[[#This Row],[time]]-2)*2</f>
        <v>-1.20906</v>
      </c>
      <c r="W533">
        <v>81.321200000000005</v>
      </c>
      <c r="X533">
        <v>3.3444099999999999E-3</v>
      </c>
      <c r="Y533">
        <f>Table5391[[#This Row],[CFNM]]/Table5391[[#This Row],[CAREA]]</f>
        <v>4.1125930261727564E-5</v>
      </c>
      <c r="Z533">
        <v>2.60453</v>
      </c>
      <c r="AA533">
        <f>-(Table6392[[#This Row],[time]]-2)*2</f>
        <v>-1.20906</v>
      </c>
      <c r="AB533">
        <v>75.683300000000003</v>
      </c>
      <c r="AC533">
        <v>35.247900000000001</v>
      </c>
      <c r="AD533">
        <f>Table6392[[#This Row],[CFNM]]/Table6392[[#This Row],[CAREA]]</f>
        <v>0.4657288992419728</v>
      </c>
      <c r="AE533">
        <v>2.60453</v>
      </c>
      <c r="AF533">
        <f>-(Table7393[[#This Row],[time]]-2)*2</f>
        <v>-1.20906</v>
      </c>
      <c r="AG533">
        <v>74.727500000000006</v>
      </c>
      <c r="AH533">
        <v>3.6674000000000002</v>
      </c>
      <c r="AI533">
        <f>Table7393[[#This Row],[CFNM]]/Table7393[[#This Row],[CAREA]]</f>
        <v>4.9076979692884146E-2</v>
      </c>
      <c r="AJ533">
        <v>2.60453</v>
      </c>
      <c r="AK533">
        <f>-(Table8394[[#This Row],[time]]-2)*2</f>
        <v>-1.20906</v>
      </c>
      <c r="AL533">
        <v>82.419700000000006</v>
      </c>
      <c r="AM533">
        <v>47.1449</v>
      </c>
      <c r="AN533">
        <f>Table8394[[#This Row],[CFNM]]/Table8394[[#This Row],[CAREA]]</f>
        <v>0.57201008982075885</v>
      </c>
    </row>
    <row r="534" spans="1:40" x14ac:dyDescent="0.25">
      <c r="A534">
        <v>2.65273</v>
      </c>
      <c r="B534">
        <f>-(Table1387[[#This Row],[time]]-2)*2</f>
        <v>-1.3054600000000001</v>
      </c>
      <c r="C534">
        <v>61.985900000000001</v>
      </c>
      <c r="D534">
        <v>1.9530400000000001E-3</v>
      </c>
      <c r="E534">
        <f>Table1387[[#This Row],[CFNM]]/Table1387[[#This Row],[CAREA]]</f>
        <v>3.1507810647260102E-5</v>
      </c>
      <c r="F534">
        <v>2.65273</v>
      </c>
      <c r="G534">
        <f>-(Table2388[[#This Row],[time]]-2)*2</f>
        <v>-1.3054600000000001</v>
      </c>
      <c r="H534">
        <v>81.581299999999999</v>
      </c>
      <c r="I534">
        <v>37.412599999999998</v>
      </c>
      <c r="J534">
        <f>Table2388[[#This Row],[CFNM]]/Table2388[[#This Row],[CAREA]]</f>
        <v>0.45859283929037659</v>
      </c>
      <c r="K534">
        <v>2.65273</v>
      </c>
      <c r="L534">
        <f>-(Table3389[[#This Row],[time]]-2)*2</f>
        <v>-1.3054600000000001</v>
      </c>
      <c r="M534">
        <v>52.207900000000002</v>
      </c>
      <c r="N534">
        <v>9.3886399999999997E-4</v>
      </c>
      <c r="O534">
        <f>Table3389[[#This Row],[CFNM]]/Table3389[[#This Row],[CAREA]]</f>
        <v>1.798317879094926E-5</v>
      </c>
      <c r="P534">
        <v>2.65273</v>
      </c>
      <c r="Q534">
        <f>-(Table4390[[#This Row],[time]]-2)*2</f>
        <v>-1.3054600000000001</v>
      </c>
      <c r="R534">
        <v>74.460700000000003</v>
      </c>
      <c r="S534">
        <v>36.938600000000001</v>
      </c>
      <c r="T534">
        <f>Table4390[[#This Row],[CFNM]]/Table4390[[#This Row],[CAREA]]</f>
        <v>0.49608182571477305</v>
      </c>
      <c r="U534">
        <v>2.65273</v>
      </c>
      <c r="V534">
        <f>-(Table5391[[#This Row],[time]]-2)*2</f>
        <v>-1.3054600000000001</v>
      </c>
      <c r="W534">
        <v>80.553600000000003</v>
      </c>
      <c r="X534">
        <v>3.2212299999999998E-3</v>
      </c>
      <c r="Y534">
        <f>Table5391[[#This Row],[CFNM]]/Table5391[[#This Row],[CAREA]]</f>
        <v>3.9988653517657806E-5</v>
      </c>
      <c r="Z534">
        <v>2.65273</v>
      </c>
      <c r="AA534">
        <f>-(Table6392[[#This Row],[time]]-2)*2</f>
        <v>-1.3054600000000001</v>
      </c>
      <c r="AB534">
        <v>74.557599999999994</v>
      </c>
      <c r="AC534">
        <v>36.897100000000002</v>
      </c>
      <c r="AD534">
        <f>Table6392[[#This Row],[CFNM]]/Table6392[[#This Row],[CAREA]]</f>
        <v>0.49488046825541604</v>
      </c>
      <c r="AE534">
        <v>2.65273</v>
      </c>
      <c r="AF534">
        <f>-(Table7393[[#This Row],[time]]-2)*2</f>
        <v>-1.3054600000000001</v>
      </c>
      <c r="AG534">
        <v>74.192899999999995</v>
      </c>
      <c r="AH534">
        <v>3.1718899999999999</v>
      </c>
      <c r="AI534">
        <f>Table7393[[#This Row],[CFNM]]/Table7393[[#This Row],[CAREA]]</f>
        <v>4.2751934484297018E-2</v>
      </c>
      <c r="AJ534">
        <v>2.65273</v>
      </c>
      <c r="AK534">
        <f>-(Table8394[[#This Row],[time]]-2)*2</f>
        <v>-1.3054600000000001</v>
      </c>
      <c r="AL534">
        <v>82.312399999999997</v>
      </c>
      <c r="AM534">
        <v>48.752000000000002</v>
      </c>
      <c r="AN534">
        <f>Table8394[[#This Row],[CFNM]]/Table8394[[#This Row],[CAREA]]</f>
        <v>0.59228014248157024</v>
      </c>
    </row>
    <row r="535" spans="1:40" x14ac:dyDescent="0.25">
      <c r="A535">
        <v>2.7006199999999998</v>
      </c>
      <c r="B535">
        <f>-(Table1387[[#This Row],[time]]-2)*2</f>
        <v>-1.4012399999999996</v>
      </c>
      <c r="C535">
        <v>58.9114</v>
      </c>
      <c r="D535">
        <v>1.7809499999999999E-3</v>
      </c>
      <c r="E535">
        <f>Table1387[[#This Row],[CFNM]]/Table1387[[#This Row],[CAREA]]</f>
        <v>3.0230990945725274E-5</v>
      </c>
      <c r="F535">
        <v>2.7006199999999998</v>
      </c>
      <c r="G535">
        <f>-(Table2388[[#This Row],[time]]-2)*2</f>
        <v>-1.4012399999999996</v>
      </c>
      <c r="H535">
        <v>80.8399</v>
      </c>
      <c r="I535">
        <v>39.2059</v>
      </c>
      <c r="J535">
        <f>Table2388[[#This Row],[CFNM]]/Table2388[[#This Row],[CAREA]]</f>
        <v>0.48498204475760115</v>
      </c>
      <c r="K535">
        <v>2.7006199999999998</v>
      </c>
      <c r="L535">
        <f>-(Table3389[[#This Row],[time]]-2)*2</f>
        <v>-1.4012399999999996</v>
      </c>
      <c r="M535">
        <v>49.915399999999998</v>
      </c>
      <c r="N535">
        <v>8.2223599999999995E-4</v>
      </c>
      <c r="O535">
        <f>Table3389[[#This Row],[CFNM]]/Table3389[[#This Row],[CAREA]]</f>
        <v>1.647259162502955E-5</v>
      </c>
      <c r="P535">
        <v>2.7006199999999998</v>
      </c>
      <c r="Q535">
        <f>-(Table4390[[#This Row],[time]]-2)*2</f>
        <v>-1.4012399999999996</v>
      </c>
      <c r="R535">
        <v>73.757999999999996</v>
      </c>
      <c r="S535">
        <v>38.907499999999999</v>
      </c>
      <c r="T535">
        <f>Table4390[[#This Row],[CFNM]]/Table4390[[#This Row],[CAREA]]</f>
        <v>0.52750210146695953</v>
      </c>
      <c r="U535">
        <v>2.7006199999999998</v>
      </c>
      <c r="V535">
        <f>-(Table5391[[#This Row],[time]]-2)*2</f>
        <v>-1.4012399999999996</v>
      </c>
      <c r="W535">
        <v>80.1554</v>
      </c>
      <c r="X535">
        <v>3.0572799999999999E-3</v>
      </c>
      <c r="Y535">
        <f>Table5391[[#This Row],[CFNM]]/Table5391[[#This Row],[CAREA]]</f>
        <v>3.8141909341104904E-5</v>
      </c>
      <c r="Z535">
        <v>2.7006199999999998</v>
      </c>
      <c r="AA535">
        <f>-(Table6392[[#This Row],[time]]-2)*2</f>
        <v>-1.4012399999999996</v>
      </c>
      <c r="AB535">
        <v>73.897599999999997</v>
      </c>
      <c r="AC535">
        <v>39.021099999999997</v>
      </c>
      <c r="AD535">
        <f>Table6392[[#This Row],[CFNM]]/Table6392[[#This Row],[CAREA]]</f>
        <v>0.52804285930801542</v>
      </c>
      <c r="AE535">
        <v>2.7006199999999998</v>
      </c>
      <c r="AF535">
        <f>-(Table7393[[#This Row],[time]]-2)*2</f>
        <v>-1.4012399999999996</v>
      </c>
      <c r="AG535">
        <v>73.548299999999998</v>
      </c>
      <c r="AH535">
        <v>2.5318800000000001</v>
      </c>
      <c r="AI535">
        <f>Table7393[[#This Row],[CFNM]]/Table7393[[#This Row],[CAREA]]</f>
        <v>3.4424724976648002E-2</v>
      </c>
      <c r="AJ535">
        <v>2.7006199999999998</v>
      </c>
      <c r="AK535">
        <f>-(Table8394[[#This Row],[time]]-2)*2</f>
        <v>-1.4012399999999996</v>
      </c>
      <c r="AL535">
        <v>82.180599999999998</v>
      </c>
      <c r="AM535">
        <v>50.817599999999999</v>
      </c>
      <c r="AN535">
        <f>Table8394[[#This Row],[CFNM]]/Table8394[[#This Row],[CAREA]]</f>
        <v>0.61836491824104467</v>
      </c>
    </row>
    <row r="536" spans="1:40" x14ac:dyDescent="0.25">
      <c r="A536">
        <v>2.75176</v>
      </c>
      <c r="B536">
        <f>-(Table1387[[#This Row],[time]]-2)*2</f>
        <v>-1.50352</v>
      </c>
      <c r="C536">
        <v>55.186999999999998</v>
      </c>
      <c r="D536">
        <v>1.61943E-3</v>
      </c>
      <c r="E536">
        <f>Table1387[[#This Row],[CFNM]]/Table1387[[#This Row],[CAREA]]</f>
        <v>2.9344410821389096E-5</v>
      </c>
      <c r="F536">
        <v>2.75176</v>
      </c>
      <c r="G536">
        <f>-(Table2388[[#This Row],[time]]-2)*2</f>
        <v>-1.50352</v>
      </c>
      <c r="H536">
        <v>80.111400000000003</v>
      </c>
      <c r="I536">
        <v>40.9499</v>
      </c>
      <c r="J536">
        <f>Table2388[[#This Row],[CFNM]]/Table2388[[#This Row],[CAREA]]</f>
        <v>0.5111619569749124</v>
      </c>
      <c r="K536">
        <v>2.75176</v>
      </c>
      <c r="L536">
        <f>-(Table3389[[#This Row],[time]]-2)*2</f>
        <v>-1.50352</v>
      </c>
      <c r="M536">
        <v>49.217700000000001</v>
      </c>
      <c r="N536">
        <v>7.0781000000000001E-4</v>
      </c>
      <c r="O536">
        <f>Table3389[[#This Row],[CFNM]]/Table3389[[#This Row],[CAREA]]</f>
        <v>1.4381208386413831E-5</v>
      </c>
      <c r="P536">
        <v>2.75176</v>
      </c>
      <c r="Q536">
        <f>-(Table4390[[#This Row],[time]]-2)*2</f>
        <v>-1.50352</v>
      </c>
      <c r="R536">
        <v>73.068100000000001</v>
      </c>
      <c r="S536">
        <v>40.828200000000002</v>
      </c>
      <c r="T536">
        <f>Table4390[[#This Row],[CFNM]]/Table4390[[#This Row],[CAREA]]</f>
        <v>0.55876914823294987</v>
      </c>
      <c r="U536">
        <v>2.75176</v>
      </c>
      <c r="V536">
        <f>-(Table5391[[#This Row],[time]]-2)*2</f>
        <v>-1.50352</v>
      </c>
      <c r="W536">
        <v>79.709500000000006</v>
      </c>
      <c r="X536">
        <v>2.8881599999999999E-3</v>
      </c>
      <c r="Y536">
        <f>Table5391[[#This Row],[CFNM]]/Table5391[[#This Row],[CAREA]]</f>
        <v>3.6233573162546494E-5</v>
      </c>
      <c r="Z536">
        <v>2.75176</v>
      </c>
      <c r="AA536">
        <f>-(Table6392[[#This Row],[time]]-2)*2</f>
        <v>-1.50352</v>
      </c>
      <c r="AB536">
        <v>73.092600000000004</v>
      </c>
      <c r="AC536">
        <v>41.1312</v>
      </c>
      <c r="AD536">
        <f>Table6392[[#This Row],[CFNM]]/Table6392[[#This Row],[CAREA]]</f>
        <v>0.56272728018978657</v>
      </c>
      <c r="AE536">
        <v>2.75176</v>
      </c>
      <c r="AF536">
        <f>-(Table7393[[#This Row],[time]]-2)*2</f>
        <v>-1.50352</v>
      </c>
      <c r="AG536">
        <v>72.914400000000001</v>
      </c>
      <c r="AH536">
        <v>2.0063300000000002</v>
      </c>
      <c r="AI536">
        <f>Table7393[[#This Row],[CFNM]]/Table7393[[#This Row],[CAREA]]</f>
        <v>2.7516238219062353E-2</v>
      </c>
      <c r="AJ536">
        <v>2.75176</v>
      </c>
      <c r="AK536">
        <f>-(Table8394[[#This Row],[time]]-2)*2</f>
        <v>-1.50352</v>
      </c>
      <c r="AL536">
        <v>82.172399999999996</v>
      </c>
      <c r="AM536">
        <v>52.822899999999997</v>
      </c>
      <c r="AN536">
        <f>Table8394[[#This Row],[CFNM]]/Table8394[[#This Row],[CAREA]]</f>
        <v>0.64283019602688984</v>
      </c>
    </row>
    <row r="537" spans="1:40" x14ac:dyDescent="0.25">
      <c r="A537">
        <v>2.80444</v>
      </c>
      <c r="B537">
        <f>-(Table1387[[#This Row],[time]]-2)*2</f>
        <v>-1.6088800000000001</v>
      </c>
      <c r="C537">
        <v>53.621000000000002</v>
      </c>
      <c r="D537">
        <v>1.46576E-3</v>
      </c>
      <c r="E537">
        <f>Table1387[[#This Row],[CFNM]]/Table1387[[#This Row],[CAREA]]</f>
        <v>2.7335558829563043E-5</v>
      </c>
      <c r="F537">
        <v>2.80444</v>
      </c>
      <c r="G537">
        <f>-(Table2388[[#This Row],[time]]-2)*2</f>
        <v>-1.6088800000000001</v>
      </c>
      <c r="H537">
        <v>79.405699999999996</v>
      </c>
      <c r="I537">
        <v>42.6708</v>
      </c>
      <c r="J537">
        <f>Table2388[[#This Row],[CFNM]]/Table2388[[#This Row],[CAREA]]</f>
        <v>0.53737703968354922</v>
      </c>
      <c r="K537">
        <v>2.80444</v>
      </c>
      <c r="L537">
        <f>-(Table3389[[#This Row],[time]]-2)*2</f>
        <v>-1.6088800000000001</v>
      </c>
      <c r="M537">
        <v>42.029000000000003</v>
      </c>
      <c r="N537">
        <v>6.0307299999999998E-4</v>
      </c>
      <c r="O537">
        <f>Table3389[[#This Row],[CFNM]]/Table3389[[#This Row],[CAREA]]</f>
        <v>1.4348973327940231E-5</v>
      </c>
      <c r="P537">
        <v>2.80444</v>
      </c>
      <c r="Q537">
        <f>-(Table4390[[#This Row],[time]]-2)*2</f>
        <v>-1.6088800000000001</v>
      </c>
      <c r="R537">
        <v>72.405000000000001</v>
      </c>
      <c r="S537">
        <v>42.659199999999998</v>
      </c>
      <c r="T537">
        <f>Table4390[[#This Row],[CFNM]]/Table4390[[#This Row],[CAREA]]</f>
        <v>0.58917478074718599</v>
      </c>
      <c r="U537">
        <v>2.80444</v>
      </c>
      <c r="V537">
        <f>-(Table5391[[#This Row],[time]]-2)*2</f>
        <v>-1.6088800000000001</v>
      </c>
      <c r="W537">
        <v>79.202600000000004</v>
      </c>
      <c r="X537">
        <v>2.7108800000000001E-3</v>
      </c>
      <c r="Y537">
        <f>Table5391[[#This Row],[CFNM]]/Table5391[[#This Row],[CAREA]]</f>
        <v>3.4227159209419895E-5</v>
      </c>
      <c r="Z537">
        <v>2.80444</v>
      </c>
      <c r="AA537">
        <f>-(Table6392[[#This Row],[time]]-2)*2</f>
        <v>-1.6088800000000001</v>
      </c>
      <c r="AB537">
        <v>72.277900000000002</v>
      </c>
      <c r="AC537">
        <v>43.249200000000002</v>
      </c>
      <c r="AD537">
        <f>Table6392[[#This Row],[CFNM]]/Table6392[[#This Row],[CAREA]]</f>
        <v>0.59837377676993941</v>
      </c>
      <c r="AE537">
        <v>2.80444</v>
      </c>
      <c r="AF537">
        <f>-(Table7393[[#This Row],[time]]-2)*2</f>
        <v>-1.6088800000000001</v>
      </c>
      <c r="AG537">
        <v>72.304199999999994</v>
      </c>
      <c r="AH537">
        <v>1.61456</v>
      </c>
      <c r="AI537">
        <f>Table7393[[#This Row],[CFNM]]/Table7393[[#This Row],[CAREA]]</f>
        <v>2.2330099772903927E-2</v>
      </c>
      <c r="AJ537">
        <v>2.80444</v>
      </c>
      <c r="AK537">
        <f>-(Table8394[[#This Row],[time]]-2)*2</f>
        <v>-1.6088800000000001</v>
      </c>
      <c r="AL537">
        <v>82.187200000000004</v>
      </c>
      <c r="AM537">
        <v>54.767899999999997</v>
      </c>
      <c r="AN537">
        <f>Table8394[[#This Row],[CFNM]]/Table8394[[#This Row],[CAREA]]</f>
        <v>0.66637992290770331</v>
      </c>
    </row>
    <row r="538" spans="1:40" x14ac:dyDescent="0.25">
      <c r="A538">
        <v>2.8583699999999999</v>
      </c>
      <c r="B538">
        <f>-(Table1387[[#This Row],[time]]-2)*2</f>
        <v>-1.7167399999999997</v>
      </c>
      <c r="C538">
        <v>50.4163</v>
      </c>
      <c r="D538">
        <v>1.3205000000000001E-3</v>
      </c>
      <c r="E538">
        <f>Table1387[[#This Row],[CFNM]]/Table1387[[#This Row],[CAREA]]</f>
        <v>2.6191926023924805E-5</v>
      </c>
      <c r="F538">
        <v>2.8583699999999999</v>
      </c>
      <c r="G538">
        <f>-(Table2388[[#This Row],[time]]-2)*2</f>
        <v>-1.7167399999999997</v>
      </c>
      <c r="H538">
        <v>78.7089</v>
      </c>
      <c r="I538">
        <v>44.363900000000001</v>
      </c>
      <c r="J538">
        <f>Table2388[[#This Row],[CFNM]]/Table2388[[#This Row],[CAREA]]</f>
        <v>0.56364528026690752</v>
      </c>
      <c r="K538">
        <v>2.8583699999999999</v>
      </c>
      <c r="L538">
        <f>-(Table3389[[#This Row],[time]]-2)*2</f>
        <v>-1.7167399999999997</v>
      </c>
      <c r="M538">
        <v>39.734200000000001</v>
      </c>
      <c r="N538">
        <v>5.0996199999999998E-4</v>
      </c>
      <c r="O538">
        <f>Table3389[[#This Row],[CFNM]]/Table3389[[#This Row],[CAREA]]</f>
        <v>1.2834334150429604E-5</v>
      </c>
      <c r="P538">
        <v>2.8583699999999999</v>
      </c>
      <c r="Q538">
        <f>-(Table4390[[#This Row],[time]]-2)*2</f>
        <v>-1.7167399999999997</v>
      </c>
      <c r="R538">
        <v>71.763499999999993</v>
      </c>
      <c r="S538">
        <v>44.425800000000002</v>
      </c>
      <c r="T538">
        <f>Table4390[[#This Row],[CFNM]]/Table4390[[#This Row],[CAREA]]</f>
        <v>0.61905843499829305</v>
      </c>
      <c r="U538">
        <v>2.8583699999999999</v>
      </c>
      <c r="V538">
        <f>-(Table5391[[#This Row],[time]]-2)*2</f>
        <v>-1.7167399999999997</v>
      </c>
      <c r="W538">
        <v>78.119399999999999</v>
      </c>
      <c r="X538">
        <v>2.53558E-3</v>
      </c>
      <c r="Y538">
        <f>Table5391[[#This Row],[CFNM]]/Table5391[[#This Row],[CAREA]]</f>
        <v>3.2457750571560969E-5</v>
      </c>
      <c r="Z538">
        <v>2.8583699999999999</v>
      </c>
      <c r="AA538">
        <f>-(Table6392[[#This Row],[time]]-2)*2</f>
        <v>-1.7167399999999997</v>
      </c>
      <c r="AB538">
        <v>71.822699999999998</v>
      </c>
      <c r="AC538">
        <v>45.332700000000003</v>
      </c>
      <c r="AD538">
        <f>Table6392[[#This Row],[CFNM]]/Table6392[[#This Row],[CAREA]]</f>
        <v>0.63117510202206273</v>
      </c>
      <c r="AE538">
        <v>2.8583699999999999</v>
      </c>
      <c r="AF538">
        <f>-(Table7393[[#This Row],[time]]-2)*2</f>
        <v>-1.7167399999999997</v>
      </c>
      <c r="AG538">
        <v>71.738</v>
      </c>
      <c r="AH538">
        <v>1.2198800000000001</v>
      </c>
      <c r="AI538">
        <f>Table7393[[#This Row],[CFNM]]/Table7393[[#This Row],[CAREA]]</f>
        <v>1.7004655830940369E-2</v>
      </c>
      <c r="AJ538">
        <v>2.8583699999999999</v>
      </c>
      <c r="AK538">
        <f>-(Table8394[[#This Row],[time]]-2)*2</f>
        <v>-1.7167399999999997</v>
      </c>
      <c r="AL538">
        <v>81.951800000000006</v>
      </c>
      <c r="AM538">
        <v>56.681399999999996</v>
      </c>
      <c r="AN538">
        <f>Table8394[[#This Row],[CFNM]]/Table8394[[#This Row],[CAREA]]</f>
        <v>0.69164313657540155</v>
      </c>
    </row>
    <row r="539" spans="1:40" x14ac:dyDescent="0.25">
      <c r="A539">
        <v>2.9134199999999999</v>
      </c>
      <c r="B539">
        <f>-(Table1387[[#This Row],[time]]-2)*2</f>
        <v>-1.8268399999999998</v>
      </c>
      <c r="C539">
        <v>42.416400000000003</v>
      </c>
      <c r="D539">
        <v>1.12936E-3</v>
      </c>
      <c r="E539">
        <f>Table1387[[#This Row],[CFNM]]/Table1387[[#This Row],[CAREA]]</f>
        <v>2.6625550494620005E-5</v>
      </c>
      <c r="F539">
        <v>2.9134199999999999</v>
      </c>
      <c r="G539">
        <f>-(Table2388[[#This Row],[time]]-2)*2</f>
        <v>-1.8268399999999998</v>
      </c>
      <c r="H539">
        <v>77.674400000000006</v>
      </c>
      <c r="I539">
        <v>46.773299999999999</v>
      </c>
      <c r="J539">
        <f>Table2388[[#This Row],[CFNM]]/Table2388[[#This Row],[CAREA]]</f>
        <v>0.60217137177757407</v>
      </c>
      <c r="K539">
        <v>2.9134199999999999</v>
      </c>
      <c r="L539">
        <f>-(Table3389[[#This Row],[time]]-2)*2</f>
        <v>-1.8268399999999998</v>
      </c>
      <c r="M539">
        <v>35.795900000000003</v>
      </c>
      <c r="N539">
        <v>3.9098099999999999E-4</v>
      </c>
      <c r="O539">
        <f>Table3389[[#This Row],[CFNM]]/Table3389[[#This Row],[CAREA]]</f>
        <v>1.092250788498124E-5</v>
      </c>
      <c r="P539">
        <v>2.9134199999999999</v>
      </c>
      <c r="Q539">
        <f>-(Table4390[[#This Row],[time]]-2)*2</f>
        <v>-1.8268399999999998</v>
      </c>
      <c r="R539">
        <v>70.878200000000007</v>
      </c>
      <c r="S539">
        <v>46.877699999999997</v>
      </c>
      <c r="T539">
        <f>Table4390[[#This Row],[CFNM]]/Table4390[[#This Row],[CAREA]]</f>
        <v>0.66138389518921181</v>
      </c>
      <c r="U539">
        <v>2.9134199999999999</v>
      </c>
      <c r="V539">
        <f>-(Table5391[[#This Row],[time]]-2)*2</f>
        <v>-1.8268399999999998</v>
      </c>
      <c r="W539">
        <v>76.590400000000002</v>
      </c>
      <c r="X539">
        <v>2.2894199999999999E-3</v>
      </c>
      <c r="Y539">
        <f>Table5391[[#This Row],[CFNM]]/Table5391[[#This Row],[CAREA]]</f>
        <v>2.989173577889657E-5</v>
      </c>
      <c r="Z539">
        <v>2.9134199999999999</v>
      </c>
      <c r="AA539">
        <f>-(Table6392[[#This Row],[time]]-2)*2</f>
        <v>-1.8268399999999998</v>
      </c>
      <c r="AB539">
        <v>70.240300000000005</v>
      </c>
      <c r="AC539">
        <v>48.313899999999997</v>
      </c>
      <c r="AD539">
        <f>Table6392[[#This Row],[CFNM]]/Table6392[[#This Row],[CAREA]]</f>
        <v>0.68783732415721455</v>
      </c>
      <c r="AE539">
        <v>2.9134199999999999</v>
      </c>
      <c r="AF539">
        <f>-(Table7393[[#This Row],[time]]-2)*2</f>
        <v>-1.8268399999999998</v>
      </c>
      <c r="AG539">
        <v>71.031899999999993</v>
      </c>
      <c r="AH539">
        <v>0.72026000000000001</v>
      </c>
      <c r="AI539">
        <f>Table7393[[#This Row],[CFNM]]/Table7393[[#This Row],[CAREA]]</f>
        <v>1.0139951205021969E-2</v>
      </c>
      <c r="AJ539">
        <v>2.9134199999999999</v>
      </c>
      <c r="AK539">
        <f>-(Table8394[[#This Row],[time]]-2)*2</f>
        <v>-1.8268399999999998</v>
      </c>
      <c r="AL539">
        <v>81.994600000000005</v>
      </c>
      <c r="AM539">
        <v>59.356099999999998</v>
      </c>
      <c r="AN539">
        <f>Table8394[[#This Row],[CFNM]]/Table8394[[#This Row],[CAREA]]</f>
        <v>0.72390254968010082</v>
      </c>
    </row>
    <row r="540" spans="1:40" x14ac:dyDescent="0.25">
      <c r="A540">
        <v>2.9619599999999999</v>
      </c>
      <c r="B540">
        <f>-(Table1387[[#This Row],[time]]-2)*2</f>
        <v>-1.9239199999999999</v>
      </c>
      <c r="C540">
        <v>40.0396</v>
      </c>
      <c r="D540">
        <v>1.062E-3</v>
      </c>
      <c r="E540">
        <f>Table1387[[#This Row],[CFNM]]/Table1387[[#This Row],[CAREA]]</f>
        <v>2.6523741495919041E-5</v>
      </c>
      <c r="F540">
        <v>2.9619599999999999</v>
      </c>
      <c r="G540">
        <f>-(Table2388[[#This Row],[time]]-2)*2</f>
        <v>-1.9239199999999999</v>
      </c>
      <c r="H540">
        <v>77.242999999999995</v>
      </c>
      <c r="I540">
        <v>47.692</v>
      </c>
      <c r="J540">
        <f>Table2388[[#This Row],[CFNM]]/Table2388[[#This Row],[CAREA]]</f>
        <v>0.61742811646362783</v>
      </c>
      <c r="K540">
        <v>2.9619599999999999</v>
      </c>
      <c r="L540">
        <f>-(Table3389[[#This Row],[time]]-2)*2</f>
        <v>-1.9239199999999999</v>
      </c>
      <c r="M540">
        <v>33.073900000000002</v>
      </c>
      <c r="N540">
        <v>3.4680300000000002E-4</v>
      </c>
      <c r="O540">
        <f>Table3389[[#This Row],[CFNM]]/Table3389[[#This Row],[CAREA]]</f>
        <v>1.0485700204693127E-5</v>
      </c>
      <c r="P540">
        <v>2.9619599999999999</v>
      </c>
      <c r="Q540">
        <f>-(Table4390[[#This Row],[time]]-2)*2</f>
        <v>-1.9239199999999999</v>
      </c>
      <c r="R540">
        <v>70.550399999999996</v>
      </c>
      <c r="S540">
        <v>47.8</v>
      </c>
      <c r="T540">
        <f>Table4390[[#This Row],[CFNM]]/Table4390[[#This Row],[CAREA]]</f>
        <v>0.67752982265160788</v>
      </c>
      <c r="U540">
        <v>2.9619599999999999</v>
      </c>
      <c r="V540">
        <f>-(Table5391[[#This Row],[time]]-2)*2</f>
        <v>-1.9239199999999999</v>
      </c>
      <c r="W540">
        <v>75.962199999999996</v>
      </c>
      <c r="X540">
        <v>2.1951800000000001E-3</v>
      </c>
      <c r="Y540">
        <f>Table5391[[#This Row],[CFNM]]/Table5391[[#This Row],[CAREA]]</f>
        <v>2.889832048044949E-5</v>
      </c>
      <c r="Z540">
        <v>2.9619599999999999</v>
      </c>
      <c r="AA540">
        <f>-(Table6392[[#This Row],[time]]-2)*2</f>
        <v>-1.9239199999999999</v>
      </c>
      <c r="AB540">
        <v>69.963200000000001</v>
      </c>
      <c r="AC540">
        <v>49.481900000000003</v>
      </c>
      <c r="AD540">
        <f>Table6392[[#This Row],[CFNM]]/Table6392[[#This Row],[CAREA]]</f>
        <v>0.70725610034989828</v>
      </c>
      <c r="AE540">
        <v>2.9619599999999999</v>
      </c>
      <c r="AF540">
        <f>-(Table7393[[#This Row],[time]]-2)*2</f>
        <v>-1.9239199999999999</v>
      </c>
      <c r="AG540">
        <v>70.728899999999996</v>
      </c>
      <c r="AH540">
        <v>0.55702799999999997</v>
      </c>
      <c r="AI540">
        <f>Table7393[[#This Row],[CFNM]]/Table7393[[#This Row],[CAREA]]</f>
        <v>7.8755360255850157E-3</v>
      </c>
      <c r="AJ540">
        <v>2.9619599999999999</v>
      </c>
      <c r="AK540">
        <f>-(Table8394[[#This Row],[time]]-2)*2</f>
        <v>-1.9239199999999999</v>
      </c>
      <c r="AL540">
        <v>82.018299999999996</v>
      </c>
      <c r="AM540">
        <v>60.370800000000003</v>
      </c>
      <c r="AN540">
        <f>Table8394[[#This Row],[CFNM]]/Table8394[[#This Row],[CAREA]]</f>
        <v>0.73606500012802023</v>
      </c>
    </row>
    <row r="541" spans="1:40" x14ac:dyDescent="0.25">
      <c r="A541">
        <v>3</v>
      </c>
      <c r="B541">
        <f>-(Table1387[[#This Row],[time]]-2)*2</f>
        <v>-2</v>
      </c>
      <c r="C541">
        <v>34.389000000000003</v>
      </c>
      <c r="D541">
        <v>9.6715099999999997E-4</v>
      </c>
      <c r="E541">
        <f>Table1387[[#This Row],[CFNM]]/Table1387[[#This Row],[CAREA]]</f>
        <v>2.8123847742010523E-5</v>
      </c>
      <c r="F541">
        <v>3</v>
      </c>
      <c r="G541">
        <f>-(Table2388[[#This Row],[time]]-2)*2</f>
        <v>-2</v>
      </c>
      <c r="H541">
        <v>76.585700000000003</v>
      </c>
      <c r="I541">
        <v>49.116199999999999</v>
      </c>
      <c r="J541">
        <f>Table2388[[#This Row],[CFNM]]/Table2388[[#This Row],[CAREA]]</f>
        <v>0.64132338021327739</v>
      </c>
      <c r="K541">
        <v>3</v>
      </c>
      <c r="L541">
        <f>-(Table3389[[#This Row],[time]]-2)*2</f>
        <v>-2</v>
      </c>
      <c r="M541">
        <v>30.398</v>
      </c>
      <c r="N541">
        <v>2.8061500000000001E-4</v>
      </c>
      <c r="O541">
        <f>Table3389[[#This Row],[CFNM]]/Table3389[[#This Row],[CAREA]]</f>
        <v>9.2313639055201012E-6</v>
      </c>
      <c r="P541">
        <v>3</v>
      </c>
      <c r="Q541">
        <f>-(Table4390[[#This Row],[time]]-2)*2</f>
        <v>-2</v>
      </c>
      <c r="R541">
        <v>70.022400000000005</v>
      </c>
      <c r="S541">
        <v>49.290799999999997</v>
      </c>
      <c r="T541">
        <f>Table4390[[#This Row],[CFNM]]/Table4390[[#This Row],[CAREA]]</f>
        <v>0.70392902842518956</v>
      </c>
      <c r="U541">
        <v>3</v>
      </c>
      <c r="V541">
        <f>-(Table5391[[#This Row],[time]]-2)*2</f>
        <v>-2</v>
      </c>
      <c r="W541">
        <v>74.288499999999999</v>
      </c>
      <c r="X541">
        <v>2.04966E-3</v>
      </c>
      <c r="Y541">
        <f>Table5391[[#This Row],[CFNM]]/Table5391[[#This Row],[CAREA]]</f>
        <v>2.7590542277741508E-5</v>
      </c>
      <c r="Z541">
        <v>3</v>
      </c>
      <c r="AA541">
        <f>-(Table6392[[#This Row],[time]]-2)*2</f>
        <v>-2</v>
      </c>
      <c r="AB541">
        <v>69.162599999999998</v>
      </c>
      <c r="AC541">
        <v>51.347700000000003</v>
      </c>
      <c r="AD541">
        <f>Table6392[[#This Row],[CFNM]]/Table6392[[#This Row],[CAREA]]</f>
        <v>0.74242003626237307</v>
      </c>
      <c r="AE541">
        <v>3</v>
      </c>
      <c r="AF541">
        <f>-(Table7393[[#This Row],[time]]-2)*2</f>
        <v>-2</v>
      </c>
      <c r="AG541">
        <v>70.263300000000001</v>
      </c>
      <c r="AH541">
        <v>0.40376800000000002</v>
      </c>
      <c r="AI541">
        <f>Table7393[[#This Row],[CFNM]]/Table7393[[#This Row],[CAREA]]</f>
        <v>5.7464992392899285E-3</v>
      </c>
      <c r="AJ541">
        <v>3</v>
      </c>
      <c r="AK541">
        <f>-(Table8394[[#This Row],[time]]-2)*2</f>
        <v>-2</v>
      </c>
      <c r="AL541">
        <v>82.036799999999999</v>
      </c>
      <c r="AM541">
        <v>61.942700000000002</v>
      </c>
      <c r="AN541">
        <f>Table8394[[#This Row],[CFNM]]/Table8394[[#This Row],[CAREA]]</f>
        <v>0.75505992432664371</v>
      </c>
    </row>
    <row r="543" spans="1:40" x14ac:dyDescent="0.25">
      <c r="A543" t="s">
        <v>62</v>
      </c>
      <c r="E543" t="s">
        <v>1</v>
      </c>
    </row>
    <row r="544" spans="1:40" x14ac:dyDescent="0.25">
      <c r="A544" t="s">
        <v>63</v>
      </c>
      <c r="E544" t="s">
        <v>2</v>
      </c>
      <c r="F544" t="s">
        <v>3</v>
      </c>
    </row>
    <row r="546" spans="1:40" x14ac:dyDescent="0.25">
      <c r="A546" t="s">
        <v>4</v>
      </c>
      <c r="F546" t="s">
        <v>5</v>
      </c>
      <c r="K546" t="s">
        <v>6</v>
      </c>
      <c r="P546" t="s">
        <v>7</v>
      </c>
      <c r="U546" t="s">
        <v>8</v>
      </c>
      <c r="Z546" t="s">
        <v>9</v>
      </c>
      <c r="AE546" t="s">
        <v>10</v>
      </c>
      <c r="AJ546" t="s">
        <v>11</v>
      </c>
    </row>
    <row r="547" spans="1:40" x14ac:dyDescent="0.25">
      <c r="A547" t="s">
        <v>12</v>
      </c>
      <c r="B547" t="s">
        <v>13</v>
      </c>
      <c r="C547" t="s">
        <v>14</v>
      </c>
      <c r="D547" t="s">
        <v>15</v>
      </c>
      <c r="E547" t="s">
        <v>16</v>
      </c>
      <c r="F547" t="s">
        <v>12</v>
      </c>
      <c r="G547" t="s">
        <v>13</v>
      </c>
      <c r="H547" t="s">
        <v>14</v>
      </c>
      <c r="I547" t="s">
        <v>15</v>
      </c>
      <c r="J547" t="s">
        <v>16</v>
      </c>
      <c r="K547" t="s">
        <v>12</v>
      </c>
      <c r="L547" t="s">
        <v>13</v>
      </c>
      <c r="M547" t="s">
        <v>14</v>
      </c>
      <c r="N547" t="s">
        <v>15</v>
      </c>
      <c r="O547" t="s">
        <v>16</v>
      </c>
      <c r="P547" t="s">
        <v>12</v>
      </c>
      <c r="Q547" t="s">
        <v>13</v>
      </c>
      <c r="R547" t="s">
        <v>14</v>
      </c>
      <c r="S547" t="s">
        <v>15</v>
      </c>
      <c r="T547" t="s">
        <v>16</v>
      </c>
      <c r="U547" t="s">
        <v>12</v>
      </c>
      <c r="V547" t="s">
        <v>13</v>
      </c>
      <c r="W547" t="s">
        <v>14</v>
      </c>
      <c r="X547" t="s">
        <v>15</v>
      </c>
      <c r="Y547" t="s">
        <v>16</v>
      </c>
      <c r="Z547" t="s">
        <v>12</v>
      </c>
      <c r="AA547" t="s">
        <v>13</v>
      </c>
      <c r="AB547" t="s">
        <v>14</v>
      </c>
      <c r="AC547" t="s">
        <v>15</v>
      </c>
      <c r="AD547" t="s">
        <v>16</v>
      </c>
      <c r="AE547" t="s">
        <v>12</v>
      </c>
      <c r="AF547" t="s">
        <v>13</v>
      </c>
      <c r="AG547" t="s">
        <v>14</v>
      </c>
      <c r="AH547" t="s">
        <v>15</v>
      </c>
      <c r="AI547" t="s">
        <v>16</v>
      </c>
      <c r="AJ547" t="s">
        <v>12</v>
      </c>
      <c r="AK547" t="s">
        <v>13</v>
      </c>
      <c r="AL547" t="s">
        <v>14</v>
      </c>
      <c r="AM547" t="s">
        <v>15</v>
      </c>
      <c r="AN547" t="s">
        <v>16</v>
      </c>
    </row>
    <row r="548" spans="1:40" x14ac:dyDescent="0.25">
      <c r="A548">
        <v>2</v>
      </c>
      <c r="B548">
        <f>(Table110395[[#This Row],[time]]-2)*2</f>
        <v>0</v>
      </c>
      <c r="C548">
        <v>88.270499999999998</v>
      </c>
      <c r="D548">
        <v>6.2275299999999998</v>
      </c>
      <c r="E548" s="2">
        <f>Table110395[[#This Row],[CFNM]]/Table110395[[#This Row],[CAREA]]</f>
        <v>7.0550523674387258E-2</v>
      </c>
      <c r="F548">
        <v>2</v>
      </c>
      <c r="G548">
        <f>(Table211396[[#This Row],[time]]-2)*2</f>
        <v>0</v>
      </c>
      <c r="H548">
        <v>91.525499999999994</v>
      </c>
      <c r="I548">
        <v>4.7580499999999998E-3</v>
      </c>
      <c r="J548" s="2">
        <f>Table211396[[#This Row],[CFNM]]/Table211396[[#This Row],[CAREA]]</f>
        <v>5.1986058530136412E-5</v>
      </c>
      <c r="K548">
        <v>2</v>
      </c>
      <c r="L548">
        <f>(Table312397[[#This Row],[time]]-2)*2</f>
        <v>0</v>
      </c>
      <c r="M548">
        <v>87.679299999999998</v>
      </c>
      <c r="N548">
        <v>0.66283899999999996</v>
      </c>
      <c r="O548">
        <f>Table312397[[#This Row],[CFNM]]/Table312397[[#This Row],[CAREA]]</f>
        <v>7.55981172294943E-3</v>
      </c>
      <c r="P548">
        <v>2</v>
      </c>
      <c r="Q548">
        <f>(Table413398[[#This Row],[time]]-2)*2</f>
        <v>0</v>
      </c>
      <c r="R548">
        <v>81.933000000000007</v>
      </c>
      <c r="S548">
        <v>6.07223E-2</v>
      </c>
      <c r="T548">
        <f>Table413398[[#This Row],[CFNM]]/Table413398[[#This Row],[CAREA]]</f>
        <v>7.4112140407406042E-4</v>
      </c>
      <c r="U548">
        <v>2</v>
      </c>
      <c r="V548">
        <f>(Table514399[[#This Row],[time]]-2)*2</f>
        <v>0</v>
      </c>
      <c r="W548">
        <v>82.935699999999997</v>
      </c>
      <c r="X548">
        <v>5.1279199999999996</v>
      </c>
      <c r="Y548">
        <f>Table514399[[#This Row],[CFNM]]/Table514399[[#This Row],[CAREA]]</f>
        <v>6.1830068354158704E-2</v>
      </c>
      <c r="Z548">
        <v>2</v>
      </c>
      <c r="AA548">
        <f>(Table615400[[#This Row],[time]]-2)*2</f>
        <v>0</v>
      </c>
      <c r="AB548">
        <v>86.346400000000003</v>
      </c>
      <c r="AC548">
        <v>6.9678800000000001</v>
      </c>
      <c r="AD548">
        <f>Table615400[[#This Row],[CFNM]]/Table615400[[#This Row],[CAREA]]</f>
        <v>8.0696821176099984E-2</v>
      </c>
      <c r="AE548">
        <v>2</v>
      </c>
      <c r="AF548">
        <f>(Table716401[[#This Row],[time]]-2)*2</f>
        <v>0</v>
      </c>
      <c r="AG548">
        <v>78.678799999999995</v>
      </c>
      <c r="AH548">
        <v>17.726099999999999</v>
      </c>
      <c r="AI548">
        <f>Table716401[[#This Row],[CFNM]]/Table716401[[#This Row],[CAREA]]</f>
        <v>0.22529703045801411</v>
      </c>
      <c r="AJ548">
        <v>2</v>
      </c>
      <c r="AK548">
        <f>(Table817402[[#This Row],[time]]-2)*2</f>
        <v>0</v>
      </c>
      <c r="AL548">
        <v>83.316699999999997</v>
      </c>
      <c r="AM548">
        <v>16.678599999999999</v>
      </c>
      <c r="AN548">
        <f>Table817402[[#This Row],[CFNM]]/Table817402[[#This Row],[CAREA]]</f>
        <v>0.200183156558049</v>
      </c>
    </row>
    <row r="549" spans="1:40" x14ac:dyDescent="0.25">
      <c r="A549">
        <v>2.0512600000000001</v>
      </c>
      <c r="B549">
        <f>(Table110395[[#This Row],[time]]-2)*2</f>
        <v>0.10252000000000017</v>
      </c>
      <c r="C549">
        <v>91.722899999999996</v>
      </c>
      <c r="D549">
        <v>12.3949</v>
      </c>
      <c r="E549">
        <f>Table110395[[#This Row],[CFNM]]/Table110395[[#This Row],[CAREA]]</f>
        <v>0.13513419222462439</v>
      </c>
      <c r="F549">
        <v>2.0512600000000001</v>
      </c>
      <c r="G549">
        <f>(Table211396[[#This Row],[time]]-2)*2</f>
        <v>0.10252000000000017</v>
      </c>
      <c r="H549">
        <v>94.374300000000005</v>
      </c>
      <c r="I549">
        <v>1.52898</v>
      </c>
      <c r="J549">
        <f>Table211396[[#This Row],[CFNM]]/Table211396[[#This Row],[CAREA]]</f>
        <v>1.6201232750865435E-2</v>
      </c>
      <c r="K549">
        <v>2.0512600000000001</v>
      </c>
      <c r="L549">
        <f>(Table312397[[#This Row],[time]]-2)*2</f>
        <v>0.10252000000000017</v>
      </c>
      <c r="M549">
        <v>89.108800000000002</v>
      </c>
      <c r="N549">
        <v>6.1210500000000003</v>
      </c>
      <c r="O549">
        <f>Table312397[[#This Row],[CFNM]]/Table312397[[#This Row],[CAREA]]</f>
        <v>6.869186881654786E-2</v>
      </c>
      <c r="P549">
        <v>2.0512600000000001</v>
      </c>
      <c r="Q549">
        <f>(Table413398[[#This Row],[time]]-2)*2</f>
        <v>0.10252000000000017</v>
      </c>
      <c r="R549">
        <v>86.358999999999995</v>
      </c>
      <c r="S549">
        <v>3.67184</v>
      </c>
      <c r="T549">
        <f>Table413398[[#This Row],[CFNM]]/Table413398[[#This Row],[CAREA]]</f>
        <v>4.251832466795586E-2</v>
      </c>
      <c r="U549">
        <v>2.0512600000000001</v>
      </c>
      <c r="V549">
        <f>(Table514399[[#This Row],[time]]-2)*2</f>
        <v>0.10252000000000017</v>
      </c>
      <c r="W549">
        <v>83.066699999999997</v>
      </c>
      <c r="X549">
        <v>11.288500000000001</v>
      </c>
      <c r="Y549">
        <f>Table514399[[#This Row],[CFNM]]/Table514399[[#This Row],[CAREA]]</f>
        <v>0.13589681545071614</v>
      </c>
      <c r="Z549">
        <v>2.0512600000000001</v>
      </c>
      <c r="AA549">
        <f>(Table615400[[#This Row],[time]]-2)*2</f>
        <v>0.10252000000000017</v>
      </c>
      <c r="AB549">
        <v>89.504800000000003</v>
      </c>
      <c r="AC549">
        <v>14.487500000000001</v>
      </c>
      <c r="AD549">
        <f>Table615400[[#This Row],[CFNM]]/Table615400[[#This Row],[CAREA]]</f>
        <v>0.16186282746847097</v>
      </c>
      <c r="AE549">
        <v>2.0512600000000001</v>
      </c>
      <c r="AF549">
        <f>(Table716401[[#This Row],[time]]-2)*2</f>
        <v>0.10252000000000017</v>
      </c>
      <c r="AG549">
        <v>78.686000000000007</v>
      </c>
      <c r="AH549">
        <v>22.141500000000001</v>
      </c>
      <c r="AI549">
        <f>Table716401[[#This Row],[CFNM]]/Table716401[[#This Row],[CAREA]]</f>
        <v>0.28139059044811021</v>
      </c>
      <c r="AJ549">
        <v>2.0512600000000001</v>
      </c>
      <c r="AK549">
        <f>(Table817402[[#This Row],[time]]-2)*2</f>
        <v>0.10252000000000017</v>
      </c>
      <c r="AL549">
        <v>83.270300000000006</v>
      </c>
      <c r="AM549">
        <v>17.611999999999998</v>
      </c>
      <c r="AN549">
        <f>Table817402[[#This Row],[CFNM]]/Table817402[[#This Row],[CAREA]]</f>
        <v>0.21150398161169104</v>
      </c>
    </row>
    <row r="550" spans="1:40" x14ac:dyDescent="0.25">
      <c r="A550">
        <v>2.1153300000000002</v>
      </c>
      <c r="B550">
        <f>(Table110395[[#This Row],[time]]-2)*2</f>
        <v>0.23066000000000031</v>
      </c>
      <c r="C550">
        <v>90.258499999999998</v>
      </c>
      <c r="D550">
        <v>15.2079</v>
      </c>
      <c r="E550">
        <f>Table110395[[#This Row],[CFNM]]/Table110395[[#This Row],[CAREA]]</f>
        <v>0.16849271813734995</v>
      </c>
      <c r="F550">
        <v>2.1153300000000002</v>
      </c>
      <c r="G550">
        <f>(Table211396[[#This Row],[time]]-2)*2</f>
        <v>0.23066000000000031</v>
      </c>
      <c r="H550">
        <v>93.945099999999996</v>
      </c>
      <c r="I550">
        <v>5.3385100000000003E-3</v>
      </c>
      <c r="J550">
        <f>Table211396[[#This Row],[CFNM]]/Table211396[[#This Row],[CAREA]]</f>
        <v>5.6825848287989479E-5</v>
      </c>
      <c r="K550">
        <v>2.1153300000000002</v>
      </c>
      <c r="L550">
        <f>(Table312397[[#This Row],[time]]-2)*2</f>
        <v>0.23066000000000031</v>
      </c>
      <c r="M550">
        <v>87.247299999999996</v>
      </c>
      <c r="N550">
        <v>10.500400000000001</v>
      </c>
      <c r="O550">
        <f>Table312397[[#This Row],[CFNM]]/Table312397[[#This Row],[CAREA]]</f>
        <v>0.12035214843324667</v>
      </c>
      <c r="P550">
        <v>2.1153300000000002</v>
      </c>
      <c r="Q550">
        <f>(Table413398[[#This Row],[time]]-2)*2</f>
        <v>0.23066000000000031</v>
      </c>
      <c r="R550">
        <v>88.090400000000002</v>
      </c>
      <c r="S550">
        <v>1.4476100000000001</v>
      </c>
      <c r="T550">
        <f>Table413398[[#This Row],[CFNM]]/Table413398[[#This Row],[CAREA]]</f>
        <v>1.6433232225077875E-2</v>
      </c>
      <c r="U550">
        <v>2.1153300000000002</v>
      </c>
      <c r="V550">
        <f>(Table514399[[#This Row],[time]]-2)*2</f>
        <v>0.23066000000000031</v>
      </c>
      <c r="W550">
        <v>81.580699999999993</v>
      </c>
      <c r="X550">
        <v>14.303599999999999</v>
      </c>
      <c r="Y550">
        <f>Table514399[[#This Row],[CFNM]]/Table514399[[#This Row],[CAREA]]</f>
        <v>0.17533068483109363</v>
      </c>
      <c r="Z550">
        <v>2.1153300000000002</v>
      </c>
      <c r="AA550">
        <f>(Table615400[[#This Row],[time]]-2)*2</f>
        <v>0.23066000000000031</v>
      </c>
      <c r="AB550">
        <v>89.409899999999993</v>
      </c>
      <c r="AC550">
        <v>14.698700000000001</v>
      </c>
      <c r="AD550">
        <f>Table615400[[#This Row],[CFNM]]/Table615400[[#This Row],[CAREA]]</f>
        <v>0.1643967838013464</v>
      </c>
      <c r="AE550">
        <v>2.1153300000000002</v>
      </c>
      <c r="AF550">
        <f>(Table716401[[#This Row],[time]]-2)*2</f>
        <v>0.23066000000000031</v>
      </c>
      <c r="AG550">
        <v>77.9268</v>
      </c>
      <c r="AH550">
        <v>25.985199999999999</v>
      </c>
      <c r="AI550">
        <f>Table716401[[#This Row],[CFNM]]/Table716401[[#This Row],[CAREA]]</f>
        <v>0.33345652586786573</v>
      </c>
      <c r="AJ550">
        <v>2.1153300000000002</v>
      </c>
      <c r="AK550">
        <f>(Table817402[[#This Row],[time]]-2)*2</f>
        <v>0.23066000000000031</v>
      </c>
      <c r="AL550">
        <v>83.127499999999998</v>
      </c>
      <c r="AM550">
        <v>15.849299999999999</v>
      </c>
      <c r="AN550">
        <f>Table817402[[#This Row],[CFNM]]/Table817402[[#This Row],[CAREA]]</f>
        <v>0.19066253646506873</v>
      </c>
    </row>
    <row r="551" spans="1:40" x14ac:dyDescent="0.25">
      <c r="A551">
        <v>2.16533</v>
      </c>
      <c r="B551">
        <f>(Table110395[[#This Row],[time]]-2)*2</f>
        <v>0.33065999999999995</v>
      </c>
      <c r="C551">
        <v>89.037400000000005</v>
      </c>
      <c r="D551">
        <v>16.675999999999998</v>
      </c>
      <c r="E551">
        <f>Table110395[[#This Row],[CFNM]]/Table110395[[#This Row],[CAREA]]</f>
        <v>0.18729208175440878</v>
      </c>
      <c r="F551">
        <v>2.16533</v>
      </c>
      <c r="G551">
        <f>(Table211396[[#This Row],[time]]-2)*2</f>
        <v>0.33065999999999995</v>
      </c>
      <c r="H551">
        <v>93.838899999999995</v>
      </c>
      <c r="I551">
        <v>4.522E-3</v>
      </c>
      <c r="J551">
        <f>Table211396[[#This Row],[CFNM]]/Table211396[[#This Row],[CAREA]]</f>
        <v>4.8188970672077357E-5</v>
      </c>
      <c r="K551">
        <v>2.16533</v>
      </c>
      <c r="L551">
        <f>(Table312397[[#This Row],[time]]-2)*2</f>
        <v>0.33065999999999995</v>
      </c>
      <c r="M551">
        <v>86.124300000000005</v>
      </c>
      <c r="N551">
        <v>13.519399999999999</v>
      </c>
      <c r="O551">
        <f>Table312397[[#This Row],[CFNM]]/Table312397[[#This Row],[CAREA]]</f>
        <v>0.15697544130982774</v>
      </c>
      <c r="P551">
        <v>2.16533</v>
      </c>
      <c r="Q551">
        <f>(Table413398[[#This Row],[time]]-2)*2</f>
        <v>0.33065999999999995</v>
      </c>
      <c r="R551">
        <v>88.836100000000002</v>
      </c>
      <c r="S551">
        <v>0.21332799999999999</v>
      </c>
      <c r="T551">
        <f>Table413398[[#This Row],[CFNM]]/Table413398[[#This Row],[CAREA]]</f>
        <v>2.4013661112993476E-3</v>
      </c>
      <c r="U551">
        <v>2.16533</v>
      </c>
      <c r="V551">
        <f>(Table514399[[#This Row],[time]]-2)*2</f>
        <v>0.33065999999999995</v>
      </c>
      <c r="W551">
        <v>79.121600000000001</v>
      </c>
      <c r="X551">
        <v>16.538</v>
      </c>
      <c r="Y551">
        <f>Table514399[[#This Row],[CFNM]]/Table514399[[#This Row],[CAREA]]</f>
        <v>0.2090200400396352</v>
      </c>
      <c r="Z551">
        <v>2.16533</v>
      </c>
      <c r="AA551">
        <f>(Table615400[[#This Row],[time]]-2)*2</f>
        <v>0.33065999999999995</v>
      </c>
      <c r="AB551">
        <v>91.89</v>
      </c>
      <c r="AC551">
        <v>13.9742</v>
      </c>
      <c r="AD551">
        <f>Table615400[[#This Row],[CFNM]]/Table615400[[#This Row],[CAREA]]</f>
        <v>0.15207530743280009</v>
      </c>
      <c r="AE551">
        <v>2.16533</v>
      </c>
      <c r="AF551">
        <f>(Table716401[[#This Row],[time]]-2)*2</f>
        <v>0.33065999999999995</v>
      </c>
      <c r="AG551">
        <v>77.777199999999993</v>
      </c>
      <c r="AH551">
        <v>28.339300000000001</v>
      </c>
      <c r="AI551">
        <f>Table716401[[#This Row],[CFNM]]/Table716401[[#This Row],[CAREA]]</f>
        <v>0.36436513528386216</v>
      </c>
      <c r="AJ551">
        <v>2.16533</v>
      </c>
      <c r="AK551">
        <f>(Table817402[[#This Row],[time]]-2)*2</f>
        <v>0.33065999999999995</v>
      </c>
      <c r="AL551">
        <v>83.017200000000003</v>
      </c>
      <c r="AM551">
        <v>14.8757</v>
      </c>
      <c r="AN551">
        <f>Table817402[[#This Row],[CFNM]]/Table817402[[#This Row],[CAREA]]</f>
        <v>0.17918816823501635</v>
      </c>
    </row>
    <row r="552" spans="1:40" x14ac:dyDescent="0.25">
      <c r="A552">
        <v>2.2246999999999999</v>
      </c>
      <c r="B552">
        <f>(Table110395[[#This Row],[time]]-2)*2</f>
        <v>0.4493999999999998</v>
      </c>
      <c r="C552">
        <v>87.310299999999998</v>
      </c>
      <c r="D552">
        <v>19.662199999999999</v>
      </c>
      <c r="E552">
        <f>Table110395[[#This Row],[CFNM]]/Table110395[[#This Row],[CAREA]]</f>
        <v>0.22519908876730466</v>
      </c>
      <c r="F552">
        <v>2.2246999999999999</v>
      </c>
      <c r="G552">
        <f>(Table211396[[#This Row],[time]]-2)*2</f>
        <v>0.4493999999999998</v>
      </c>
      <c r="H552">
        <v>91.712400000000002</v>
      </c>
      <c r="I552">
        <v>3.48636E-3</v>
      </c>
      <c r="J552">
        <f>Table211396[[#This Row],[CFNM]]/Table211396[[#This Row],[CAREA]]</f>
        <v>3.8014052625381082E-5</v>
      </c>
      <c r="K552">
        <v>2.2246999999999999</v>
      </c>
      <c r="L552">
        <f>(Table312397[[#This Row],[time]]-2)*2</f>
        <v>0.4493999999999998</v>
      </c>
      <c r="M552">
        <v>84.528599999999997</v>
      </c>
      <c r="N552">
        <v>17.2849</v>
      </c>
      <c r="O552">
        <f>Table312397[[#This Row],[CFNM]]/Table312397[[#This Row],[CAREA]]</f>
        <v>0.2044858190009062</v>
      </c>
      <c r="P552">
        <v>2.2246999999999999</v>
      </c>
      <c r="Q552">
        <f>(Table413398[[#This Row],[time]]-2)*2</f>
        <v>0.4493999999999998</v>
      </c>
      <c r="R552">
        <v>88.647800000000004</v>
      </c>
      <c r="S552">
        <v>4.6205400000000002E-3</v>
      </c>
      <c r="T552">
        <f>Table413398[[#This Row],[CFNM]]/Table413398[[#This Row],[CAREA]]</f>
        <v>5.2122444099007534E-5</v>
      </c>
      <c r="U552">
        <v>2.2246999999999999</v>
      </c>
      <c r="V552">
        <f>(Table514399[[#This Row],[time]]-2)*2</f>
        <v>0.4493999999999998</v>
      </c>
      <c r="W552">
        <v>75.475999999999999</v>
      </c>
      <c r="X552">
        <v>19.514399999999998</v>
      </c>
      <c r="Y552">
        <f>Table514399[[#This Row],[CFNM]]/Table514399[[#This Row],[CAREA]]</f>
        <v>0.25855106258943239</v>
      </c>
      <c r="Z552">
        <v>2.2246999999999999</v>
      </c>
      <c r="AA552">
        <f>(Table615400[[#This Row],[time]]-2)*2</f>
        <v>0.4493999999999998</v>
      </c>
      <c r="AB552">
        <v>91.510900000000007</v>
      </c>
      <c r="AC552">
        <v>12.6972</v>
      </c>
      <c r="AD552">
        <f>Table615400[[#This Row],[CFNM]]/Table615400[[#This Row],[CAREA]]</f>
        <v>0.13875068434470647</v>
      </c>
      <c r="AE552">
        <v>2.2246999999999999</v>
      </c>
      <c r="AF552">
        <f>(Table716401[[#This Row],[time]]-2)*2</f>
        <v>0.4493999999999998</v>
      </c>
      <c r="AG552">
        <v>77.708600000000004</v>
      </c>
      <c r="AH552">
        <v>31.5198</v>
      </c>
      <c r="AI552">
        <f>Table716401[[#This Row],[CFNM]]/Table716401[[#This Row],[CAREA]]</f>
        <v>0.40561533729857441</v>
      </c>
      <c r="AJ552">
        <v>2.2246999999999999</v>
      </c>
      <c r="AK552">
        <f>(Table817402[[#This Row],[time]]-2)*2</f>
        <v>0.4493999999999998</v>
      </c>
      <c r="AL552">
        <v>82.442700000000002</v>
      </c>
      <c r="AM552">
        <v>13.8521</v>
      </c>
      <c r="AN552">
        <f>Table817402[[#This Row],[CFNM]]/Table817402[[#This Row],[CAREA]]</f>
        <v>0.16802094060480793</v>
      </c>
    </row>
    <row r="553" spans="1:40" x14ac:dyDescent="0.25">
      <c r="A553">
        <v>2.2668900000000001</v>
      </c>
      <c r="B553">
        <f>(Table110395[[#This Row],[time]]-2)*2</f>
        <v>0.53378000000000014</v>
      </c>
      <c r="C553">
        <v>85.422600000000003</v>
      </c>
      <c r="D553">
        <v>21.924499999999998</v>
      </c>
      <c r="E553">
        <f>Table110395[[#This Row],[CFNM]]/Table110395[[#This Row],[CAREA]]</f>
        <v>0.2566592447431944</v>
      </c>
      <c r="F553">
        <v>2.2668900000000001</v>
      </c>
      <c r="G553">
        <f>(Table211396[[#This Row],[time]]-2)*2</f>
        <v>0.53378000000000014</v>
      </c>
      <c r="H553">
        <v>89.254599999999996</v>
      </c>
      <c r="I553">
        <v>3.05683E-3</v>
      </c>
      <c r="J553">
        <f>Table211396[[#This Row],[CFNM]]/Table211396[[#This Row],[CAREA]]</f>
        <v>3.4248430893197664E-5</v>
      </c>
      <c r="K553">
        <v>2.2668900000000001</v>
      </c>
      <c r="L553">
        <f>(Table312397[[#This Row],[time]]-2)*2</f>
        <v>0.53378000000000014</v>
      </c>
      <c r="M553">
        <v>83.710300000000004</v>
      </c>
      <c r="N553">
        <v>19.289100000000001</v>
      </c>
      <c r="O553">
        <f>Table312397[[#This Row],[CFNM]]/Table312397[[#This Row],[CAREA]]</f>
        <v>0.23042684114141271</v>
      </c>
      <c r="P553">
        <v>2.2668900000000001</v>
      </c>
      <c r="Q553">
        <f>(Table413398[[#This Row],[time]]-2)*2</f>
        <v>0.53378000000000014</v>
      </c>
      <c r="R553">
        <v>87.831599999999995</v>
      </c>
      <c r="S553">
        <v>3.9876599999999996E-3</v>
      </c>
      <c r="T553">
        <f>Table413398[[#This Row],[CFNM]]/Table413398[[#This Row],[CAREA]]</f>
        <v>4.5401199568264727E-5</v>
      </c>
      <c r="U553">
        <v>2.2668900000000001</v>
      </c>
      <c r="V553">
        <f>(Table514399[[#This Row],[time]]-2)*2</f>
        <v>0.53378000000000014</v>
      </c>
      <c r="W553">
        <v>74.429900000000004</v>
      </c>
      <c r="X553">
        <v>21.403400000000001</v>
      </c>
      <c r="Y553">
        <f>Table514399[[#This Row],[CFNM]]/Table514399[[#This Row],[CAREA]]</f>
        <v>0.28756454059457287</v>
      </c>
      <c r="Z553">
        <v>2.2668900000000001</v>
      </c>
      <c r="AA553">
        <f>(Table615400[[#This Row],[time]]-2)*2</f>
        <v>0.53378000000000014</v>
      </c>
      <c r="AB553">
        <v>92.091200000000001</v>
      </c>
      <c r="AC553">
        <v>12.036799999999999</v>
      </c>
      <c r="AD553">
        <f>Table615400[[#This Row],[CFNM]]/Table615400[[#This Row],[CAREA]]</f>
        <v>0.13070521396181176</v>
      </c>
      <c r="AE553">
        <v>2.2668900000000001</v>
      </c>
      <c r="AF553">
        <f>(Table716401[[#This Row],[time]]-2)*2</f>
        <v>0.53378000000000014</v>
      </c>
      <c r="AG553">
        <v>77.746200000000002</v>
      </c>
      <c r="AH553">
        <v>33.579900000000002</v>
      </c>
      <c r="AI553">
        <f>Table716401[[#This Row],[CFNM]]/Table716401[[#This Row],[CAREA]]</f>
        <v>0.43191692970203049</v>
      </c>
      <c r="AJ553">
        <v>2.2668900000000001</v>
      </c>
      <c r="AK553">
        <f>(Table817402[[#This Row],[time]]-2)*2</f>
        <v>0.53378000000000014</v>
      </c>
      <c r="AL553">
        <v>82.009500000000003</v>
      </c>
      <c r="AM553">
        <v>13.3202</v>
      </c>
      <c r="AN553">
        <f>Table817402[[#This Row],[CFNM]]/Table817402[[#This Row],[CAREA]]</f>
        <v>0.16242264615684768</v>
      </c>
    </row>
    <row r="554" spans="1:40" x14ac:dyDescent="0.25">
      <c r="A554">
        <v>2.3262700000000001</v>
      </c>
      <c r="B554">
        <f>(Table110395[[#This Row],[time]]-2)*2</f>
        <v>0.65254000000000012</v>
      </c>
      <c r="C554">
        <v>83.835099999999997</v>
      </c>
      <c r="D554">
        <v>25.0548</v>
      </c>
      <c r="E554">
        <f>Table110395[[#This Row],[CFNM]]/Table110395[[#This Row],[CAREA]]</f>
        <v>0.29885811551486191</v>
      </c>
      <c r="F554">
        <v>2.3262700000000001</v>
      </c>
      <c r="G554">
        <f>(Table211396[[#This Row],[time]]-2)*2</f>
        <v>0.65254000000000012</v>
      </c>
      <c r="H554">
        <v>88.007400000000004</v>
      </c>
      <c r="I554">
        <v>2.6510100000000001E-3</v>
      </c>
      <c r="J554">
        <f>Table211396[[#This Row],[CFNM]]/Table211396[[#This Row],[CAREA]]</f>
        <v>3.0122580601176719E-5</v>
      </c>
      <c r="K554">
        <v>2.3262700000000001</v>
      </c>
      <c r="L554">
        <f>(Table312397[[#This Row],[time]]-2)*2</f>
        <v>0.65254000000000012</v>
      </c>
      <c r="M554">
        <v>82.756799999999998</v>
      </c>
      <c r="N554">
        <v>21.854800000000001</v>
      </c>
      <c r="O554">
        <f>Table312397[[#This Row],[CFNM]]/Table312397[[#This Row],[CAREA]]</f>
        <v>0.26408464319548364</v>
      </c>
      <c r="P554">
        <v>2.3262700000000001</v>
      </c>
      <c r="Q554">
        <f>(Table413398[[#This Row],[time]]-2)*2</f>
        <v>0.65254000000000012</v>
      </c>
      <c r="R554">
        <v>86.271199999999993</v>
      </c>
      <c r="S554">
        <v>3.2501100000000001E-3</v>
      </c>
      <c r="T554">
        <f>Table413398[[#This Row],[CFNM]]/Table413398[[#This Row],[CAREA]]</f>
        <v>3.7673174825434216E-5</v>
      </c>
      <c r="U554">
        <v>2.3262700000000001</v>
      </c>
      <c r="V554">
        <f>(Table514399[[#This Row],[time]]-2)*2</f>
        <v>0.65254000000000012</v>
      </c>
      <c r="W554">
        <v>72.1815</v>
      </c>
      <c r="X554">
        <v>23.9116</v>
      </c>
      <c r="Y554">
        <f>Table514399[[#This Row],[CFNM]]/Table514399[[#This Row],[CAREA]]</f>
        <v>0.33127047789253478</v>
      </c>
      <c r="Z554">
        <v>2.3262700000000001</v>
      </c>
      <c r="AA554">
        <f>(Table615400[[#This Row],[time]]-2)*2</f>
        <v>0.65254000000000012</v>
      </c>
      <c r="AB554">
        <v>92.249799999999993</v>
      </c>
      <c r="AC554">
        <v>11.2224</v>
      </c>
      <c r="AD554">
        <f>Table615400[[#This Row],[CFNM]]/Table615400[[#This Row],[CAREA]]</f>
        <v>0.12165229626514097</v>
      </c>
      <c r="AE554">
        <v>2.3262700000000001</v>
      </c>
      <c r="AF554">
        <f>(Table716401[[#This Row],[time]]-2)*2</f>
        <v>0.65254000000000012</v>
      </c>
      <c r="AG554">
        <v>77.805400000000006</v>
      </c>
      <c r="AH554">
        <v>36.496699999999997</v>
      </c>
      <c r="AI554">
        <f>Table716401[[#This Row],[CFNM]]/Table716401[[#This Row],[CAREA]]</f>
        <v>0.46907669647607997</v>
      </c>
      <c r="AJ554">
        <v>2.3262700000000001</v>
      </c>
      <c r="AK554">
        <f>(Table817402[[#This Row],[time]]-2)*2</f>
        <v>0.65254000000000012</v>
      </c>
      <c r="AL554">
        <v>81.437299999999993</v>
      </c>
      <c r="AM554">
        <v>12.652799999999999</v>
      </c>
      <c r="AN554">
        <f>Table817402[[#This Row],[CFNM]]/Table817402[[#This Row],[CAREA]]</f>
        <v>0.15536860873334454</v>
      </c>
    </row>
    <row r="555" spans="1:40" x14ac:dyDescent="0.25">
      <c r="A555">
        <v>2.3684599999999998</v>
      </c>
      <c r="B555">
        <f>(Table110395[[#This Row],[time]]-2)*2</f>
        <v>0.73691999999999958</v>
      </c>
      <c r="C555">
        <v>82.274299999999997</v>
      </c>
      <c r="D555">
        <v>28.190899999999999</v>
      </c>
      <c r="E555">
        <f>Table110395[[#This Row],[CFNM]]/Table110395[[#This Row],[CAREA]]</f>
        <v>0.34264527318980531</v>
      </c>
      <c r="F555">
        <v>2.3684599999999998</v>
      </c>
      <c r="G555">
        <f>(Table211396[[#This Row],[time]]-2)*2</f>
        <v>0.73691999999999958</v>
      </c>
      <c r="H555">
        <v>84.102999999999994</v>
      </c>
      <c r="I555">
        <v>2.3100999999999998E-3</v>
      </c>
      <c r="J555">
        <f>Table211396[[#This Row],[CFNM]]/Table211396[[#This Row],[CAREA]]</f>
        <v>2.7467510076929479E-5</v>
      </c>
      <c r="K555">
        <v>2.3684599999999998</v>
      </c>
      <c r="L555">
        <f>(Table312397[[#This Row],[time]]-2)*2</f>
        <v>0.73691999999999958</v>
      </c>
      <c r="M555">
        <v>81.741600000000005</v>
      </c>
      <c r="N555">
        <v>24.133800000000001</v>
      </c>
      <c r="O555">
        <f>Table312397[[#This Row],[CFNM]]/Table312397[[#This Row],[CAREA]]</f>
        <v>0.29524501600164421</v>
      </c>
      <c r="P555">
        <v>2.3684599999999998</v>
      </c>
      <c r="Q555">
        <f>(Table413398[[#This Row],[time]]-2)*2</f>
        <v>0.73691999999999958</v>
      </c>
      <c r="R555">
        <v>85.081000000000003</v>
      </c>
      <c r="S555">
        <v>2.87827E-3</v>
      </c>
      <c r="T555">
        <f>Table413398[[#This Row],[CFNM]]/Table413398[[#This Row],[CAREA]]</f>
        <v>3.382976222658408E-5</v>
      </c>
      <c r="U555">
        <v>2.3684599999999998</v>
      </c>
      <c r="V555">
        <f>(Table514399[[#This Row],[time]]-2)*2</f>
        <v>0.73691999999999958</v>
      </c>
      <c r="W555">
        <v>70.501999999999995</v>
      </c>
      <c r="X555">
        <v>26.607800000000001</v>
      </c>
      <c r="Y555">
        <f>Table514399[[#This Row],[CFNM]]/Table514399[[#This Row],[CAREA]]</f>
        <v>0.37740489631499818</v>
      </c>
      <c r="Z555">
        <v>2.3684599999999998</v>
      </c>
      <c r="AA555">
        <f>(Table615400[[#This Row],[time]]-2)*2</f>
        <v>0.73691999999999958</v>
      </c>
      <c r="AB555">
        <v>92.509200000000007</v>
      </c>
      <c r="AC555">
        <v>10.5571</v>
      </c>
      <c r="AD555">
        <f>Table615400[[#This Row],[CFNM]]/Table615400[[#This Row],[CAREA]]</f>
        <v>0.1141194605509506</v>
      </c>
      <c r="AE555">
        <v>2.3684599999999998</v>
      </c>
      <c r="AF555">
        <f>(Table716401[[#This Row],[time]]-2)*2</f>
        <v>0.73691999999999958</v>
      </c>
      <c r="AG555">
        <v>77.717399999999998</v>
      </c>
      <c r="AH555">
        <v>39.5792</v>
      </c>
      <c r="AI555">
        <f>Table716401[[#This Row],[CFNM]]/Table716401[[#This Row],[CAREA]]</f>
        <v>0.50927076819348049</v>
      </c>
      <c r="AJ555">
        <v>2.3684599999999998</v>
      </c>
      <c r="AK555">
        <f>(Table817402[[#This Row],[time]]-2)*2</f>
        <v>0.73691999999999958</v>
      </c>
      <c r="AL555">
        <v>80.958299999999994</v>
      </c>
      <c r="AM555">
        <v>11.9945</v>
      </c>
      <c r="AN555">
        <f>Table817402[[#This Row],[CFNM]]/Table817402[[#This Row],[CAREA]]</f>
        <v>0.14815652008503144</v>
      </c>
    </row>
    <row r="556" spans="1:40" x14ac:dyDescent="0.25">
      <c r="A556">
        <v>2.4278300000000002</v>
      </c>
      <c r="B556">
        <f>(Table110395[[#This Row],[time]]-2)*2</f>
        <v>0.85566000000000031</v>
      </c>
      <c r="C556">
        <v>80.708200000000005</v>
      </c>
      <c r="D556">
        <v>30.750900000000001</v>
      </c>
      <c r="E556">
        <f>Table110395[[#This Row],[CFNM]]/Table110395[[#This Row],[CAREA]]</f>
        <v>0.38101332950059597</v>
      </c>
      <c r="F556">
        <v>2.4278300000000002</v>
      </c>
      <c r="G556">
        <f>(Table211396[[#This Row],[time]]-2)*2</f>
        <v>0.85566000000000031</v>
      </c>
      <c r="H556">
        <v>79.301900000000003</v>
      </c>
      <c r="I556">
        <v>2.05528E-3</v>
      </c>
      <c r="J556">
        <f>Table211396[[#This Row],[CFNM]]/Table211396[[#This Row],[CAREA]]</f>
        <v>2.5917159614082384E-5</v>
      </c>
      <c r="K556">
        <v>2.4278300000000002</v>
      </c>
      <c r="L556">
        <f>(Table312397[[#This Row],[time]]-2)*2</f>
        <v>0.85566000000000031</v>
      </c>
      <c r="M556">
        <v>80.824399999999997</v>
      </c>
      <c r="N556">
        <v>25.993300000000001</v>
      </c>
      <c r="O556">
        <f>Table312397[[#This Row],[CFNM]]/Table312397[[#This Row],[CAREA]]</f>
        <v>0.32160213994783754</v>
      </c>
      <c r="P556">
        <v>2.4278300000000002</v>
      </c>
      <c r="Q556">
        <f>(Table413398[[#This Row],[time]]-2)*2</f>
        <v>0.85566000000000031</v>
      </c>
      <c r="R556">
        <v>84.995599999999996</v>
      </c>
      <c r="S556">
        <v>2.63342E-3</v>
      </c>
      <c r="T556">
        <f>Table413398[[#This Row],[CFNM]]/Table413398[[#This Row],[CAREA]]</f>
        <v>3.098301559139532E-5</v>
      </c>
      <c r="U556">
        <v>2.4278300000000002</v>
      </c>
      <c r="V556">
        <f>(Table514399[[#This Row],[time]]-2)*2</f>
        <v>0.85566000000000031</v>
      </c>
      <c r="W556">
        <v>69.347800000000007</v>
      </c>
      <c r="X556">
        <v>28.8565</v>
      </c>
      <c r="Y556">
        <f>Table514399[[#This Row],[CFNM]]/Table514399[[#This Row],[CAREA]]</f>
        <v>0.41611269571637455</v>
      </c>
      <c r="Z556">
        <v>2.4278300000000002</v>
      </c>
      <c r="AA556">
        <f>(Table615400[[#This Row],[time]]-2)*2</f>
        <v>0.85566000000000031</v>
      </c>
      <c r="AB556">
        <v>92.4983</v>
      </c>
      <c r="AC556">
        <v>10.0722</v>
      </c>
      <c r="AD556">
        <f>Table615400[[#This Row],[CFNM]]/Table615400[[#This Row],[CAREA]]</f>
        <v>0.10889064988221406</v>
      </c>
      <c r="AE556">
        <v>2.4278300000000002</v>
      </c>
      <c r="AF556">
        <f>(Table716401[[#This Row],[time]]-2)*2</f>
        <v>0.85566000000000031</v>
      </c>
      <c r="AG556">
        <v>77.629000000000005</v>
      </c>
      <c r="AH556">
        <v>42.1357</v>
      </c>
      <c r="AI556">
        <f>Table716401[[#This Row],[CFNM]]/Table716401[[#This Row],[CAREA]]</f>
        <v>0.54278298058715169</v>
      </c>
      <c r="AJ556">
        <v>2.4278300000000002</v>
      </c>
      <c r="AK556">
        <f>(Table817402[[#This Row],[time]]-2)*2</f>
        <v>0.85566000000000031</v>
      </c>
      <c r="AL556">
        <v>80.540000000000006</v>
      </c>
      <c r="AM556">
        <v>11.4375</v>
      </c>
      <c r="AN556">
        <f>Table817402[[#This Row],[CFNM]]/Table817402[[#This Row],[CAREA]]</f>
        <v>0.1420101812763844</v>
      </c>
    </row>
    <row r="557" spans="1:40" x14ac:dyDescent="0.25">
      <c r="A557">
        <v>2.4542000000000002</v>
      </c>
      <c r="B557">
        <f>(Table110395[[#This Row],[time]]-2)*2</f>
        <v>0.90840000000000032</v>
      </c>
      <c r="C557">
        <v>78.909800000000004</v>
      </c>
      <c r="D557">
        <v>33.503700000000002</v>
      </c>
      <c r="E557">
        <f>Table110395[[#This Row],[CFNM]]/Table110395[[#This Row],[CAREA]]</f>
        <v>0.42458224453743387</v>
      </c>
      <c r="F557">
        <v>2.4542000000000002</v>
      </c>
      <c r="G557">
        <f>(Table211396[[#This Row],[time]]-2)*2</f>
        <v>0.90840000000000032</v>
      </c>
      <c r="H557">
        <v>74.517600000000002</v>
      </c>
      <c r="I557">
        <v>1.7894600000000001E-3</v>
      </c>
      <c r="J557">
        <f>Table211396[[#This Row],[CFNM]]/Table211396[[#This Row],[CAREA]]</f>
        <v>2.4013924227296639E-5</v>
      </c>
      <c r="K557">
        <v>2.4542000000000002</v>
      </c>
      <c r="L557">
        <f>(Table312397[[#This Row],[time]]-2)*2</f>
        <v>0.90840000000000032</v>
      </c>
      <c r="M557">
        <v>80.120900000000006</v>
      </c>
      <c r="N557">
        <v>28.0318</v>
      </c>
      <c r="O557">
        <f>Table312397[[#This Row],[CFNM]]/Table312397[[#This Row],[CAREA]]</f>
        <v>0.34986876083518781</v>
      </c>
      <c r="P557">
        <v>2.4542000000000002</v>
      </c>
      <c r="Q557">
        <f>(Table413398[[#This Row],[time]]-2)*2</f>
        <v>0.90840000000000032</v>
      </c>
      <c r="R557">
        <v>82.815899999999999</v>
      </c>
      <c r="S557">
        <v>2.3860299999999999E-3</v>
      </c>
      <c r="T557">
        <f>Table413398[[#This Row],[CFNM]]/Table413398[[#This Row],[CAREA]]</f>
        <v>2.8811254843574722E-5</v>
      </c>
      <c r="U557">
        <v>2.4542000000000002</v>
      </c>
      <c r="V557">
        <f>(Table514399[[#This Row],[time]]-2)*2</f>
        <v>0.90840000000000032</v>
      </c>
      <c r="W557">
        <v>68.293499999999995</v>
      </c>
      <c r="X557">
        <v>31.409700000000001</v>
      </c>
      <c r="Y557">
        <f>Table514399[[#This Row],[CFNM]]/Table514399[[#This Row],[CAREA]]</f>
        <v>0.45992224735882631</v>
      </c>
      <c r="Z557">
        <v>2.4542000000000002</v>
      </c>
      <c r="AA557">
        <f>(Table615400[[#This Row],[time]]-2)*2</f>
        <v>0.90840000000000032</v>
      </c>
      <c r="AB557">
        <v>92.764300000000006</v>
      </c>
      <c r="AC557">
        <v>9.5695999999999994</v>
      </c>
      <c r="AD557">
        <f>Table615400[[#This Row],[CFNM]]/Table615400[[#This Row],[CAREA]]</f>
        <v>0.10316037527367747</v>
      </c>
      <c r="AE557">
        <v>2.4542000000000002</v>
      </c>
      <c r="AF557">
        <f>(Table716401[[#This Row],[time]]-2)*2</f>
        <v>0.90840000000000032</v>
      </c>
      <c r="AG557">
        <v>77.408299999999997</v>
      </c>
      <c r="AH557">
        <v>45.017499999999998</v>
      </c>
      <c r="AI557">
        <f>Table716401[[#This Row],[CFNM]]/Table716401[[#This Row],[CAREA]]</f>
        <v>0.58155908345745866</v>
      </c>
      <c r="AJ557">
        <v>2.4542000000000002</v>
      </c>
      <c r="AK557">
        <f>(Table817402[[#This Row],[time]]-2)*2</f>
        <v>0.90840000000000032</v>
      </c>
      <c r="AL557">
        <v>80.068799999999996</v>
      </c>
      <c r="AM557">
        <v>10.8459</v>
      </c>
      <c r="AN557">
        <f>Table817402[[#This Row],[CFNM]]/Table817402[[#This Row],[CAREA]]</f>
        <v>0.1354572567591871</v>
      </c>
    </row>
    <row r="558" spans="1:40" x14ac:dyDescent="0.25">
      <c r="A558">
        <v>2.5061499999999999</v>
      </c>
      <c r="B558">
        <f>(Table110395[[#This Row],[time]]-2)*2</f>
        <v>1.0122999999999998</v>
      </c>
      <c r="C558">
        <v>77.488200000000006</v>
      </c>
      <c r="D558">
        <v>36.076999999999998</v>
      </c>
      <c r="E558">
        <f>Table110395[[#This Row],[CFNM]]/Table110395[[#This Row],[CAREA]]</f>
        <v>0.46558056581518215</v>
      </c>
      <c r="F558">
        <v>2.5061499999999999</v>
      </c>
      <c r="G558">
        <f>(Table211396[[#This Row],[time]]-2)*2</f>
        <v>1.0122999999999998</v>
      </c>
      <c r="H558">
        <v>67.747600000000006</v>
      </c>
      <c r="I558">
        <v>1.53214E-3</v>
      </c>
      <c r="J558">
        <f>Table211396[[#This Row],[CFNM]]/Table211396[[#This Row],[CAREA]]</f>
        <v>2.2615413682551115E-5</v>
      </c>
      <c r="K558">
        <v>2.5061499999999999</v>
      </c>
      <c r="L558">
        <f>(Table312397[[#This Row],[time]]-2)*2</f>
        <v>1.0122999999999998</v>
      </c>
      <c r="M558">
        <v>79.520499999999998</v>
      </c>
      <c r="N558">
        <v>30.103999999999999</v>
      </c>
      <c r="O558">
        <f>Table312397[[#This Row],[CFNM]]/Table312397[[#This Row],[CAREA]]</f>
        <v>0.3785690482328456</v>
      </c>
      <c r="P558">
        <v>2.5061499999999999</v>
      </c>
      <c r="Q558">
        <f>(Table413398[[#This Row],[time]]-2)*2</f>
        <v>1.0122999999999998</v>
      </c>
      <c r="R558">
        <v>81.778899999999993</v>
      </c>
      <c r="S558">
        <v>2.1276899999999998E-3</v>
      </c>
      <c r="T558">
        <f>Table413398[[#This Row],[CFNM]]/Table413398[[#This Row],[CAREA]]</f>
        <v>2.6017591334684129E-5</v>
      </c>
      <c r="U558">
        <v>2.5061499999999999</v>
      </c>
      <c r="V558">
        <f>(Table514399[[#This Row],[time]]-2)*2</f>
        <v>1.0122999999999998</v>
      </c>
      <c r="W558">
        <v>67.297700000000006</v>
      </c>
      <c r="X558">
        <v>33.927300000000002</v>
      </c>
      <c r="Y558">
        <f>Table514399[[#This Row],[CFNM]]/Table514399[[#This Row],[CAREA]]</f>
        <v>0.50413758568272016</v>
      </c>
      <c r="Z558">
        <v>2.5061499999999999</v>
      </c>
      <c r="AA558">
        <f>(Table615400[[#This Row],[time]]-2)*2</f>
        <v>1.0122999999999998</v>
      </c>
      <c r="AB558">
        <v>91.957700000000003</v>
      </c>
      <c r="AC558">
        <v>8.92</v>
      </c>
      <c r="AD558">
        <f>Table615400[[#This Row],[CFNM]]/Table615400[[#This Row],[CAREA]]</f>
        <v>9.7001121167667306E-2</v>
      </c>
      <c r="AE558">
        <v>2.5061499999999999</v>
      </c>
      <c r="AF558">
        <f>(Table716401[[#This Row],[time]]-2)*2</f>
        <v>1.0122999999999998</v>
      </c>
      <c r="AG558">
        <v>77.386700000000005</v>
      </c>
      <c r="AH558">
        <v>47.998100000000001</v>
      </c>
      <c r="AI558">
        <f>Table716401[[#This Row],[CFNM]]/Table716401[[#This Row],[CAREA]]</f>
        <v>0.62023706916046295</v>
      </c>
      <c r="AJ558">
        <v>2.5061499999999999</v>
      </c>
      <c r="AK558">
        <f>(Table817402[[#This Row],[time]]-2)*2</f>
        <v>1.0122999999999998</v>
      </c>
      <c r="AL558">
        <v>79.535300000000007</v>
      </c>
      <c r="AM558">
        <v>10.2729</v>
      </c>
      <c r="AN558">
        <f>Table817402[[#This Row],[CFNM]]/Table817402[[#This Row],[CAREA]]</f>
        <v>0.12916151696165099</v>
      </c>
    </row>
    <row r="559" spans="1:40" x14ac:dyDescent="0.25">
      <c r="A559">
        <v>2.5507599999999999</v>
      </c>
      <c r="B559">
        <f>(Table110395[[#This Row],[time]]-2)*2</f>
        <v>1.1015199999999998</v>
      </c>
      <c r="C559">
        <v>76.856899999999996</v>
      </c>
      <c r="D559">
        <v>37.497799999999998</v>
      </c>
      <c r="E559">
        <f>Table110395[[#This Row],[CFNM]]/Table110395[[#This Row],[CAREA]]</f>
        <v>0.48789113274149754</v>
      </c>
      <c r="F559">
        <v>2.5507599999999999</v>
      </c>
      <c r="G559">
        <f>(Table211396[[#This Row],[time]]-2)*2</f>
        <v>1.1015199999999998</v>
      </c>
      <c r="H559">
        <v>62.806399999999996</v>
      </c>
      <c r="I559">
        <v>1.3952700000000001E-3</v>
      </c>
      <c r="J559">
        <f>Table211396[[#This Row],[CFNM]]/Table211396[[#This Row],[CAREA]]</f>
        <v>2.2215411168288585E-5</v>
      </c>
      <c r="K559">
        <v>2.5507599999999999</v>
      </c>
      <c r="L559">
        <f>(Table312397[[#This Row],[time]]-2)*2</f>
        <v>1.1015199999999998</v>
      </c>
      <c r="M559">
        <v>79.187799999999996</v>
      </c>
      <c r="N559">
        <v>31.310300000000002</v>
      </c>
      <c r="O559">
        <f>Table312397[[#This Row],[CFNM]]/Table312397[[#This Row],[CAREA]]</f>
        <v>0.39539297720103356</v>
      </c>
      <c r="P559">
        <v>2.5507599999999999</v>
      </c>
      <c r="Q559">
        <f>(Table413398[[#This Row],[time]]-2)*2</f>
        <v>1.1015199999999998</v>
      </c>
      <c r="R559">
        <v>80.004599999999996</v>
      </c>
      <c r="S559">
        <v>1.9808299999999998E-3</v>
      </c>
      <c r="T559">
        <f>Table413398[[#This Row],[CFNM]]/Table413398[[#This Row],[CAREA]]</f>
        <v>2.4758951360296781E-5</v>
      </c>
      <c r="U559">
        <v>2.5507599999999999</v>
      </c>
      <c r="V559">
        <f>(Table514399[[#This Row],[time]]-2)*2</f>
        <v>1.1015199999999998</v>
      </c>
      <c r="W559">
        <v>66.740300000000005</v>
      </c>
      <c r="X559">
        <v>35.410800000000002</v>
      </c>
      <c r="Y559">
        <f>Table514399[[#This Row],[CFNM]]/Table514399[[#This Row],[CAREA]]</f>
        <v>0.53057597883138075</v>
      </c>
      <c r="Z559">
        <v>2.5507599999999999</v>
      </c>
      <c r="AA559">
        <f>(Table615400[[#This Row],[time]]-2)*2</f>
        <v>1.1015199999999998</v>
      </c>
      <c r="AB559">
        <v>92.209900000000005</v>
      </c>
      <c r="AC559">
        <v>8.5100800000000003</v>
      </c>
      <c r="AD559">
        <f>Table615400[[#This Row],[CFNM]]/Table615400[[#This Row],[CAREA]]</f>
        <v>9.2290307222977139E-2</v>
      </c>
      <c r="AE559">
        <v>2.5507599999999999</v>
      </c>
      <c r="AF559">
        <f>(Table716401[[#This Row],[time]]-2)*2</f>
        <v>1.1015199999999998</v>
      </c>
      <c r="AG559">
        <v>77.374700000000004</v>
      </c>
      <c r="AH559">
        <v>49.735999999999997</v>
      </c>
      <c r="AI559">
        <f>Table716401[[#This Row],[CFNM]]/Table716401[[#This Row],[CAREA]]</f>
        <v>0.64279409160875578</v>
      </c>
      <c r="AJ559">
        <v>2.5507599999999999</v>
      </c>
      <c r="AK559">
        <f>(Table817402[[#This Row],[time]]-2)*2</f>
        <v>1.1015199999999998</v>
      </c>
      <c r="AL559">
        <v>79.2042</v>
      </c>
      <c r="AM559">
        <v>9.9137000000000004</v>
      </c>
      <c r="AN559">
        <f>Table817402[[#This Row],[CFNM]]/Table817402[[#This Row],[CAREA]]</f>
        <v>0.12516634218892433</v>
      </c>
    </row>
    <row r="560" spans="1:40" x14ac:dyDescent="0.25">
      <c r="A560">
        <v>2.60453</v>
      </c>
      <c r="B560">
        <f>(Table110395[[#This Row],[time]]-2)*2</f>
        <v>1.20906</v>
      </c>
      <c r="C560">
        <v>75.934200000000004</v>
      </c>
      <c r="D560">
        <v>40.0702</v>
      </c>
      <c r="E560">
        <f>Table110395[[#This Row],[CFNM]]/Table110395[[#This Row],[CAREA]]</f>
        <v>0.52769634762728779</v>
      </c>
      <c r="F560">
        <v>2.60453</v>
      </c>
      <c r="G560">
        <f>(Table211396[[#This Row],[time]]-2)*2</f>
        <v>1.20906</v>
      </c>
      <c r="H560">
        <v>58.652200000000001</v>
      </c>
      <c r="I560">
        <v>1.1631499999999999E-3</v>
      </c>
      <c r="J560">
        <f>Table211396[[#This Row],[CFNM]]/Table211396[[#This Row],[CAREA]]</f>
        <v>1.9831310675473381E-5</v>
      </c>
      <c r="K560">
        <v>2.60453</v>
      </c>
      <c r="L560">
        <f>(Table312397[[#This Row],[time]]-2)*2</f>
        <v>1.20906</v>
      </c>
      <c r="M560">
        <v>78.618799999999993</v>
      </c>
      <c r="N560">
        <v>33.4878</v>
      </c>
      <c r="O560">
        <f>Table312397[[#This Row],[CFNM]]/Table312397[[#This Row],[CAREA]]</f>
        <v>0.42595155357242803</v>
      </c>
      <c r="P560">
        <v>2.60453</v>
      </c>
      <c r="Q560">
        <f>(Table413398[[#This Row],[time]]-2)*2</f>
        <v>1.20906</v>
      </c>
      <c r="R560">
        <v>77.3386</v>
      </c>
      <c r="S560">
        <v>1.7263199999999999E-3</v>
      </c>
      <c r="T560">
        <f>Table413398[[#This Row],[CFNM]]/Table413398[[#This Row],[CAREA]]</f>
        <v>2.2321583271484095E-5</v>
      </c>
      <c r="U560">
        <v>2.60453</v>
      </c>
      <c r="V560">
        <f>(Table514399[[#This Row],[time]]-2)*2</f>
        <v>1.20906</v>
      </c>
      <c r="W560">
        <v>64.563699999999997</v>
      </c>
      <c r="X560">
        <v>38.248600000000003</v>
      </c>
      <c r="Y560">
        <f>Table514399[[#This Row],[CFNM]]/Table514399[[#This Row],[CAREA]]</f>
        <v>0.59241648170721328</v>
      </c>
      <c r="Z560">
        <v>2.60453</v>
      </c>
      <c r="AA560">
        <f>(Table615400[[#This Row],[time]]-2)*2</f>
        <v>1.20906</v>
      </c>
      <c r="AB560">
        <v>91.712699999999998</v>
      </c>
      <c r="AC560">
        <v>7.7094300000000002</v>
      </c>
      <c r="AD560">
        <f>Table615400[[#This Row],[CFNM]]/Table615400[[#This Row],[CAREA]]</f>
        <v>8.4060658992702209E-2</v>
      </c>
      <c r="AE560">
        <v>2.60453</v>
      </c>
      <c r="AF560">
        <f>(Table716401[[#This Row],[time]]-2)*2</f>
        <v>1.20906</v>
      </c>
      <c r="AG560">
        <v>77.131500000000003</v>
      </c>
      <c r="AH560">
        <v>53.087200000000003</v>
      </c>
      <c r="AI560">
        <f>Table716401[[#This Row],[CFNM]]/Table716401[[#This Row],[CAREA]]</f>
        <v>0.68826873586018689</v>
      </c>
      <c r="AJ560">
        <v>2.60453</v>
      </c>
      <c r="AK560">
        <f>(Table817402[[#This Row],[time]]-2)*2</f>
        <v>1.20906</v>
      </c>
      <c r="AL560">
        <v>78.345600000000005</v>
      </c>
      <c r="AM560">
        <v>9.1353100000000005</v>
      </c>
      <c r="AN560">
        <f>Table817402[[#This Row],[CFNM]]/Table817402[[#This Row],[CAREA]]</f>
        <v>0.11660271923375404</v>
      </c>
    </row>
    <row r="561" spans="1:40" x14ac:dyDescent="0.25">
      <c r="A561">
        <v>2.65273</v>
      </c>
      <c r="B561">
        <f>(Table110395[[#This Row],[time]]-2)*2</f>
        <v>1.3054600000000001</v>
      </c>
      <c r="C561">
        <v>75.128900000000002</v>
      </c>
      <c r="D561">
        <v>41.409100000000002</v>
      </c>
      <c r="E561">
        <f>Table110395[[#This Row],[CFNM]]/Table110395[[#This Row],[CAREA]]</f>
        <v>0.55117404886801225</v>
      </c>
      <c r="F561">
        <v>2.65273</v>
      </c>
      <c r="G561">
        <f>(Table211396[[#This Row],[time]]-2)*2</f>
        <v>1.3054600000000001</v>
      </c>
      <c r="H561">
        <v>54.776200000000003</v>
      </c>
      <c r="I561">
        <v>1.05397E-3</v>
      </c>
      <c r="J561">
        <f>Table211396[[#This Row],[CFNM]]/Table211396[[#This Row],[CAREA]]</f>
        <v>1.9241385857361407E-5</v>
      </c>
      <c r="K561">
        <v>2.65273</v>
      </c>
      <c r="L561">
        <f>(Table312397[[#This Row],[time]]-2)*2</f>
        <v>1.3054600000000001</v>
      </c>
      <c r="M561">
        <v>78.334800000000001</v>
      </c>
      <c r="N561">
        <v>34.604399999999998</v>
      </c>
      <c r="O561">
        <f>Table312397[[#This Row],[CFNM]]/Table312397[[#This Row],[CAREA]]</f>
        <v>0.44175002680800868</v>
      </c>
      <c r="P561">
        <v>2.65273</v>
      </c>
      <c r="Q561">
        <f>(Table413398[[#This Row],[time]]-2)*2</f>
        <v>1.3054600000000001</v>
      </c>
      <c r="R561">
        <v>74.6173</v>
      </c>
      <c r="S561">
        <v>1.59665E-3</v>
      </c>
      <c r="T561">
        <f>Table413398[[#This Row],[CFNM]]/Table413398[[#This Row],[CAREA]]</f>
        <v>2.1397852776768928E-5</v>
      </c>
      <c r="U561">
        <v>2.65273</v>
      </c>
      <c r="V561">
        <f>(Table514399[[#This Row],[time]]-2)*2</f>
        <v>1.3054600000000001</v>
      </c>
      <c r="W561">
        <v>64.004900000000006</v>
      </c>
      <c r="X561">
        <v>39.758899999999997</v>
      </c>
      <c r="Y561">
        <f>Table514399[[#This Row],[CFNM]]/Table514399[[#This Row],[CAREA]]</f>
        <v>0.6211852530040668</v>
      </c>
      <c r="Z561">
        <v>2.65273</v>
      </c>
      <c r="AA561">
        <f>(Table615400[[#This Row],[time]]-2)*2</f>
        <v>1.3054600000000001</v>
      </c>
      <c r="AB561">
        <v>90.843000000000004</v>
      </c>
      <c r="AC561">
        <v>7.2151300000000003</v>
      </c>
      <c r="AD561">
        <f>Table615400[[#This Row],[CFNM]]/Table615400[[#This Row],[CAREA]]</f>
        <v>7.9424171372587865E-2</v>
      </c>
      <c r="AE561">
        <v>2.65273</v>
      </c>
      <c r="AF561">
        <f>(Table716401[[#This Row],[time]]-2)*2</f>
        <v>1.3054600000000001</v>
      </c>
      <c r="AG561">
        <v>76.962500000000006</v>
      </c>
      <c r="AH561">
        <v>54.851599999999998</v>
      </c>
      <c r="AI561">
        <f>Table716401[[#This Row],[CFNM]]/Table716401[[#This Row],[CAREA]]</f>
        <v>0.71270553841156403</v>
      </c>
      <c r="AJ561">
        <v>2.65273</v>
      </c>
      <c r="AK561">
        <f>(Table817402[[#This Row],[time]]-2)*2</f>
        <v>1.3054600000000001</v>
      </c>
      <c r="AL561">
        <v>77.906199999999998</v>
      </c>
      <c r="AM561">
        <v>8.6867199999999993</v>
      </c>
      <c r="AN561">
        <f>Table817402[[#This Row],[CFNM]]/Table817402[[#This Row],[CAREA]]</f>
        <v>0.1115022937840634</v>
      </c>
    </row>
    <row r="562" spans="1:40" x14ac:dyDescent="0.25">
      <c r="A562">
        <v>2.7006199999999998</v>
      </c>
      <c r="B562">
        <f>(Table110395[[#This Row],[time]]-2)*2</f>
        <v>1.4012399999999996</v>
      </c>
      <c r="C562">
        <v>73.469099999999997</v>
      </c>
      <c r="D562">
        <v>43.138100000000001</v>
      </c>
      <c r="E562">
        <f>Table110395[[#This Row],[CFNM]]/Table110395[[#This Row],[CAREA]]</f>
        <v>0.58715977193132896</v>
      </c>
      <c r="F562">
        <v>2.7006199999999998</v>
      </c>
      <c r="G562">
        <f>(Table211396[[#This Row],[time]]-2)*2</f>
        <v>1.4012399999999996</v>
      </c>
      <c r="H562">
        <v>52.775100000000002</v>
      </c>
      <c r="I562">
        <v>9.1842599999999996E-4</v>
      </c>
      <c r="J562">
        <f>Table211396[[#This Row],[CFNM]]/Table211396[[#This Row],[CAREA]]</f>
        <v>1.7402638744407874E-5</v>
      </c>
      <c r="K562">
        <v>2.7006199999999998</v>
      </c>
      <c r="L562">
        <f>(Table312397[[#This Row],[time]]-2)*2</f>
        <v>1.4012399999999996</v>
      </c>
      <c r="M562">
        <v>77.971000000000004</v>
      </c>
      <c r="N562">
        <v>36.003700000000002</v>
      </c>
      <c r="O562">
        <f>Table312397[[#This Row],[CFNM]]/Table312397[[#This Row],[CAREA]]</f>
        <v>0.46175757653486554</v>
      </c>
      <c r="P562">
        <v>2.7006199999999998</v>
      </c>
      <c r="Q562">
        <f>(Table413398[[#This Row],[time]]-2)*2</f>
        <v>1.4012399999999996</v>
      </c>
      <c r="R562">
        <v>70.330100000000002</v>
      </c>
      <c r="S562">
        <v>1.4362999999999999E-3</v>
      </c>
      <c r="T562">
        <f>Table413398[[#This Row],[CFNM]]/Table413398[[#This Row],[CAREA]]</f>
        <v>2.0422265857719525E-5</v>
      </c>
      <c r="U562">
        <v>2.7006199999999998</v>
      </c>
      <c r="V562">
        <f>(Table514399[[#This Row],[time]]-2)*2</f>
        <v>1.4012399999999996</v>
      </c>
      <c r="W562">
        <v>63.2971</v>
      </c>
      <c r="X562">
        <v>41.7393</v>
      </c>
      <c r="Y562">
        <f>Table514399[[#This Row],[CFNM]]/Table514399[[#This Row],[CAREA]]</f>
        <v>0.65941883593403172</v>
      </c>
      <c r="Z562">
        <v>2.7006199999999998</v>
      </c>
      <c r="AA562">
        <f>(Table615400[[#This Row],[time]]-2)*2</f>
        <v>1.4012399999999996</v>
      </c>
      <c r="AB562">
        <v>90.778099999999995</v>
      </c>
      <c r="AC562">
        <v>6.6103699999999996</v>
      </c>
      <c r="AD562">
        <f>Table615400[[#This Row],[CFNM]]/Table615400[[#This Row],[CAREA]]</f>
        <v>7.2818994889736616E-2</v>
      </c>
      <c r="AE562">
        <v>2.7006199999999998</v>
      </c>
      <c r="AF562">
        <f>(Table716401[[#This Row],[time]]-2)*2</f>
        <v>1.4012399999999996</v>
      </c>
      <c r="AG562">
        <v>76.298400000000001</v>
      </c>
      <c r="AH562">
        <v>57.081400000000002</v>
      </c>
      <c r="AI562">
        <f>Table716401[[#This Row],[CFNM]]/Table716401[[#This Row],[CAREA]]</f>
        <v>0.74813364369370783</v>
      </c>
      <c r="AJ562">
        <v>2.7006199999999998</v>
      </c>
      <c r="AK562">
        <f>(Table817402[[#This Row],[time]]-2)*2</f>
        <v>1.4012399999999996</v>
      </c>
      <c r="AL562">
        <v>77.344099999999997</v>
      </c>
      <c r="AM562">
        <v>8.0671400000000002</v>
      </c>
      <c r="AN562">
        <f>Table817402[[#This Row],[CFNM]]/Table817402[[#This Row],[CAREA]]</f>
        <v>0.10430194416897993</v>
      </c>
    </row>
    <row r="563" spans="1:40" x14ac:dyDescent="0.25">
      <c r="A563">
        <v>2.75176</v>
      </c>
      <c r="B563">
        <f>(Table110395[[#This Row],[time]]-2)*2</f>
        <v>1.50352</v>
      </c>
      <c r="C563">
        <v>72.131100000000004</v>
      </c>
      <c r="D563">
        <v>45.487699999999997</v>
      </c>
      <c r="E563">
        <f>Table110395[[#This Row],[CFNM]]/Table110395[[#This Row],[CAREA]]</f>
        <v>0.63062534745761534</v>
      </c>
      <c r="F563">
        <v>2.75176</v>
      </c>
      <c r="G563">
        <f>(Table211396[[#This Row],[time]]-2)*2</f>
        <v>1.50352</v>
      </c>
      <c r="H563">
        <v>45.116500000000002</v>
      </c>
      <c r="I563">
        <v>7.3380299999999999E-4</v>
      </c>
      <c r="J563">
        <f>Table211396[[#This Row],[CFNM]]/Table211396[[#This Row],[CAREA]]</f>
        <v>1.6264626023738543E-5</v>
      </c>
      <c r="K563">
        <v>2.75176</v>
      </c>
      <c r="L563">
        <f>(Table312397[[#This Row],[time]]-2)*2</f>
        <v>1.50352</v>
      </c>
      <c r="M563">
        <v>77.419499999999999</v>
      </c>
      <c r="N563">
        <v>38.020400000000002</v>
      </c>
      <c r="O563">
        <f>Table312397[[#This Row],[CFNM]]/Table312397[[#This Row],[CAREA]]</f>
        <v>0.49109591252849738</v>
      </c>
      <c r="P563">
        <v>2.75176</v>
      </c>
      <c r="Q563">
        <f>(Table413398[[#This Row],[time]]-2)*2</f>
        <v>1.50352</v>
      </c>
      <c r="R563">
        <v>61.887500000000003</v>
      </c>
      <c r="S563">
        <v>1.2284900000000001E-3</v>
      </c>
      <c r="T563">
        <f>Table413398[[#This Row],[CFNM]]/Table413398[[#This Row],[CAREA]]</f>
        <v>1.9850373661886488E-5</v>
      </c>
      <c r="U563">
        <v>2.75176</v>
      </c>
      <c r="V563">
        <f>(Table514399[[#This Row],[time]]-2)*2</f>
        <v>1.50352</v>
      </c>
      <c r="W563">
        <v>61.957299999999996</v>
      </c>
      <c r="X563">
        <v>44.583100000000002</v>
      </c>
      <c r="Y563">
        <f>Table514399[[#This Row],[CFNM]]/Table514399[[#This Row],[CAREA]]</f>
        <v>0.7195778382853999</v>
      </c>
      <c r="Z563">
        <v>2.75176</v>
      </c>
      <c r="AA563">
        <f>(Table615400[[#This Row],[time]]-2)*2</f>
        <v>1.50352</v>
      </c>
      <c r="AB563">
        <v>90.206599999999995</v>
      </c>
      <c r="AC563">
        <v>5.75908</v>
      </c>
      <c r="AD563">
        <f>Table615400[[#This Row],[CFNM]]/Table615400[[#This Row],[CAREA]]</f>
        <v>6.3843222114568124E-2</v>
      </c>
      <c r="AE563">
        <v>2.75176</v>
      </c>
      <c r="AF563">
        <f>(Table716401[[#This Row],[time]]-2)*2</f>
        <v>1.50352</v>
      </c>
      <c r="AG563">
        <v>75.877399999999994</v>
      </c>
      <c r="AH563">
        <v>60.2166</v>
      </c>
      <c r="AI563">
        <f>Table716401[[#This Row],[CFNM]]/Table716401[[#This Row],[CAREA]]</f>
        <v>0.79360389259516018</v>
      </c>
      <c r="AJ563">
        <v>2.75176</v>
      </c>
      <c r="AK563">
        <f>(Table817402[[#This Row],[time]]-2)*2</f>
        <v>1.50352</v>
      </c>
      <c r="AL563">
        <v>76.693299999999994</v>
      </c>
      <c r="AM563">
        <v>7.2116400000000001</v>
      </c>
      <c r="AN563">
        <f>Table817402[[#This Row],[CFNM]]/Table817402[[#This Row],[CAREA]]</f>
        <v>9.4032203595359701E-2</v>
      </c>
    </row>
    <row r="564" spans="1:40" x14ac:dyDescent="0.25">
      <c r="A564">
        <v>2.80444</v>
      </c>
      <c r="B564">
        <f>(Table110395[[#This Row],[time]]-2)*2</f>
        <v>1.6088800000000001</v>
      </c>
      <c r="C564">
        <v>71.723500000000001</v>
      </c>
      <c r="D564">
        <v>46.544400000000003</v>
      </c>
      <c r="E564">
        <f>Table110395[[#This Row],[CFNM]]/Table110395[[#This Row],[CAREA]]</f>
        <v>0.64894211799479951</v>
      </c>
      <c r="F564">
        <v>2.80444</v>
      </c>
      <c r="G564">
        <f>(Table211396[[#This Row],[time]]-2)*2</f>
        <v>1.6088800000000001</v>
      </c>
      <c r="H564">
        <v>43.725099999999998</v>
      </c>
      <c r="I564">
        <v>6.53817E-4</v>
      </c>
      <c r="J564">
        <f>Table211396[[#This Row],[CFNM]]/Table211396[[#This Row],[CAREA]]</f>
        <v>1.4952898907035091E-5</v>
      </c>
      <c r="K564">
        <v>2.80444</v>
      </c>
      <c r="L564">
        <f>(Table312397[[#This Row],[time]]-2)*2</f>
        <v>1.6088800000000001</v>
      </c>
      <c r="M564">
        <v>77.139300000000006</v>
      </c>
      <c r="N564">
        <v>39.003</v>
      </c>
      <c r="O564">
        <f>Table312397[[#This Row],[CFNM]]/Table312397[[#This Row],[CAREA]]</f>
        <v>0.50561775904111128</v>
      </c>
      <c r="P564">
        <v>2.80444</v>
      </c>
      <c r="Q564">
        <f>(Table413398[[#This Row],[time]]-2)*2</f>
        <v>1.6088800000000001</v>
      </c>
      <c r="R564">
        <v>58.365699999999997</v>
      </c>
      <c r="S564">
        <v>1.1394E-3</v>
      </c>
      <c r="T564">
        <f>Table413398[[#This Row],[CFNM]]/Table413398[[#This Row],[CAREA]]</f>
        <v>1.9521739651884586E-5</v>
      </c>
      <c r="U564">
        <v>2.80444</v>
      </c>
      <c r="V564">
        <f>(Table514399[[#This Row],[time]]-2)*2</f>
        <v>1.6088800000000001</v>
      </c>
      <c r="W564">
        <v>61.582900000000002</v>
      </c>
      <c r="X564">
        <v>45.918700000000001</v>
      </c>
      <c r="Y564">
        <f>Table514399[[#This Row],[CFNM]]/Table514399[[#This Row],[CAREA]]</f>
        <v>0.74564042940491593</v>
      </c>
      <c r="Z564">
        <v>2.80444</v>
      </c>
      <c r="AA564">
        <f>(Table615400[[#This Row],[time]]-2)*2</f>
        <v>1.6088800000000001</v>
      </c>
      <c r="AB564">
        <v>89.678299999999993</v>
      </c>
      <c r="AC564">
        <v>5.3857499999999998</v>
      </c>
      <c r="AD564">
        <f>Table615400[[#This Row],[CFNM]]/Table615400[[#This Row],[CAREA]]</f>
        <v>6.0056334698583715E-2</v>
      </c>
      <c r="AE564">
        <v>2.80444</v>
      </c>
      <c r="AF564">
        <f>(Table716401[[#This Row],[time]]-2)*2</f>
        <v>1.6088800000000001</v>
      </c>
      <c r="AG564">
        <v>75.662899999999993</v>
      </c>
      <c r="AH564">
        <v>61.680199999999999</v>
      </c>
      <c r="AI564">
        <f>Table716401[[#This Row],[CFNM]]/Table716401[[#This Row],[CAREA]]</f>
        <v>0.81519740850535738</v>
      </c>
      <c r="AJ564">
        <v>2.80444</v>
      </c>
      <c r="AK564">
        <f>(Table817402[[#This Row],[time]]-2)*2</f>
        <v>1.6088800000000001</v>
      </c>
      <c r="AL564">
        <v>76.301000000000002</v>
      </c>
      <c r="AM564">
        <v>6.8097700000000003</v>
      </c>
      <c r="AN564">
        <f>Table817402[[#This Row],[CFNM]]/Table817402[[#This Row],[CAREA]]</f>
        <v>8.9248764760619131E-2</v>
      </c>
    </row>
    <row r="565" spans="1:40" x14ac:dyDescent="0.25">
      <c r="A565">
        <v>2.8583699999999999</v>
      </c>
      <c r="B565">
        <f>(Table110395[[#This Row],[time]]-2)*2</f>
        <v>1.7167399999999997</v>
      </c>
      <c r="C565">
        <v>70.524600000000007</v>
      </c>
      <c r="D565">
        <v>48.845399999999998</v>
      </c>
      <c r="E565">
        <f>Table110395[[#This Row],[CFNM]]/Table110395[[#This Row],[CAREA]]</f>
        <v>0.69260087969304318</v>
      </c>
      <c r="F565">
        <v>2.8583699999999999</v>
      </c>
      <c r="G565">
        <f>(Table211396[[#This Row],[time]]-2)*2</f>
        <v>1.7167399999999997</v>
      </c>
      <c r="H565">
        <v>36.321800000000003</v>
      </c>
      <c r="I565">
        <v>4.8719699999999998E-4</v>
      </c>
      <c r="J565">
        <f>Table211396[[#This Row],[CFNM]]/Table211396[[#This Row],[CAREA]]</f>
        <v>1.3413349558667245E-5</v>
      </c>
      <c r="K565">
        <v>2.8583699999999999</v>
      </c>
      <c r="L565">
        <f>(Table312397[[#This Row],[time]]-2)*2</f>
        <v>1.7167399999999997</v>
      </c>
      <c r="M565">
        <v>76.565200000000004</v>
      </c>
      <c r="N565">
        <v>41.171399999999998</v>
      </c>
      <c r="O565">
        <f>Table312397[[#This Row],[CFNM]]/Table312397[[#This Row],[CAREA]]</f>
        <v>0.53772993474842357</v>
      </c>
      <c r="P565">
        <v>2.8583699999999999</v>
      </c>
      <c r="Q565">
        <f>(Table413398[[#This Row],[time]]-2)*2</f>
        <v>1.7167399999999997</v>
      </c>
      <c r="R565">
        <v>48.252299999999998</v>
      </c>
      <c r="S565">
        <v>9.7362000000000002E-4</v>
      </c>
      <c r="T565">
        <f>Table413398[[#This Row],[CFNM]]/Table413398[[#This Row],[CAREA]]</f>
        <v>2.0177691011620174E-5</v>
      </c>
      <c r="U565">
        <v>2.8583699999999999</v>
      </c>
      <c r="V565">
        <f>(Table514399[[#This Row],[time]]-2)*2</f>
        <v>1.7167399999999997</v>
      </c>
      <c r="W565">
        <v>60.619500000000002</v>
      </c>
      <c r="X565">
        <v>48.9377</v>
      </c>
      <c r="Y565">
        <f>Table514399[[#This Row],[CFNM]]/Table514399[[#This Row],[CAREA]]</f>
        <v>0.80729303276998321</v>
      </c>
      <c r="Z565">
        <v>2.8583699999999999</v>
      </c>
      <c r="AA565">
        <f>(Table615400[[#This Row],[time]]-2)*2</f>
        <v>1.7167399999999997</v>
      </c>
      <c r="AB565">
        <v>88.562399999999997</v>
      </c>
      <c r="AC565">
        <v>4.61252</v>
      </c>
      <c r="AD565">
        <f>Table615400[[#This Row],[CFNM]]/Table615400[[#This Row],[CAREA]]</f>
        <v>5.2082147728607177E-2</v>
      </c>
      <c r="AE565">
        <v>2.8583699999999999</v>
      </c>
      <c r="AF565">
        <f>(Table716401[[#This Row],[time]]-2)*2</f>
        <v>1.7167399999999997</v>
      </c>
      <c r="AG565">
        <v>74.725899999999996</v>
      </c>
      <c r="AH565">
        <v>64.899199999999993</v>
      </c>
      <c r="AI565">
        <f>Table716401[[#This Row],[CFNM]]/Table716401[[#This Row],[CAREA]]</f>
        <v>0.8684967327258688</v>
      </c>
      <c r="AJ565">
        <v>2.8583699999999999</v>
      </c>
      <c r="AK565">
        <f>(Table817402[[#This Row],[time]]-2)*2</f>
        <v>1.7167399999999997</v>
      </c>
      <c r="AL565">
        <v>75.489400000000003</v>
      </c>
      <c r="AM565">
        <v>5.9139799999999996</v>
      </c>
      <c r="AN565">
        <f>Table817402[[#This Row],[CFNM]]/Table817402[[#This Row],[CAREA]]</f>
        <v>7.8341859916756518E-2</v>
      </c>
    </row>
    <row r="566" spans="1:40" x14ac:dyDescent="0.25">
      <c r="A566">
        <v>2.9134199999999999</v>
      </c>
      <c r="B566">
        <f>(Table110395[[#This Row],[time]]-2)*2</f>
        <v>1.8268399999999998</v>
      </c>
      <c r="C566">
        <v>69.692800000000005</v>
      </c>
      <c r="D566">
        <v>50.278500000000001</v>
      </c>
      <c r="E566">
        <f>Table110395[[#This Row],[CFNM]]/Table110395[[#This Row],[CAREA]]</f>
        <v>0.72143033426695435</v>
      </c>
      <c r="F566">
        <v>2.9134199999999999</v>
      </c>
      <c r="G566">
        <f>(Table211396[[#This Row],[time]]-2)*2</f>
        <v>1.8268399999999998</v>
      </c>
      <c r="H566">
        <v>30.4999</v>
      </c>
      <c r="I566">
        <v>4.0362999999999998E-4</v>
      </c>
      <c r="J566">
        <f>Table211396[[#This Row],[CFNM]]/Table211396[[#This Row],[CAREA]]</f>
        <v>1.3233813881356988E-5</v>
      </c>
      <c r="K566">
        <v>2.9134199999999999</v>
      </c>
      <c r="L566">
        <f>(Table312397[[#This Row],[time]]-2)*2</f>
        <v>1.8268399999999998</v>
      </c>
      <c r="M566">
        <v>76.183599999999998</v>
      </c>
      <c r="N566">
        <v>42.529200000000003</v>
      </c>
      <c r="O566">
        <f>Table312397[[#This Row],[CFNM]]/Table312397[[#This Row],[CAREA]]</f>
        <v>0.55824613171338722</v>
      </c>
      <c r="P566">
        <v>2.9134199999999999</v>
      </c>
      <c r="Q566">
        <f>(Table413398[[#This Row],[time]]-2)*2</f>
        <v>1.8268399999999998</v>
      </c>
      <c r="R566">
        <v>45.591000000000001</v>
      </c>
      <c r="S566">
        <v>8.7987999999999999E-4</v>
      </c>
      <c r="T566">
        <f>Table413398[[#This Row],[CFNM]]/Table413398[[#This Row],[CAREA]]</f>
        <v>1.9299423131758462E-5</v>
      </c>
      <c r="U566">
        <v>2.9134199999999999</v>
      </c>
      <c r="V566">
        <f>(Table514399[[#This Row],[time]]-2)*2</f>
        <v>1.8268399999999998</v>
      </c>
      <c r="W566">
        <v>60.048699999999997</v>
      </c>
      <c r="X566">
        <v>50.829300000000003</v>
      </c>
      <c r="Y566">
        <f>Table514399[[#This Row],[CFNM]]/Table514399[[#This Row],[CAREA]]</f>
        <v>0.84646795018043697</v>
      </c>
      <c r="Z566">
        <v>2.9134199999999999</v>
      </c>
      <c r="AA566">
        <f>(Table615400[[#This Row],[time]]-2)*2</f>
        <v>1.8268399999999998</v>
      </c>
      <c r="AB566">
        <v>88.249399999999994</v>
      </c>
      <c r="AC566">
        <v>4.2123799999999996</v>
      </c>
      <c r="AD566">
        <f>Table615400[[#This Row],[CFNM]]/Table615400[[#This Row],[CAREA]]</f>
        <v>4.7732675802894975E-2</v>
      </c>
      <c r="AE566">
        <v>2.9134199999999999</v>
      </c>
      <c r="AF566">
        <f>(Table716401[[#This Row],[time]]-2)*2</f>
        <v>1.8268399999999998</v>
      </c>
      <c r="AG566">
        <v>74.3245</v>
      </c>
      <c r="AH566">
        <v>66.848399999999998</v>
      </c>
      <c r="AI566">
        <f>Table716401[[#This Row],[CFNM]]/Table716401[[#This Row],[CAREA]]</f>
        <v>0.89941271047904792</v>
      </c>
      <c r="AJ566">
        <v>2.9134199999999999</v>
      </c>
      <c r="AK566">
        <f>(Table817402[[#This Row],[time]]-2)*2</f>
        <v>1.8268399999999998</v>
      </c>
      <c r="AL566">
        <v>74.900199999999998</v>
      </c>
      <c r="AM566">
        <v>5.3702100000000002</v>
      </c>
      <c r="AN566">
        <f>Table817402[[#This Row],[CFNM]]/Table817402[[#This Row],[CAREA]]</f>
        <v>7.169820641333402E-2</v>
      </c>
    </row>
    <row r="567" spans="1:40" x14ac:dyDescent="0.25">
      <c r="A567">
        <v>2.9619599999999999</v>
      </c>
      <c r="B567">
        <f>(Table110395[[#This Row],[time]]-2)*2</f>
        <v>1.9239199999999999</v>
      </c>
      <c r="C567">
        <v>69.398399999999995</v>
      </c>
      <c r="D567">
        <v>51.144799999999996</v>
      </c>
      <c r="E567">
        <f>Table110395[[#This Row],[CFNM]]/Table110395[[#This Row],[CAREA]]</f>
        <v>0.73697376308387508</v>
      </c>
      <c r="F567">
        <v>2.9619599999999999</v>
      </c>
      <c r="G567">
        <f>(Table211396[[#This Row],[time]]-2)*2</f>
        <v>1.9239199999999999</v>
      </c>
      <c r="H567">
        <v>28.338799999999999</v>
      </c>
      <c r="I567">
        <v>3.6308500000000002E-4</v>
      </c>
      <c r="J567">
        <f>Table211396[[#This Row],[CFNM]]/Table211396[[#This Row],[CAREA]]</f>
        <v>1.2812292687058028E-5</v>
      </c>
      <c r="K567">
        <v>2.9619599999999999</v>
      </c>
      <c r="L567">
        <f>(Table312397[[#This Row],[time]]-2)*2</f>
        <v>1.9239199999999999</v>
      </c>
      <c r="M567">
        <v>76.013999999999996</v>
      </c>
      <c r="N567">
        <v>43.2684</v>
      </c>
      <c r="O567">
        <f>Table312397[[#This Row],[CFNM]]/Table312397[[#This Row],[CAREA]]</f>
        <v>0.56921619701633908</v>
      </c>
      <c r="P567">
        <v>2.9619599999999999</v>
      </c>
      <c r="Q567">
        <f>(Table413398[[#This Row],[time]]-2)*2</f>
        <v>1.9239199999999999</v>
      </c>
      <c r="R567">
        <v>42.98</v>
      </c>
      <c r="S567">
        <v>8.3198400000000002E-4</v>
      </c>
      <c r="T567">
        <f>Table413398[[#This Row],[CFNM]]/Table413398[[#This Row],[CAREA]]</f>
        <v>1.9357468590041882E-5</v>
      </c>
      <c r="U567">
        <v>2.9619599999999999</v>
      </c>
      <c r="V567">
        <f>(Table514399[[#This Row],[time]]-2)*2</f>
        <v>1.9239199999999999</v>
      </c>
      <c r="W567">
        <v>59.738700000000001</v>
      </c>
      <c r="X567">
        <v>51.861499999999999</v>
      </c>
      <c r="Y567">
        <f>Table514399[[#This Row],[CFNM]]/Table514399[[#This Row],[CAREA]]</f>
        <v>0.86813907902247622</v>
      </c>
      <c r="Z567">
        <v>2.9619599999999999</v>
      </c>
      <c r="AA567">
        <f>(Table615400[[#This Row],[time]]-2)*2</f>
        <v>1.9239199999999999</v>
      </c>
      <c r="AB567">
        <v>88.355099999999993</v>
      </c>
      <c r="AC567">
        <v>3.99918</v>
      </c>
      <c r="AD567">
        <f>Table615400[[#This Row],[CFNM]]/Table615400[[#This Row],[CAREA]]</f>
        <v>4.5262582465528306E-2</v>
      </c>
      <c r="AE567">
        <v>2.9619599999999999</v>
      </c>
      <c r="AF567">
        <f>(Table716401[[#This Row],[time]]-2)*2</f>
        <v>1.9239199999999999</v>
      </c>
      <c r="AG567">
        <v>74.079300000000003</v>
      </c>
      <c r="AH567">
        <v>67.909700000000001</v>
      </c>
      <c r="AI567">
        <f>Table716401[[#This Row],[CFNM]]/Table716401[[#This Row],[CAREA]]</f>
        <v>0.91671627566675173</v>
      </c>
      <c r="AJ567">
        <v>2.9619599999999999</v>
      </c>
      <c r="AK567">
        <f>(Table817402[[#This Row],[time]]-2)*2</f>
        <v>1.9239199999999999</v>
      </c>
      <c r="AL567">
        <v>74.578900000000004</v>
      </c>
      <c r="AM567">
        <v>5.0575099999999997</v>
      </c>
      <c r="AN567">
        <f>Table817402[[#This Row],[CFNM]]/Table817402[[#This Row],[CAREA]]</f>
        <v>6.7814220912349191E-2</v>
      </c>
    </row>
    <row r="568" spans="1:40" x14ac:dyDescent="0.25">
      <c r="A568">
        <v>3</v>
      </c>
      <c r="B568">
        <f>(Table110395[[#This Row],[time]]-2)*2</f>
        <v>2</v>
      </c>
      <c r="C568">
        <v>68.787599999999998</v>
      </c>
      <c r="D568">
        <v>52.743400000000001</v>
      </c>
      <c r="E568">
        <f>Table110395[[#This Row],[CFNM]]/Table110395[[#This Row],[CAREA]]</f>
        <v>0.76675738069070598</v>
      </c>
      <c r="F568">
        <v>3</v>
      </c>
      <c r="G568">
        <f>(Table211396[[#This Row],[time]]-2)*2</f>
        <v>2</v>
      </c>
      <c r="H568">
        <v>24.1617</v>
      </c>
      <c r="I568">
        <v>2.97898E-4</v>
      </c>
      <c r="J568">
        <f>Table211396[[#This Row],[CFNM]]/Table211396[[#This Row],[CAREA]]</f>
        <v>1.232934768662801E-5</v>
      </c>
      <c r="K568">
        <v>3</v>
      </c>
      <c r="L568">
        <f>(Table312397[[#This Row],[time]]-2)*2</f>
        <v>2</v>
      </c>
      <c r="M568">
        <v>75.766800000000003</v>
      </c>
      <c r="N568">
        <v>44.611400000000003</v>
      </c>
      <c r="O568">
        <f>Table312397[[#This Row],[CFNM]]/Table312397[[#This Row],[CAREA]]</f>
        <v>0.58879878785959028</v>
      </c>
      <c r="P568">
        <v>3</v>
      </c>
      <c r="Q568">
        <f>(Table413398[[#This Row],[time]]-2)*2</f>
        <v>2</v>
      </c>
      <c r="R568">
        <v>39.800899999999999</v>
      </c>
      <c r="S568">
        <v>7.4157699999999999E-4</v>
      </c>
      <c r="T568">
        <f>Table413398[[#This Row],[CFNM]]/Table413398[[#This Row],[CAREA]]</f>
        <v>1.863216660929778E-5</v>
      </c>
      <c r="U568">
        <v>3</v>
      </c>
      <c r="V568">
        <f>(Table514399[[#This Row],[time]]-2)*2</f>
        <v>2</v>
      </c>
      <c r="W568">
        <v>59.109699999999997</v>
      </c>
      <c r="X568">
        <v>53.798299999999998</v>
      </c>
      <c r="Y568">
        <f>Table514399[[#This Row],[CFNM]]/Table514399[[#This Row],[CAREA]]</f>
        <v>0.91014334364748939</v>
      </c>
      <c r="Z568">
        <v>3</v>
      </c>
      <c r="AA568">
        <f>(Table615400[[#This Row],[time]]-2)*2</f>
        <v>2</v>
      </c>
      <c r="AB568">
        <v>88.022999999999996</v>
      </c>
      <c r="AC568">
        <v>3.5904199999999999</v>
      </c>
      <c r="AD568">
        <f>Table615400[[#This Row],[CFNM]]/Table615400[[#This Row],[CAREA]]</f>
        <v>4.0789566363336853E-2</v>
      </c>
      <c r="AE568">
        <v>3</v>
      </c>
      <c r="AF568">
        <f>(Table716401[[#This Row],[time]]-2)*2</f>
        <v>2</v>
      </c>
      <c r="AG568">
        <v>73.650899999999993</v>
      </c>
      <c r="AH568">
        <v>69.911699999999996</v>
      </c>
      <c r="AI568">
        <f>Table716401[[#This Row],[CFNM]]/Table716401[[#This Row],[CAREA]]</f>
        <v>0.94923076296420006</v>
      </c>
      <c r="AJ568">
        <v>3</v>
      </c>
      <c r="AK568">
        <f>(Table817402[[#This Row],[time]]-2)*2</f>
        <v>2</v>
      </c>
      <c r="AL568">
        <v>74.088999999999999</v>
      </c>
      <c r="AM568">
        <v>4.4485999999999999</v>
      </c>
      <c r="AN568">
        <f>Table817402[[#This Row],[CFNM]]/Table817402[[#This Row],[CAREA]]</f>
        <v>6.0044001133771542E-2</v>
      </c>
    </row>
    <row r="571" spans="1:40" x14ac:dyDescent="0.25">
      <c r="A571" s="1" t="s">
        <v>28</v>
      </c>
    </row>
    <row r="572" spans="1:40" x14ac:dyDescent="0.25">
      <c r="A572" t="s">
        <v>64</v>
      </c>
      <c r="F572" t="s">
        <v>1</v>
      </c>
    </row>
    <row r="573" spans="1:40" x14ac:dyDescent="0.25">
      <c r="F573" t="s">
        <v>2</v>
      </c>
      <c r="G573" t="s">
        <v>3</v>
      </c>
    </row>
    <row r="576" spans="1:40" x14ac:dyDescent="0.25">
      <c r="A576" t="s">
        <v>4</v>
      </c>
      <c r="F576" t="s">
        <v>5</v>
      </c>
      <c r="K576" t="s">
        <v>6</v>
      </c>
      <c r="P576" t="s">
        <v>7</v>
      </c>
      <c r="U576" t="s">
        <v>8</v>
      </c>
      <c r="Z576" t="s">
        <v>9</v>
      </c>
      <c r="AE576" t="s">
        <v>10</v>
      </c>
      <c r="AJ576" t="s">
        <v>11</v>
      </c>
    </row>
    <row r="577" spans="1:40" x14ac:dyDescent="0.25">
      <c r="A577" t="s">
        <v>12</v>
      </c>
      <c r="B577" t="s">
        <v>13</v>
      </c>
      <c r="C577" t="s">
        <v>14</v>
      </c>
      <c r="D577" t="s">
        <v>15</v>
      </c>
      <c r="E577" t="s">
        <v>16</v>
      </c>
      <c r="F577" t="s">
        <v>12</v>
      </c>
      <c r="G577" t="s">
        <v>13</v>
      </c>
      <c r="H577" t="s">
        <v>14</v>
      </c>
      <c r="I577" t="s">
        <v>15</v>
      </c>
      <c r="J577" t="s">
        <v>16</v>
      </c>
      <c r="K577" t="s">
        <v>12</v>
      </c>
      <c r="L577" t="s">
        <v>13</v>
      </c>
      <c r="M577" t="s">
        <v>14</v>
      </c>
      <c r="N577" t="s">
        <v>15</v>
      </c>
      <c r="O577" t="s">
        <v>16</v>
      </c>
      <c r="P577" t="s">
        <v>12</v>
      </c>
      <c r="Q577" t="s">
        <v>13</v>
      </c>
      <c r="R577" t="s">
        <v>14</v>
      </c>
      <c r="S577" t="s">
        <v>15</v>
      </c>
      <c r="T577" t="s">
        <v>16</v>
      </c>
      <c r="U577" t="s">
        <v>12</v>
      </c>
      <c r="V577" t="s">
        <v>13</v>
      </c>
      <c r="W577" t="s">
        <v>14</v>
      </c>
      <c r="X577" t="s">
        <v>15</v>
      </c>
      <c r="Y577" t="s">
        <v>16</v>
      </c>
      <c r="Z577" t="s">
        <v>12</v>
      </c>
      <c r="AA577" t="s">
        <v>13</v>
      </c>
      <c r="AB577" t="s">
        <v>14</v>
      </c>
      <c r="AC577" t="s">
        <v>15</v>
      </c>
      <c r="AD577" t="s">
        <v>16</v>
      </c>
      <c r="AE577" t="s">
        <v>12</v>
      </c>
      <c r="AF577" t="s">
        <v>13</v>
      </c>
      <c r="AG577" t="s">
        <v>14</v>
      </c>
      <c r="AH577" t="s">
        <v>15</v>
      </c>
      <c r="AI577" t="s">
        <v>16</v>
      </c>
      <c r="AJ577" t="s">
        <v>12</v>
      </c>
      <c r="AK577" t="s">
        <v>13</v>
      </c>
      <c r="AL577" t="s">
        <v>14</v>
      </c>
      <c r="AM577" t="s">
        <v>15</v>
      </c>
      <c r="AN577" t="s">
        <v>16</v>
      </c>
    </row>
    <row r="578" spans="1:40" x14ac:dyDescent="0.25">
      <c r="A578">
        <v>2</v>
      </c>
      <c r="B578">
        <f>-(Table1403[[#This Row],[time]]-2)*2</f>
        <v>0</v>
      </c>
      <c r="C578">
        <v>91.082599999999999</v>
      </c>
      <c r="D578">
        <v>10.202299999999999</v>
      </c>
      <c r="E578" s="2">
        <f>Table1403[[#This Row],[CFNM]]/Table1403[[#This Row],[CAREA]]</f>
        <v>0.11201151482280917</v>
      </c>
      <c r="F578">
        <v>2</v>
      </c>
      <c r="G578">
        <f>-(Table2404[[#This Row],[time]]-2)*2</f>
        <v>0</v>
      </c>
      <c r="H578">
        <v>95.835700000000003</v>
      </c>
      <c r="I578">
        <v>3.5654499999999998</v>
      </c>
      <c r="J578" s="2">
        <f>Table2404[[#This Row],[CFNM]]/Table2404[[#This Row],[CAREA]]</f>
        <v>3.7203776880640513E-2</v>
      </c>
      <c r="K578">
        <v>2</v>
      </c>
      <c r="L578">
        <f>-(Table3405[[#This Row],[time]]-2)*2</f>
        <v>0</v>
      </c>
      <c r="M578">
        <v>89.253699999999995</v>
      </c>
      <c r="N578">
        <v>3.6436600000000001</v>
      </c>
      <c r="O578">
        <f>Table3405[[#This Row],[CFNM]]/Table3405[[#This Row],[CAREA]]</f>
        <v>4.0823629720672647E-2</v>
      </c>
      <c r="P578">
        <v>2</v>
      </c>
      <c r="Q578">
        <f>-(Table4406[[#This Row],[time]]-2)*2</f>
        <v>0</v>
      </c>
      <c r="R578">
        <v>86.409400000000005</v>
      </c>
      <c r="S578">
        <v>6.4346899999999998</v>
      </c>
      <c r="T578">
        <f>Table4406[[#This Row],[CFNM]]/Table4406[[#This Row],[CAREA]]</f>
        <v>7.4467476918020484E-2</v>
      </c>
      <c r="U578">
        <v>2</v>
      </c>
      <c r="V578">
        <f>-(Table5407[[#This Row],[time]]-2)*2</f>
        <v>0</v>
      </c>
      <c r="W578">
        <v>82.628699999999995</v>
      </c>
      <c r="X578">
        <v>8.5542400000000001</v>
      </c>
      <c r="Y578">
        <f>Table5407[[#This Row],[CFNM]]/Table5407[[#This Row],[CAREA]]</f>
        <v>0.1035262566154375</v>
      </c>
      <c r="Z578">
        <v>2</v>
      </c>
      <c r="AA578">
        <f>-(Table6408[[#This Row],[time]]-2)*2</f>
        <v>0</v>
      </c>
      <c r="AB578">
        <v>88.863399999999999</v>
      </c>
      <c r="AC578">
        <v>15.0844</v>
      </c>
      <c r="AD578">
        <f>Table6408[[#This Row],[CFNM]]/Table6408[[#This Row],[CAREA]]</f>
        <v>0.1697481752892642</v>
      </c>
      <c r="AE578">
        <v>2</v>
      </c>
      <c r="AF578">
        <f>-(Table7409[[#This Row],[time]]-2)*2</f>
        <v>0</v>
      </c>
      <c r="AG578">
        <v>78.953900000000004</v>
      </c>
      <c r="AH578">
        <v>19.6159</v>
      </c>
      <c r="AI578">
        <f>Table7409[[#This Row],[CFNM]]/Table7409[[#This Row],[CAREA]]</f>
        <v>0.24844751177585905</v>
      </c>
      <c r="AJ578">
        <v>2</v>
      </c>
      <c r="AK578">
        <f>-(Table8410[[#This Row],[time]]-2)*2</f>
        <v>0</v>
      </c>
      <c r="AL578">
        <v>83.137299999999996</v>
      </c>
      <c r="AM578">
        <v>19.2331</v>
      </c>
      <c r="AN578">
        <f>Table8410[[#This Row],[CFNM]]/Table8410[[#This Row],[CAREA]]</f>
        <v>0.23134140752706669</v>
      </c>
    </row>
    <row r="579" spans="1:40" x14ac:dyDescent="0.25">
      <c r="A579">
        <v>2.0512600000000001</v>
      </c>
      <c r="B579">
        <f>-(Table1403[[#This Row],[time]]-2)*2</f>
        <v>-0.10252000000000017</v>
      </c>
      <c r="C579">
        <v>91.072500000000005</v>
      </c>
      <c r="D579">
        <v>10.106199999999999</v>
      </c>
      <c r="E579">
        <f>Table1403[[#This Row],[CFNM]]/Table1403[[#This Row],[CAREA]]</f>
        <v>0.11096873370117213</v>
      </c>
      <c r="F579">
        <v>2.0512600000000001</v>
      </c>
      <c r="G579">
        <f>-(Table2404[[#This Row],[time]]-2)*2</f>
        <v>-0.10252000000000017</v>
      </c>
      <c r="H579">
        <v>95.837800000000001</v>
      </c>
      <c r="I579">
        <v>3.6763499999999998</v>
      </c>
      <c r="J579">
        <f>Table2404[[#This Row],[CFNM]]/Table2404[[#This Row],[CAREA]]</f>
        <v>3.8360125128080985E-2</v>
      </c>
      <c r="K579">
        <v>2.0512600000000001</v>
      </c>
      <c r="L579">
        <f>-(Table3405[[#This Row],[time]]-2)*2</f>
        <v>-0.10252000000000017</v>
      </c>
      <c r="M579">
        <v>89.252399999999994</v>
      </c>
      <c r="N579">
        <v>3.41953</v>
      </c>
      <c r="O579">
        <f>Table3405[[#This Row],[CFNM]]/Table3405[[#This Row],[CAREA]]</f>
        <v>3.8313031358260398E-2</v>
      </c>
      <c r="P579">
        <v>2.0512600000000001</v>
      </c>
      <c r="Q579">
        <f>-(Table4406[[#This Row],[time]]-2)*2</f>
        <v>-0.10252000000000017</v>
      </c>
      <c r="R579">
        <v>86.432500000000005</v>
      </c>
      <c r="S579">
        <v>6.7211600000000002</v>
      </c>
      <c r="T579">
        <f>Table4406[[#This Row],[CFNM]]/Table4406[[#This Row],[CAREA]]</f>
        <v>7.7761952969079923E-2</v>
      </c>
      <c r="U579">
        <v>2.0512600000000001</v>
      </c>
      <c r="V579">
        <f>-(Table5407[[#This Row],[time]]-2)*2</f>
        <v>-0.10252000000000017</v>
      </c>
      <c r="W579">
        <v>82.596699999999998</v>
      </c>
      <c r="X579">
        <v>8.0387799999999991</v>
      </c>
      <c r="Y579">
        <f>Table5407[[#This Row],[CFNM]]/Table5407[[#This Row],[CAREA]]</f>
        <v>9.732568008164974E-2</v>
      </c>
      <c r="Z579">
        <v>2.0512600000000001</v>
      </c>
      <c r="AA579">
        <f>-(Table6408[[#This Row],[time]]-2)*2</f>
        <v>-0.10252000000000017</v>
      </c>
      <c r="AB579">
        <v>88.887699999999995</v>
      </c>
      <c r="AC579">
        <v>15.5105</v>
      </c>
      <c r="AD579">
        <f>Table6408[[#This Row],[CFNM]]/Table6408[[#This Row],[CAREA]]</f>
        <v>0.17449545887676249</v>
      </c>
      <c r="AE579">
        <v>2.0512600000000001</v>
      </c>
      <c r="AF579">
        <f>-(Table7409[[#This Row],[time]]-2)*2</f>
        <v>-0.10252000000000017</v>
      </c>
      <c r="AG579">
        <v>79.008700000000005</v>
      </c>
      <c r="AH579">
        <v>18.523299999999999</v>
      </c>
      <c r="AI579">
        <f>Table7409[[#This Row],[CFNM]]/Table7409[[#This Row],[CAREA]]</f>
        <v>0.23444633312533933</v>
      </c>
      <c r="AJ579">
        <v>2.0512600000000001</v>
      </c>
      <c r="AK579">
        <f>-(Table8410[[#This Row],[time]]-2)*2</f>
        <v>-0.10252000000000017</v>
      </c>
      <c r="AL579">
        <v>83.172300000000007</v>
      </c>
      <c r="AM579">
        <v>20.151800000000001</v>
      </c>
      <c r="AN579">
        <f>Table8410[[#This Row],[CFNM]]/Table8410[[#This Row],[CAREA]]</f>
        <v>0.24228980081108734</v>
      </c>
    </row>
    <row r="580" spans="1:40" x14ac:dyDescent="0.25">
      <c r="A580">
        <v>2.1153300000000002</v>
      </c>
      <c r="B580">
        <f>-(Table1403[[#This Row],[time]]-2)*2</f>
        <v>-0.23066000000000031</v>
      </c>
      <c r="C580">
        <v>91.0398</v>
      </c>
      <c r="D580">
        <v>9.5369799999999998</v>
      </c>
      <c r="E580">
        <f>Table1403[[#This Row],[CFNM]]/Table1403[[#This Row],[CAREA]]</f>
        <v>0.10475616159086465</v>
      </c>
      <c r="F580">
        <v>2.1153300000000002</v>
      </c>
      <c r="G580">
        <f>-(Table2404[[#This Row],[time]]-2)*2</f>
        <v>-0.23066000000000031</v>
      </c>
      <c r="H580">
        <v>96.026899999999998</v>
      </c>
      <c r="I580">
        <v>4.2325999999999997</v>
      </c>
      <c r="J580">
        <f>Table2404[[#This Row],[CFNM]]/Table2404[[#This Row],[CAREA]]</f>
        <v>4.4077232525469426E-2</v>
      </c>
      <c r="K580">
        <v>2.1153300000000002</v>
      </c>
      <c r="L580">
        <f>-(Table3405[[#This Row],[time]]-2)*2</f>
        <v>-0.23066000000000031</v>
      </c>
      <c r="M580">
        <v>89.257800000000003</v>
      </c>
      <c r="N580">
        <v>2.6281599999999998</v>
      </c>
      <c r="O580">
        <f>Table3405[[#This Row],[CFNM]]/Table3405[[#This Row],[CAREA]]</f>
        <v>2.9444597558980837E-2</v>
      </c>
      <c r="P580">
        <v>2.1153300000000002</v>
      </c>
      <c r="Q580">
        <f>-(Table4406[[#This Row],[time]]-2)*2</f>
        <v>-0.23066000000000031</v>
      </c>
      <c r="R580">
        <v>86.484800000000007</v>
      </c>
      <c r="S580">
        <v>7.6633399999999998</v>
      </c>
      <c r="T580">
        <f>Table4406[[#This Row],[CFNM]]/Table4406[[#This Row],[CAREA]]</f>
        <v>8.8609096627384226E-2</v>
      </c>
      <c r="U580">
        <v>2.1153300000000002</v>
      </c>
      <c r="V580">
        <f>-(Table5407[[#This Row],[time]]-2)*2</f>
        <v>-0.23066000000000031</v>
      </c>
      <c r="W580">
        <v>82.479699999999994</v>
      </c>
      <c r="X580">
        <v>6.78207</v>
      </c>
      <c r="Y580">
        <f>Table5407[[#This Row],[CFNM]]/Table5407[[#This Row],[CAREA]]</f>
        <v>8.2227141951292271E-2</v>
      </c>
      <c r="Z580">
        <v>2.1153300000000002</v>
      </c>
      <c r="AA580">
        <f>-(Table6408[[#This Row],[time]]-2)*2</f>
        <v>-0.23066000000000031</v>
      </c>
      <c r="AB580">
        <v>88.962400000000002</v>
      </c>
      <c r="AC580">
        <v>16.3279</v>
      </c>
      <c r="AD580">
        <f>Table6408[[#This Row],[CFNM]]/Table6408[[#This Row],[CAREA]]</f>
        <v>0.1835370898267133</v>
      </c>
      <c r="AE580">
        <v>2.1153300000000002</v>
      </c>
      <c r="AF580">
        <f>-(Table7409[[#This Row],[time]]-2)*2</f>
        <v>-0.23066000000000031</v>
      </c>
      <c r="AG580">
        <v>79.165599999999998</v>
      </c>
      <c r="AH580">
        <v>16.622900000000001</v>
      </c>
      <c r="AI580">
        <f>Table7409[[#This Row],[CFNM]]/Table7409[[#This Row],[CAREA]]</f>
        <v>0.20997630283860669</v>
      </c>
      <c r="AJ580">
        <v>2.1153300000000002</v>
      </c>
      <c r="AK580">
        <f>-(Table8410[[#This Row],[time]]-2)*2</f>
        <v>-0.23066000000000031</v>
      </c>
      <c r="AL580">
        <v>83.245500000000007</v>
      </c>
      <c r="AM580">
        <v>21.883199999999999</v>
      </c>
      <c r="AN580">
        <f>Table8410[[#This Row],[CFNM]]/Table8410[[#This Row],[CAREA]]</f>
        <v>0.26287547074616641</v>
      </c>
    </row>
    <row r="581" spans="1:40" x14ac:dyDescent="0.25">
      <c r="A581">
        <v>2.16533</v>
      </c>
      <c r="B581">
        <f>-(Table1403[[#This Row],[time]]-2)*2</f>
        <v>-0.33065999999999995</v>
      </c>
      <c r="C581">
        <v>90.958500000000001</v>
      </c>
      <c r="D581">
        <v>8.9138999999999999</v>
      </c>
      <c r="E581">
        <f>Table1403[[#This Row],[CFNM]]/Table1403[[#This Row],[CAREA]]</f>
        <v>9.7999637197183326E-2</v>
      </c>
      <c r="F581">
        <v>2.16533</v>
      </c>
      <c r="G581">
        <f>-(Table2404[[#This Row],[time]]-2)*2</f>
        <v>-0.33065999999999995</v>
      </c>
      <c r="H581">
        <v>96.040899999999993</v>
      </c>
      <c r="I581">
        <v>4.9336099999999998</v>
      </c>
      <c r="J581">
        <f>Table2404[[#This Row],[CFNM]]/Table2404[[#This Row],[CAREA]]</f>
        <v>5.136988512185954E-2</v>
      </c>
      <c r="K581">
        <v>2.16533</v>
      </c>
      <c r="L581">
        <f>-(Table3405[[#This Row],[time]]-2)*2</f>
        <v>-0.33065999999999995</v>
      </c>
      <c r="M581">
        <v>89.2761</v>
      </c>
      <c r="N581">
        <v>1.88897</v>
      </c>
      <c r="O581">
        <f>Table3405[[#This Row],[CFNM]]/Table3405[[#This Row],[CAREA]]</f>
        <v>2.1158742373378767E-2</v>
      </c>
      <c r="P581">
        <v>2.16533</v>
      </c>
      <c r="Q581">
        <f>-(Table4406[[#This Row],[time]]-2)*2</f>
        <v>-0.33065999999999995</v>
      </c>
      <c r="R581">
        <v>86.526899999999998</v>
      </c>
      <c r="S581">
        <v>8.6660400000000006</v>
      </c>
      <c r="T581">
        <f>Table4406[[#This Row],[CFNM]]/Table4406[[#This Row],[CAREA]]</f>
        <v>0.10015428727944721</v>
      </c>
      <c r="U581">
        <v>2.16533</v>
      </c>
      <c r="V581">
        <f>-(Table5407[[#This Row],[time]]-2)*2</f>
        <v>-0.33065999999999995</v>
      </c>
      <c r="W581">
        <v>82.347700000000003</v>
      </c>
      <c r="X581">
        <v>5.5907099999999996</v>
      </c>
      <c r="Y581">
        <f>Table5407[[#This Row],[CFNM]]/Table5407[[#This Row],[CAREA]]</f>
        <v>6.7891513667048375E-2</v>
      </c>
      <c r="Z581">
        <v>2.16533</v>
      </c>
      <c r="AA581">
        <f>-(Table6408[[#This Row],[time]]-2)*2</f>
        <v>-0.33065999999999995</v>
      </c>
      <c r="AB581">
        <v>89.046300000000002</v>
      </c>
      <c r="AC581">
        <v>16.981300000000001</v>
      </c>
      <c r="AD581">
        <f>Table6408[[#This Row],[CFNM]]/Table6408[[#This Row],[CAREA]]</f>
        <v>0.19070191574495515</v>
      </c>
      <c r="AE581">
        <v>2.16533</v>
      </c>
      <c r="AF581">
        <f>-(Table7409[[#This Row],[time]]-2)*2</f>
        <v>-0.33065999999999995</v>
      </c>
      <c r="AG581">
        <v>79.360799999999998</v>
      </c>
      <c r="AH581">
        <v>15.029400000000001</v>
      </c>
      <c r="AI581">
        <f>Table7409[[#This Row],[CFNM]]/Table7409[[#This Row],[CAREA]]</f>
        <v>0.18938065140472377</v>
      </c>
      <c r="AJ581">
        <v>2.16533</v>
      </c>
      <c r="AK581">
        <f>-(Table8410[[#This Row],[time]]-2)*2</f>
        <v>-0.33065999999999995</v>
      </c>
      <c r="AL581">
        <v>83.202399999999997</v>
      </c>
      <c r="AM581">
        <v>23.4207</v>
      </c>
      <c r="AN581">
        <f>Table8410[[#This Row],[CFNM]]/Table8410[[#This Row],[CAREA]]</f>
        <v>0.28149067815351481</v>
      </c>
    </row>
    <row r="582" spans="1:40" x14ac:dyDescent="0.25">
      <c r="A582">
        <v>2.2246999999999999</v>
      </c>
      <c r="B582">
        <f>-(Table1403[[#This Row],[time]]-2)*2</f>
        <v>-0.4493999999999998</v>
      </c>
      <c r="C582">
        <v>90.896600000000007</v>
      </c>
      <c r="D582">
        <v>8.2012499999999999</v>
      </c>
      <c r="E582">
        <f>Table1403[[#This Row],[CFNM]]/Table1403[[#This Row],[CAREA]]</f>
        <v>9.0226147072607774E-2</v>
      </c>
      <c r="F582">
        <v>2.2246999999999999</v>
      </c>
      <c r="G582">
        <f>-(Table2404[[#This Row],[time]]-2)*2</f>
        <v>-0.4493999999999998</v>
      </c>
      <c r="H582">
        <v>96.069699999999997</v>
      </c>
      <c r="I582">
        <v>5.8327400000000003</v>
      </c>
      <c r="J582">
        <f>Table2404[[#This Row],[CFNM]]/Table2404[[#This Row],[CAREA]]</f>
        <v>6.0713627709881479E-2</v>
      </c>
      <c r="K582">
        <v>2.2246999999999999</v>
      </c>
      <c r="L582">
        <f>-(Table3405[[#This Row],[time]]-2)*2</f>
        <v>-0.4493999999999998</v>
      </c>
      <c r="M582">
        <v>88.982100000000003</v>
      </c>
      <c r="N582">
        <v>1.1634800000000001</v>
      </c>
      <c r="O582">
        <f>Table3405[[#This Row],[CFNM]]/Table3405[[#This Row],[CAREA]]</f>
        <v>1.3075438768021884E-2</v>
      </c>
      <c r="P582">
        <v>2.2246999999999999</v>
      </c>
      <c r="Q582">
        <f>-(Table4406[[#This Row],[time]]-2)*2</f>
        <v>-0.4493999999999998</v>
      </c>
      <c r="R582">
        <v>86.5839</v>
      </c>
      <c r="S582">
        <v>9.8076100000000004</v>
      </c>
      <c r="T582">
        <f>Table4406[[#This Row],[CFNM]]/Table4406[[#This Row],[CAREA]]</f>
        <v>0.11327290639483785</v>
      </c>
      <c r="U582">
        <v>2.2246999999999999</v>
      </c>
      <c r="V582">
        <f>-(Table5407[[#This Row],[time]]-2)*2</f>
        <v>-0.4493999999999998</v>
      </c>
      <c r="W582">
        <v>82.047700000000006</v>
      </c>
      <c r="X582">
        <v>4.3482700000000003</v>
      </c>
      <c r="Y582">
        <f>Table5407[[#This Row],[CFNM]]/Table5407[[#This Row],[CAREA]]</f>
        <v>5.2996854268919175E-2</v>
      </c>
      <c r="Z582">
        <v>2.2246999999999999</v>
      </c>
      <c r="AA582">
        <f>-(Table6408[[#This Row],[time]]-2)*2</f>
        <v>-0.4493999999999998</v>
      </c>
      <c r="AB582">
        <v>89.084800000000001</v>
      </c>
      <c r="AC582">
        <v>17.753299999999999</v>
      </c>
      <c r="AD582">
        <f>Table6408[[#This Row],[CFNM]]/Table6408[[#This Row],[CAREA]]</f>
        <v>0.19928539997844749</v>
      </c>
      <c r="AE582">
        <v>2.2246999999999999</v>
      </c>
      <c r="AF582">
        <f>-(Table7409[[#This Row],[time]]-2)*2</f>
        <v>-0.4493999999999998</v>
      </c>
      <c r="AG582">
        <v>79.529700000000005</v>
      </c>
      <c r="AH582">
        <v>13.422800000000001</v>
      </c>
      <c r="AI582">
        <f>Table7409[[#This Row],[CFNM]]/Table7409[[#This Row],[CAREA]]</f>
        <v>0.16877719895837656</v>
      </c>
      <c r="AJ582">
        <v>2.2246999999999999</v>
      </c>
      <c r="AK582">
        <f>-(Table8410[[#This Row],[time]]-2)*2</f>
        <v>-0.4493999999999998</v>
      </c>
      <c r="AL582">
        <v>83.133399999999995</v>
      </c>
      <c r="AM582">
        <v>25.103100000000001</v>
      </c>
      <c r="AN582">
        <f>Table8410[[#This Row],[CFNM]]/Table8410[[#This Row],[CAREA]]</f>
        <v>0.30196166643009914</v>
      </c>
    </row>
    <row r="583" spans="1:40" x14ac:dyDescent="0.25">
      <c r="A583">
        <v>2.2668900000000001</v>
      </c>
      <c r="B583">
        <f>-(Table1403[[#This Row],[time]]-2)*2</f>
        <v>-0.53378000000000014</v>
      </c>
      <c r="C583">
        <v>90.820700000000002</v>
      </c>
      <c r="D583">
        <v>7.4252900000000004</v>
      </c>
      <c r="E583">
        <f>Table1403[[#This Row],[CFNM]]/Table1403[[#This Row],[CAREA]]</f>
        <v>8.1757682995176217E-2</v>
      </c>
      <c r="F583">
        <v>2.2668900000000001</v>
      </c>
      <c r="G583">
        <f>-(Table2404[[#This Row],[time]]-2)*2</f>
        <v>-0.53378000000000014</v>
      </c>
      <c r="H583">
        <v>96.112899999999996</v>
      </c>
      <c r="I583">
        <v>6.9379099999999996</v>
      </c>
      <c r="J583">
        <f>Table2404[[#This Row],[CFNM]]/Table2404[[#This Row],[CAREA]]</f>
        <v>7.2185003261789005E-2</v>
      </c>
      <c r="K583">
        <v>2.2668900000000001</v>
      </c>
      <c r="L583">
        <f>-(Table3405[[#This Row],[time]]-2)*2</f>
        <v>-0.53378000000000014</v>
      </c>
      <c r="M583">
        <v>88.996799999999993</v>
      </c>
      <c r="N583">
        <v>0.53576400000000002</v>
      </c>
      <c r="O583">
        <f>Table3405[[#This Row],[CFNM]]/Table3405[[#This Row],[CAREA]]</f>
        <v>6.0200366754759732E-3</v>
      </c>
      <c r="P583">
        <v>2.2668900000000001</v>
      </c>
      <c r="Q583">
        <f>-(Table4406[[#This Row],[time]]-2)*2</f>
        <v>-0.53378000000000014</v>
      </c>
      <c r="R583">
        <v>86.613100000000003</v>
      </c>
      <c r="S583">
        <v>11.0625</v>
      </c>
      <c r="T583">
        <f>Table4406[[#This Row],[CFNM]]/Table4406[[#This Row],[CAREA]]</f>
        <v>0.12772317351532272</v>
      </c>
      <c r="U583">
        <v>2.2668900000000001</v>
      </c>
      <c r="V583">
        <f>-(Table5407[[#This Row],[time]]-2)*2</f>
        <v>-0.53378000000000014</v>
      </c>
      <c r="W583">
        <v>81.727699999999999</v>
      </c>
      <c r="X583">
        <v>3.1282999999999999</v>
      </c>
      <c r="Y583">
        <f>Table5407[[#This Row],[CFNM]]/Table5407[[#This Row],[CAREA]]</f>
        <v>3.8277108006220653E-2</v>
      </c>
      <c r="Z583">
        <v>2.2668900000000001</v>
      </c>
      <c r="AA583">
        <f>-(Table6408[[#This Row],[time]]-2)*2</f>
        <v>-0.53378000000000014</v>
      </c>
      <c r="AB583">
        <v>89.158500000000004</v>
      </c>
      <c r="AC583">
        <v>18.502300000000002</v>
      </c>
      <c r="AD583">
        <f>Table6408[[#This Row],[CFNM]]/Table6408[[#This Row],[CAREA]]</f>
        <v>0.20752143654278618</v>
      </c>
      <c r="AE583">
        <v>2.2668900000000001</v>
      </c>
      <c r="AF583">
        <f>-(Table7409[[#This Row],[time]]-2)*2</f>
        <v>-0.53378000000000014</v>
      </c>
      <c r="AG583">
        <v>79.695700000000002</v>
      </c>
      <c r="AH583">
        <v>11.8748</v>
      </c>
      <c r="AI583">
        <f>Table7409[[#This Row],[CFNM]]/Table7409[[#This Row],[CAREA]]</f>
        <v>0.14900176546538899</v>
      </c>
      <c r="AJ583">
        <v>2.2668900000000001</v>
      </c>
      <c r="AK583">
        <f>-(Table8410[[#This Row],[time]]-2)*2</f>
        <v>-0.53378000000000014</v>
      </c>
      <c r="AL583">
        <v>83.050200000000004</v>
      </c>
      <c r="AM583">
        <v>26.886099999999999</v>
      </c>
      <c r="AN583">
        <f>Table8410[[#This Row],[CFNM]]/Table8410[[#This Row],[CAREA]]</f>
        <v>0.32373311563367696</v>
      </c>
    </row>
    <row r="584" spans="1:40" x14ac:dyDescent="0.25">
      <c r="A584">
        <v>2.3262700000000001</v>
      </c>
      <c r="B584">
        <f>-(Table1403[[#This Row],[time]]-2)*2</f>
        <v>-0.65254000000000012</v>
      </c>
      <c r="C584">
        <v>90.755099999999999</v>
      </c>
      <c r="D584">
        <v>6.6174200000000001</v>
      </c>
      <c r="E584">
        <f>Table1403[[#This Row],[CFNM]]/Table1403[[#This Row],[CAREA]]</f>
        <v>7.2915130940299777E-2</v>
      </c>
      <c r="F584">
        <v>2.3262700000000001</v>
      </c>
      <c r="G584">
        <f>-(Table2404[[#This Row],[time]]-2)*2</f>
        <v>-0.65254000000000012</v>
      </c>
      <c r="H584">
        <v>96.169200000000004</v>
      </c>
      <c r="I584">
        <v>8.2276199999999999</v>
      </c>
      <c r="J584">
        <f>Table2404[[#This Row],[CFNM]]/Table2404[[#This Row],[CAREA]]</f>
        <v>8.5553586803259252E-2</v>
      </c>
      <c r="K584">
        <v>2.3262700000000001</v>
      </c>
      <c r="L584">
        <f>-(Table3405[[#This Row],[time]]-2)*2</f>
        <v>-0.65254000000000012</v>
      </c>
      <c r="M584">
        <v>89.056899999999999</v>
      </c>
      <c r="N584">
        <v>5.8498400000000002E-3</v>
      </c>
      <c r="O584">
        <f>Table3405[[#This Row],[CFNM]]/Table3405[[#This Row],[CAREA]]</f>
        <v>6.5686544220605031E-5</v>
      </c>
      <c r="P584">
        <v>2.3262700000000001</v>
      </c>
      <c r="Q584">
        <f>-(Table4406[[#This Row],[time]]-2)*2</f>
        <v>-0.65254000000000012</v>
      </c>
      <c r="R584">
        <v>86.623900000000006</v>
      </c>
      <c r="S584">
        <v>12.4635</v>
      </c>
      <c r="T584">
        <f>Table4406[[#This Row],[CFNM]]/Table4406[[#This Row],[CAREA]]</f>
        <v>0.14388061493421561</v>
      </c>
      <c r="U584">
        <v>2.3262700000000001</v>
      </c>
      <c r="V584">
        <f>-(Table5407[[#This Row],[time]]-2)*2</f>
        <v>-0.65254000000000012</v>
      </c>
      <c r="W584">
        <v>81.546999999999997</v>
      </c>
      <c r="X584">
        <v>1.97834</v>
      </c>
      <c r="Y584">
        <f>Table5407[[#This Row],[CFNM]]/Table5407[[#This Row],[CAREA]]</f>
        <v>2.4260119930837432E-2</v>
      </c>
      <c r="Z584">
        <v>2.3262700000000001</v>
      </c>
      <c r="AA584">
        <f>-(Table6408[[#This Row],[time]]-2)*2</f>
        <v>-0.65254000000000012</v>
      </c>
      <c r="AB584">
        <v>89.201899999999995</v>
      </c>
      <c r="AC584">
        <v>19.266200000000001</v>
      </c>
      <c r="AD584">
        <f>Table6408[[#This Row],[CFNM]]/Table6408[[#This Row],[CAREA]]</f>
        <v>0.21598418867759547</v>
      </c>
      <c r="AE584">
        <v>2.3262700000000001</v>
      </c>
      <c r="AF584">
        <f>-(Table7409[[#This Row],[time]]-2)*2</f>
        <v>-0.65254000000000012</v>
      </c>
      <c r="AG584">
        <v>79.628699999999995</v>
      </c>
      <c r="AH584">
        <v>10.3795</v>
      </c>
      <c r="AI584">
        <f>Table7409[[#This Row],[CFNM]]/Table7409[[#This Row],[CAREA]]</f>
        <v>0.13034873104797642</v>
      </c>
      <c r="AJ584">
        <v>2.3262700000000001</v>
      </c>
      <c r="AK584">
        <f>-(Table8410[[#This Row],[time]]-2)*2</f>
        <v>-0.65254000000000012</v>
      </c>
      <c r="AL584">
        <v>82.904899999999998</v>
      </c>
      <c r="AM584">
        <v>28.8567</v>
      </c>
      <c r="AN584">
        <f>Table8410[[#This Row],[CFNM]]/Table8410[[#This Row],[CAREA]]</f>
        <v>0.34806989695422103</v>
      </c>
    </row>
    <row r="585" spans="1:40" x14ac:dyDescent="0.25">
      <c r="A585">
        <v>2.3684599999999998</v>
      </c>
      <c r="B585">
        <f>-(Table1403[[#This Row],[time]]-2)*2</f>
        <v>-0.73691999999999958</v>
      </c>
      <c r="C585">
        <v>90.375299999999996</v>
      </c>
      <c r="D585">
        <v>6.00305</v>
      </c>
      <c r="E585">
        <f>Table1403[[#This Row],[CFNM]]/Table1403[[#This Row],[CAREA]]</f>
        <v>6.6423569271692601E-2</v>
      </c>
      <c r="F585">
        <v>2.3684599999999998</v>
      </c>
      <c r="G585">
        <f>-(Table2404[[#This Row],[time]]-2)*2</f>
        <v>-0.73691999999999958</v>
      </c>
      <c r="H585">
        <v>96.230400000000003</v>
      </c>
      <c r="I585">
        <v>9.5968</v>
      </c>
      <c r="J585">
        <f>Table2404[[#This Row],[CFNM]]/Table2404[[#This Row],[CAREA]]</f>
        <v>9.9727321096036173E-2</v>
      </c>
      <c r="K585">
        <v>2.3684599999999998</v>
      </c>
      <c r="L585">
        <f>-(Table3405[[#This Row],[time]]-2)*2</f>
        <v>-0.73691999999999958</v>
      </c>
      <c r="M585">
        <v>88.136700000000005</v>
      </c>
      <c r="N585">
        <v>4.4008800000000002E-3</v>
      </c>
      <c r="O585">
        <f>Table3405[[#This Row],[CFNM]]/Table3405[[#This Row],[CAREA]]</f>
        <v>4.9932434502312882E-5</v>
      </c>
      <c r="P585">
        <v>2.3684599999999998</v>
      </c>
      <c r="Q585">
        <f>-(Table4406[[#This Row],[time]]-2)*2</f>
        <v>-0.73691999999999958</v>
      </c>
      <c r="R585">
        <v>86.605199999999996</v>
      </c>
      <c r="S585">
        <v>13.9414</v>
      </c>
      <c r="T585">
        <f>Table4406[[#This Row],[CFNM]]/Table4406[[#This Row],[CAREA]]</f>
        <v>0.16097647716303409</v>
      </c>
      <c r="U585">
        <v>2.3684599999999998</v>
      </c>
      <c r="V585">
        <f>-(Table5407[[#This Row],[time]]-2)*2</f>
        <v>-0.73691999999999958</v>
      </c>
      <c r="W585">
        <v>81.804000000000002</v>
      </c>
      <c r="X585">
        <v>1.01576</v>
      </c>
      <c r="Y585">
        <f>Table5407[[#This Row],[CFNM]]/Table5407[[#This Row],[CAREA]]</f>
        <v>1.2416996723876583E-2</v>
      </c>
      <c r="Z585">
        <v>2.3684599999999998</v>
      </c>
      <c r="AA585">
        <f>-(Table6408[[#This Row],[time]]-2)*2</f>
        <v>-0.73691999999999958</v>
      </c>
      <c r="AB585">
        <v>88.4512</v>
      </c>
      <c r="AC585">
        <v>20.068300000000001</v>
      </c>
      <c r="AD585">
        <f>Table6408[[#This Row],[CFNM]]/Table6408[[#This Row],[CAREA]]</f>
        <v>0.22688555949495315</v>
      </c>
      <c r="AE585">
        <v>2.3684599999999998</v>
      </c>
      <c r="AF585">
        <f>-(Table7409[[#This Row],[time]]-2)*2</f>
        <v>-0.73691999999999958</v>
      </c>
      <c r="AG585">
        <v>80.0047</v>
      </c>
      <c r="AH585">
        <v>9.0385500000000008</v>
      </c>
      <c r="AI585">
        <f>Table7409[[#This Row],[CFNM]]/Table7409[[#This Row],[CAREA]]</f>
        <v>0.11297523770478485</v>
      </c>
      <c r="AJ585">
        <v>2.3684599999999998</v>
      </c>
      <c r="AK585">
        <f>-(Table8410[[#This Row],[time]]-2)*2</f>
        <v>-0.73691999999999958</v>
      </c>
      <c r="AL585">
        <v>82.883399999999995</v>
      </c>
      <c r="AM585">
        <v>30.795999999999999</v>
      </c>
      <c r="AN585">
        <f>Table8410[[#This Row],[CFNM]]/Table8410[[#This Row],[CAREA]]</f>
        <v>0.37155811658305526</v>
      </c>
    </row>
    <row r="586" spans="1:40" x14ac:dyDescent="0.25">
      <c r="A586">
        <v>2.4278300000000002</v>
      </c>
      <c r="B586">
        <f>-(Table1403[[#This Row],[time]]-2)*2</f>
        <v>-0.85566000000000031</v>
      </c>
      <c r="C586">
        <v>90.003900000000002</v>
      </c>
      <c r="D586">
        <v>5.4011800000000001</v>
      </c>
      <c r="E586">
        <f>Table1403[[#This Row],[CFNM]]/Table1403[[#This Row],[CAREA]]</f>
        <v>6.0010510655649364E-2</v>
      </c>
      <c r="F586">
        <v>2.4278300000000002</v>
      </c>
      <c r="G586">
        <f>-(Table2404[[#This Row],[time]]-2)*2</f>
        <v>-0.85566000000000031</v>
      </c>
      <c r="H586">
        <v>96.309100000000001</v>
      </c>
      <c r="I586">
        <v>11.1439</v>
      </c>
      <c r="J586">
        <f>Table2404[[#This Row],[CFNM]]/Table2404[[#This Row],[CAREA]]</f>
        <v>0.115709730440841</v>
      </c>
      <c r="K586">
        <v>2.4278300000000002</v>
      </c>
      <c r="L586">
        <f>-(Table3405[[#This Row],[time]]-2)*2</f>
        <v>-0.85566000000000031</v>
      </c>
      <c r="M586">
        <v>87.982299999999995</v>
      </c>
      <c r="N586">
        <v>4.0042999999999997E-3</v>
      </c>
      <c r="O586">
        <f>Table3405[[#This Row],[CFNM]]/Table3405[[#This Row],[CAREA]]</f>
        <v>4.5512563322395526E-5</v>
      </c>
      <c r="P586">
        <v>2.4278300000000002</v>
      </c>
      <c r="Q586">
        <f>-(Table4406[[#This Row],[time]]-2)*2</f>
        <v>-0.85566000000000031</v>
      </c>
      <c r="R586">
        <v>86.5685</v>
      </c>
      <c r="S586">
        <v>15.4938</v>
      </c>
      <c r="T586">
        <f>Table4406[[#This Row],[CFNM]]/Table4406[[#This Row],[CAREA]]</f>
        <v>0.17897734164274534</v>
      </c>
      <c r="U586">
        <v>2.4278300000000002</v>
      </c>
      <c r="V586">
        <f>-(Table5407[[#This Row],[time]]-2)*2</f>
        <v>-0.85566000000000031</v>
      </c>
      <c r="W586">
        <v>81.475899999999996</v>
      </c>
      <c r="X586">
        <v>0.233542</v>
      </c>
      <c r="Y586">
        <f>Table5407[[#This Row],[CFNM]]/Table5407[[#This Row],[CAREA]]</f>
        <v>2.86639362069029E-3</v>
      </c>
      <c r="Z586">
        <v>2.4278300000000002</v>
      </c>
      <c r="AA586">
        <f>-(Table6408[[#This Row],[time]]-2)*2</f>
        <v>-0.85566000000000031</v>
      </c>
      <c r="AB586">
        <v>87.748500000000007</v>
      </c>
      <c r="AC586">
        <v>21.0533</v>
      </c>
      <c r="AD586">
        <f>Table6408[[#This Row],[CFNM]]/Table6408[[#This Row],[CAREA]]</f>
        <v>0.23992774805267325</v>
      </c>
      <c r="AE586">
        <v>2.4278300000000002</v>
      </c>
      <c r="AF586">
        <f>-(Table7409[[#This Row],[time]]-2)*2</f>
        <v>-0.85566000000000031</v>
      </c>
      <c r="AG586">
        <v>79.957400000000007</v>
      </c>
      <c r="AH586">
        <v>7.8064200000000001</v>
      </c>
      <c r="AI586">
        <f>Table7409[[#This Row],[CFNM]]/Table7409[[#This Row],[CAREA]]</f>
        <v>9.763223916735661E-2</v>
      </c>
      <c r="AJ586">
        <v>2.4278300000000002</v>
      </c>
      <c r="AK586">
        <f>-(Table8410[[#This Row],[time]]-2)*2</f>
        <v>-0.85566000000000031</v>
      </c>
      <c r="AL586">
        <v>82.810699999999997</v>
      </c>
      <c r="AM586">
        <v>32.7318</v>
      </c>
      <c r="AN586">
        <f>Table8410[[#This Row],[CFNM]]/Table8410[[#This Row],[CAREA]]</f>
        <v>0.39526051585121247</v>
      </c>
    </row>
    <row r="587" spans="1:40" x14ac:dyDescent="0.25">
      <c r="A587">
        <v>2.4542000000000002</v>
      </c>
      <c r="B587">
        <f>-(Table1403[[#This Row],[time]]-2)*2</f>
        <v>-0.90840000000000032</v>
      </c>
      <c r="C587">
        <v>89.9589</v>
      </c>
      <c r="D587">
        <v>4.7872199999999996</v>
      </c>
      <c r="E587">
        <f>Table1403[[#This Row],[CFNM]]/Table1403[[#This Row],[CAREA]]</f>
        <v>5.3215635140047284E-2</v>
      </c>
      <c r="F587">
        <v>2.4542000000000002</v>
      </c>
      <c r="G587">
        <f>-(Table2404[[#This Row],[time]]-2)*2</f>
        <v>-0.90840000000000032</v>
      </c>
      <c r="H587">
        <v>96.372</v>
      </c>
      <c r="I587">
        <v>12.792199999999999</v>
      </c>
      <c r="J587">
        <f>Table2404[[#This Row],[CFNM]]/Table2404[[#This Row],[CAREA]]</f>
        <v>0.13273772465031336</v>
      </c>
      <c r="K587">
        <v>2.4542000000000002</v>
      </c>
      <c r="L587">
        <f>-(Table3405[[#This Row],[time]]-2)*2</f>
        <v>-0.90840000000000032</v>
      </c>
      <c r="M587">
        <v>87.881</v>
      </c>
      <c r="N587">
        <v>3.6057799999999998E-3</v>
      </c>
      <c r="O587">
        <f>Table3405[[#This Row],[CFNM]]/Table3405[[#This Row],[CAREA]]</f>
        <v>4.1030256824569585E-5</v>
      </c>
      <c r="P587">
        <v>2.4542000000000002</v>
      </c>
      <c r="Q587">
        <f>-(Table4406[[#This Row],[time]]-2)*2</f>
        <v>-0.90840000000000032</v>
      </c>
      <c r="R587">
        <v>86.495599999999996</v>
      </c>
      <c r="S587">
        <v>17.159500000000001</v>
      </c>
      <c r="T587">
        <f>Table4406[[#This Row],[CFNM]]/Table4406[[#This Row],[CAREA]]</f>
        <v>0.19838581384486612</v>
      </c>
      <c r="U587">
        <v>2.4542000000000002</v>
      </c>
      <c r="V587">
        <f>-(Table5407[[#This Row],[time]]-2)*2</f>
        <v>-0.90840000000000032</v>
      </c>
      <c r="W587">
        <v>81.230699999999999</v>
      </c>
      <c r="X587">
        <v>1.4527399999999999E-2</v>
      </c>
      <c r="Y587">
        <f>Table5407[[#This Row],[CFNM]]/Table5407[[#This Row],[CAREA]]</f>
        <v>1.7884125090636914E-4</v>
      </c>
      <c r="Z587">
        <v>2.4542000000000002</v>
      </c>
      <c r="AA587">
        <f>-(Table6408[[#This Row],[time]]-2)*2</f>
        <v>-0.90840000000000032</v>
      </c>
      <c r="AB587">
        <v>87.129300000000001</v>
      </c>
      <c r="AC587">
        <v>22.407699999999998</v>
      </c>
      <c r="AD587">
        <f>Table6408[[#This Row],[CFNM]]/Table6408[[#This Row],[CAREA]]</f>
        <v>0.25717755106491158</v>
      </c>
      <c r="AE587">
        <v>2.4542000000000002</v>
      </c>
      <c r="AF587">
        <f>-(Table7409[[#This Row],[time]]-2)*2</f>
        <v>-0.90840000000000032</v>
      </c>
      <c r="AG587">
        <v>79.751000000000005</v>
      </c>
      <c r="AH587">
        <v>6.66547</v>
      </c>
      <c r="AI587">
        <f>Table7409[[#This Row],[CFNM]]/Table7409[[#This Row],[CAREA]]</f>
        <v>8.357851312209251E-2</v>
      </c>
      <c r="AJ587">
        <v>2.4542000000000002</v>
      </c>
      <c r="AK587">
        <f>-(Table8410[[#This Row],[time]]-2)*2</f>
        <v>-0.90840000000000032</v>
      </c>
      <c r="AL587">
        <v>82.7517</v>
      </c>
      <c r="AM587">
        <v>34.642000000000003</v>
      </c>
      <c r="AN587">
        <f>Table8410[[#This Row],[CFNM]]/Table8410[[#This Row],[CAREA]]</f>
        <v>0.41862584091928023</v>
      </c>
    </row>
    <row r="588" spans="1:40" x14ac:dyDescent="0.25">
      <c r="A588">
        <v>2.5061499999999999</v>
      </c>
      <c r="B588">
        <f>-(Table1403[[#This Row],[time]]-2)*2</f>
        <v>-1.0122999999999998</v>
      </c>
      <c r="C588">
        <v>88.133899999999997</v>
      </c>
      <c r="D588">
        <v>4.1651199999999999</v>
      </c>
      <c r="E588">
        <f>Table1403[[#This Row],[CFNM]]/Table1403[[#This Row],[CAREA]]</f>
        <v>4.7259000225792804E-2</v>
      </c>
      <c r="F588">
        <v>2.5061499999999999</v>
      </c>
      <c r="G588">
        <f>-(Table2404[[#This Row],[time]]-2)*2</f>
        <v>-1.0122999999999998</v>
      </c>
      <c r="H588">
        <v>96.448700000000002</v>
      </c>
      <c r="I588">
        <v>14.576499999999999</v>
      </c>
      <c r="J588">
        <f>Table2404[[#This Row],[CFNM]]/Table2404[[#This Row],[CAREA]]</f>
        <v>0.15113215626545509</v>
      </c>
      <c r="K588">
        <v>2.5061499999999999</v>
      </c>
      <c r="L588">
        <f>-(Table3405[[#This Row],[time]]-2)*2</f>
        <v>-1.0122999999999998</v>
      </c>
      <c r="M588">
        <v>84.267200000000003</v>
      </c>
      <c r="N588">
        <v>3.2151200000000001E-3</v>
      </c>
      <c r="O588">
        <f>Table3405[[#This Row],[CFNM]]/Table3405[[#This Row],[CAREA]]</f>
        <v>3.8153872443845296E-5</v>
      </c>
      <c r="P588">
        <v>2.5061499999999999</v>
      </c>
      <c r="Q588">
        <f>-(Table4406[[#This Row],[time]]-2)*2</f>
        <v>-1.0122999999999998</v>
      </c>
      <c r="R588">
        <v>86.396199999999993</v>
      </c>
      <c r="S588">
        <v>18.961200000000002</v>
      </c>
      <c r="T588">
        <f>Table4406[[#This Row],[CFNM]]/Table4406[[#This Row],[CAREA]]</f>
        <v>0.21946798586048927</v>
      </c>
      <c r="U588">
        <v>2.5061499999999999</v>
      </c>
      <c r="V588">
        <f>-(Table5407[[#This Row],[time]]-2)*2</f>
        <v>-1.0122999999999998</v>
      </c>
      <c r="W588">
        <v>80.919300000000007</v>
      </c>
      <c r="X588">
        <v>4.8298400000000002E-3</v>
      </c>
      <c r="Y588">
        <f>Table5407[[#This Row],[CFNM]]/Table5407[[#This Row],[CAREA]]</f>
        <v>5.9687120377956802E-5</v>
      </c>
      <c r="Z588">
        <v>2.5061499999999999</v>
      </c>
      <c r="AA588">
        <f>-(Table6408[[#This Row],[time]]-2)*2</f>
        <v>-1.0122999999999998</v>
      </c>
      <c r="AB588">
        <v>86.962800000000001</v>
      </c>
      <c r="AC588">
        <v>23.995200000000001</v>
      </c>
      <c r="AD588">
        <f>Table6408[[#This Row],[CFNM]]/Table6408[[#This Row],[CAREA]]</f>
        <v>0.27592487822379225</v>
      </c>
      <c r="AE588">
        <v>2.5061499999999999</v>
      </c>
      <c r="AF588">
        <f>-(Table7409[[#This Row],[time]]-2)*2</f>
        <v>-1.0122999999999998</v>
      </c>
      <c r="AG588">
        <v>79.412599999999998</v>
      </c>
      <c r="AH588">
        <v>5.6527599999999998</v>
      </c>
      <c r="AI588">
        <f>Table7409[[#This Row],[CFNM]]/Table7409[[#This Row],[CAREA]]</f>
        <v>7.1182154972888434E-2</v>
      </c>
      <c r="AJ588">
        <v>2.5061499999999999</v>
      </c>
      <c r="AK588">
        <f>-(Table8410[[#This Row],[time]]-2)*2</f>
        <v>-1.0122999999999998</v>
      </c>
      <c r="AL588">
        <v>82.763199999999998</v>
      </c>
      <c r="AM588">
        <v>36.583100000000002</v>
      </c>
      <c r="AN588">
        <f>Table8410[[#This Row],[CFNM]]/Table8410[[#This Row],[CAREA]]</f>
        <v>0.44202133315289893</v>
      </c>
    </row>
    <row r="589" spans="1:40" x14ac:dyDescent="0.25">
      <c r="A589">
        <v>2.5507599999999999</v>
      </c>
      <c r="B589">
        <f>-(Table1403[[#This Row],[time]]-2)*2</f>
        <v>-1.1015199999999998</v>
      </c>
      <c r="C589">
        <v>85.930499999999995</v>
      </c>
      <c r="D589">
        <v>3.37758</v>
      </c>
      <c r="E589">
        <f>Table1403[[#This Row],[CFNM]]/Table1403[[#This Row],[CAREA]]</f>
        <v>3.9305950739260222E-2</v>
      </c>
      <c r="F589">
        <v>2.5507599999999999</v>
      </c>
      <c r="G589">
        <f>-(Table2404[[#This Row],[time]]-2)*2</f>
        <v>-1.1015199999999998</v>
      </c>
      <c r="H589">
        <v>96.274199999999993</v>
      </c>
      <c r="I589">
        <v>17.0108</v>
      </c>
      <c r="J589">
        <f>Table2404[[#This Row],[CFNM]]/Table2404[[#This Row],[CAREA]]</f>
        <v>0.17669115920984024</v>
      </c>
      <c r="K589">
        <v>2.5507599999999999</v>
      </c>
      <c r="L589">
        <f>-(Table3405[[#This Row],[time]]-2)*2</f>
        <v>-1.1015199999999998</v>
      </c>
      <c r="M589">
        <v>78.8249</v>
      </c>
      <c r="N589">
        <v>2.83045E-3</v>
      </c>
      <c r="O589">
        <f>Table3405[[#This Row],[CFNM]]/Table3405[[#This Row],[CAREA]]</f>
        <v>3.5908069658191767E-5</v>
      </c>
      <c r="P589">
        <v>2.5507599999999999</v>
      </c>
      <c r="Q589">
        <f>-(Table4406[[#This Row],[time]]-2)*2</f>
        <v>-1.1015199999999998</v>
      </c>
      <c r="R589">
        <v>86.282799999999995</v>
      </c>
      <c r="S589">
        <v>21.364999999999998</v>
      </c>
      <c r="T589">
        <f>Table4406[[#This Row],[CFNM]]/Table4406[[#This Row],[CAREA]]</f>
        <v>0.24761597908273722</v>
      </c>
      <c r="U589">
        <v>2.5507599999999999</v>
      </c>
      <c r="V589">
        <f>-(Table5407[[#This Row],[time]]-2)*2</f>
        <v>-1.1015199999999998</v>
      </c>
      <c r="W589">
        <v>80.739500000000007</v>
      </c>
      <c r="X589">
        <v>4.5325399999999998E-3</v>
      </c>
      <c r="Y589">
        <f>Table5407[[#This Row],[CFNM]]/Table5407[[#This Row],[CAREA]]</f>
        <v>5.6137825971178905E-5</v>
      </c>
      <c r="Z589">
        <v>2.5507599999999999</v>
      </c>
      <c r="AA589">
        <f>-(Table6408[[#This Row],[time]]-2)*2</f>
        <v>-1.1015199999999998</v>
      </c>
      <c r="AB589">
        <v>86.607299999999995</v>
      </c>
      <c r="AC589">
        <v>26.3553</v>
      </c>
      <c r="AD589">
        <f>Table6408[[#This Row],[CFNM]]/Table6408[[#This Row],[CAREA]]</f>
        <v>0.30430806641010633</v>
      </c>
      <c r="AE589">
        <v>2.5507599999999999</v>
      </c>
      <c r="AF589">
        <f>-(Table7409[[#This Row],[time]]-2)*2</f>
        <v>-1.1015199999999998</v>
      </c>
      <c r="AG589">
        <v>78.907399999999996</v>
      </c>
      <c r="AH589">
        <v>4.5994999999999999</v>
      </c>
      <c r="AI589">
        <f>Table7409[[#This Row],[CFNM]]/Table7409[[#This Row],[CAREA]]</f>
        <v>5.8289843538121902E-2</v>
      </c>
      <c r="AJ589">
        <v>2.5507599999999999</v>
      </c>
      <c r="AK589">
        <f>-(Table8410[[#This Row],[time]]-2)*2</f>
        <v>-1.1015199999999998</v>
      </c>
      <c r="AL589">
        <v>82.779600000000002</v>
      </c>
      <c r="AM589">
        <v>39.048200000000001</v>
      </c>
      <c r="AN589">
        <f>Table8410[[#This Row],[CFNM]]/Table8410[[#This Row],[CAREA]]</f>
        <v>0.47171283746236997</v>
      </c>
    </row>
    <row r="590" spans="1:40" x14ac:dyDescent="0.25">
      <c r="A590">
        <v>2.60453</v>
      </c>
      <c r="B590">
        <f>-(Table1403[[#This Row],[time]]-2)*2</f>
        <v>-1.20906</v>
      </c>
      <c r="C590">
        <v>85.462500000000006</v>
      </c>
      <c r="D590">
        <v>2.7736499999999999</v>
      </c>
      <c r="E590">
        <f>Table1403[[#This Row],[CFNM]]/Table1403[[#This Row],[CAREA]]</f>
        <v>3.2454585344449317E-2</v>
      </c>
      <c r="F590">
        <v>2.60453</v>
      </c>
      <c r="G590">
        <f>-(Table2404[[#This Row],[time]]-2)*2</f>
        <v>-1.20906</v>
      </c>
      <c r="H590">
        <v>96.394300000000001</v>
      </c>
      <c r="I590">
        <v>18.926200000000001</v>
      </c>
      <c r="J590">
        <f>Table2404[[#This Row],[CFNM]]/Table2404[[#This Row],[CAREA]]</f>
        <v>0.19634148492182629</v>
      </c>
      <c r="K590">
        <v>2.60453</v>
      </c>
      <c r="L590">
        <f>-(Table3405[[#This Row],[time]]-2)*2</f>
        <v>-1.20906</v>
      </c>
      <c r="M590">
        <v>74.760199999999998</v>
      </c>
      <c r="N590">
        <v>2.5982599999999998E-3</v>
      </c>
      <c r="O590">
        <f>Table3405[[#This Row],[CFNM]]/Table3405[[#This Row],[CAREA]]</f>
        <v>3.4754588671512381E-5</v>
      </c>
      <c r="P590">
        <v>2.60453</v>
      </c>
      <c r="Q590">
        <f>-(Table4406[[#This Row],[time]]-2)*2</f>
        <v>-1.20906</v>
      </c>
      <c r="R590">
        <v>86.231499999999997</v>
      </c>
      <c r="S590">
        <v>23.214500000000001</v>
      </c>
      <c r="T590">
        <f>Table4406[[#This Row],[CFNM]]/Table4406[[#This Row],[CAREA]]</f>
        <v>0.26921136707583659</v>
      </c>
      <c r="U590">
        <v>2.60453</v>
      </c>
      <c r="V590">
        <f>-(Table5407[[#This Row],[time]]-2)*2</f>
        <v>-1.20906</v>
      </c>
      <c r="W590">
        <v>80.637200000000007</v>
      </c>
      <c r="X590">
        <v>4.2866900000000001E-3</v>
      </c>
      <c r="Y590">
        <f>Table5407[[#This Row],[CFNM]]/Table5407[[#This Row],[CAREA]]</f>
        <v>5.3160203975336444E-5</v>
      </c>
      <c r="Z590">
        <v>2.60453</v>
      </c>
      <c r="AA590">
        <f>-(Table6408[[#This Row],[time]]-2)*2</f>
        <v>-1.20906</v>
      </c>
      <c r="AB590">
        <v>86.1875</v>
      </c>
      <c r="AC590">
        <v>28.177199999999999</v>
      </c>
      <c r="AD590">
        <f>Table6408[[#This Row],[CFNM]]/Table6408[[#This Row],[CAREA]]</f>
        <v>0.32692907904278462</v>
      </c>
      <c r="AE590">
        <v>2.60453</v>
      </c>
      <c r="AF590">
        <f>-(Table7409[[#This Row],[time]]-2)*2</f>
        <v>-1.20906</v>
      </c>
      <c r="AG590">
        <v>78.257300000000001</v>
      </c>
      <c r="AH590">
        <v>3.9725999999999999</v>
      </c>
      <c r="AI590">
        <f>Table7409[[#This Row],[CFNM]]/Table7409[[#This Row],[CAREA]]</f>
        <v>5.0763315371217761E-2</v>
      </c>
      <c r="AJ590">
        <v>2.60453</v>
      </c>
      <c r="AK590">
        <f>-(Table8410[[#This Row],[time]]-2)*2</f>
        <v>-1.20906</v>
      </c>
      <c r="AL590">
        <v>82.841200000000001</v>
      </c>
      <c r="AM590">
        <v>40.885899999999999</v>
      </c>
      <c r="AN590">
        <f>Table8410[[#This Row],[CFNM]]/Table8410[[#This Row],[CAREA]]</f>
        <v>0.49354548219967842</v>
      </c>
    </row>
    <row r="591" spans="1:40" x14ac:dyDescent="0.25">
      <c r="A591">
        <v>2.65273</v>
      </c>
      <c r="B591">
        <f>-(Table1403[[#This Row],[time]]-2)*2</f>
        <v>-1.3054600000000001</v>
      </c>
      <c r="C591">
        <v>83.810900000000004</v>
      </c>
      <c r="D591">
        <v>2.2934399999999999</v>
      </c>
      <c r="E591">
        <f>Table1403[[#This Row],[CFNM]]/Table1403[[#This Row],[CAREA]]</f>
        <v>2.7364459754041538E-2</v>
      </c>
      <c r="F591">
        <v>2.65273</v>
      </c>
      <c r="G591">
        <f>-(Table2404[[#This Row],[time]]-2)*2</f>
        <v>-1.3054600000000001</v>
      </c>
      <c r="H591">
        <v>96.491</v>
      </c>
      <c r="I591">
        <v>20.710999999999999</v>
      </c>
      <c r="J591">
        <f>Table2404[[#This Row],[CFNM]]/Table2404[[#This Row],[CAREA]]</f>
        <v>0.21464178006238924</v>
      </c>
      <c r="K591">
        <v>2.65273</v>
      </c>
      <c r="L591">
        <f>-(Table3405[[#This Row],[time]]-2)*2</f>
        <v>-1.3054600000000001</v>
      </c>
      <c r="M591">
        <v>73.000699999999995</v>
      </c>
      <c r="N591">
        <v>2.3979299999999999E-3</v>
      </c>
      <c r="O591">
        <f>Table3405[[#This Row],[CFNM]]/Table3405[[#This Row],[CAREA]]</f>
        <v>3.2848041183166741E-5</v>
      </c>
      <c r="P591">
        <v>2.65273</v>
      </c>
      <c r="Q591">
        <f>-(Table4406[[#This Row],[time]]-2)*2</f>
        <v>-1.3054600000000001</v>
      </c>
      <c r="R591">
        <v>86.150700000000001</v>
      </c>
      <c r="S591">
        <v>24.942900000000002</v>
      </c>
      <c r="T591">
        <f>Table4406[[#This Row],[CFNM]]/Table4406[[#This Row],[CAREA]]</f>
        <v>0.28952637645428303</v>
      </c>
      <c r="U591">
        <v>2.65273</v>
      </c>
      <c r="V591">
        <f>-(Table5407[[#This Row],[time]]-2)*2</f>
        <v>-1.3054600000000001</v>
      </c>
      <c r="W591">
        <v>80.492000000000004</v>
      </c>
      <c r="X591">
        <v>4.0518300000000002E-3</v>
      </c>
      <c r="Y591">
        <f>Table5407[[#This Row],[CFNM]]/Table5407[[#This Row],[CAREA]]</f>
        <v>5.0338294488893305E-5</v>
      </c>
      <c r="Z591">
        <v>2.65273</v>
      </c>
      <c r="AA591">
        <f>-(Table6408[[#This Row],[time]]-2)*2</f>
        <v>-1.3054600000000001</v>
      </c>
      <c r="AB591">
        <v>85.351100000000002</v>
      </c>
      <c r="AC591">
        <v>29.901900000000001</v>
      </c>
      <c r="AD591">
        <f>Table6408[[#This Row],[CFNM]]/Table6408[[#This Row],[CAREA]]</f>
        <v>0.35033994875285734</v>
      </c>
      <c r="AE591">
        <v>2.65273</v>
      </c>
      <c r="AF591">
        <f>-(Table7409[[#This Row],[time]]-2)*2</f>
        <v>-1.3054600000000001</v>
      </c>
      <c r="AG591">
        <v>77.702299999999994</v>
      </c>
      <c r="AH591">
        <v>3.4548199999999998</v>
      </c>
      <c r="AI591">
        <f>Table7409[[#This Row],[CFNM]]/Table7409[[#This Row],[CAREA]]</f>
        <v>4.446226173485212E-2</v>
      </c>
      <c r="AJ591">
        <v>2.65273</v>
      </c>
      <c r="AK591">
        <f>-(Table8410[[#This Row],[time]]-2)*2</f>
        <v>-1.3054600000000001</v>
      </c>
      <c r="AL591">
        <v>82.9499</v>
      </c>
      <c r="AM591">
        <v>42.548099999999998</v>
      </c>
      <c r="AN591">
        <f>Table8410[[#This Row],[CFNM]]/Table8410[[#This Row],[CAREA]]</f>
        <v>0.51293732723005092</v>
      </c>
    </row>
    <row r="592" spans="1:40" x14ac:dyDescent="0.25">
      <c r="A592">
        <v>2.7006199999999998</v>
      </c>
      <c r="B592">
        <f>-(Table1403[[#This Row],[time]]-2)*2</f>
        <v>-1.4012399999999996</v>
      </c>
      <c r="C592">
        <v>79.956999999999994</v>
      </c>
      <c r="D592">
        <v>1.6943900000000001</v>
      </c>
      <c r="E592">
        <f>Table1403[[#This Row],[CFNM]]/Table1403[[#This Row],[CAREA]]</f>
        <v>2.1191265305101493E-2</v>
      </c>
      <c r="F592">
        <v>2.7006199999999998</v>
      </c>
      <c r="G592">
        <f>-(Table2404[[#This Row],[time]]-2)*2</f>
        <v>-1.4012399999999996</v>
      </c>
      <c r="H592">
        <v>96.6584</v>
      </c>
      <c r="I592">
        <v>23.137899999999998</v>
      </c>
      <c r="J592">
        <f>Table2404[[#This Row],[CFNM]]/Table2404[[#This Row],[CAREA]]</f>
        <v>0.23937805715799143</v>
      </c>
      <c r="K592">
        <v>2.7006199999999998</v>
      </c>
      <c r="L592">
        <f>-(Table3405[[#This Row],[time]]-2)*2</f>
        <v>-1.4012399999999996</v>
      </c>
      <c r="M592">
        <v>69.267399999999995</v>
      </c>
      <c r="N592">
        <v>2.1570600000000001E-3</v>
      </c>
      <c r="O592">
        <f>Table3405[[#This Row],[CFNM]]/Table3405[[#This Row],[CAREA]]</f>
        <v>3.114105625445737E-5</v>
      </c>
      <c r="P592">
        <v>2.7006199999999998</v>
      </c>
      <c r="Q592">
        <f>-(Table4406[[#This Row],[time]]-2)*2</f>
        <v>-1.4012399999999996</v>
      </c>
      <c r="R592">
        <v>86.009699999999995</v>
      </c>
      <c r="S592">
        <v>27.256399999999999</v>
      </c>
      <c r="T592">
        <f>Table4406[[#This Row],[CFNM]]/Table4406[[#This Row],[CAREA]]</f>
        <v>0.31689914044578693</v>
      </c>
      <c r="U592">
        <v>2.7006199999999998</v>
      </c>
      <c r="V592">
        <f>-(Table5407[[#This Row],[time]]-2)*2</f>
        <v>-1.4012399999999996</v>
      </c>
      <c r="W592">
        <v>79.618799999999993</v>
      </c>
      <c r="X592">
        <v>3.7254800000000002E-3</v>
      </c>
      <c r="Y592">
        <f>Table5407[[#This Row],[CFNM]]/Table5407[[#This Row],[CAREA]]</f>
        <v>4.6791461313157202E-5</v>
      </c>
      <c r="Z592">
        <v>2.7006199999999998</v>
      </c>
      <c r="AA592">
        <f>-(Table6408[[#This Row],[time]]-2)*2</f>
        <v>-1.4012399999999996</v>
      </c>
      <c r="AB592">
        <v>85.246700000000004</v>
      </c>
      <c r="AC592">
        <v>32.211599999999997</v>
      </c>
      <c r="AD592">
        <f>Table6408[[#This Row],[CFNM]]/Table6408[[#This Row],[CAREA]]</f>
        <v>0.37786330731864104</v>
      </c>
      <c r="AE592">
        <v>2.7006199999999998</v>
      </c>
      <c r="AF592">
        <f>-(Table7409[[#This Row],[time]]-2)*2</f>
        <v>-1.4012399999999996</v>
      </c>
      <c r="AG592">
        <v>77.014799999999994</v>
      </c>
      <c r="AH592">
        <v>2.8900399999999999</v>
      </c>
      <c r="AI592">
        <f>Table7409[[#This Row],[CFNM]]/Table7409[[#This Row],[CAREA]]</f>
        <v>3.752577426676431E-2</v>
      </c>
      <c r="AJ592">
        <v>2.7006199999999998</v>
      </c>
      <c r="AK592">
        <f>-(Table8410[[#This Row],[time]]-2)*2</f>
        <v>-1.4012399999999996</v>
      </c>
      <c r="AL592">
        <v>82.994</v>
      </c>
      <c r="AM592">
        <v>44.761499999999998</v>
      </c>
      <c r="AN592">
        <f>Table8410[[#This Row],[CFNM]]/Table8410[[#This Row],[CAREA]]</f>
        <v>0.53933416873508921</v>
      </c>
    </row>
    <row r="593" spans="1:40" x14ac:dyDescent="0.25">
      <c r="A593">
        <v>2.75176</v>
      </c>
      <c r="B593">
        <f>-(Table1403[[#This Row],[time]]-2)*2</f>
        <v>-1.50352</v>
      </c>
      <c r="C593">
        <v>73.908699999999996</v>
      </c>
      <c r="D593">
        <v>0.93481999999999998</v>
      </c>
      <c r="E593">
        <f>Table1403[[#This Row],[CFNM]]/Table1403[[#This Row],[CAREA]]</f>
        <v>1.2648307979980707E-2</v>
      </c>
      <c r="F593">
        <v>2.75176</v>
      </c>
      <c r="G593">
        <f>-(Table2404[[#This Row],[time]]-2)*2</f>
        <v>-1.50352</v>
      </c>
      <c r="H593">
        <v>96.908699999999996</v>
      </c>
      <c r="I593">
        <v>26.826499999999999</v>
      </c>
      <c r="J593">
        <f>Table2404[[#This Row],[CFNM]]/Table2404[[#This Row],[CAREA]]</f>
        <v>0.27682241119734347</v>
      </c>
      <c r="K593">
        <v>2.75176</v>
      </c>
      <c r="L593">
        <f>-(Table3405[[#This Row],[time]]-2)*2</f>
        <v>-1.50352</v>
      </c>
      <c r="M593">
        <v>66.034300000000002</v>
      </c>
      <c r="N593">
        <v>1.8360399999999999E-3</v>
      </c>
      <c r="O593">
        <f>Table3405[[#This Row],[CFNM]]/Table3405[[#This Row],[CAREA]]</f>
        <v>2.7804338048559611E-5</v>
      </c>
      <c r="P593">
        <v>2.75176</v>
      </c>
      <c r="Q593">
        <f>-(Table4406[[#This Row],[time]]-2)*2</f>
        <v>-1.50352</v>
      </c>
      <c r="R593">
        <v>85.654700000000005</v>
      </c>
      <c r="S593">
        <v>30.720600000000001</v>
      </c>
      <c r="T593">
        <f>Table4406[[#This Row],[CFNM]]/Table4406[[#This Row],[CAREA]]</f>
        <v>0.35865632592257052</v>
      </c>
      <c r="U593">
        <v>2.75176</v>
      </c>
      <c r="V593">
        <f>-(Table5407[[#This Row],[time]]-2)*2</f>
        <v>-1.50352</v>
      </c>
      <c r="W593">
        <v>78.671899999999994</v>
      </c>
      <c r="X593">
        <v>3.2376699999999998E-3</v>
      </c>
      <c r="Y593">
        <f>Table5407[[#This Row],[CFNM]]/Table5407[[#This Row],[CAREA]]</f>
        <v>4.1154084241006002E-5</v>
      </c>
      <c r="Z593">
        <v>2.75176</v>
      </c>
      <c r="AA593">
        <f>-(Table6408[[#This Row],[time]]-2)*2</f>
        <v>-1.50352</v>
      </c>
      <c r="AB593">
        <v>85.018799999999999</v>
      </c>
      <c r="AC593">
        <v>35.745600000000003</v>
      </c>
      <c r="AD593">
        <f>Table6408[[#This Row],[CFNM]]/Table6408[[#This Row],[CAREA]]</f>
        <v>0.42044347838360463</v>
      </c>
      <c r="AE593">
        <v>2.75176</v>
      </c>
      <c r="AF593">
        <f>-(Table7409[[#This Row],[time]]-2)*2</f>
        <v>-1.50352</v>
      </c>
      <c r="AG593">
        <v>76.035499999999999</v>
      </c>
      <c r="AH593">
        <v>2.1408999999999998</v>
      </c>
      <c r="AI593">
        <f>Table7409[[#This Row],[CFNM]]/Table7409[[#This Row],[CAREA]]</f>
        <v>2.81565847531745E-2</v>
      </c>
      <c r="AJ593">
        <v>2.75176</v>
      </c>
      <c r="AK593">
        <f>-(Table8410[[#This Row],[time]]-2)*2</f>
        <v>-1.50352</v>
      </c>
      <c r="AL593">
        <v>83.091899999999995</v>
      </c>
      <c r="AM593">
        <v>48.006900000000002</v>
      </c>
      <c r="AN593">
        <f>Table8410[[#This Row],[CFNM]]/Table8410[[#This Row],[CAREA]]</f>
        <v>0.57775667664357178</v>
      </c>
    </row>
    <row r="594" spans="1:40" x14ac:dyDescent="0.25">
      <c r="A594">
        <v>2.80444</v>
      </c>
      <c r="B594">
        <f>-(Table1403[[#This Row],[time]]-2)*2</f>
        <v>-1.6088800000000001</v>
      </c>
      <c r="C594">
        <v>70.957800000000006</v>
      </c>
      <c r="D594">
        <v>0.525976</v>
      </c>
      <c r="E594">
        <f>Table1403[[#This Row],[CFNM]]/Table1403[[#This Row],[CAREA]]</f>
        <v>7.4125184264450129E-3</v>
      </c>
      <c r="F594">
        <v>2.80444</v>
      </c>
      <c r="G594">
        <f>-(Table2404[[#This Row],[time]]-2)*2</f>
        <v>-1.6088800000000001</v>
      </c>
      <c r="H594">
        <v>97.035399999999996</v>
      </c>
      <c r="I594">
        <v>28.866700000000002</v>
      </c>
      <c r="J594">
        <f>Table2404[[#This Row],[CFNM]]/Table2404[[#This Row],[CAREA]]</f>
        <v>0.29748627820362467</v>
      </c>
      <c r="K594">
        <v>2.80444</v>
      </c>
      <c r="L594">
        <f>-(Table3405[[#This Row],[time]]-2)*2</f>
        <v>-1.6088800000000001</v>
      </c>
      <c r="M594">
        <v>62.811300000000003</v>
      </c>
      <c r="N594">
        <v>1.6737E-3</v>
      </c>
      <c r="O594">
        <f>Table3405[[#This Row],[CFNM]]/Table3405[[#This Row],[CAREA]]</f>
        <v>2.6646479216319356E-5</v>
      </c>
      <c r="P594">
        <v>2.80444</v>
      </c>
      <c r="Q594">
        <f>-(Table4406[[#This Row],[time]]-2)*2</f>
        <v>-1.6088800000000001</v>
      </c>
      <c r="R594">
        <v>85.389600000000002</v>
      </c>
      <c r="S594">
        <v>32.543900000000001</v>
      </c>
      <c r="T594">
        <f>Table4406[[#This Row],[CFNM]]/Table4406[[#This Row],[CAREA]]</f>
        <v>0.38112252545977499</v>
      </c>
      <c r="U594">
        <v>2.80444</v>
      </c>
      <c r="V594">
        <f>-(Table5407[[#This Row],[time]]-2)*2</f>
        <v>-1.6088800000000001</v>
      </c>
      <c r="W594">
        <v>78.443899999999999</v>
      </c>
      <c r="X594">
        <v>2.9956200000000001E-3</v>
      </c>
      <c r="Y594">
        <f>Table5407[[#This Row],[CFNM]]/Table5407[[#This Row],[CAREA]]</f>
        <v>3.8188055412849183E-5</v>
      </c>
      <c r="Z594">
        <v>2.80444</v>
      </c>
      <c r="AA594">
        <f>-(Table6408[[#This Row],[time]]-2)*2</f>
        <v>-1.6088800000000001</v>
      </c>
      <c r="AB594">
        <v>84.801900000000003</v>
      </c>
      <c r="AC594">
        <v>37.653500000000001</v>
      </c>
      <c r="AD594">
        <f>Table6408[[#This Row],[CFNM]]/Table6408[[#This Row],[CAREA]]</f>
        <v>0.44401717414350383</v>
      </c>
      <c r="AE594">
        <v>2.80444</v>
      </c>
      <c r="AF594">
        <f>-(Table7409[[#This Row],[time]]-2)*2</f>
        <v>-1.6088800000000001</v>
      </c>
      <c r="AG594">
        <v>75.538200000000003</v>
      </c>
      <c r="AH594">
        <v>1.7424599999999999</v>
      </c>
      <c r="AI594">
        <f>Table7409[[#This Row],[CFNM]]/Table7409[[#This Row],[CAREA]]</f>
        <v>2.3067269275677735E-2</v>
      </c>
      <c r="AJ594">
        <v>2.80444</v>
      </c>
      <c r="AK594">
        <f>-(Table8410[[#This Row],[time]]-2)*2</f>
        <v>-1.6088800000000001</v>
      </c>
      <c r="AL594">
        <v>82.936899999999994</v>
      </c>
      <c r="AM594">
        <v>49.672699999999999</v>
      </c>
      <c r="AN594">
        <f>Table8410[[#This Row],[CFNM]]/Table8410[[#This Row],[CAREA]]</f>
        <v>0.59892158978693444</v>
      </c>
    </row>
    <row r="595" spans="1:40" x14ac:dyDescent="0.25">
      <c r="A595">
        <v>2.8583699999999999</v>
      </c>
      <c r="B595">
        <f>-(Table1403[[#This Row],[time]]-2)*2</f>
        <v>-1.7167399999999997</v>
      </c>
      <c r="C595">
        <v>64.896600000000007</v>
      </c>
      <c r="D595">
        <v>3.5714499999999999E-3</v>
      </c>
      <c r="E595">
        <f>Table1403[[#This Row],[CFNM]]/Table1403[[#This Row],[CAREA]]</f>
        <v>5.5032929306003695E-5</v>
      </c>
      <c r="F595">
        <v>2.8583699999999999</v>
      </c>
      <c r="G595">
        <f>-(Table2404[[#This Row],[time]]-2)*2</f>
        <v>-1.7167399999999997</v>
      </c>
      <c r="H595">
        <v>97.194900000000004</v>
      </c>
      <c r="I595">
        <v>31.913599999999999</v>
      </c>
      <c r="J595">
        <f>Table2404[[#This Row],[CFNM]]/Table2404[[#This Row],[CAREA]]</f>
        <v>0.32834644616126973</v>
      </c>
      <c r="K595">
        <v>2.8583699999999999</v>
      </c>
      <c r="L595">
        <f>-(Table3405[[#This Row],[time]]-2)*2</f>
        <v>-1.7167399999999997</v>
      </c>
      <c r="M595">
        <v>59.726900000000001</v>
      </c>
      <c r="N595">
        <v>1.43614E-3</v>
      </c>
      <c r="O595">
        <f>Table3405[[#This Row],[CFNM]]/Table3405[[#This Row],[CAREA]]</f>
        <v>2.4045112001459981E-5</v>
      </c>
      <c r="P595">
        <v>2.8583699999999999</v>
      </c>
      <c r="Q595">
        <f>-(Table4406[[#This Row],[time]]-2)*2</f>
        <v>-1.7167399999999997</v>
      </c>
      <c r="R595">
        <v>84.715400000000002</v>
      </c>
      <c r="S595">
        <v>35.272799999999997</v>
      </c>
      <c r="T595">
        <f>Table4406[[#This Row],[CFNM]]/Table4406[[#This Row],[CAREA]]</f>
        <v>0.41636821640457339</v>
      </c>
      <c r="U595">
        <v>2.8583699999999999</v>
      </c>
      <c r="V595">
        <f>-(Table5407[[#This Row],[time]]-2)*2</f>
        <v>-1.7167399999999997</v>
      </c>
      <c r="W595">
        <v>77.475800000000007</v>
      </c>
      <c r="X595">
        <v>2.6839300000000002E-3</v>
      </c>
      <c r="Y595">
        <f>Table5407[[#This Row],[CFNM]]/Table5407[[#This Row],[CAREA]]</f>
        <v>3.4642172136331601E-5</v>
      </c>
      <c r="Z595">
        <v>2.8583699999999999</v>
      </c>
      <c r="AA595">
        <f>-(Table6408[[#This Row],[time]]-2)*2</f>
        <v>-1.7167399999999997</v>
      </c>
      <c r="AB595">
        <v>84.371399999999994</v>
      </c>
      <c r="AC595">
        <v>40.563099999999999</v>
      </c>
      <c r="AD595">
        <f>Table6408[[#This Row],[CFNM]]/Table6408[[#This Row],[CAREA]]</f>
        <v>0.48076836463540967</v>
      </c>
      <c r="AE595">
        <v>2.8583699999999999</v>
      </c>
      <c r="AF595">
        <f>-(Table7409[[#This Row],[time]]-2)*2</f>
        <v>-1.7167399999999997</v>
      </c>
      <c r="AG595">
        <v>74.728200000000001</v>
      </c>
      <c r="AH595">
        <v>1.3245400000000001</v>
      </c>
      <c r="AI595">
        <f>Table7409[[#This Row],[CFNM]]/Table7409[[#This Row],[CAREA]]</f>
        <v>1.7724767892174573E-2</v>
      </c>
      <c r="AJ595">
        <v>2.8583699999999999</v>
      </c>
      <c r="AK595">
        <f>-(Table8410[[#This Row],[time]]-2)*2</f>
        <v>-1.7167399999999997</v>
      </c>
      <c r="AL595">
        <v>82.960099999999997</v>
      </c>
      <c r="AM595">
        <v>52.116700000000002</v>
      </c>
      <c r="AN595">
        <f>Table8410[[#This Row],[CFNM]]/Table8410[[#This Row],[CAREA]]</f>
        <v>0.62821404506503731</v>
      </c>
    </row>
    <row r="596" spans="1:40" x14ac:dyDescent="0.25">
      <c r="A596">
        <v>2.9134199999999999</v>
      </c>
      <c r="B596">
        <f>-(Table1403[[#This Row],[time]]-2)*2</f>
        <v>-1.8268399999999998</v>
      </c>
      <c r="C596">
        <v>61.744900000000001</v>
      </c>
      <c r="D596">
        <v>2.5612199999999999E-3</v>
      </c>
      <c r="E596">
        <f>Table1403[[#This Row],[CFNM]]/Table1403[[#This Row],[CAREA]]</f>
        <v>4.1480672897680619E-5</v>
      </c>
      <c r="F596">
        <v>2.9134199999999999</v>
      </c>
      <c r="G596">
        <f>-(Table2404[[#This Row],[time]]-2)*2</f>
        <v>-1.8268399999999998</v>
      </c>
      <c r="H596">
        <v>97.238200000000006</v>
      </c>
      <c r="I596">
        <v>33.792999999999999</v>
      </c>
      <c r="J596">
        <f>Table2404[[#This Row],[CFNM]]/Table2404[[#This Row],[CAREA]]</f>
        <v>0.34752802910790198</v>
      </c>
      <c r="K596">
        <v>2.9134199999999999</v>
      </c>
      <c r="L596">
        <f>-(Table3405[[#This Row],[time]]-2)*2</f>
        <v>-1.8268399999999998</v>
      </c>
      <c r="M596">
        <v>57.600700000000003</v>
      </c>
      <c r="N596">
        <v>1.30222E-3</v>
      </c>
      <c r="O596">
        <f>Table3405[[#This Row],[CFNM]]/Table3405[[#This Row],[CAREA]]</f>
        <v>2.2607711364618831E-5</v>
      </c>
      <c r="P596">
        <v>2.9134199999999999</v>
      </c>
      <c r="Q596">
        <f>-(Table4406[[#This Row],[time]]-2)*2</f>
        <v>-1.8268399999999998</v>
      </c>
      <c r="R596">
        <v>84.322699999999998</v>
      </c>
      <c r="S596">
        <v>37.084299999999999</v>
      </c>
      <c r="T596">
        <f>Table4406[[#This Row],[CFNM]]/Table4406[[#This Row],[CAREA]]</f>
        <v>0.43979023442086174</v>
      </c>
      <c r="U596">
        <v>2.9134199999999999</v>
      </c>
      <c r="V596">
        <f>-(Table5407[[#This Row],[time]]-2)*2</f>
        <v>-1.8268399999999998</v>
      </c>
      <c r="W596">
        <v>76.842600000000004</v>
      </c>
      <c r="X596">
        <v>2.4988599999999999E-3</v>
      </c>
      <c r="Y596">
        <f>Table5407[[#This Row],[CFNM]]/Table5407[[#This Row],[CAREA]]</f>
        <v>3.2519201588702096E-5</v>
      </c>
      <c r="Z596">
        <v>2.9134199999999999</v>
      </c>
      <c r="AA596">
        <f>-(Table6408[[#This Row],[time]]-2)*2</f>
        <v>-1.8268399999999998</v>
      </c>
      <c r="AB596">
        <v>83.769900000000007</v>
      </c>
      <c r="AC596">
        <v>42.471600000000002</v>
      </c>
      <c r="AD596">
        <f>Table6408[[#This Row],[CFNM]]/Table6408[[#This Row],[CAREA]]</f>
        <v>0.50700311209634963</v>
      </c>
      <c r="AE596">
        <v>2.9134199999999999</v>
      </c>
      <c r="AF596">
        <f>-(Table7409[[#This Row],[time]]-2)*2</f>
        <v>-1.8268399999999998</v>
      </c>
      <c r="AG596">
        <v>74.248800000000003</v>
      </c>
      <c r="AH596">
        <v>1.1196200000000001</v>
      </c>
      <c r="AI596">
        <f>Table7409[[#This Row],[CFNM]]/Table7409[[#This Row],[CAREA]]</f>
        <v>1.5079300944931097E-2</v>
      </c>
      <c r="AJ596">
        <v>2.9134199999999999</v>
      </c>
      <c r="AK596">
        <f>-(Table8410[[#This Row],[time]]-2)*2</f>
        <v>-1.8268399999999998</v>
      </c>
      <c r="AL596">
        <v>82.952399999999997</v>
      </c>
      <c r="AM596">
        <v>53.624000000000002</v>
      </c>
      <c r="AN596">
        <f>Table8410[[#This Row],[CFNM]]/Table8410[[#This Row],[CAREA]]</f>
        <v>0.64644302033455336</v>
      </c>
    </row>
    <row r="597" spans="1:40" x14ac:dyDescent="0.25">
      <c r="A597">
        <v>2.9619599999999999</v>
      </c>
      <c r="B597">
        <f>-(Table1403[[#This Row],[time]]-2)*2</f>
        <v>-1.9239199999999999</v>
      </c>
      <c r="C597">
        <v>57.236199999999997</v>
      </c>
      <c r="D597">
        <v>2.2555399999999999E-3</v>
      </c>
      <c r="E597">
        <f>Table1403[[#This Row],[CFNM]]/Table1403[[#This Row],[CAREA]]</f>
        <v>3.9407577721791451E-5</v>
      </c>
      <c r="F597">
        <v>2.9619599999999999</v>
      </c>
      <c r="G597">
        <f>-(Table2404[[#This Row],[time]]-2)*2</f>
        <v>-1.9239199999999999</v>
      </c>
      <c r="H597">
        <v>97.222200000000001</v>
      </c>
      <c r="I597">
        <v>36.776499999999999</v>
      </c>
      <c r="J597">
        <f>Table2404[[#This Row],[CFNM]]/Table2404[[#This Row],[CAREA]]</f>
        <v>0.3782726578908932</v>
      </c>
      <c r="K597">
        <v>2.9619599999999999</v>
      </c>
      <c r="L597">
        <f>-(Table3405[[#This Row],[time]]-2)*2</f>
        <v>-1.9239199999999999</v>
      </c>
      <c r="M597">
        <v>53.752200000000002</v>
      </c>
      <c r="N597">
        <v>1.1039800000000001E-3</v>
      </c>
      <c r="O597">
        <f>Table3405[[#This Row],[CFNM]]/Table3405[[#This Row],[CAREA]]</f>
        <v>2.0538322152395623E-5</v>
      </c>
      <c r="P597">
        <v>2.9619599999999999</v>
      </c>
      <c r="Q597">
        <f>-(Table4406[[#This Row],[time]]-2)*2</f>
        <v>-1.9239199999999999</v>
      </c>
      <c r="R597">
        <v>83.616399999999999</v>
      </c>
      <c r="S597">
        <v>39.933</v>
      </c>
      <c r="T597">
        <f>Table4406[[#This Row],[CFNM]]/Table4406[[#This Row],[CAREA]]</f>
        <v>0.47757377739295165</v>
      </c>
      <c r="U597">
        <v>2.9619599999999999</v>
      </c>
      <c r="V597">
        <f>-(Table5407[[#This Row],[time]]-2)*2</f>
        <v>-1.9239199999999999</v>
      </c>
      <c r="W597">
        <v>75.470399999999998</v>
      </c>
      <c r="X597">
        <v>2.21237E-3</v>
      </c>
      <c r="Y597">
        <f>Table5407[[#This Row],[CFNM]]/Table5407[[#This Row],[CAREA]]</f>
        <v>2.9314406707795376E-5</v>
      </c>
      <c r="Z597">
        <v>2.9619599999999999</v>
      </c>
      <c r="AA597">
        <f>-(Table6408[[#This Row],[time]]-2)*2</f>
        <v>-1.9239199999999999</v>
      </c>
      <c r="AB597">
        <v>82.956800000000001</v>
      </c>
      <c r="AC597">
        <v>45.484499999999997</v>
      </c>
      <c r="AD597">
        <f>Table6408[[#This Row],[CFNM]]/Table6408[[#This Row],[CAREA]]</f>
        <v>0.54829139986113251</v>
      </c>
      <c r="AE597">
        <v>2.9619599999999999</v>
      </c>
      <c r="AF597">
        <f>-(Table7409[[#This Row],[time]]-2)*2</f>
        <v>-1.9239199999999999</v>
      </c>
      <c r="AG597">
        <v>73.528700000000001</v>
      </c>
      <c r="AH597">
        <v>0.78764599999999996</v>
      </c>
      <c r="AI597">
        <f>Table7409[[#This Row],[CFNM]]/Table7409[[#This Row],[CAREA]]</f>
        <v>1.0712089293024356E-2</v>
      </c>
      <c r="AJ597">
        <v>2.9619599999999999</v>
      </c>
      <c r="AK597">
        <f>-(Table8410[[#This Row],[time]]-2)*2</f>
        <v>-1.9239199999999999</v>
      </c>
      <c r="AL597">
        <v>82.878699999999995</v>
      </c>
      <c r="AM597">
        <v>56.010199999999998</v>
      </c>
      <c r="AN597">
        <f>Table8410[[#This Row],[CFNM]]/Table8410[[#This Row],[CAREA]]</f>
        <v>0.6758093454651195</v>
      </c>
    </row>
    <row r="598" spans="1:40" x14ac:dyDescent="0.25">
      <c r="A598">
        <v>3</v>
      </c>
      <c r="B598">
        <f>-(Table1403[[#This Row],[time]]-2)*2</f>
        <v>-2</v>
      </c>
      <c r="C598">
        <v>54.241799999999998</v>
      </c>
      <c r="D598">
        <v>2.0014500000000001E-3</v>
      </c>
      <c r="E598">
        <f>Table1403[[#This Row],[CFNM]]/Table1403[[#This Row],[CAREA]]</f>
        <v>3.6898664867316352E-5</v>
      </c>
      <c r="F598">
        <v>3</v>
      </c>
      <c r="G598">
        <f>-(Table2404[[#This Row],[time]]-2)*2</f>
        <v>-2</v>
      </c>
      <c r="H598">
        <v>97.149199999999993</v>
      </c>
      <c r="I598">
        <v>39.306699999999999</v>
      </c>
      <c r="J598">
        <f>Table2404[[#This Row],[CFNM]]/Table2404[[#This Row],[CAREA]]</f>
        <v>0.40460137602780055</v>
      </c>
      <c r="K598">
        <v>3</v>
      </c>
      <c r="L598">
        <f>-(Table3405[[#This Row],[time]]-2)*2</f>
        <v>-2</v>
      </c>
      <c r="M598">
        <v>50.933599999999998</v>
      </c>
      <c r="N598">
        <v>9.3548899999999996E-4</v>
      </c>
      <c r="O598">
        <f>Table3405[[#This Row],[CFNM]]/Table3405[[#This Row],[CAREA]]</f>
        <v>1.8366834466835251E-5</v>
      </c>
      <c r="P598">
        <v>3</v>
      </c>
      <c r="Q598">
        <f>-(Table4406[[#This Row],[time]]-2)*2</f>
        <v>-2</v>
      </c>
      <c r="R598">
        <v>83.083299999999994</v>
      </c>
      <c r="S598">
        <v>42.263199999999998</v>
      </c>
      <c r="T598">
        <f>Table4406[[#This Row],[CFNM]]/Table4406[[#This Row],[CAREA]]</f>
        <v>0.50868465744620162</v>
      </c>
      <c r="U598">
        <v>3</v>
      </c>
      <c r="V598">
        <f>-(Table5407[[#This Row],[time]]-2)*2</f>
        <v>-2</v>
      </c>
      <c r="W598">
        <v>73.619900000000001</v>
      </c>
      <c r="X598">
        <v>1.9879799999999999E-3</v>
      </c>
      <c r="Y598">
        <f>Table5407[[#This Row],[CFNM]]/Table5407[[#This Row],[CAREA]]</f>
        <v>2.7003296662994652E-5</v>
      </c>
      <c r="Z598">
        <v>3</v>
      </c>
      <c r="AA598">
        <f>-(Table6408[[#This Row],[time]]-2)*2</f>
        <v>-2</v>
      </c>
      <c r="AB598">
        <v>82.211799999999997</v>
      </c>
      <c r="AC598">
        <v>48.002800000000001</v>
      </c>
      <c r="AD598">
        <f>Table6408[[#This Row],[CFNM]]/Table6408[[#This Row],[CAREA]]</f>
        <v>0.58389185007505007</v>
      </c>
      <c r="AE598">
        <v>3</v>
      </c>
      <c r="AF598">
        <f>-(Table7409[[#This Row],[time]]-2)*2</f>
        <v>-2</v>
      </c>
      <c r="AG598">
        <v>72.872600000000006</v>
      </c>
      <c r="AH598">
        <v>0.50541000000000003</v>
      </c>
      <c r="AI598">
        <f>Table7409[[#This Row],[CFNM]]/Table7409[[#This Row],[CAREA]]</f>
        <v>6.9355285800149847E-3</v>
      </c>
      <c r="AJ598">
        <v>3</v>
      </c>
      <c r="AK598">
        <f>-(Table8410[[#This Row],[time]]-2)*2</f>
        <v>-2</v>
      </c>
      <c r="AL598">
        <v>82.227199999999996</v>
      </c>
      <c r="AM598">
        <v>58.021099999999997</v>
      </c>
      <c r="AN598">
        <f>Table8410[[#This Row],[CFNM]]/Table8410[[#This Row],[CAREA]]</f>
        <v>0.70561930845267751</v>
      </c>
    </row>
    <row r="600" spans="1:40" x14ac:dyDescent="0.25">
      <c r="A600" t="s">
        <v>65</v>
      </c>
      <c r="E600" t="s">
        <v>1</v>
      </c>
    </row>
    <row r="601" spans="1:40" x14ac:dyDescent="0.25">
      <c r="A601" t="s">
        <v>66</v>
      </c>
      <c r="E601" t="s">
        <v>2</v>
      </c>
      <c r="F601" t="s">
        <v>3</v>
      </c>
    </row>
    <row r="603" spans="1:40" x14ac:dyDescent="0.25">
      <c r="A603" t="s">
        <v>4</v>
      </c>
      <c r="F603" t="s">
        <v>5</v>
      </c>
      <c r="K603" t="s">
        <v>6</v>
      </c>
      <c r="P603" t="s">
        <v>7</v>
      </c>
      <c r="U603" t="s">
        <v>8</v>
      </c>
      <c r="Z603" t="s">
        <v>9</v>
      </c>
      <c r="AE603" t="s">
        <v>10</v>
      </c>
      <c r="AJ603" t="s">
        <v>11</v>
      </c>
    </row>
    <row r="604" spans="1:40" x14ac:dyDescent="0.25">
      <c r="A604" t="s">
        <v>12</v>
      </c>
      <c r="B604" t="s">
        <v>13</v>
      </c>
      <c r="C604" t="s">
        <v>14</v>
      </c>
      <c r="D604" t="s">
        <v>15</v>
      </c>
      <c r="E604" t="s">
        <v>16</v>
      </c>
      <c r="F604" t="s">
        <v>12</v>
      </c>
      <c r="G604" t="s">
        <v>13</v>
      </c>
      <c r="H604" t="s">
        <v>14</v>
      </c>
      <c r="I604" t="s">
        <v>15</v>
      </c>
      <c r="J604" t="s">
        <v>16</v>
      </c>
      <c r="K604" t="s">
        <v>12</v>
      </c>
      <c r="L604" t="s">
        <v>13</v>
      </c>
      <c r="M604" t="s">
        <v>14</v>
      </c>
      <c r="N604" t="s">
        <v>15</v>
      </c>
      <c r="O604" t="s">
        <v>16</v>
      </c>
      <c r="P604" t="s">
        <v>12</v>
      </c>
      <c r="Q604" t="s">
        <v>13</v>
      </c>
      <c r="R604" t="s">
        <v>14</v>
      </c>
      <c r="S604" t="s">
        <v>15</v>
      </c>
      <c r="T604" t="s">
        <v>16</v>
      </c>
      <c r="U604" t="s">
        <v>12</v>
      </c>
      <c r="V604" t="s">
        <v>13</v>
      </c>
      <c r="W604" t="s">
        <v>14</v>
      </c>
      <c r="X604" t="s">
        <v>15</v>
      </c>
      <c r="Y604" t="s">
        <v>16</v>
      </c>
      <c r="Z604" t="s">
        <v>12</v>
      </c>
      <c r="AA604" t="s">
        <v>13</v>
      </c>
      <c r="AB604" t="s">
        <v>14</v>
      </c>
      <c r="AC604" t="s">
        <v>15</v>
      </c>
      <c r="AD604" t="s">
        <v>16</v>
      </c>
      <c r="AE604" t="s">
        <v>12</v>
      </c>
      <c r="AF604" t="s">
        <v>13</v>
      </c>
      <c r="AG604" t="s">
        <v>14</v>
      </c>
      <c r="AH604" t="s">
        <v>15</v>
      </c>
      <c r="AI604" t="s">
        <v>16</v>
      </c>
      <c r="AJ604" t="s">
        <v>12</v>
      </c>
      <c r="AK604" t="s">
        <v>13</v>
      </c>
      <c r="AL604" t="s">
        <v>14</v>
      </c>
      <c r="AM604" t="s">
        <v>15</v>
      </c>
      <c r="AN604" t="s">
        <v>16</v>
      </c>
    </row>
    <row r="605" spans="1:40" x14ac:dyDescent="0.25">
      <c r="A605">
        <v>2</v>
      </c>
      <c r="B605">
        <f>(Table110411[[#This Row],[time]]-2)*2</f>
        <v>0</v>
      </c>
      <c r="C605">
        <v>91.082599999999999</v>
      </c>
      <c r="D605">
        <v>10.202299999999999</v>
      </c>
      <c r="E605" s="2">
        <f>Table110411[[#This Row],[CFNM]]/Table110411[[#This Row],[CAREA]]</f>
        <v>0.11201151482280917</v>
      </c>
      <c r="F605">
        <v>2</v>
      </c>
      <c r="G605">
        <f>(Table211412[[#This Row],[time]]-2)*2</f>
        <v>0</v>
      </c>
      <c r="H605">
        <v>95.835700000000003</v>
      </c>
      <c r="I605">
        <v>3.5654499999999998</v>
      </c>
      <c r="J605" s="2">
        <f>Table211412[[#This Row],[CFNM]]/Table211412[[#This Row],[CAREA]]</f>
        <v>3.7203776880640513E-2</v>
      </c>
      <c r="K605">
        <v>2</v>
      </c>
      <c r="L605">
        <f>(Table312413[[#This Row],[time]]-2)*2</f>
        <v>0</v>
      </c>
      <c r="M605">
        <v>89.253699999999995</v>
      </c>
      <c r="N605">
        <v>3.6436600000000001</v>
      </c>
      <c r="O605">
        <f>Table312413[[#This Row],[CFNM]]/Table312413[[#This Row],[CAREA]]</f>
        <v>4.0823629720672647E-2</v>
      </c>
      <c r="P605">
        <v>2</v>
      </c>
      <c r="Q605">
        <f>(Table413414[[#This Row],[time]]-2)*2</f>
        <v>0</v>
      </c>
      <c r="R605">
        <v>86.409400000000005</v>
      </c>
      <c r="S605">
        <v>6.4346899999999998</v>
      </c>
      <c r="T605">
        <f>Table413414[[#This Row],[CFNM]]/Table413414[[#This Row],[CAREA]]</f>
        <v>7.4467476918020484E-2</v>
      </c>
      <c r="U605">
        <v>2</v>
      </c>
      <c r="V605">
        <f>(Table514415[[#This Row],[time]]-2)*2</f>
        <v>0</v>
      </c>
      <c r="W605">
        <v>82.628699999999995</v>
      </c>
      <c r="X605">
        <v>8.5542400000000001</v>
      </c>
      <c r="Y605">
        <f>Table514415[[#This Row],[CFNM]]/Table514415[[#This Row],[CAREA]]</f>
        <v>0.1035262566154375</v>
      </c>
      <c r="Z605">
        <v>2</v>
      </c>
      <c r="AA605">
        <f>(Table615416[[#This Row],[time]]-2)*2</f>
        <v>0</v>
      </c>
      <c r="AB605">
        <v>88.863399999999999</v>
      </c>
      <c r="AC605">
        <v>15.0844</v>
      </c>
      <c r="AD605">
        <f>Table615416[[#This Row],[CFNM]]/Table615416[[#This Row],[CAREA]]</f>
        <v>0.1697481752892642</v>
      </c>
      <c r="AE605">
        <v>2</v>
      </c>
      <c r="AF605">
        <f>(Table716417[[#This Row],[time]]-2)*2</f>
        <v>0</v>
      </c>
      <c r="AG605">
        <v>78.953900000000004</v>
      </c>
      <c r="AH605">
        <v>19.6159</v>
      </c>
      <c r="AI605">
        <f>Table716417[[#This Row],[CFNM]]/Table716417[[#This Row],[CAREA]]</f>
        <v>0.24844751177585905</v>
      </c>
      <c r="AJ605">
        <v>2</v>
      </c>
      <c r="AK605">
        <f>(Table817418[[#This Row],[time]]-2)*2</f>
        <v>0</v>
      </c>
      <c r="AL605">
        <v>83.137299999999996</v>
      </c>
      <c r="AM605">
        <v>19.2331</v>
      </c>
      <c r="AN605">
        <f>Table817418[[#This Row],[CFNM]]/Table817418[[#This Row],[CAREA]]</f>
        <v>0.23134140752706669</v>
      </c>
    </row>
    <row r="606" spans="1:40" x14ac:dyDescent="0.25">
      <c r="A606">
        <v>2.0512600000000001</v>
      </c>
      <c r="B606">
        <f>(Table110411[[#This Row],[time]]-2)*2</f>
        <v>0.10252000000000017</v>
      </c>
      <c r="C606">
        <v>91.067499999999995</v>
      </c>
      <c r="D606">
        <v>11.0166</v>
      </c>
      <c r="E606">
        <f>Table110411[[#This Row],[CFNM]]/Table110411[[#This Row],[CAREA]]</f>
        <v>0.12097180662695255</v>
      </c>
      <c r="F606">
        <v>2.0512600000000001</v>
      </c>
      <c r="G606">
        <f>(Table211412[[#This Row],[time]]-2)*2</f>
        <v>0.10252000000000017</v>
      </c>
      <c r="H606">
        <v>95.821899999999999</v>
      </c>
      <c r="I606">
        <v>3.0028299999999999</v>
      </c>
      <c r="J606">
        <f>Table211412[[#This Row],[CFNM]]/Table211412[[#This Row],[CAREA]]</f>
        <v>3.1337616974825171E-2</v>
      </c>
      <c r="K606">
        <v>2.0512600000000001</v>
      </c>
      <c r="L606">
        <f>(Table312413[[#This Row],[time]]-2)*2</f>
        <v>0.10252000000000017</v>
      </c>
      <c r="M606">
        <v>89.191000000000003</v>
      </c>
      <c r="N606">
        <v>4.6626399999999997</v>
      </c>
      <c r="O606">
        <f>Table312413[[#This Row],[CFNM]]/Table312413[[#This Row],[CAREA]]</f>
        <v>5.2277023466493253E-2</v>
      </c>
      <c r="P606">
        <v>2.0512600000000001</v>
      </c>
      <c r="Q606">
        <f>(Table413414[[#This Row],[time]]-2)*2</f>
        <v>0.10252000000000017</v>
      </c>
      <c r="R606">
        <v>86.444999999999993</v>
      </c>
      <c r="S606">
        <v>5.6591699999999996</v>
      </c>
      <c r="T606">
        <f>Table413414[[#This Row],[CFNM]]/Table413414[[#This Row],[CAREA]]</f>
        <v>6.5465556133958006E-2</v>
      </c>
      <c r="U606">
        <v>2.0512600000000001</v>
      </c>
      <c r="V606">
        <f>(Table514415[[#This Row],[time]]-2)*2</f>
        <v>0.10252000000000017</v>
      </c>
      <c r="W606">
        <v>82.670400000000001</v>
      </c>
      <c r="X606">
        <v>9.9083799999999993</v>
      </c>
      <c r="Y606">
        <f>Table514415[[#This Row],[CFNM]]/Table514415[[#This Row],[CAREA]]</f>
        <v>0.1198540227215545</v>
      </c>
      <c r="Z606">
        <v>2.0512600000000001</v>
      </c>
      <c r="AA606">
        <f>(Table615416[[#This Row],[time]]-2)*2</f>
        <v>0.10252000000000017</v>
      </c>
      <c r="AB606">
        <v>88.762100000000004</v>
      </c>
      <c r="AC606">
        <v>14.719099999999999</v>
      </c>
      <c r="AD606">
        <f>Table615416[[#This Row],[CFNM]]/Table615416[[#This Row],[CAREA]]</f>
        <v>0.16582640563934381</v>
      </c>
      <c r="AE606">
        <v>2.0512600000000001</v>
      </c>
      <c r="AF606">
        <f>(Table716417[[#This Row],[time]]-2)*2</f>
        <v>0.10252000000000017</v>
      </c>
      <c r="AG606">
        <v>78.818700000000007</v>
      </c>
      <c r="AH606">
        <v>21.397600000000001</v>
      </c>
      <c r="AI606">
        <f>Table716417[[#This Row],[CFNM]]/Table716417[[#This Row],[CAREA]]</f>
        <v>0.27147872268890505</v>
      </c>
      <c r="AJ606">
        <v>2.0512600000000001</v>
      </c>
      <c r="AK606">
        <f>(Table817418[[#This Row],[time]]-2)*2</f>
        <v>0.10252000000000017</v>
      </c>
      <c r="AL606">
        <v>83.062399999999997</v>
      </c>
      <c r="AM606">
        <v>17.959599999999998</v>
      </c>
      <c r="AN606">
        <f>Table817418[[#This Row],[CFNM]]/Table817418[[#This Row],[CAREA]]</f>
        <v>0.21621816850945794</v>
      </c>
    </row>
    <row r="607" spans="1:40" x14ac:dyDescent="0.25">
      <c r="A607">
        <v>2.1153300000000002</v>
      </c>
      <c r="B607">
        <f>(Table110411[[#This Row],[time]]-2)*2</f>
        <v>0.23066000000000031</v>
      </c>
      <c r="C607">
        <v>91.076999999999998</v>
      </c>
      <c r="D607">
        <v>13.044499999999999</v>
      </c>
      <c r="E607">
        <f>Table110411[[#This Row],[CFNM]]/Table110411[[#This Row],[CAREA]]</f>
        <v>0.14322496349242947</v>
      </c>
      <c r="F607">
        <v>2.1153300000000002</v>
      </c>
      <c r="G607">
        <f>(Table211412[[#This Row],[time]]-2)*2</f>
        <v>0.23066000000000031</v>
      </c>
      <c r="H607">
        <v>95.256200000000007</v>
      </c>
      <c r="I607">
        <v>1.4537199999999999</v>
      </c>
      <c r="J607">
        <f>Table211412[[#This Row],[CFNM]]/Table211412[[#This Row],[CAREA]]</f>
        <v>1.526115885370191E-2</v>
      </c>
      <c r="K607">
        <v>2.1153300000000002</v>
      </c>
      <c r="L607">
        <f>(Table312413[[#This Row],[time]]-2)*2</f>
        <v>0.23066000000000031</v>
      </c>
      <c r="M607">
        <v>89.027100000000004</v>
      </c>
      <c r="N607">
        <v>7.1665999999999999</v>
      </c>
      <c r="O607">
        <f>Table312413[[#This Row],[CFNM]]/Table312413[[#This Row],[CAREA]]</f>
        <v>8.0499083986786041E-2</v>
      </c>
      <c r="P607">
        <v>2.1153300000000002</v>
      </c>
      <c r="Q607">
        <f>(Table413414[[#This Row],[time]]-2)*2</f>
        <v>0.23066000000000031</v>
      </c>
      <c r="R607">
        <v>86.618200000000002</v>
      </c>
      <c r="S607">
        <v>3.5622600000000002</v>
      </c>
      <c r="T607">
        <f>Table413414[[#This Row],[CFNM]]/Table413414[[#This Row],[CAREA]]</f>
        <v>4.1125998924013661E-2</v>
      </c>
      <c r="U607">
        <v>2.1153300000000002</v>
      </c>
      <c r="V607">
        <f>(Table514415[[#This Row],[time]]-2)*2</f>
        <v>0.23066000000000031</v>
      </c>
      <c r="W607">
        <v>83.272800000000004</v>
      </c>
      <c r="X607">
        <v>12.7197</v>
      </c>
      <c r="Y607">
        <f>Table514415[[#This Row],[CFNM]]/Table514415[[#This Row],[CAREA]]</f>
        <v>0.15274735567916534</v>
      </c>
      <c r="Z607">
        <v>2.1153300000000002</v>
      </c>
      <c r="AA607">
        <f>(Table615416[[#This Row],[time]]-2)*2</f>
        <v>0.23066000000000031</v>
      </c>
      <c r="AB607">
        <v>89.205200000000005</v>
      </c>
      <c r="AC607">
        <v>14.3468</v>
      </c>
      <c r="AD607">
        <f>Table615416[[#This Row],[CFNM]]/Table615416[[#This Row],[CAREA]]</f>
        <v>0.16082918932977</v>
      </c>
      <c r="AE607">
        <v>2.1153300000000002</v>
      </c>
      <c r="AF607">
        <f>(Table716417[[#This Row],[time]]-2)*2</f>
        <v>0.23066000000000031</v>
      </c>
      <c r="AG607">
        <v>78.530600000000007</v>
      </c>
      <c r="AH607">
        <v>24.405200000000001</v>
      </c>
      <c r="AI607">
        <f>Table716417[[#This Row],[CFNM]]/Table716417[[#This Row],[CAREA]]</f>
        <v>0.31077312538042495</v>
      </c>
      <c r="AJ607">
        <v>2.1153300000000002</v>
      </c>
      <c r="AK607">
        <f>(Table817418[[#This Row],[time]]-2)*2</f>
        <v>0.23066000000000031</v>
      </c>
      <c r="AL607">
        <v>83.161299999999997</v>
      </c>
      <c r="AM607">
        <v>16.2226</v>
      </c>
      <c r="AN607">
        <f>Table817418[[#This Row],[CFNM]]/Table817418[[#This Row],[CAREA]]</f>
        <v>0.19507391058100343</v>
      </c>
    </row>
    <row r="608" spans="1:40" x14ac:dyDescent="0.25">
      <c r="A608">
        <v>2.16533</v>
      </c>
      <c r="B608">
        <f>(Table110411[[#This Row],[time]]-2)*2</f>
        <v>0.33065999999999995</v>
      </c>
      <c r="C608">
        <v>90.986800000000002</v>
      </c>
      <c r="D608">
        <v>14.794</v>
      </c>
      <c r="E608">
        <f>Table110411[[#This Row],[CFNM]]/Table110411[[#This Row],[CAREA]]</f>
        <v>0.16259501378221897</v>
      </c>
      <c r="F608">
        <v>2.16533</v>
      </c>
      <c r="G608">
        <f>(Table211412[[#This Row],[time]]-2)*2</f>
        <v>0.33065999999999995</v>
      </c>
      <c r="H608">
        <v>95.037800000000004</v>
      </c>
      <c r="I608">
        <v>0.31391400000000003</v>
      </c>
      <c r="J608">
        <f>Table211412[[#This Row],[CFNM]]/Table211412[[#This Row],[CAREA]]</f>
        <v>3.3030436310604832E-3</v>
      </c>
      <c r="K608">
        <v>2.16533</v>
      </c>
      <c r="L608">
        <f>(Table312413[[#This Row],[time]]-2)*2</f>
        <v>0.33065999999999995</v>
      </c>
      <c r="M608">
        <v>88.809600000000003</v>
      </c>
      <c r="N608">
        <v>9.53688</v>
      </c>
      <c r="O608">
        <f>Table312413[[#This Row],[CFNM]]/Table312413[[#This Row],[CAREA]]</f>
        <v>0.10738568803372608</v>
      </c>
      <c r="P608">
        <v>2.16533</v>
      </c>
      <c r="Q608">
        <f>(Table413414[[#This Row],[time]]-2)*2</f>
        <v>0.33065999999999995</v>
      </c>
      <c r="R608">
        <v>86.852800000000002</v>
      </c>
      <c r="S608">
        <v>2.0641099999999999</v>
      </c>
      <c r="T608">
        <f>Table413414[[#This Row],[CFNM]]/Table413414[[#This Row],[CAREA]]</f>
        <v>2.3765612622736399E-2</v>
      </c>
      <c r="U608">
        <v>2.16533</v>
      </c>
      <c r="V608">
        <f>(Table514415[[#This Row],[time]]-2)*2</f>
        <v>0.33065999999999995</v>
      </c>
      <c r="W608">
        <v>82.554500000000004</v>
      </c>
      <c r="X608">
        <v>15.0328</v>
      </c>
      <c r="Y608">
        <f>Table514415[[#This Row],[CFNM]]/Table514415[[#This Row],[CAREA]]</f>
        <v>0.18209546420849257</v>
      </c>
      <c r="Z608">
        <v>2.16533</v>
      </c>
      <c r="AA608">
        <f>(Table615416[[#This Row],[time]]-2)*2</f>
        <v>0.33065999999999995</v>
      </c>
      <c r="AB608">
        <v>88.630399999999995</v>
      </c>
      <c r="AC608">
        <v>14.2202</v>
      </c>
      <c r="AD608">
        <f>Table615416[[#This Row],[CFNM]]/Table615416[[#This Row],[CAREA]]</f>
        <v>0.1604438206303932</v>
      </c>
      <c r="AE608">
        <v>2.16533</v>
      </c>
      <c r="AF608">
        <f>(Table716417[[#This Row],[time]]-2)*2</f>
        <v>0.33065999999999995</v>
      </c>
      <c r="AG608">
        <v>77.983599999999996</v>
      </c>
      <c r="AH608">
        <v>26.857600000000001</v>
      </c>
      <c r="AI608">
        <f>Table716417[[#This Row],[CFNM]]/Table716417[[#This Row],[CAREA]]</f>
        <v>0.34440061756574464</v>
      </c>
      <c r="AJ608">
        <v>2.16533</v>
      </c>
      <c r="AK608">
        <f>(Table817418[[#This Row],[time]]-2)*2</f>
        <v>0.33065999999999995</v>
      </c>
      <c r="AL608">
        <v>83.0916</v>
      </c>
      <c r="AM608">
        <v>15.0159</v>
      </c>
      <c r="AN608">
        <f>Table817418[[#This Row],[CFNM]]/Table817418[[#This Row],[CAREA]]</f>
        <v>0.18071501812457577</v>
      </c>
    </row>
    <row r="609" spans="1:40" x14ac:dyDescent="0.25">
      <c r="A609">
        <v>2.2246999999999999</v>
      </c>
      <c r="B609">
        <f>(Table110411[[#This Row],[time]]-2)*2</f>
        <v>0.4493999999999998</v>
      </c>
      <c r="C609">
        <v>90.931600000000003</v>
      </c>
      <c r="D609">
        <v>16.0487</v>
      </c>
      <c r="E609">
        <f>Table110411[[#This Row],[CFNM]]/Table110411[[#This Row],[CAREA]]</f>
        <v>0.17649200058065623</v>
      </c>
      <c r="F609">
        <v>2.2246999999999999</v>
      </c>
      <c r="G609">
        <f>(Table211412[[#This Row],[time]]-2)*2</f>
        <v>0.4493999999999998</v>
      </c>
      <c r="H609">
        <v>94.383099999999999</v>
      </c>
      <c r="I609">
        <v>5.9839100000000003E-3</v>
      </c>
      <c r="J609">
        <f>Table211412[[#This Row],[CFNM]]/Table211412[[#This Row],[CAREA]]</f>
        <v>6.3400227371213704E-5</v>
      </c>
      <c r="K609">
        <v>2.2246999999999999</v>
      </c>
      <c r="L609">
        <f>(Table312413[[#This Row],[time]]-2)*2</f>
        <v>0.4493999999999998</v>
      </c>
      <c r="M609">
        <v>88.334900000000005</v>
      </c>
      <c r="N609">
        <v>11.382400000000001</v>
      </c>
      <c r="O609">
        <f>Table312413[[#This Row],[CFNM]]/Table312413[[#This Row],[CAREA]]</f>
        <v>0.12885507313643871</v>
      </c>
      <c r="P609">
        <v>2.2246999999999999</v>
      </c>
      <c r="Q609">
        <f>(Table413414[[#This Row],[time]]-2)*2</f>
        <v>0.4493999999999998</v>
      </c>
      <c r="R609">
        <v>86.982299999999995</v>
      </c>
      <c r="S609">
        <v>1.25993</v>
      </c>
      <c r="T609">
        <f>Table413414[[#This Row],[CFNM]]/Table413414[[#This Row],[CAREA]]</f>
        <v>1.4484900951113043E-2</v>
      </c>
      <c r="U609">
        <v>2.2246999999999999</v>
      </c>
      <c r="V609">
        <f>(Table514415[[#This Row],[time]]-2)*2</f>
        <v>0.4493999999999998</v>
      </c>
      <c r="W609">
        <v>82.3</v>
      </c>
      <c r="X609">
        <v>16.7178</v>
      </c>
      <c r="Y609">
        <f>Table514415[[#This Row],[CFNM]]/Table514415[[#This Row],[CAREA]]</f>
        <v>0.20313244228432564</v>
      </c>
      <c r="Z609">
        <v>2.2246999999999999</v>
      </c>
      <c r="AA609">
        <f>(Table615416[[#This Row],[time]]-2)*2</f>
        <v>0.4493999999999998</v>
      </c>
      <c r="AB609">
        <v>88.681700000000006</v>
      </c>
      <c r="AC609">
        <v>14.1713</v>
      </c>
      <c r="AD609">
        <f>Table615416[[#This Row],[CFNM]]/Table615416[[#This Row],[CAREA]]</f>
        <v>0.15979959788772655</v>
      </c>
      <c r="AE609">
        <v>2.2246999999999999</v>
      </c>
      <c r="AF609">
        <f>(Table716417[[#This Row],[time]]-2)*2</f>
        <v>0.4493999999999998</v>
      </c>
      <c r="AG609">
        <v>77.880700000000004</v>
      </c>
      <c r="AH609">
        <v>28.745799999999999</v>
      </c>
      <c r="AI609">
        <f>Table716417[[#This Row],[CFNM]]/Table716417[[#This Row],[CAREA]]</f>
        <v>0.36910043181430058</v>
      </c>
      <c r="AJ609">
        <v>2.2246999999999999</v>
      </c>
      <c r="AK609">
        <f>(Table817418[[#This Row],[time]]-2)*2</f>
        <v>0.4493999999999998</v>
      </c>
      <c r="AL609">
        <v>83.081100000000006</v>
      </c>
      <c r="AM609">
        <v>14.185700000000001</v>
      </c>
      <c r="AN609">
        <f>Table817418[[#This Row],[CFNM]]/Table817418[[#This Row],[CAREA]]</f>
        <v>0.17074521160649053</v>
      </c>
    </row>
    <row r="610" spans="1:40" x14ac:dyDescent="0.25">
      <c r="A610">
        <v>2.2668900000000001</v>
      </c>
      <c r="B610">
        <f>(Table110411[[#This Row],[time]]-2)*2</f>
        <v>0.53378000000000014</v>
      </c>
      <c r="C610">
        <v>90.831199999999995</v>
      </c>
      <c r="D610">
        <v>17.686299999999999</v>
      </c>
      <c r="E610">
        <f>Table110411[[#This Row],[CFNM]]/Table110411[[#This Row],[CAREA]]</f>
        <v>0.19471613278256811</v>
      </c>
      <c r="F610">
        <v>2.2668900000000001</v>
      </c>
      <c r="G610">
        <f>(Table211412[[#This Row],[time]]-2)*2</f>
        <v>0.53378000000000014</v>
      </c>
      <c r="H610">
        <v>93.079700000000003</v>
      </c>
      <c r="I610">
        <v>4.8858399999999998E-3</v>
      </c>
      <c r="J610">
        <f>Table211412[[#This Row],[CFNM]]/Table211412[[#This Row],[CAREA]]</f>
        <v>5.2490929816060857E-5</v>
      </c>
      <c r="K610">
        <v>2.2668900000000001</v>
      </c>
      <c r="L610">
        <f>(Table312413[[#This Row],[time]]-2)*2</f>
        <v>0.53378000000000014</v>
      </c>
      <c r="M610">
        <v>87.890900000000002</v>
      </c>
      <c r="N610">
        <v>13.9557</v>
      </c>
      <c r="O610">
        <f>Table312413[[#This Row],[CFNM]]/Table312413[[#This Row],[CAREA]]</f>
        <v>0.1587843565147245</v>
      </c>
      <c r="P610">
        <v>2.2668900000000001</v>
      </c>
      <c r="Q610">
        <f>(Table413414[[#This Row],[time]]-2)*2</f>
        <v>0.53378000000000014</v>
      </c>
      <c r="R610">
        <v>87.349599999999995</v>
      </c>
      <c r="S610">
        <v>0.33931899999999998</v>
      </c>
      <c r="T610">
        <f>Table413414[[#This Row],[CFNM]]/Table413414[[#This Row],[CAREA]]</f>
        <v>3.8846085156657843E-3</v>
      </c>
      <c r="U610">
        <v>2.2668900000000001</v>
      </c>
      <c r="V610">
        <f>(Table514415[[#This Row],[time]]-2)*2</f>
        <v>0.53378000000000014</v>
      </c>
      <c r="W610">
        <v>81.684700000000007</v>
      </c>
      <c r="X610">
        <v>18.919899999999998</v>
      </c>
      <c r="Y610">
        <f>Table514415[[#This Row],[CFNM]]/Table514415[[#This Row],[CAREA]]</f>
        <v>0.23162109917769175</v>
      </c>
      <c r="Z610">
        <v>2.2668900000000001</v>
      </c>
      <c r="AA610">
        <f>(Table615416[[#This Row],[time]]-2)*2</f>
        <v>0.53378000000000014</v>
      </c>
      <c r="AB610">
        <v>89.100200000000001</v>
      </c>
      <c r="AC610">
        <v>13.977</v>
      </c>
      <c r="AD610">
        <f>Table615416[[#This Row],[CFNM]]/Table615416[[#This Row],[CAREA]]</f>
        <v>0.15686833475121267</v>
      </c>
      <c r="AE610">
        <v>2.2668900000000001</v>
      </c>
      <c r="AF610">
        <f>(Table716417[[#This Row],[time]]-2)*2</f>
        <v>0.53378000000000014</v>
      </c>
      <c r="AG610">
        <v>77.717100000000002</v>
      </c>
      <c r="AH610">
        <v>31.299399999999999</v>
      </c>
      <c r="AI610">
        <f>Table716417[[#This Row],[CFNM]]/Table716417[[#This Row],[CAREA]]</f>
        <v>0.40273504801388621</v>
      </c>
      <c r="AJ610">
        <v>2.2668900000000001</v>
      </c>
      <c r="AK610">
        <f>(Table817418[[#This Row],[time]]-2)*2</f>
        <v>0.53378000000000014</v>
      </c>
      <c r="AL610">
        <v>82.766199999999998</v>
      </c>
      <c r="AM610">
        <v>13.2707</v>
      </c>
      <c r="AN610">
        <f>Table817418[[#This Row],[CFNM]]/Table817418[[#This Row],[CAREA]]</f>
        <v>0.1603396072309711</v>
      </c>
    </row>
    <row r="611" spans="1:40" x14ac:dyDescent="0.25">
      <c r="A611">
        <v>2.3262700000000001</v>
      </c>
      <c r="B611">
        <f>(Table110411[[#This Row],[time]]-2)*2</f>
        <v>0.65254000000000012</v>
      </c>
      <c r="C611">
        <v>90.676000000000002</v>
      </c>
      <c r="D611">
        <v>19.968499999999999</v>
      </c>
      <c r="E611">
        <f>Table110411[[#This Row],[CFNM]]/Table110411[[#This Row],[CAREA]]</f>
        <v>0.22021813930918874</v>
      </c>
      <c r="F611">
        <v>2.3262700000000001</v>
      </c>
      <c r="G611">
        <f>(Table211412[[#This Row],[time]]-2)*2</f>
        <v>0.65254000000000012</v>
      </c>
      <c r="H611">
        <v>92.219800000000006</v>
      </c>
      <c r="I611">
        <v>4.0022800000000004E-3</v>
      </c>
      <c r="J611">
        <f>Table211412[[#This Row],[CFNM]]/Table211412[[#This Row],[CAREA]]</f>
        <v>4.3399356754189452E-5</v>
      </c>
      <c r="K611">
        <v>2.3262700000000001</v>
      </c>
      <c r="L611">
        <f>(Table312413[[#This Row],[time]]-2)*2</f>
        <v>0.65254000000000012</v>
      </c>
      <c r="M611">
        <v>87.155900000000003</v>
      </c>
      <c r="N611">
        <v>17.385000000000002</v>
      </c>
      <c r="O611">
        <f>Table312413[[#This Row],[CFNM]]/Table312413[[#This Row],[CAREA]]</f>
        <v>0.19947014487831577</v>
      </c>
      <c r="P611">
        <v>2.3262700000000001</v>
      </c>
      <c r="Q611">
        <f>(Table413414[[#This Row],[time]]-2)*2</f>
        <v>0.65254000000000012</v>
      </c>
      <c r="R611">
        <v>87.355999999999995</v>
      </c>
      <c r="S611">
        <v>4.7756099999999996E-3</v>
      </c>
      <c r="T611">
        <f>Table413414[[#This Row],[CFNM]]/Table413414[[#This Row],[CAREA]]</f>
        <v>5.4668368515041899E-5</v>
      </c>
      <c r="U611">
        <v>2.3262700000000001</v>
      </c>
      <c r="V611">
        <f>(Table514415[[#This Row],[time]]-2)*2</f>
        <v>0.65254000000000012</v>
      </c>
      <c r="W611">
        <v>80.725399999999993</v>
      </c>
      <c r="X611">
        <v>22.0139</v>
      </c>
      <c r="Y611">
        <f>Table514415[[#This Row],[CFNM]]/Table514415[[#This Row],[CAREA]]</f>
        <v>0.27270103337982843</v>
      </c>
      <c r="Z611">
        <v>2.3262700000000001</v>
      </c>
      <c r="AA611">
        <f>(Table615416[[#This Row],[time]]-2)*2</f>
        <v>0.65254000000000012</v>
      </c>
      <c r="AB611">
        <v>91.658699999999996</v>
      </c>
      <c r="AC611">
        <v>13.454599999999999</v>
      </c>
      <c r="AD611">
        <f>Table615416[[#This Row],[CFNM]]/Table615416[[#This Row],[CAREA]]</f>
        <v>0.14679021194932942</v>
      </c>
      <c r="AE611">
        <v>2.3262700000000001</v>
      </c>
      <c r="AF611">
        <f>(Table716417[[#This Row],[time]]-2)*2</f>
        <v>0.65254000000000012</v>
      </c>
      <c r="AG611">
        <v>77.677800000000005</v>
      </c>
      <c r="AH611">
        <v>34.583399999999997</v>
      </c>
      <c r="AI611">
        <f>Table716417[[#This Row],[CFNM]]/Table716417[[#This Row],[CAREA]]</f>
        <v>0.44521600766242087</v>
      </c>
      <c r="AJ611">
        <v>2.3262700000000001</v>
      </c>
      <c r="AK611">
        <f>(Table817418[[#This Row],[time]]-2)*2</f>
        <v>0.65254000000000012</v>
      </c>
      <c r="AL611">
        <v>82.127899999999997</v>
      </c>
      <c r="AM611">
        <v>12.3675</v>
      </c>
      <c r="AN611">
        <f>Table817418[[#This Row],[CFNM]]/Table817418[[#This Row],[CAREA]]</f>
        <v>0.15058828972858188</v>
      </c>
    </row>
    <row r="612" spans="1:40" x14ac:dyDescent="0.25">
      <c r="A612">
        <v>2.3684599999999998</v>
      </c>
      <c r="B612">
        <f>(Table110411[[#This Row],[time]]-2)*2</f>
        <v>0.73691999999999958</v>
      </c>
      <c r="C612">
        <v>90.606800000000007</v>
      </c>
      <c r="D612">
        <v>21.777000000000001</v>
      </c>
      <c r="E612">
        <f>Table110411[[#This Row],[CFNM]]/Table110411[[#This Row],[CAREA]]</f>
        <v>0.24034619918151837</v>
      </c>
      <c r="F612">
        <v>2.3684599999999998</v>
      </c>
      <c r="G612">
        <f>(Table211412[[#This Row],[time]]-2)*2</f>
        <v>0.73691999999999958</v>
      </c>
      <c r="H612">
        <v>89.702699999999993</v>
      </c>
      <c r="I612">
        <v>3.4610399999999999E-3</v>
      </c>
      <c r="J612">
        <f>Table211412[[#This Row],[CFNM]]/Table211412[[#This Row],[CAREA]]</f>
        <v>3.8583454009745529E-5</v>
      </c>
      <c r="K612">
        <v>2.3684599999999998</v>
      </c>
      <c r="L612">
        <f>(Table312413[[#This Row],[time]]-2)*2</f>
        <v>0.73691999999999958</v>
      </c>
      <c r="M612">
        <v>86.376999999999995</v>
      </c>
      <c r="N612">
        <v>19.979900000000001</v>
      </c>
      <c r="O612">
        <f>Table312413[[#This Row],[CFNM]]/Table312413[[#This Row],[CAREA]]</f>
        <v>0.2313104182826447</v>
      </c>
      <c r="P612">
        <v>2.3684599999999998</v>
      </c>
      <c r="Q612">
        <f>(Table413414[[#This Row],[time]]-2)*2</f>
        <v>0.73691999999999958</v>
      </c>
      <c r="R612">
        <v>87.797399999999996</v>
      </c>
      <c r="S612">
        <v>4.1560399999999997E-3</v>
      </c>
      <c r="T612">
        <f>Table413414[[#This Row],[CFNM]]/Table413414[[#This Row],[CAREA]]</f>
        <v>4.7336709287518763E-5</v>
      </c>
      <c r="U612">
        <v>2.3684599999999998</v>
      </c>
      <c r="V612">
        <f>(Table514415[[#This Row],[time]]-2)*2</f>
        <v>0.73691999999999958</v>
      </c>
      <c r="W612">
        <v>77.889499999999998</v>
      </c>
      <c r="X612">
        <v>24.116599999999998</v>
      </c>
      <c r="Y612">
        <f>Table514415[[#This Row],[CFNM]]/Table514415[[#This Row],[CAREA]]</f>
        <v>0.30962581605993106</v>
      </c>
      <c r="Z612">
        <v>2.3684599999999998</v>
      </c>
      <c r="AA612">
        <f>(Table615416[[#This Row],[time]]-2)*2</f>
        <v>0.73691999999999958</v>
      </c>
      <c r="AB612">
        <v>91.421899999999994</v>
      </c>
      <c r="AC612">
        <v>12.6416</v>
      </c>
      <c r="AD612">
        <f>Table615416[[#This Row],[CFNM]]/Table615416[[#This Row],[CAREA]]</f>
        <v>0.13827758994289116</v>
      </c>
      <c r="AE612">
        <v>2.3684599999999998</v>
      </c>
      <c r="AF612">
        <f>(Table716417[[#This Row],[time]]-2)*2</f>
        <v>0.73691999999999958</v>
      </c>
      <c r="AG612">
        <v>77.645099999999999</v>
      </c>
      <c r="AH612">
        <v>36.755200000000002</v>
      </c>
      <c r="AI612">
        <f>Table716417[[#This Row],[CFNM]]/Table716417[[#This Row],[CAREA]]</f>
        <v>0.47337436618666218</v>
      </c>
      <c r="AJ612">
        <v>2.3684599999999998</v>
      </c>
      <c r="AK612">
        <f>(Table817418[[#This Row],[time]]-2)*2</f>
        <v>0.73691999999999958</v>
      </c>
      <c r="AL612">
        <v>81.6828</v>
      </c>
      <c r="AM612">
        <v>11.8568</v>
      </c>
      <c r="AN612">
        <f>Table817418[[#This Row],[CFNM]]/Table817418[[#This Row],[CAREA]]</f>
        <v>0.14515663028201775</v>
      </c>
    </row>
    <row r="613" spans="1:40" x14ac:dyDescent="0.25">
      <c r="A613">
        <v>2.4278300000000002</v>
      </c>
      <c r="B613">
        <f>(Table110411[[#This Row],[time]]-2)*2</f>
        <v>0.85566000000000031</v>
      </c>
      <c r="C613">
        <v>90.322900000000004</v>
      </c>
      <c r="D613">
        <v>24.427800000000001</v>
      </c>
      <c r="E613">
        <f>Table110411[[#This Row],[CFNM]]/Table110411[[#This Row],[CAREA]]</f>
        <v>0.27044968662432228</v>
      </c>
      <c r="F613">
        <v>2.4278300000000002</v>
      </c>
      <c r="G613">
        <f>(Table211412[[#This Row],[time]]-2)*2</f>
        <v>0.85566000000000031</v>
      </c>
      <c r="H613">
        <v>84.843800000000002</v>
      </c>
      <c r="I613">
        <v>2.7831599999999998E-3</v>
      </c>
      <c r="J613">
        <f>Table211412[[#This Row],[CFNM]]/Table211412[[#This Row],[CAREA]]</f>
        <v>3.280333978440381E-5</v>
      </c>
      <c r="K613">
        <v>2.4278300000000002</v>
      </c>
      <c r="L613">
        <f>(Table312413[[#This Row],[time]]-2)*2</f>
        <v>0.85566000000000031</v>
      </c>
      <c r="M613">
        <v>85.4602</v>
      </c>
      <c r="N613">
        <v>23.928000000000001</v>
      </c>
      <c r="O613">
        <f>Table312413[[#This Row],[CFNM]]/Table312413[[#This Row],[CAREA]]</f>
        <v>0.27998998364150801</v>
      </c>
      <c r="P613">
        <v>2.4278300000000002</v>
      </c>
      <c r="Q613">
        <f>(Table413414[[#This Row],[time]]-2)*2</f>
        <v>0.85566000000000031</v>
      </c>
      <c r="R613">
        <v>86.769300000000001</v>
      </c>
      <c r="S613">
        <v>3.2754500000000001E-3</v>
      </c>
      <c r="T613">
        <f>Table413414[[#This Row],[CFNM]]/Table413414[[#This Row],[CAREA]]</f>
        <v>3.7748950377610517E-5</v>
      </c>
      <c r="U613">
        <v>2.4278300000000002</v>
      </c>
      <c r="V613">
        <f>(Table514415[[#This Row],[time]]-2)*2</f>
        <v>0.85566000000000031</v>
      </c>
      <c r="W613">
        <v>76.119699999999995</v>
      </c>
      <c r="X613">
        <v>27.0046</v>
      </c>
      <c r="Y613">
        <f>Table514415[[#This Row],[CFNM]]/Table514415[[#This Row],[CAREA]]</f>
        <v>0.35476492944664789</v>
      </c>
      <c r="Z613">
        <v>2.4278300000000002</v>
      </c>
      <c r="AA613">
        <f>(Table615416[[#This Row],[time]]-2)*2</f>
        <v>0.85566000000000031</v>
      </c>
      <c r="AB613">
        <v>90.923000000000002</v>
      </c>
      <c r="AC613">
        <v>11.3261</v>
      </c>
      <c r="AD613">
        <f>Table615416[[#This Row],[CFNM]]/Table615416[[#This Row],[CAREA]]</f>
        <v>0.12456804108971327</v>
      </c>
      <c r="AE613">
        <v>2.4278300000000002</v>
      </c>
      <c r="AF613">
        <f>(Table716417[[#This Row],[time]]-2)*2</f>
        <v>0.85566000000000031</v>
      </c>
      <c r="AG613">
        <v>77.708399999999997</v>
      </c>
      <c r="AH613">
        <v>39.661299999999997</v>
      </c>
      <c r="AI613">
        <f>Table716417[[#This Row],[CFNM]]/Table716417[[#This Row],[CAREA]]</f>
        <v>0.51038626454797675</v>
      </c>
      <c r="AJ613">
        <v>2.4278300000000002</v>
      </c>
      <c r="AK613">
        <f>(Table817418[[#This Row],[time]]-2)*2</f>
        <v>0.85566000000000031</v>
      </c>
      <c r="AL613">
        <v>81.132800000000003</v>
      </c>
      <c r="AM613">
        <v>11.1149</v>
      </c>
      <c r="AN613">
        <f>Table817418[[#This Row],[CFNM]]/Table817418[[#This Row],[CAREA]]</f>
        <v>0.13699638124161867</v>
      </c>
    </row>
    <row r="614" spans="1:40" x14ac:dyDescent="0.25">
      <c r="A614">
        <v>2.4542000000000002</v>
      </c>
      <c r="B614">
        <f>(Table110411[[#This Row],[time]]-2)*2</f>
        <v>0.90840000000000032</v>
      </c>
      <c r="C614">
        <v>90.044300000000007</v>
      </c>
      <c r="D614">
        <v>27.184200000000001</v>
      </c>
      <c r="E614">
        <f>Table110411[[#This Row],[CFNM]]/Table110411[[#This Row],[CAREA]]</f>
        <v>0.30189806572986849</v>
      </c>
      <c r="F614">
        <v>2.4542000000000002</v>
      </c>
      <c r="G614">
        <f>(Table211412[[#This Row],[time]]-2)*2</f>
        <v>0.90840000000000032</v>
      </c>
      <c r="H614">
        <v>70.124200000000002</v>
      </c>
      <c r="I614">
        <v>2.1411199999999998E-3</v>
      </c>
      <c r="J614">
        <f>Table211412[[#This Row],[CFNM]]/Table211412[[#This Row],[CAREA]]</f>
        <v>3.0533253855302448E-5</v>
      </c>
      <c r="K614">
        <v>2.4542000000000002</v>
      </c>
      <c r="L614">
        <f>(Table312413[[#This Row],[time]]-2)*2</f>
        <v>0.90840000000000032</v>
      </c>
      <c r="M614">
        <v>84.658100000000005</v>
      </c>
      <c r="N614">
        <v>27.3294</v>
      </c>
      <c r="O614">
        <f>Table312413[[#This Row],[CFNM]]/Table312413[[#This Row],[CAREA]]</f>
        <v>0.32282085234608382</v>
      </c>
      <c r="P614">
        <v>2.4542000000000002</v>
      </c>
      <c r="Q614">
        <f>(Table413414[[#This Row],[time]]-2)*2</f>
        <v>0.90840000000000032</v>
      </c>
      <c r="R614">
        <v>86.120400000000004</v>
      </c>
      <c r="S614">
        <v>2.7117199999999999E-3</v>
      </c>
      <c r="T614">
        <f>Table413414[[#This Row],[CFNM]]/Table413414[[#This Row],[CAREA]]</f>
        <v>3.1487545343495851E-5</v>
      </c>
      <c r="U614">
        <v>2.4542000000000002</v>
      </c>
      <c r="V614">
        <f>(Table514415[[#This Row],[time]]-2)*2</f>
        <v>0.90840000000000032</v>
      </c>
      <c r="W614">
        <v>74.483800000000002</v>
      </c>
      <c r="X614">
        <v>29.982700000000001</v>
      </c>
      <c r="Y614">
        <f>Table514415[[#This Row],[CFNM]]/Table514415[[#This Row],[CAREA]]</f>
        <v>0.40253988115536532</v>
      </c>
      <c r="Z614">
        <v>2.4542000000000002</v>
      </c>
      <c r="AA614">
        <f>(Table615416[[#This Row],[time]]-2)*2</f>
        <v>0.90840000000000032</v>
      </c>
      <c r="AB614">
        <v>91.833600000000004</v>
      </c>
      <c r="AC614">
        <v>9.5225899999999992</v>
      </c>
      <c r="AD614">
        <f>Table615416[[#This Row],[CFNM]]/Table615416[[#This Row],[CAREA]]</f>
        <v>0.10369396386507769</v>
      </c>
      <c r="AE614">
        <v>2.4542000000000002</v>
      </c>
      <c r="AF614">
        <f>(Table716417[[#This Row],[time]]-2)*2</f>
        <v>0.90840000000000032</v>
      </c>
      <c r="AG614">
        <v>77.642099999999999</v>
      </c>
      <c r="AH614">
        <v>42.543999999999997</v>
      </c>
      <c r="AI614">
        <f>Table716417[[#This Row],[CFNM]]/Table716417[[#This Row],[CAREA]]</f>
        <v>0.54795014560399569</v>
      </c>
      <c r="AJ614">
        <v>2.4542000000000002</v>
      </c>
      <c r="AK614">
        <f>(Table817418[[#This Row],[time]]-2)*2</f>
        <v>0.90840000000000032</v>
      </c>
      <c r="AL614">
        <v>80.714299999999994</v>
      </c>
      <c r="AM614">
        <v>10.451499999999999</v>
      </c>
      <c r="AN614">
        <f>Table817418[[#This Row],[CFNM]]/Table817418[[#This Row],[CAREA]]</f>
        <v>0.12948758770131191</v>
      </c>
    </row>
    <row r="615" spans="1:40" x14ac:dyDescent="0.25">
      <c r="A615">
        <v>2.5061499999999999</v>
      </c>
      <c r="B615">
        <f>(Table110411[[#This Row],[time]]-2)*2</f>
        <v>1.0122999999999998</v>
      </c>
      <c r="C615">
        <v>89.418099999999995</v>
      </c>
      <c r="D615">
        <v>30.462700000000002</v>
      </c>
      <c r="E615">
        <f>Table110411[[#This Row],[CFNM]]/Table110411[[#This Row],[CAREA]]</f>
        <v>0.3406771112336317</v>
      </c>
      <c r="F615">
        <v>2.5061499999999999</v>
      </c>
      <c r="G615">
        <f>(Table211412[[#This Row],[time]]-2)*2</f>
        <v>1.0122999999999998</v>
      </c>
      <c r="H615">
        <v>60.298699999999997</v>
      </c>
      <c r="I615">
        <v>1.60384E-3</v>
      </c>
      <c r="J615">
        <f>Table211412[[#This Row],[CFNM]]/Table211412[[#This Row],[CAREA]]</f>
        <v>2.6598251703602234E-5</v>
      </c>
      <c r="K615">
        <v>2.5061499999999999</v>
      </c>
      <c r="L615">
        <f>(Table312413[[#This Row],[time]]-2)*2</f>
        <v>1.0122999999999998</v>
      </c>
      <c r="M615">
        <v>83.799899999999994</v>
      </c>
      <c r="N615">
        <v>30.871099999999998</v>
      </c>
      <c r="O615">
        <f>Table312413[[#This Row],[CFNM]]/Table312413[[#This Row],[CAREA]]</f>
        <v>0.36839065440412222</v>
      </c>
      <c r="P615">
        <v>2.5061499999999999</v>
      </c>
      <c r="Q615">
        <f>(Table413414[[#This Row],[time]]-2)*2</f>
        <v>1.0122999999999998</v>
      </c>
      <c r="R615">
        <v>82.016300000000001</v>
      </c>
      <c r="S615">
        <v>2.1851700000000002E-3</v>
      </c>
      <c r="T615">
        <f>Table413414[[#This Row],[CFNM]]/Table413414[[#This Row],[CAREA]]</f>
        <v>2.6643118502053861E-5</v>
      </c>
      <c r="U615">
        <v>2.5061499999999999</v>
      </c>
      <c r="V615">
        <f>(Table514415[[#This Row],[time]]-2)*2</f>
        <v>1.0122999999999998</v>
      </c>
      <c r="W615">
        <v>72.893199999999993</v>
      </c>
      <c r="X615">
        <v>33.2637</v>
      </c>
      <c r="Y615">
        <f>Table514415[[#This Row],[CFNM]]/Table514415[[#This Row],[CAREA]]</f>
        <v>0.45633474727409418</v>
      </c>
      <c r="Z615">
        <v>2.5061499999999999</v>
      </c>
      <c r="AA615">
        <f>(Table615416[[#This Row],[time]]-2)*2</f>
        <v>1.0122999999999998</v>
      </c>
      <c r="AB615">
        <v>91.794600000000003</v>
      </c>
      <c r="AC615">
        <v>7.7064000000000004</v>
      </c>
      <c r="AD615">
        <f>Table615416[[#This Row],[CFNM]]/Table615416[[#This Row],[CAREA]]</f>
        <v>8.3952650809524743E-2</v>
      </c>
      <c r="AE615">
        <v>2.5061499999999999</v>
      </c>
      <c r="AF615">
        <f>(Table716417[[#This Row],[time]]-2)*2</f>
        <v>1.0122999999999998</v>
      </c>
      <c r="AG615">
        <v>77.538499999999999</v>
      </c>
      <c r="AH615">
        <v>45.690600000000003</v>
      </c>
      <c r="AI615">
        <f>Table716417[[#This Row],[CFNM]]/Table716417[[#This Row],[CAREA]]</f>
        <v>0.58926339818283824</v>
      </c>
      <c r="AJ615">
        <v>2.5061499999999999</v>
      </c>
      <c r="AK615">
        <f>(Table817418[[#This Row],[time]]-2)*2</f>
        <v>1.0122999999999998</v>
      </c>
      <c r="AL615">
        <v>80.202200000000005</v>
      </c>
      <c r="AM615">
        <v>9.8035099999999993</v>
      </c>
      <c r="AN615">
        <f>Table817418[[#This Row],[CFNM]]/Table817418[[#This Row],[CAREA]]</f>
        <v>0.12223492622396891</v>
      </c>
    </row>
    <row r="616" spans="1:40" x14ac:dyDescent="0.25">
      <c r="A616">
        <v>2.5507599999999999</v>
      </c>
      <c r="B616">
        <f>(Table110411[[#This Row],[time]]-2)*2</f>
        <v>1.1015199999999998</v>
      </c>
      <c r="C616">
        <v>88.639399999999995</v>
      </c>
      <c r="D616">
        <v>34.037999999999997</v>
      </c>
      <c r="E616">
        <f>Table110411[[#This Row],[CFNM]]/Table110411[[#This Row],[CAREA]]</f>
        <v>0.38400530689512791</v>
      </c>
      <c r="F616">
        <v>2.5507599999999999</v>
      </c>
      <c r="G616">
        <f>(Table211412[[#This Row],[time]]-2)*2</f>
        <v>1.1015199999999998</v>
      </c>
      <c r="H616">
        <v>52.410400000000003</v>
      </c>
      <c r="I616">
        <v>1.16347E-3</v>
      </c>
      <c r="J616">
        <f>Table211412[[#This Row],[CFNM]]/Table211412[[#This Row],[CAREA]]</f>
        <v>2.219922000213698E-5</v>
      </c>
      <c r="K616">
        <v>2.5507599999999999</v>
      </c>
      <c r="L616">
        <f>(Table312413[[#This Row],[time]]-2)*2</f>
        <v>1.1015199999999998</v>
      </c>
      <c r="M616">
        <v>83.030500000000004</v>
      </c>
      <c r="N616">
        <v>34.560600000000001</v>
      </c>
      <c r="O616">
        <f>Table312413[[#This Row],[CFNM]]/Table312413[[#This Row],[CAREA]]</f>
        <v>0.4162398154894888</v>
      </c>
      <c r="P616">
        <v>2.5507599999999999</v>
      </c>
      <c r="Q616">
        <f>(Table413414[[#This Row],[time]]-2)*2</f>
        <v>1.1015199999999998</v>
      </c>
      <c r="R616">
        <v>75.389300000000006</v>
      </c>
      <c r="S616">
        <v>1.6980299999999999E-3</v>
      </c>
      <c r="T616">
        <f>Table413414[[#This Row],[CFNM]]/Table413414[[#This Row],[CAREA]]</f>
        <v>2.2523488081199851E-5</v>
      </c>
      <c r="U616">
        <v>2.5507599999999999</v>
      </c>
      <c r="V616">
        <f>(Table514415[[#This Row],[time]]-2)*2</f>
        <v>1.1015199999999998</v>
      </c>
      <c r="W616">
        <v>70.641599999999997</v>
      </c>
      <c r="X616">
        <v>36.843800000000002</v>
      </c>
      <c r="Y616">
        <f>Table514415[[#This Row],[CFNM]]/Table514415[[#This Row],[CAREA]]</f>
        <v>0.52155953432538338</v>
      </c>
      <c r="Z616">
        <v>2.5507599999999999</v>
      </c>
      <c r="AA616">
        <f>(Table615416[[#This Row],[time]]-2)*2</f>
        <v>1.1015199999999998</v>
      </c>
      <c r="AB616">
        <v>91.945599999999999</v>
      </c>
      <c r="AC616">
        <v>6.1060499999999998</v>
      </c>
      <c r="AD616">
        <f>Table615416[[#This Row],[CFNM]]/Table615416[[#This Row],[CAREA]]</f>
        <v>6.6409376848919358E-2</v>
      </c>
      <c r="AE616">
        <v>2.5507599999999999</v>
      </c>
      <c r="AF616">
        <f>(Table716417[[#This Row],[time]]-2)*2</f>
        <v>1.1015199999999998</v>
      </c>
      <c r="AG616">
        <v>77.234300000000005</v>
      </c>
      <c r="AH616">
        <v>48.9694</v>
      </c>
      <c r="AI616">
        <f>Table716417[[#This Row],[CFNM]]/Table716417[[#This Row],[CAREA]]</f>
        <v>0.63403694990438186</v>
      </c>
      <c r="AJ616">
        <v>2.5507599999999999</v>
      </c>
      <c r="AK616">
        <f>(Table817418[[#This Row],[time]]-2)*2</f>
        <v>1.1015199999999998</v>
      </c>
      <c r="AL616">
        <v>79.592500000000001</v>
      </c>
      <c r="AM616">
        <v>8.9984800000000007</v>
      </c>
      <c r="AN616">
        <f>Table817418[[#This Row],[CFNM]]/Table817418[[#This Row],[CAREA]]</f>
        <v>0.11305688350032982</v>
      </c>
    </row>
    <row r="617" spans="1:40" x14ac:dyDescent="0.25">
      <c r="A617">
        <v>2.60453</v>
      </c>
      <c r="B617">
        <f>(Table110411[[#This Row],[time]]-2)*2</f>
        <v>1.20906</v>
      </c>
      <c r="C617">
        <v>87.612200000000001</v>
      </c>
      <c r="D617">
        <v>37.836599999999997</v>
      </c>
      <c r="E617">
        <f>Table110411[[#This Row],[CFNM]]/Table110411[[#This Row],[CAREA]]</f>
        <v>0.43186451202001541</v>
      </c>
      <c r="F617">
        <v>2.60453</v>
      </c>
      <c r="G617">
        <f>(Table211412[[#This Row],[time]]-2)*2</f>
        <v>1.20906</v>
      </c>
      <c r="H617">
        <v>45.739600000000003</v>
      </c>
      <c r="I617">
        <v>8.4344400000000005E-4</v>
      </c>
      <c r="J617">
        <f>Table211412[[#This Row],[CFNM]]/Table211412[[#This Row],[CAREA]]</f>
        <v>1.8440126280072411E-5</v>
      </c>
      <c r="K617">
        <v>2.60453</v>
      </c>
      <c r="L617">
        <f>(Table312413[[#This Row],[time]]-2)*2</f>
        <v>1.20906</v>
      </c>
      <c r="M617">
        <v>82.374899999999997</v>
      </c>
      <c r="N617">
        <v>37.891500000000001</v>
      </c>
      <c r="O617">
        <f>Table312413[[#This Row],[CFNM]]/Table312413[[#This Row],[CAREA]]</f>
        <v>0.45998841880232938</v>
      </c>
      <c r="P617">
        <v>2.60453</v>
      </c>
      <c r="Q617">
        <f>(Table413414[[#This Row],[time]]-2)*2</f>
        <v>1.20906</v>
      </c>
      <c r="R617">
        <v>69.852999999999994</v>
      </c>
      <c r="S617">
        <v>1.3670399999999999E-3</v>
      </c>
      <c r="T617">
        <f>Table413414[[#This Row],[CFNM]]/Table413414[[#This Row],[CAREA]]</f>
        <v>1.9570240361902854E-5</v>
      </c>
      <c r="U617">
        <v>2.60453</v>
      </c>
      <c r="V617">
        <f>(Table514415[[#This Row],[time]]-2)*2</f>
        <v>1.20906</v>
      </c>
      <c r="W617">
        <v>69.215000000000003</v>
      </c>
      <c r="X617">
        <v>40.328600000000002</v>
      </c>
      <c r="Y617">
        <f>Table514415[[#This Row],[CFNM]]/Table514415[[#This Row],[CAREA]]</f>
        <v>0.5826569385248862</v>
      </c>
      <c r="Z617">
        <v>2.60453</v>
      </c>
      <c r="AA617">
        <f>(Table615416[[#This Row],[time]]-2)*2</f>
        <v>1.20906</v>
      </c>
      <c r="AB617">
        <v>91.189300000000003</v>
      </c>
      <c r="AC617">
        <v>5.0980499999999997</v>
      </c>
      <c r="AD617">
        <f>Table615416[[#This Row],[CFNM]]/Table615416[[#This Row],[CAREA]]</f>
        <v>5.590623022657263E-2</v>
      </c>
      <c r="AE617">
        <v>2.60453</v>
      </c>
      <c r="AF617">
        <f>(Table716417[[#This Row],[time]]-2)*2</f>
        <v>1.20906</v>
      </c>
      <c r="AG617">
        <v>77.258899999999997</v>
      </c>
      <c r="AH617">
        <v>52.008800000000001</v>
      </c>
      <c r="AI617">
        <f>Table716417[[#This Row],[CFNM]]/Table716417[[#This Row],[CAREA]]</f>
        <v>0.67317551764262762</v>
      </c>
      <c r="AJ617">
        <v>2.60453</v>
      </c>
      <c r="AK617">
        <f>(Table817418[[#This Row],[time]]-2)*2</f>
        <v>1.20906</v>
      </c>
      <c r="AL617">
        <v>78.9559</v>
      </c>
      <c r="AM617">
        <v>8.2206100000000006</v>
      </c>
      <c r="AN617">
        <f>Table817418[[#This Row],[CFNM]]/Table817418[[#This Row],[CAREA]]</f>
        <v>0.10411647514625254</v>
      </c>
    </row>
    <row r="618" spans="1:40" x14ac:dyDescent="0.25">
      <c r="A618">
        <v>2.65273</v>
      </c>
      <c r="B618">
        <f>(Table110411[[#This Row],[time]]-2)*2</f>
        <v>1.3054600000000001</v>
      </c>
      <c r="C618">
        <v>86.896299999999997</v>
      </c>
      <c r="D618">
        <v>40.226700000000001</v>
      </c>
      <c r="E618">
        <f>Table110411[[#This Row],[CFNM]]/Table110411[[#This Row],[CAREA]]</f>
        <v>0.46292765054438456</v>
      </c>
      <c r="F618">
        <v>2.65273</v>
      </c>
      <c r="G618">
        <f>(Table211412[[#This Row],[time]]-2)*2</f>
        <v>1.3054600000000001</v>
      </c>
      <c r="H618">
        <v>39.675699999999999</v>
      </c>
      <c r="I618">
        <v>6.8980300000000001E-4</v>
      </c>
      <c r="J618">
        <f>Table211412[[#This Row],[CFNM]]/Table211412[[#This Row],[CAREA]]</f>
        <v>1.7386032256519734E-5</v>
      </c>
      <c r="K618">
        <v>2.65273</v>
      </c>
      <c r="L618">
        <f>(Table312413[[#This Row],[time]]-2)*2</f>
        <v>1.3054600000000001</v>
      </c>
      <c r="M618">
        <v>82.021799999999999</v>
      </c>
      <c r="N618">
        <v>39.8354</v>
      </c>
      <c r="O618">
        <f>Table312413[[#This Row],[CFNM]]/Table312413[[#This Row],[CAREA]]</f>
        <v>0.48566844424287203</v>
      </c>
      <c r="P618">
        <v>2.65273</v>
      </c>
      <c r="Q618">
        <f>(Table413414[[#This Row],[time]]-2)*2</f>
        <v>1.3054600000000001</v>
      </c>
      <c r="R618">
        <v>63.621899999999997</v>
      </c>
      <c r="S618">
        <v>1.19955E-3</v>
      </c>
      <c r="T618">
        <f>Table413414[[#This Row],[CFNM]]/Table413414[[#This Row],[CAREA]]</f>
        <v>1.8854356754513778E-5</v>
      </c>
      <c r="U618">
        <v>2.65273</v>
      </c>
      <c r="V618">
        <f>(Table514415[[#This Row],[time]]-2)*2</f>
        <v>1.3054600000000001</v>
      </c>
      <c r="W618">
        <v>68.723100000000002</v>
      </c>
      <c r="X618">
        <v>42.386200000000002</v>
      </c>
      <c r="Y618">
        <f>Table514415[[#This Row],[CFNM]]/Table514415[[#This Row],[CAREA]]</f>
        <v>0.61676786990109589</v>
      </c>
      <c r="Z618">
        <v>2.65273</v>
      </c>
      <c r="AA618">
        <f>(Table615416[[#This Row],[time]]-2)*2</f>
        <v>1.3054600000000001</v>
      </c>
      <c r="AB618">
        <v>90.923599999999993</v>
      </c>
      <c r="AC618">
        <v>4.6016500000000002</v>
      </c>
      <c r="AD618">
        <f>Table615416[[#This Row],[CFNM]]/Table615416[[#This Row],[CAREA]]</f>
        <v>5.0610072632407875E-2</v>
      </c>
      <c r="AE618">
        <v>2.65273</v>
      </c>
      <c r="AF618">
        <f>(Table716417[[#This Row],[time]]-2)*2</f>
        <v>1.3054600000000001</v>
      </c>
      <c r="AG618">
        <v>77.222800000000007</v>
      </c>
      <c r="AH618">
        <v>53.872</v>
      </c>
      <c r="AI618">
        <f>Table716417[[#This Row],[CFNM]]/Table716417[[#This Row],[CAREA]]</f>
        <v>0.69761780199630152</v>
      </c>
      <c r="AJ618">
        <v>2.65273</v>
      </c>
      <c r="AK618">
        <f>(Table817418[[#This Row],[time]]-2)*2</f>
        <v>1.3054600000000001</v>
      </c>
      <c r="AL618">
        <v>78.423199999999994</v>
      </c>
      <c r="AM618">
        <v>7.7477400000000003</v>
      </c>
      <c r="AN618">
        <f>Table817418[[#This Row],[CFNM]]/Table817418[[#This Row],[CAREA]]</f>
        <v>9.879397933264647E-2</v>
      </c>
    </row>
    <row r="619" spans="1:40" x14ac:dyDescent="0.25">
      <c r="A619">
        <v>2.7006199999999998</v>
      </c>
      <c r="B619">
        <f>(Table110411[[#This Row],[time]]-2)*2</f>
        <v>1.4012399999999996</v>
      </c>
      <c r="C619">
        <v>84.884399999999999</v>
      </c>
      <c r="D619">
        <v>44.077500000000001</v>
      </c>
      <c r="E619">
        <f>Table110411[[#This Row],[CFNM]]/Table110411[[#This Row],[CAREA]]</f>
        <v>0.51926502396200014</v>
      </c>
      <c r="F619">
        <v>2.7006199999999998</v>
      </c>
      <c r="G619">
        <f>(Table211412[[#This Row],[time]]-2)*2</f>
        <v>1.4012399999999996</v>
      </c>
      <c r="H619">
        <v>33.410299999999999</v>
      </c>
      <c r="I619">
        <v>4.9046799999999998E-4</v>
      </c>
      <c r="J619">
        <f>Table211412[[#This Row],[CFNM]]/Table211412[[#This Row],[CAREA]]</f>
        <v>1.4680143548546407E-5</v>
      </c>
      <c r="K619">
        <v>2.7006199999999998</v>
      </c>
      <c r="L619">
        <f>(Table312413[[#This Row],[time]]-2)*2</f>
        <v>1.4012399999999996</v>
      </c>
      <c r="M619">
        <v>81.3917</v>
      </c>
      <c r="N619">
        <v>42.8292</v>
      </c>
      <c r="O619">
        <f>Table312413[[#This Row],[CFNM]]/Table312413[[#This Row],[CAREA]]</f>
        <v>0.52621090356879141</v>
      </c>
      <c r="P619">
        <v>2.7006199999999998</v>
      </c>
      <c r="Q619">
        <f>(Table413414[[#This Row],[time]]-2)*2</f>
        <v>1.4012399999999996</v>
      </c>
      <c r="R619">
        <v>51.695</v>
      </c>
      <c r="S619">
        <v>9.7463699999999999E-4</v>
      </c>
      <c r="T619">
        <f>Table413414[[#This Row],[CFNM]]/Table413414[[#This Row],[CAREA]]</f>
        <v>1.8853602862946125E-5</v>
      </c>
      <c r="U619">
        <v>2.7006199999999998</v>
      </c>
      <c r="V619">
        <f>(Table514415[[#This Row],[time]]-2)*2</f>
        <v>1.4012399999999996</v>
      </c>
      <c r="W619">
        <v>67.851200000000006</v>
      </c>
      <c r="X619">
        <v>45.632800000000003</v>
      </c>
      <c r="Y619">
        <f>Table514415[[#This Row],[CFNM]]/Table514415[[#This Row],[CAREA]]</f>
        <v>0.67254226896502933</v>
      </c>
      <c r="Z619">
        <v>2.7006199999999998</v>
      </c>
      <c r="AA619">
        <f>(Table615416[[#This Row],[time]]-2)*2</f>
        <v>1.4012399999999996</v>
      </c>
      <c r="AB619">
        <v>90.341399999999993</v>
      </c>
      <c r="AC619">
        <v>3.8920300000000001</v>
      </c>
      <c r="AD619">
        <f>Table615416[[#This Row],[CFNM]]/Table615416[[#This Row],[CAREA]]</f>
        <v>4.3081355834645028E-2</v>
      </c>
      <c r="AE619">
        <v>2.7006199999999998</v>
      </c>
      <c r="AF619">
        <f>(Table716417[[#This Row],[time]]-2)*2</f>
        <v>1.4012399999999996</v>
      </c>
      <c r="AG619">
        <v>77.0595</v>
      </c>
      <c r="AH619">
        <v>56.914499999999997</v>
      </c>
      <c r="AI619">
        <f>Table716417[[#This Row],[CFNM]]/Table716417[[#This Row],[CAREA]]</f>
        <v>0.73857863079827923</v>
      </c>
      <c r="AJ619">
        <v>2.7006199999999998</v>
      </c>
      <c r="AK619">
        <f>(Table817418[[#This Row],[time]]-2)*2</f>
        <v>1.4012399999999996</v>
      </c>
      <c r="AL619">
        <v>77.709900000000005</v>
      </c>
      <c r="AM619">
        <v>6.9802499999999998</v>
      </c>
      <c r="AN619">
        <f>Table817418[[#This Row],[CFNM]]/Table817418[[#This Row],[CAREA]]</f>
        <v>8.9824462520219431E-2</v>
      </c>
    </row>
    <row r="620" spans="1:40" x14ac:dyDescent="0.25">
      <c r="A620">
        <v>2.75176</v>
      </c>
      <c r="B620">
        <f>(Table110411[[#This Row],[time]]-2)*2</f>
        <v>1.50352</v>
      </c>
      <c r="C620">
        <v>83.989099999999993</v>
      </c>
      <c r="D620">
        <v>46.724899999999998</v>
      </c>
      <c r="E620">
        <f>Table110411[[#This Row],[CFNM]]/Table110411[[#This Row],[CAREA]]</f>
        <v>0.55632099879627239</v>
      </c>
      <c r="F620">
        <v>2.75176</v>
      </c>
      <c r="G620">
        <f>(Table211412[[#This Row],[time]]-2)*2</f>
        <v>1.50352</v>
      </c>
      <c r="H620">
        <v>28.890799999999999</v>
      </c>
      <c r="I620">
        <v>3.8788499999999998E-4</v>
      </c>
      <c r="J620">
        <f>Table211412[[#This Row],[CFNM]]/Table211412[[#This Row],[CAREA]]</f>
        <v>1.3425900286596425E-5</v>
      </c>
      <c r="K620">
        <v>2.75176</v>
      </c>
      <c r="L620">
        <f>(Table312413[[#This Row],[time]]-2)*2</f>
        <v>1.50352</v>
      </c>
      <c r="M620">
        <v>80.857699999999994</v>
      </c>
      <c r="N620">
        <v>44.790900000000001</v>
      </c>
      <c r="O620">
        <f>Table312413[[#This Row],[CFNM]]/Table312413[[#This Row],[CAREA]]</f>
        <v>0.55394724311970289</v>
      </c>
      <c r="P620">
        <v>2.75176</v>
      </c>
      <c r="Q620">
        <f>(Table413414[[#This Row],[time]]-2)*2</f>
        <v>1.50352</v>
      </c>
      <c r="R620">
        <v>46.1648</v>
      </c>
      <c r="S620">
        <v>8.4998699999999996E-4</v>
      </c>
      <c r="T620">
        <f>Table413414[[#This Row],[CFNM]]/Table413414[[#This Row],[CAREA]]</f>
        <v>1.8412015215055625E-5</v>
      </c>
      <c r="U620">
        <v>2.75176</v>
      </c>
      <c r="V620">
        <f>(Table514415[[#This Row],[time]]-2)*2</f>
        <v>1.50352</v>
      </c>
      <c r="W620">
        <v>67.091800000000006</v>
      </c>
      <c r="X620">
        <v>47.845399999999998</v>
      </c>
      <c r="Y620">
        <f>Table514415[[#This Row],[CFNM]]/Table514415[[#This Row],[CAREA]]</f>
        <v>0.71313334863574973</v>
      </c>
      <c r="Z620">
        <v>2.75176</v>
      </c>
      <c r="AA620">
        <f>(Table615416[[#This Row],[time]]-2)*2</f>
        <v>1.50352</v>
      </c>
      <c r="AB620">
        <v>90.563000000000002</v>
      </c>
      <c r="AC620">
        <v>3.4696400000000001</v>
      </c>
      <c r="AD620">
        <f>Table615416[[#This Row],[CFNM]]/Table615416[[#This Row],[CAREA]]</f>
        <v>3.8311893378090392E-2</v>
      </c>
      <c r="AE620">
        <v>2.75176</v>
      </c>
      <c r="AF620">
        <f>(Table716417[[#This Row],[time]]-2)*2</f>
        <v>1.50352</v>
      </c>
      <c r="AG620">
        <v>76.922600000000003</v>
      </c>
      <c r="AH620">
        <v>59.009599999999999</v>
      </c>
      <c r="AI620">
        <f>Table716417[[#This Row],[CFNM]]/Table716417[[#This Row],[CAREA]]</f>
        <v>0.76712955620324841</v>
      </c>
      <c r="AJ620">
        <v>2.75176</v>
      </c>
      <c r="AK620">
        <f>(Table817418[[#This Row],[time]]-2)*2</f>
        <v>1.50352</v>
      </c>
      <c r="AL620">
        <v>77.220799999999997</v>
      </c>
      <c r="AM620">
        <v>6.4884300000000001</v>
      </c>
      <c r="AN620">
        <f>Table817418[[#This Row],[CFNM]]/Table817418[[#This Row],[CAREA]]</f>
        <v>8.4024382031784181E-2</v>
      </c>
    </row>
    <row r="621" spans="1:40" x14ac:dyDescent="0.25">
      <c r="A621">
        <v>2.80444</v>
      </c>
      <c r="B621">
        <f>(Table110411[[#This Row],[time]]-2)*2</f>
        <v>1.6088800000000001</v>
      </c>
      <c r="C621">
        <v>82.764799999999994</v>
      </c>
      <c r="D621">
        <v>49.673000000000002</v>
      </c>
      <c r="E621">
        <f>Table110411[[#This Row],[CFNM]]/Table110411[[#This Row],[CAREA]]</f>
        <v>0.60017060392824007</v>
      </c>
      <c r="F621">
        <v>2.80444</v>
      </c>
      <c r="G621">
        <f>(Table211412[[#This Row],[time]]-2)*2</f>
        <v>1.6088800000000001</v>
      </c>
      <c r="H621">
        <v>22.691500000000001</v>
      </c>
      <c r="I621">
        <v>2.9838999999999999E-4</v>
      </c>
      <c r="J621">
        <f>Table211412[[#This Row],[CFNM]]/Table211412[[#This Row],[CAREA]]</f>
        <v>1.314985787629729E-5</v>
      </c>
      <c r="K621">
        <v>2.80444</v>
      </c>
      <c r="L621">
        <f>(Table312413[[#This Row],[time]]-2)*2</f>
        <v>1.6088800000000001</v>
      </c>
      <c r="M621">
        <v>80.376199999999997</v>
      </c>
      <c r="N621">
        <v>46.938600000000001</v>
      </c>
      <c r="O621">
        <f>Table312413[[#This Row],[CFNM]]/Table312413[[#This Row],[CAREA]]</f>
        <v>0.58398630440354238</v>
      </c>
      <c r="P621">
        <v>2.80444</v>
      </c>
      <c r="Q621">
        <f>(Table413414[[#This Row],[time]]-2)*2</f>
        <v>1.6088800000000001</v>
      </c>
      <c r="R621">
        <v>40.415100000000002</v>
      </c>
      <c r="S621">
        <v>7.3616800000000004E-4</v>
      </c>
      <c r="T621">
        <f>Table413414[[#This Row],[CFNM]]/Table413414[[#This Row],[CAREA]]</f>
        <v>1.8215172052030057E-5</v>
      </c>
      <c r="U621">
        <v>2.80444</v>
      </c>
      <c r="V621">
        <f>(Table514415[[#This Row],[time]]-2)*2</f>
        <v>1.6088800000000001</v>
      </c>
      <c r="W621">
        <v>66.1751</v>
      </c>
      <c r="X621">
        <v>50.376100000000001</v>
      </c>
      <c r="Y621">
        <f>Table514415[[#This Row],[CFNM]]/Table514415[[#This Row],[CAREA]]</f>
        <v>0.76125461087327406</v>
      </c>
      <c r="Z621">
        <v>2.80444</v>
      </c>
      <c r="AA621">
        <f>(Table615416[[#This Row],[time]]-2)*2</f>
        <v>1.6088800000000001</v>
      </c>
      <c r="AB621">
        <v>89.815200000000004</v>
      </c>
      <c r="AC621">
        <v>3.00875</v>
      </c>
      <c r="AD621">
        <f>Table615416[[#This Row],[CFNM]]/Table615416[[#This Row],[CAREA]]</f>
        <v>3.3499340868806168E-2</v>
      </c>
      <c r="AE621">
        <v>2.80444</v>
      </c>
      <c r="AF621">
        <f>(Table716417[[#This Row],[time]]-2)*2</f>
        <v>1.6088800000000001</v>
      </c>
      <c r="AG621">
        <v>76.627700000000004</v>
      </c>
      <c r="AH621">
        <v>61.444800000000001</v>
      </c>
      <c r="AI621">
        <f>Table716417[[#This Row],[CFNM]]/Table716417[[#This Row],[CAREA]]</f>
        <v>0.80186146785039869</v>
      </c>
      <c r="AJ621">
        <v>2.80444</v>
      </c>
      <c r="AK621">
        <f>(Table817418[[#This Row],[time]]-2)*2</f>
        <v>1.6088800000000001</v>
      </c>
      <c r="AL621">
        <v>76.745400000000004</v>
      </c>
      <c r="AM621">
        <v>5.9435399999999996</v>
      </c>
      <c r="AN621">
        <f>Table817418[[#This Row],[CFNM]]/Table817418[[#This Row],[CAREA]]</f>
        <v>7.7444902235182814E-2</v>
      </c>
    </row>
    <row r="622" spans="1:40" x14ac:dyDescent="0.25">
      <c r="A622">
        <v>2.8583699999999999</v>
      </c>
      <c r="B622">
        <f>(Table110411[[#This Row],[time]]-2)*2</f>
        <v>1.7167399999999997</v>
      </c>
      <c r="C622">
        <v>81.619799999999998</v>
      </c>
      <c r="D622">
        <v>52.929000000000002</v>
      </c>
      <c r="E622">
        <f>Table110411[[#This Row],[CFNM]]/Table110411[[#This Row],[CAREA]]</f>
        <v>0.64848235354656592</v>
      </c>
      <c r="F622">
        <v>2.8583699999999999</v>
      </c>
      <c r="G622">
        <f>(Table211412[[#This Row],[time]]-2)*2</f>
        <v>1.7167399999999997</v>
      </c>
      <c r="H622">
        <v>18.640899999999998</v>
      </c>
      <c r="I622">
        <v>2.26467E-4</v>
      </c>
      <c r="J622">
        <f>Table211412[[#This Row],[CFNM]]/Table211412[[#This Row],[CAREA]]</f>
        <v>1.2148930577386285E-5</v>
      </c>
      <c r="K622">
        <v>2.8583699999999999</v>
      </c>
      <c r="L622">
        <f>(Table312413[[#This Row],[time]]-2)*2</f>
        <v>1.7167399999999997</v>
      </c>
      <c r="M622">
        <v>79.863900000000001</v>
      </c>
      <c r="N622">
        <v>49.132399999999997</v>
      </c>
      <c r="O622">
        <f>Table312413[[#This Row],[CFNM]]/Table312413[[#This Row],[CAREA]]</f>
        <v>0.61520161174197596</v>
      </c>
      <c r="P622">
        <v>2.8583699999999999</v>
      </c>
      <c r="Q622">
        <f>(Table413414[[#This Row],[time]]-2)*2</f>
        <v>1.7167399999999997</v>
      </c>
      <c r="R622">
        <v>33.927199999999999</v>
      </c>
      <c r="S622">
        <v>6.2949200000000005E-4</v>
      </c>
      <c r="T622">
        <f>Table413414[[#This Row],[CFNM]]/Table413414[[#This Row],[CAREA]]</f>
        <v>1.8554198401282747E-5</v>
      </c>
      <c r="U622">
        <v>2.8583699999999999</v>
      </c>
      <c r="V622">
        <f>(Table514415[[#This Row],[time]]-2)*2</f>
        <v>1.7167399999999997</v>
      </c>
      <c r="W622">
        <v>64.215000000000003</v>
      </c>
      <c r="X622">
        <v>53.115499999999997</v>
      </c>
      <c r="Y622">
        <f>Table514415[[#This Row],[CFNM]]/Table514415[[#This Row],[CAREA]]</f>
        <v>0.8271509771860156</v>
      </c>
      <c r="Z622">
        <v>2.8583699999999999</v>
      </c>
      <c r="AA622">
        <f>(Table615416[[#This Row],[time]]-2)*2</f>
        <v>1.7167399999999997</v>
      </c>
      <c r="AB622">
        <v>89.392899999999997</v>
      </c>
      <c r="AC622">
        <v>2.4741599999999999</v>
      </c>
      <c r="AD622">
        <f>Table615416[[#This Row],[CFNM]]/Table615416[[#This Row],[CAREA]]</f>
        <v>2.7677365875813403E-2</v>
      </c>
      <c r="AE622">
        <v>2.8583699999999999</v>
      </c>
      <c r="AF622">
        <f>(Table716417[[#This Row],[time]]-2)*2</f>
        <v>1.7167399999999997</v>
      </c>
      <c r="AG622">
        <v>75.816500000000005</v>
      </c>
      <c r="AH622">
        <v>64.164599999999993</v>
      </c>
      <c r="AI622">
        <f>Table716417[[#This Row],[CFNM]]/Table716417[[#This Row],[CAREA]]</f>
        <v>0.8463144566156442</v>
      </c>
      <c r="AJ622">
        <v>2.8583699999999999</v>
      </c>
      <c r="AK622">
        <f>(Table817418[[#This Row],[time]]-2)*2</f>
        <v>1.7167399999999997</v>
      </c>
      <c r="AL622">
        <v>75.947999999999993</v>
      </c>
      <c r="AM622">
        <v>5.31684</v>
      </c>
      <c r="AN622">
        <f>Table817418[[#This Row],[CFNM]]/Table817418[[#This Row],[CAREA]]</f>
        <v>7.0006320113762052E-2</v>
      </c>
    </row>
    <row r="623" spans="1:40" x14ac:dyDescent="0.25">
      <c r="A623">
        <v>2.9134199999999999</v>
      </c>
      <c r="B623">
        <f>(Table110411[[#This Row],[time]]-2)*2</f>
        <v>1.8268399999999998</v>
      </c>
      <c r="C623">
        <v>80.058099999999996</v>
      </c>
      <c r="D623">
        <v>55.961399999999998</v>
      </c>
      <c r="E623">
        <f>Table110411[[#This Row],[CFNM]]/Table110411[[#This Row],[CAREA]]</f>
        <v>0.69900984410072187</v>
      </c>
      <c r="F623">
        <v>2.9134199999999999</v>
      </c>
      <c r="G623">
        <f>(Table211412[[#This Row],[time]]-2)*2</f>
        <v>1.8268399999999998</v>
      </c>
      <c r="H623">
        <v>14.0646</v>
      </c>
      <c r="I623">
        <v>1.7136899999999999E-4</v>
      </c>
      <c r="J623">
        <f>Table211412[[#This Row],[CFNM]]/Table211412[[#This Row],[CAREA]]</f>
        <v>1.218442045987799E-5</v>
      </c>
      <c r="K623">
        <v>2.9134199999999999</v>
      </c>
      <c r="L623">
        <f>(Table312413[[#This Row],[time]]-2)*2</f>
        <v>1.8268399999999998</v>
      </c>
      <c r="M623">
        <v>79.461699999999993</v>
      </c>
      <c r="N623">
        <v>51.122799999999998</v>
      </c>
      <c r="O623">
        <f>Table312413[[#This Row],[CFNM]]/Table312413[[#This Row],[CAREA]]</f>
        <v>0.64336403575559042</v>
      </c>
      <c r="P623">
        <v>2.9134199999999999</v>
      </c>
      <c r="Q623">
        <f>(Table413414[[#This Row],[time]]-2)*2</f>
        <v>1.8268399999999998</v>
      </c>
      <c r="R623">
        <v>33.4114</v>
      </c>
      <c r="S623">
        <v>5.4019699999999996E-4</v>
      </c>
      <c r="T623">
        <f>Table413414[[#This Row],[CFNM]]/Table413414[[#This Row],[CAREA]]</f>
        <v>1.6168044439921701E-5</v>
      </c>
      <c r="U623">
        <v>2.9134199999999999</v>
      </c>
      <c r="V623">
        <f>(Table514415[[#This Row],[time]]-2)*2</f>
        <v>1.8268399999999998</v>
      </c>
      <c r="W623">
        <v>63.312600000000003</v>
      </c>
      <c r="X623">
        <v>55.683199999999999</v>
      </c>
      <c r="Y623">
        <f>Table514415[[#This Row],[CFNM]]/Table514415[[#This Row],[CAREA]]</f>
        <v>0.87949634038090363</v>
      </c>
      <c r="Z623">
        <v>2.9134199999999999</v>
      </c>
      <c r="AA623">
        <f>(Table615416[[#This Row],[time]]-2)*2</f>
        <v>1.8268399999999998</v>
      </c>
      <c r="AB623">
        <v>88.6875</v>
      </c>
      <c r="AC623">
        <v>1.9907900000000001</v>
      </c>
      <c r="AD623">
        <f>Table615416[[#This Row],[CFNM]]/Table615416[[#This Row],[CAREA]]</f>
        <v>2.2447244538407331E-2</v>
      </c>
      <c r="AE623">
        <v>2.9134199999999999</v>
      </c>
      <c r="AF623">
        <f>(Table716417[[#This Row],[time]]-2)*2</f>
        <v>1.8268399999999998</v>
      </c>
      <c r="AG623">
        <v>75.406400000000005</v>
      </c>
      <c r="AH623">
        <v>66.797899999999998</v>
      </c>
      <c r="AI623">
        <f>Table716417[[#This Row],[CFNM]]/Table716417[[#This Row],[CAREA]]</f>
        <v>0.88583860255893387</v>
      </c>
      <c r="AJ623">
        <v>2.9134199999999999</v>
      </c>
      <c r="AK623">
        <f>(Table817418[[#This Row],[time]]-2)*2</f>
        <v>1.8268399999999998</v>
      </c>
      <c r="AL623">
        <v>75.277900000000002</v>
      </c>
      <c r="AM623">
        <v>4.6993999999999998</v>
      </c>
      <c r="AN623">
        <f>Table817418[[#This Row],[CFNM]]/Table817418[[#This Row],[CAREA]]</f>
        <v>6.2427352516475618E-2</v>
      </c>
    </row>
    <row r="624" spans="1:40" x14ac:dyDescent="0.25">
      <c r="A624">
        <v>2.9619599999999999</v>
      </c>
      <c r="B624">
        <f>(Table110411[[#This Row],[time]]-2)*2</f>
        <v>1.9239199999999999</v>
      </c>
      <c r="C624">
        <v>79.197599999999994</v>
      </c>
      <c r="D624">
        <v>57.203400000000002</v>
      </c>
      <c r="E624">
        <f>Table110411[[#This Row],[CFNM]]/Table110411[[#This Row],[CAREA]]</f>
        <v>0.72228703900118196</v>
      </c>
      <c r="F624">
        <v>2.9619599999999999</v>
      </c>
      <c r="G624">
        <f>(Table211412[[#This Row],[time]]-2)*2</f>
        <v>1.9239199999999999</v>
      </c>
      <c r="H624">
        <v>13.0205</v>
      </c>
      <c r="I624">
        <v>1.5340899999999999E-4</v>
      </c>
      <c r="J624">
        <f>Table211412[[#This Row],[CFNM]]/Table211412[[#This Row],[CAREA]]</f>
        <v>1.1782112822088245E-5</v>
      </c>
      <c r="K624">
        <v>2.9619599999999999</v>
      </c>
      <c r="L624">
        <f>(Table312413[[#This Row],[time]]-2)*2</f>
        <v>1.9239199999999999</v>
      </c>
      <c r="M624">
        <v>79.244399999999999</v>
      </c>
      <c r="N624">
        <v>51.901499999999999</v>
      </c>
      <c r="O624">
        <f>Table312413[[#This Row],[CFNM]]/Table312413[[#This Row],[CAREA]]</f>
        <v>0.65495479806774992</v>
      </c>
      <c r="P624">
        <v>2.9619599999999999</v>
      </c>
      <c r="Q624">
        <f>(Table413414[[#This Row],[time]]-2)*2</f>
        <v>1.9239199999999999</v>
      </c>
      <c r="R624">
        <v>31.407</v>
      </c>
      <c r="S624">
        <v>5.0383600000000002E-4</v>
      </c>
      <c r="T624">
        <f>Table413414[[#This Row],[CFNM]]/Table413414[[#This Row],[CAREA]]</f>
        <v>1.6042156207214952E-5</v>
      </c>
      <c r="U624">
        <v>2.9619599999999999</v>
      </c>
      <c r="V624">
        <f>(Table514415[[#This Row],[time]]-2)*2</f>
        <v>1.9239199999999999</v>
      </c>
      <c r="W624">
        <v>62.9223</v>
      </c>
      <c r="X624">
        <v>56.779200000000003</v>
      </c>
      <c r="Y624">
        <f>Table514415[[#This Row],[CFNM]]/Table514415[[#This Row],[CAREA]]</f>
        <v>0.90237006593846703</v>
      </c>
      <c r="Z624">
        <v>2.9619599999999999</v>
      </c>
      <c r="AA624">
        <f>(Table615416[[#This Row],[time]]-2)*2</f>
        <v>1.9239199999999999</v>
      </c>
      <c r="AB624">
        <v>88.487799999999993</v>
      </c>
      <c r="AC624">
        <v>1.80199</v>
      </c>
      <c r="AD624">
        <f>Table615416[[#This Row],[CFNM]]/Table615416[[#This Row],[CAREA]]</f>
        <v>2.03642762053074E-2</v>
      </c>
      <c r="AE624">
        <v>2.9619599999999999</v>
      </c>
      <c r="AF624">
        <f>(Table716417[[#This Row],[time]]-2)*2</f>
        <v>1.9239199999999999</v>
      </c>
      <c r="AG624">
        <v>74.889300000000006</v>
      </c>
      <c r="AH624">
        <v>67.943200000000004</v>
      </c>
      <c r="AI624">
        <f>Table716417[[#This Row],[CFNM]]/Table716417[[#This Row],[CAREA]]</f>
        <v>0.90724843201899341</v>
      </c>
      <c r="AJ624">
        <v>2.9619599999999999</v>
      </c>
      <c r="AK624">
        <f>(Table817418[[#This Row],[time]]-2)*2</f>
        <v>1.9239199999999999</v>
      </c>
      <c r="AL624">
        <v>74.922700000000006</v>
      </c>
      <c r="AM624">
        <v>4.4249400000000003</v>
      </c>
      <c r="AN624">
        <f>Table817418[[#This Row],[CFNM]]/Table817418[[#This Row],[CAREA]]</f>
        <v>5.9060071246764996E-2</v>
      </c>
    </row>
    <row r="625" spans="1:40" x14ac:dyDescent="0.25">
      <c r="A625">
        <v>3</v>
      </c>
      <c r="B625">
        <f>(Table110411[[#This Row],[time]]-2)*2</f>
        <v>2</v>
      </c>
      <c r="C625">
        <v>77.689099999999996</v>
      </c>
      <c r="D625">
        <v>59.227200000000003</v>
      </c>
      <c r="E625">
        <f>Table110411[[#This Row],[CFNM]]/Table110411[[#This Row],[CAREA]]</f>
        <v>0.76236177275834072</v>
      </c>
      <c r="F625">
        <v>3</v>
      </c>
      <c r="G625">
        <f>(Table211412[[#This Row],[time]]-2)*2</f>
        <v>2</v>
      </c>
      <c r="H625">
        <v>11.012</v>
      </c>
      <c r="I625">
        <v>1.25981E-4</v>
      </c>
      <c r="J625">
        <f>Table211412[[#This Row],[CFNM]]/Table211412[[#This Row],[CAREA]]</f>
        <v>1.1440337813294587E-5</v>
      </c>
      <c r="K625">
        <v>3</v>
      </c>
      <c r="L625">
        <f>(Table312413[[#This Row],[time]]-2)*2</f>
        <v>2</v>
      </c>
      <c r="M625">
        <v>78.795000000000002</v>
      </c>
      <c r="N625">
        <v>53.168599999999998</v>
      </c>
      <c r="O625">
        <f>Table312413[[#This Row],[CFNM]]/Table312413[[#This Row],[CAREA]]</f>
        <v>0.67477124183006532</v>
      </c>
      <c r="P625">
        <v>3</v>
      </c>
      <c r="Q625">
        <f>(Table413414[[#This Row],[time]]-2)*2</f>
        <v>2</v>
      </c>
      <c r="R625">
        <v>30.161799999999999</v>
      </c>
      <c r="S625">
        <v>4.46093E-4</v>
      </c>
      <c r="T625">
        <f>Table413414[[#This Row],[CFNM]]/Table413414[[#This Row],[CAREA]]</f>
        <v>1.4789999270600562E-5</v>
      </c>
      <c r="U625">
        <v>3</v>
      </c>
      <c r="V625">
        <f>(Table514415[[#This Row],[time]]-2)*2</f>
        <v>2</v>
      </c>
      <c r="W625">
        <v>62.032200000000003</v>
      </c>
      <c r="X625">
        <v>58.670200000000001</v>
      </c>
      <c r="Y625">
        <f>Table514415[[#This Row],[CFNM]]/Table514415[[#This Row],[CAREA]]</f>
        <v>0.94580234136464603</v>
      </c>
      <c r="Z625">
        <v>3</v>
      </c>
      <c r="AA625">
        <f>(Table615416[[#This Row],[time]]-2)*2</f>
        <v>2</v>
      </c>
      <c r="AB625">
        <v>88.118700000000004</v>
      </c>
      <c r="AC625">
        <v>1.50468</v>
      </c>
      <c r="AD625">
        <f>Table615416[[#This Row],[CFNM]]/Table615416[[#This Row],[CAREA]]</f>
        <v>1.707560370273279E-2</v>
      </c>
      <c r="AE625">
        <v>3</v>
      </c>
      <c r="AF625">
        <f>(Table716417[[#This Row],[time]]-2)*2</f>
        <v>2</v>
      </c>
      <c r="AG625">
        <v>74.557199999999995</v>
      </c>
      <c r="AH625">
        <v>69.9452</v>
      </c>
      <c r="AI625">
        <f>Table716417[[#This Row],[CFNM]]/Table716417[[#This Row],[CAREA]]</f>
        <v>0.93814145380996072</v>
      </c>
      <c r="AJ625">
        <v>3</v>
      </c>
      <c r="AK625">
        <f>(Table817418[[#This Row],[time]]-2)*2</f>
        <v>2</v>
      </c>
      <c r="AL625">
        <v>74.354100000000003</v>
      </c>
      <c r="AM625">
        <v>3.9256899999999999</v>
      </c>
      <c r="AN625">
        <f>Table817418[[#This Row],[CFNM]]/Table817418[[#This Row],[CAREA]]</f>
        <v>5.2797223017964037E-2</v>
      </c>
    </row>
    <row r="628" spans="1:40" x14ac:dyDescent="0.25">
      <c r="A628" s="1" t="s">
        <v>29</v>
      </c>
    </row>
    <row r="629" spans="1:40" x14ac:dyDescent="0.25">
      <c r="A629" t="s">
        <v>67</v>
      </c>
      <c r="F629" t="s">
        <v>1</v>
      </c>
    </row>
    <row r="630" spans="1:40" x14ac:dyDescent="0.25">
      <c r="F630" t="s">
        <v>2</v>
      </c>
      <c r="G630" t="s">
        <v>3</v>
      </c>
    </row>
    <row r="633" spans="1:40" x14ac:dyDescent="0.25">
      <c r="A633" t="s">
        <v>4</v>
      </c>
      <c r="F633" t="s">
        <v>5</v>
      </c>
      <c r="K633" t="s">
        <v>6</v>
      </c>
      <c r="P633" t="s">
        <v>7</v>
      </c>
      <c r="U633" t="s">
        <v>8</v>
      </c>
      <c r="Z633" t="s">
        <v>9</v>
      </c>
      <c r="AE633" t="s">
        <v>10</v>
      </c>
      <c r="AJ633" t="s">
        <v>11</v>
      </c>
    </row>
    <row r="634" spans="1:40" x14ac:dyDescent="0.25">
      <c r="A634" t="s">
        <v>12</v>
      </c>
      <c r="B634" t="s">
        <v>13</v>
      </c>
      <c r="C634" t="s">
        <v>14</v>
      </c>
      <c r="D634" t="s">
        <v>15</v>
      </c>
      <c r="E634" t="s">
        <v>16</v>
      </c>
      <c r="F634" t="s">
        <v>12</v>
      </c>
      <c r="G634" t="s">
        <v>13</v>
      </c>
      <c r="H634" t="s">
        <v>14</v>
      </c>
      <c r="I634" t="s">
        <v>15</v>
      </c>
      <c r="J634" t="s">
        <v>16</v>
      </c>
      <c r="K634" t="s">
        <v>12</v>
      </c>
      <c r="L634" t="s">
        <v>13</v>
      </c>
      <c r="M634" t="s">
        <v>14</v>
      </c>
      <c r="N634" t="s">
        <v>15</v>
      </c>
      <c r="O634" t="s">
        <v>16</v>
      </c>
      <c r="P634" t="s">
        <v>12</v>
      </c>
      <c r="Q634" t="s">
        <v>13</v>
      </c>
      <c r="R634" t="s">
        <v>14</v>
      </c>
      <c r="S634" t="s">
        <v>15</v>
      </c>
      <c r="T634" t="s">
        <v>16</v>
      </c>
      <c r="U634" t="s">
        <v>12</v>
      </c>
      <c r="V634" t="s">
        <v>13</v>
      </c>
      <c r="W634" t="s">
        <v>14</v>
      </c>
      <c r="X634" t="s">
        <v>15</v>
      </c>
      <c r="Y634" t="s">
        <v>16</v>
      </c>
      <c r="Z634" t="s">
        <v>12</v>
      </c>
      <c r="AA634" t="s">
        <v>13</v>
      </c>
      <c r="AB634" t="s">
        <v>14</v>
      </c>
      <c r="AC634" t="s">
        <v>15</v>
      </c>
      <c r="AD634" t="s">
        <v>16</v>
      </c>
      <c r="AE634" t="s">
        <v>12</v>
      </c>
      <c r="AF634" t="s">
        <v>13</v>
      </c>
      <c r="AG634" t="s">
        <v>14</v>
      </c>
      <c r="AH634" t="s">
        <v>15</v>
      </c>
      <c r="AI634" t="s">
        <v>16</v>
      </c>
      <c r="AJ634" t="s">
        <v>12</v>
      </c>
      <c r="AK634" t="s">
        <v>13</v>
      </c>
      <c r="AL634" t="s">
        <v>14</v>
      </c>
      <c r="AM634" t="s">
        <v>15</v>
      </c>
      <c r="AN634" t="s">
        <v>16</v>
      </c>
    </row>
    <row r="635" spans="1:40" x14ac:dyDescent="0.25">
      <c r="A635">
        <v>2</v>
      </c>
      <c r="B635">
        <f>-(Table1419[[#This Row],[time]]-2)*2</f>
        <v>0</v>
      </c>
      <c r="C635">
        <v>80.561000000000007</v>
      </c>
      <c r="D635">
        <v>3.9823499999999998</v>
      </c>
      <c r="E635" s="2">
        <f>Table1419[[#This Row],[CFNM]]/Table1419[[#This Row],[CAREA]]</f>
        <v>4.9432727994935512E-2</v>
      </c>
      <c r="F635">
        <v>2</v>
      </c>
      <c r="G635">
        <f>-(Table2420[[#This Row],[time]]-2)*2</f>
        <v>0</v>
      </c>
      <c r="H635">
        <v>87.831800000000001</v>
      </c>
      <c r="I635">
        <v>3.84921E-3</v>
      </c>
      <c r="J635" s="2">
        <f>Table2420[[#This Row],[CFNM]]/Table2420[[#This Row],[CAREA]]</f>
        <v>4.382478783310828E-5</v>
      </c>
      <c r="K635">
        <v>2</v>
      </c>
      <c r="L635">
        <f>-(Table3421[[#This Row],[time]]-2)*2</f>
        <v>0</v>
      </c>
      <c r="M635">
        <v>85.166700000000006</v>
      </c>
      <c r="N635">
        <v>3.7005300000000001E-3</v>
      </c>
      <c r="O635">
        <f>Table3421[[#This Row],[CFNM]]/Table3421[[#This Row],[CAREA]]</f>
        <v>4.3450433091807004E-5</v>
      </c>
      <c r="P635">
        <v>2</v>
      </c>
      <c r="Q635">
        <f>-(Table4422[[#This Row],[time]]-2)*2</f>
        <v>0</v>
      </c>
      <c r="R635">
        <v>79.126099999999994</v>
      </c>
      <c r="S635">
        <v>4.5282500000000002E-3</v>
      </c>
      <c r="T635">
        <f>Table4422[[#This Row],[CFNM]]/Table4422[[#This Row],[CAREA]]</f>
        <v>5.7228272339973796E-5</v>
      </c>
      <c r="U635">
        <v>2</v>
      </c>
      <c r="V635">
        <f>-(Table5423[[#This Row],[time]]-2)*2</f>
        <v>0</v>
      </c>
      <c r="W635">
        <v>83.227800000000002</v>
      </c>
      <c r="X635">
        <v>3.5063800000000001</v>
      </c>
      <c r="Y635">
        <f>Table5423[[#This Row],[CFNM]]/Table5423[[#This Row],[CAREA]]</f>
        <v>4.2129913322231274E-2</v>
      </c>
      <c r="Z635">
        <v>2</v>
      </c>
      <c r="AA635">
        <f>-(Table6424[[#This Row],[time]]-2)*2</f>
        <v>0</v>
      </c>
      <c r="AB635">
        <v>83.949600000000004</v>
      </c>
      <c r="AC635">
        <v>6.2742100000000001</v>
      </c>
      <c r="AD635">
        <f>Table6424[[#This Row],[CFNM]]/Table6424[[#This Row],[CAREA]]</f>
        <v>7.4737818881805265E-2</v>
      </c>
      <c r="AE635">
        <v>2</v>
      </c>
      <c r="AF635">
        <f>-(Table7425[[#This Row],[time]]-2)*2</f>
        <v>0</v>
      </c>
      <c r="AG635">
        <v>78.459999999999994</v>
      </c>
      <c r="AH635">
        <v>14.707599999999999</v>
      </c>
      <c r="AI635">
        <f>Table7425[[#This Row],[CFNM]]/Table7425[[#This Row],[CAREA]]</f>
        <v>0.1874534794799898</v>
      </c>
      <c r="AJ635">
        <v>2</v>
      </c>
      <c r="AK635">
        <f>-(Table8426[[#This Row],[time]]-2)*2</f>
        <v>0</v>
      </c>
      <c r="AL635">
        <v>83.006</v>
      </c>
      <c r="AM635">
        <v>14.6488</v>
      </c>
      <c r="AN635">
        <f>Table8426[[#This Row],[CFNM]]/Table8426[[#This Row],[CAREA]]</f>
        <v>0.17647880876081246</v>
      </c>
    </row>
    <row r="636" spans="1:40" x14ac:dyDescent="0.25">
      <c r="A636">
        <v>2.0512600000000001</v>
      </c>
      <c r="B636">
        <f>-(Table1419[[#This Row],[time]]-2)*2</f>
        <v>-0.10252000000000017</v>
      </c>
      <c r="C636">
        <v>89.319400000000002</v>
      </c>
      <c r="D636">
        <v>7.9029400000000001</v>
      </c>
      <c r="E636">
        <f>Table1419[[#This Row],[CFNM]]/Table1419[[#This Row],[CAREA]]</f>
        <v>8.8479546436720347E-2</v>
      </c>
      <c r="F636">
        <v>2.0512600000000001</v>
      </c>
      <c r="G636">
        <f>-(Table2420[[#This Row],[time]]-2)*2</f>
        <v>-0.10252000000000017</v>
      </c>
      <c r="H636">
        <v>94.403899999999993</v>
      </c>
      <c r="I636">
        <v>6.3678100000000004</v>
      </c>
      <c r="J636">
        <f>Table2420[[#This Row],[CFNM]]/Table2420[[#This Row],[CAREA]]</f>
        <v>6.7452827690381439E-2</v>
      </c>
      <c r="K636">
        <v>2.0512600000000001</v>
      </c>
      <c r="L636">
        <f>-(Table3421[[#This Row],[time]]-2)*2</f>
        <v>-0.10252000000000017</v>
      </c>
      <c r="M636">
        <v>89.278999999999996</v>
      </c>
      <c r="N636">
        <v>0.71938100000000005</v>
      </c>
      <c r="O636">
        <f>Table3421[[#This Row],[CFNM]]/Table3421[[#This Row],[CAREA]]</f>
        <v>8.0576731370199054E-3</v>
      </c>
      <c r="P636">
        <v>2.0512600000000001</v>
      </c>
      <c r="Q636">
        <f>-(Table4422[[#This Row],[time]]-2)*2</f>
        <v>-0.10252000000000017</v>
      </c>
      <c r="R636">
        <v>84.507199999999997</v>
      </c>
      <c r="S636">
        <v>8.7385800000000007</v>
      </c>
      <c r="T636">
        <f>Table4422[[#This Row],[CFNM]]/Table4422[[#This Row],[CAREA]]</f>
        <v>0.10340633697483766</v>
      </c>
      <c r="U636">
        <v>2.0512600000000001</v>
      </c>
      <c r="V636">
        <f>-(Table5423[[#This Row],[time]]-2)*2</f>
        <v>-0.10252000000000017</v>
      </c>
      <c r="W636">
        <v>82.305199999999999</v>
      </c>
      <c r="X636">
        <v>4.8170299999999999</v>
      </c>
      <c r="Y636">
        <f>Table5423[[#This Row],[CFNM]]/Table5423[[#This Row],[CAREA]]</f>
        <v>5.8526435753755532E-2</v>
      </c>
      <c r="Z636">
        <v>2.0512600000000001</v>
      </c>
      <c r="AA636">
        <f>-(Table6424[[#This Row],[time]]-2)*2</f>
        <v>-0.10252000000000017</v>
      </c>
      <c r="AB636">
        <v>88.095699999999994</v>
      </c>
      <c r="AC636">
        <v>13.657299999999999</v>
      </c>
      <c r="AD636">
        <f>Table6424[[#This Row],[CFNM]]/Table6424[[#This Row],[CAREA]]</f>
        <v>0.15502799796130798</v>
      </c>
      <c r="AE636">
        <v>2.0512600000000001</v>
      </c>
      <c r="AF636">
        <f>-(Table7425[[#This Row],[time]]-2)*2</f>
        <v>-0.10252000000000017</v>
      </c>
      <c r="AG636">
        <v>79.364999999999995</v>
      </c>
      <c r="AH636">
        <v>17.325800000000001</v>
      </c>
      <c r="AI636">
        <f>Table7425[[#This Row],[CFNM]]/Table7425[[#This Row],[CAREA]]</f>
        <v>0.21830529830529832</v>
      </c>
      <c r="AJ636">
        <v>2.0512600000000001</v>
      </c>
      <c r="AK636">
        <f>-(Table8426[[#This Row],[time]]-2)*2</f>
        <v>-0.10252000000000017</v>
      </c>
      <c r="AL636">
        <v>83.145399999999995</v>
      </c>
      <c r="AM636">
        <v>21.631399999999999</v>
      </c>
      <c r="AN636">
        <f>Table8426[[#This Row],[CFNM]]/Table8426[[#This Row],[CAREA]]</f>
        <v>0.26016352077204513</v>
      </c>
    </row>
    <row r="637" spans="1:40" x14ac:dyDescent="0.25">
      <c r="A637">
        <v>2.1153300000000002</v>
      </c>
      <c r="B637">
        <f>-(Table1419[[#This Row],[time]]-2)*2</f>
        <v>-0.23066000000000031</v>
      </c>
      <c r="C637">
        <v>86.239599999999996</v>
      </c>
      <c r="D637">
        <v>6.22851</v>
      </c>
      <c r="E637">
        <f>Table1419[[#This Row],[CFNM]]/Table1419[[#This Row],[CAREA]]</f>
        <v>7.2223317362325429E-2</v>
      </c>
      <c r="F637">
        <v>2.1153300000000002</v>
      </c>
      <c r="G637">
        <f>-(Table2420[[#This Row],[time]]-2)*2</f>
        <v>-0.23066000000000031</v>
      </c>
      <c r="H637">
        <v>93.206500000000005</v>
      </c>
      <c r="I637">
        <v>9.2076100000000007</v>
      </c>
      <c r="J637">
        <f>Table2420[[#This Row],[CFNM]]/Table2420[[#This Row],[CAREA]]</f>
        <v>9.8787209046579366E-2</v>
      </c>
      <c r="K637">
        <v>2.1153300000000002</v>
      </c>
      <c r="L637">
        <f>-(Table3421[[#This Row],[time]]-2)*2</f>
        <v>-0.23066000000000031</v>
      </c>
      <c r="M637">
        <v>88.825299999999999</v>
      </c>
      <c r="N637">
        <v>4.4091900000000003E-3</v>
      </c>
      <c r="O637">
        <f>Table3421[[#This Row],[CFNM]]/Table3421[[#This Row],[CAREA]]</f>
        <v>4.9638897926604247E-5</v>
      </c>
      <c r="P637">
        <v>2.1153300000000002</v>
      </c>
      <c r="Q637">
        <f>-(Table4422[[#This Row],[time]]-2)*2</f>
        <v>-0.23066000000000031</v>
      </c>
      <c r="R637">
        <v>82.911299999999997</v>
      </c>
      <c r="S637">
        <v>10.996</v>
      </c>
      <c r="T637">
        <f>Table4422[[#This Row],[CFNM]]/Table4422[[#This Row],[CAREA]]</f>
        <v>0.13262365925995614</v>
      </c>
      <c r="U637">
        <v>2.1153300000000002</v>
      </c>
      <c r="V637">
        <f>-(Table5423[[#This Row],[time]]-2)*2</f>
        <v>-0.23066000000000031</v>
      </c>
      <c r="W637">
        <v>82.178399999999996</v>
      </c>
      <c r="X637">
        <v>1.8076099999999999</v>
      </c>
      <c r="Y637">
        <f>Table5423[[#This Row],[CFNM]]/Table5423[[#This Row],[CAREA]]</f>
        <v>2.1996169309696952E-2</v>
      </c>
      <c r="Z637">
        <v>2.1153300000000002</v>
      </c>
      <c r="AA637">
        <f>-(Table6424[[#This Row],[time]]-2)*2</f>
        <v>-0.23066000000000031</v>
      </c>
      <c r="AB637">
        <v>86.137200000000007</v>
      </c>
      <c r="AC637">
        <v>12.1274</v>
      </c>
      <c r="AD637">
        <f>Table6424[[#This Row],[CFNM]]/Table6424[[#This Row],[CAREA]]</f>
        <v>0.14079166724713596</v>
      </c>
      <c r="AE637">
        <v>2.1153300000000002</v>
      </c>
      <c r="AF637">
        <f>-(Table7425[[#This Row],[time]]-2)*2</f>
        <v>-0.23066000000000031</v>
      </c>
      <c r="AG637">
        <v>79.666600000000003</v>
      </c>
      <c r="AH637">
        <v>15.411899999999999</v>
      </c>
      <c r="AI637">
        <f>Table7425[[#This Row],[CFNM]]/Table7425[[#This Row],[CAREA]]</f>
        <v>0.19345497360248837</v>
      </c>
      <c r="AJ637">
        <v>2.1153300000000002</v>
      </c>
      <c r="AK637">
        <f>-(Table8426[[#This Row],[time]]-2)*2</f>
        <v>-0.23066000000000031</v>
      </c>
      <c r="AL637">
        <v>83.051599999999993</v>
      </c>
      <c r="AM637">
        <v>23.773800000000001</v>
      </c>
      <c r="AN637">
        <f>Table8426[[#This Row],[CFNM]]/Table8426[[#This Row],[CAREA]]</f>
        <v>0.28625336537766888</v>
      </c>
    </row>
    <row r="638" spans="1:40" x14ac:dyDescent="0.25">
      <c r="A638">
        <v>2.16533</v>
      </c>
      <c r="B638">
        <f>-(Table1419[[#This Row],[time]]-2)*2</f>
        <v>-0.33065999999999995</v>
      </c>
      <c r="C638">
        <v>84.952200000000005</v>
      </c>
      <c r="D638">
        <v>4.6420300000000001</v>
      </c>
      <c r="E638">
        <f>Table1419[[#This Row],[CFNM]]/Table1419[[#This Row],[CAREA]]</f>
        <v>5.4642846212340584E-2</v>
      </c>
      <c r="F638">
        <v>2.16533</v>
      </c>
      <c r="G638">
        <f>-(Table2420[[#This Row],[time]]-2)*2</f>
        <v>-0.33065999999999995</v>
      </c>
      <c r="H638">
        <v>92.091200000000001</v>
      </c>
      <c r="I638">
        <v>12.3947</v>
      </c>
      <c r="J638">
        <f>Table2420[[#This Row],[CFNM]]/Table2420[[#This Row],[CAREA]]</f>
        <v>0.13459157878277186</v>
      </c>
      <c r="K638">
        <v>2.16533</v>
      </c>
      <c r="L638">
        <f>-(Table3421[[#This Row],[time]]-2)*2</f>
        <v>-0.33065999999999995</v>
      </c>
      <c r="M638">
        <v>86.4054</v>
      </c>
      <c r="N638">
        <v>3.4191199999999999E-3</v>
      </c>
      <c r="O638">
        <f>Table3421[[#This Row],[CFNM]]/Table3421[[#This Row],[CAREA]]</f>
        <v>3.9570674980961839E-5</v>
      </c>
      <c r="P638">
        <v>2.16533</v>
      </c>
      <c r="Q638">
        <f>-(Table4422[[#This Row],[time]]-2)*2</f>
        <v>-0.33065999999999995</v>
      </c>
      <c r="R638">
        <v>81.395399999999995</v>
      </c>
      <c r="S638">
        <v>13.530799999999999</v>
      </c>
      <c r="T638">
        <f>Table4422[[#This Row],[CFNM]]/Table4422[[#This Row],[CAREA]]</f>
        <v>0.1662354383662959</v>
      </c>
      <c r="U638">
        <v>2.16533</v>
      </c>
      <c r="V638">
        <f>-(Table5423[[#This Row],[time]]-2)*2</f>
        <v>-0.33065999999999995</v>
      </c>
      <c r="W638">
        <v>82.438900000000004</v>
      </c>
      <c r="X638">
        <v>0.16117799999999999</v>
      </c>
      <c r="Y638">
        <f>Table5423[[#This Row],[CFNM]]/Table5423[[#This Row],[CAREA]]</f>
        <v>1.9551207015134843E-3</v>
      </c>
      <c r="Z638">
        <v>2.16533</v>
      </c>
      <c r="AA638">
        <f>-(Table6424[[#This Row],[time]]-2)*2</f>
        <v>-0.33065999999999995</v>
      </c>
      <c r="AB638">
        <v>84.425200000000004</v>
      </c>
      <c r="AC638">
        <v>12.262600000000001</v>
      </c>
      <c r="AD638">
        <f>Table6424[[#This Row],[CFNM]]/Table6424[[#This Row],[CAREA]]</f>
        <v>0.14524810127781754</v>
      </c>
      <c r="AE638">
        <v>2.16533</v>
      </c>
      <c r="AF638">
        <f>-(Table7425[[#This Row],[time]]-2)*2</f>
        <v>-0.33065999999999995</v>
      </c>
      <c r="AG638">
        <v>80.014600000000002</v>
      </c>
      <c r="AH638">
        <v>13.5184</v>
      </c>
      <c r="AI638">
        <f>Table7425[[#This Row],[CFNM]]/Table7425[[#This Row],[CAREA]]</f>
        <v>0.16894916677706318</v>
      </c>
      <c r="AJ638">
        <v>2.16533</v>
      </c>
      <c r="AK638">
        <f>-(Table8426[[#This Row],[time]]-2)*2</f>
        <v>-0.33065999999999995</v>
      </c>
      <c r="AL638">
        <v>82.894499999999994</v>
      </c>
      <c r="AM638">
        <v>26.2194</v>
      </c>
      <c r="AN638">
        <f>Table8426[[#This Row],[CFNM]]/Table8426[[#This Row],[CAREA]]</f>
        <v>0.31629842751931675</v>
      </c>
    </row>
    <row r="639" spans="1:40" x14ac:dyDescent="0.25">
      <c r="A639">
        <v>2.2246999999999999</v>
      </c>
      <c r="B639">
        <f>-(Table1419[[#This Row],[time]]-2)*2</f>
        <v>-0.4493999999999998</v>
      </c>
      <c r="C639">
        <v>82.231099999999998</v>
      </c>
      <c r="D639">
        <v>3.2991700000000002</v>
      </c>
      <c r="E639">
        <f>Table1419[[#This Row],[CFNM]]/Table1419[[#This Row],[CAREA]]</f>
        <v>4.012070858835648E-2</v>
      </c>
      <c r="F639">
        <v>2.2246999999999999</v>
      </c>
      <c r="G639">
        <f>-(Table2420[[#This Row],[time]]-2)*2</f>
        <v>-0.4493999999999998</v>
      </c>
      <c r="H639">
        <v>90.6999</v>
      </c>
      <c r="I639">
        <v>15.746</v>
      </c>
      <c r="J639">
        <f>Table2420[[#This Row],[CFNM]]/Table2420[[#This Row],[CAREA]]</f>
        <v>0.17360548357826194</v>
      </c>
      <c r="K639">
        <v>2.2246999999999999</v>
      </c>
      <c r="L639">
        <f>-(Table3421[[#This Row],[time]]-2)*2</f>
        <v>-0.4493999999999998</v>
      </c>
      <c r="M639">
        <v>79.722999999999999</v>
      </c>
      <c r="N639">
        <v>2.8549199999999999E-3</v>
      </c>
      <c r="O639">
        <f>Table3421[[#This Row],[CFNM]]/Table3421[[#This Row],[CAREA]]</f>
        <v>3.5810493834903354E-5</v>
      </c>
      <c r="P639">
        <v>2.2246999999999999</v>
      </c>
      <c r="Q639">
        <f>-(Table4422[[#This Row],[time]]-2)*2</f>
        <v>-0.4493999999999998</v>
      </c>
      <c r="R639">
        <v>80.538399999999996</v>
      </c>
      <c r="S639">
        <v>16.205300000000001</v>
      </c>
      <c r="T639">
        <f>Table4422[[#This Row],[CFNM]]/Table4422[[#This Row],[CAREA]]</f>
        <v>0.20121209261668971</v>
      </c>
      <c r="U639">
        <v>2.2246999999999999</v>
      </c>
      <c r="V639">
        <f>-(Table5423[[#This Row],[time]]-2)*2</f>
        <v>-0.4493999999999998</v>
      </c>
      <c r="W639">
        <v>82.201899999999995</v>
      </c>
      <c r="X639">
        <v>4.6317199999999998E-3</v>
      </c>
      <c r="Y639">
        <f>Table5423[[#This Row],[CFNM]]/Table5423[[#This Row],[CAREA]]</f>
        <v>5.6345656243955434E-5</v>
      </c>
      <c r="Z639">
        <v>2.2246999999999999</v>
      </c>
      <c r="AA639">
        <f>-(Table6424[[#This Row],[time]]-2)*2</f>
        <v>-0.4493999999999998</v>
      </c>
      <c r="AB639">
        <v>83.648200000000003</v>
      </c>
      <c r="AC639">
        <v>14.2079</v>
      </c>
      <c r="AD639">
        <f>Table6424[[#This Row],[CFNM]]/Table6424[[#This Row],[CAREA]]</f>
        <v>0.16985302732156818</v>
      </c>
      <c r="AE639">
        <v>2.2246999999999999</v>
      </c>
      <c r="AF639">
        <f>-(Table7425[[#This Row],[time]]-2)*2</f>
        <v>-0.4493999999999998</v>
      </c>
      <c r="AG639">
        <v>80.150300000000001</v>
      </c>
      <c r="AH639">
        <v>11.871700000000001</v>
      </c>
      <c r="AI639">
        <f>Table7425[[#This Row],[CFNM]]/Table7425[[#This Row],[CAREA]]</f>
        <v>0.1481179733575545</v>
      </c>
      <c r="AJ639">
        <v>2.2246999999999999</v>
      </c>
      <c r="AK639">
        <f>-(Table8426[[#This Row],[time]]-2)*2</f>
        <v>-0.4493999999999998</v>
      </c>
      <c r="AL639">
        <v>82.8005</v>
      </c>
      <c r="AM639">
        <v>28.651</v>
      </c>
      <c r="AN639">
        <f>Table8426[[#This Row],[CFNM]]/Table8426[[#This Row],[CAREA]]</f>
        <v>0.34602448052849921</v>
      </c>
    </row>
    <row r="640" spans="1:40" x14ac:dyDescent="0.25">
      <c r="A640">
        <v>2.2668900000000001</v>
      </c>
      <c r="B640">
        <f>-(Table1419[[#This Row],[time]]-2)*2</f>
        <v>-0.53378000000000014</v>
      </c>
      <c r="C640">
        <v>78.332999999999998</v>
      </c>
      <c r="D640">
        <v>2.149</v>
      </c>
      <c r="E640">
        <f>Table1419[[#This Row],[CFNM]]/Table1419[[#This Row],[CAREA]]</f>
        <v>2.7434159294294869E-2</v>
      </c>
      <c r="F640">
        <v>2.2668900000000001</v>
      </c>
      <c r="G640">
        <f>-(Table2420[[#This Row],[time]]-2)*2</f>
        <v>-0.53378000000000014</v>
      </c>
      <c r="H640">
        <v>89.376400000000004</v>
      </c>
      <c r="I640">
        <v>19.107600000000001</v>
      </c>
      <c r="J640">
        <f>Table2420[[#This Row],[CFNM]]/Table2420[[#This Row],[CAREA]]</f>
        <v>0.2137879798246517</v>
      </c>
      <c r="K640">
        <v>2.2668900000000001</v>
      </c>
      <c r="L640">
        <f>-(Table3421[[#This Row],[time]]-2)*2</f>
        <v>-0.53378000000000014</v>
      </c>
      <c r="M640">
        <v>74.817400000000006</v>
      </c>
      <c r="N640">
        <v>2.47744E-3</v>
      </c>
      <c r="O640">
        <f>Table3421[[#This Row],[CFNM]]/Table3421[[#This Row],[CAREA]]</f>
        <v>3.3113152822739096E-5</v>
      </c>
      <c r="P640">
        <v>2.2668900000000001</v>
      </c>
      <c r="Q640">
        <f>-(Table4422[[#This Row],[time]]-2)*2</f>
        <v>-0.53378000000000014</v>
      </c>
      <c r="R640">
        <v>79.688599999999994</v>
      </c>
      <c r="S640">
        <v>18.917400000000001</v>
      </c>
      <c r="T640">
        <f>Table4422[[#This Row],[CFNM]]/Table4422[[#This Row],[CAREA]]</f>
        <v>0.23739154659512154</v>
      </c>
      <c r="U640">
        <v>2.2668900000000001</v>
      </c>
      <c r="V640">
        <f>-(Table5423[[#This Row],[time]]-2)*2</f>
        <v>-0.53378000000000014</v>
      </c>
      <c r="W640">
        <v>82.751099999999994</v>
      </c>
      <c r="X640">
        <v>4.3660299999999999E-3</v>
      </c>
      <c r="Y640">
        <f>Table5423[[#This Row],[CFNM]]/Table5423[[#This Row],[CAREA]]</f>
        <v>5.2760990488343962E-5</v>
      </c>
      <c r="Z640">
        <v>2.2668900000000001</v>
      </c>
      <c r="AA640">
        <f>-(Table6424[[#This Row],[time]]-2)*2</f>
        <v>-0.53378000000000014</v>
      </c>
      <c r="AB640">
        <v>82.944100000000006</v>
      </c>
      <c r="AC640">
        <v>16.957000000000001</v>
      </c>
      <c r="AD640">
        <f>Table6424[[#This Row],[CFNM]]/Table6424[[#This Row],[CAREA]]</f>
        <v>0.20443889318227576</v>
      </c>
      <c r="AE640">
        <v>2.2668900000000001</v>
      </c>
      <c r="AF640">
        <f>-(Table7425[[#This Row],[time]]-2)*2</f>
        <v>-0.53378000000000014</v>
      </c>
      <c r="AG640">
        <v>79.863500000000002</v>
      </c>
      <c r="AH640">
        <v>10.413600000000001</v>
      </c>
      <c r="AI640">
        <f>Table7425[[#This Row],[CFNM]]/Table7425[[#This Row],[CAREA]]</f>
        <v>0.13039248217270719</v>
      </c>
      <c r="AJ640">
        <v>2.2668900000000001</v>
      </c>
      <c r="AK640">
        <f>-(Table8426[[#This Row],[time]]-2)*2</f>
        <v>-0.53378000000000014</v>
      </c>
      <c r="AL640">
        <v>82.810199999999995</v>
      </c>
      <c r="AM640">
        <v>31.1557</v>
      </c>
      <c r="AN640">
        <f>Table8426[[#This Row],[CFNM]]/Table8426[[#This Row],[CAREA]]</f>
        <v>0.37623022284694402</v>
      </c>
    </row>
    <row r="641" spans="1:40" x14ac:dyDescent="0.25">
      <c r="A641">
        <v>2.3262700000000001</v>
      </c>
      <c r="B641">
        <f>-(Table1419[[#This Row],[time]]-2)*2</f>
        <v>-0.65254000000000012</v>
      </c>
      <c r="C641">
        <v>76.062700000000007</v>
      </c>
      <c r="D641">
        <v>1.3693200000000001</v>
      </c>
      <c r="E641">
        <f>Table1419[[#This Row],[CFNM]]/Table1419[[#This Row],[CAREA]]</f>
        <v>1.800251634506795E-2</v>
      </c>
      <c r="F641">
        <v>2.3262700000000001</v>
      </c>
      <c r="G641">
        <f>-(Table2420[[#This Row],[time]]-2)*2</f>
        <v>-0.65254000000000012</v>
      </c>
      <c r="H641">
        <v>88.333299999999994</v>
      </c>
      <c r="I641">
        <v>21.6281</v>
      </c>
      <c r="J641">
        <f>Table2420[[#This Row],[CFNM]]/Table2420[[#This Row],[CAREA]]</f>
        <v>0.24484650748924813</v>
      </c>
      <c r="K641">
        <v>2.3262700000000001</v>
      </c>
      <c r="L641">
        <f>-(Table3421[[#This Row],[time]]-2)*2</f>
        <v>-0.65254000000000012</v>
      </c>
      <c r="M641">
        <v>71.424700000000001</v>
      </c>
      <c r="N641">
        <v>2.2126300000000002E-3</v>
      </c>
      <c r="O641">
        <f>Table3421[[#This Row],[CFNM]]/Table3421[[#This Row],[CAREA]]</f>
        <v>3.0978499034647678E-5</v>
      </c>
      <c r="P641">
        <v>2.3262700000000001</v>
      </c>
      <c r="Q641">
        <f>-(Table4422[[#This Row],[time]]-2)*2</f>
        <v>-0.65254000000000012</v>
      </c>
      <c r="R641">
        <v>79.186800000000005</v>
      </c>
      <c r="S641">
        <v>21.000399999999999</v>
      </c>
      <c r="T641">
        <f>Table4422[[#This Row],[CFNM]]/Table4422[[#This Row],[CAREA]]</f>
        <v>0.26520076578419632</v>
      </c>
      <c r="U641">
        <v>2.3262700000000001</v>
      </c>
      <c r="V641">
        <f>-(Table5423[[#This Row],[time]]-2)*2</f>
        <v>-0.65254000000000012</v>
      </c>
      <c r="W641">
        <v>82.626099999999994</v>
      </c>
      <c r="X641">
        <v>4.2060099999999996E-3</v>
      </c>
      <c r="Y641">
        <f>Table5423[[#This Row],[CFNM]]/Table5423[[#This Row],[CAREA]]</f>
        <v>5.0904133197621572E-5</v>
      </c>
      <c r="Z641">
        <v>2.3262700000000001</v>
      </c>
      <c r="AA641">
        <f>-(Table6424[[#This Row],[time]]-2)*2</f>
        <v>-0.65254000000000012</v>
      </c>
      <c r="AB641">
        <v>82.189099999999996</v>
      </c>
      <c r="AC641">
        <v>19.2941</v>
      </c>
      <c r="AD641">
        <f>Table6424[[#This Row],[CFNM]]/Table6424[[#This Row],[CAREA]]</f>
        <v>0.23475254017868552</v>
      </c>
      <c r="AE641">
        <v>2.3262700000000001</v>
      </c>
      <c r="AF641">
        <f>-(Table7425[[#This Row],[time]]-2)*2</f>
        <v>-0.65254000000000012</v>
      </c>
      <c r="AG641">
        <v>79.474400000000003</v>
      </c>
      <c r="AH641">
        <v>9.3240200000000009</v>
      </c>
      <c r="AI641">
        <f>Table7425[[#This Row],[CFNM]]/Table7425[[#This Row],[CAREA]]</f>
        <v>0.11732104929386067</v>
      </c>
      <c r="AJ641">
        <v>2.3262700000000001</v>
      </c>
      <c r="AK641">
        <f>-(Table8426[[#This Row],[time]]-2)*2</f>
        <v>-0.65254000000000012</v>
      </c>
      <c r="AL641">
        <v>82.829800000000006</v>
      </c>
      <c r="AM641">
        <v>33.108600000000003</v>
      </c>
      <c r="AN641">
        <f>Table8426[[#This Row],[CFNM]]/Table8426[[#This Row],[CAREA]]</f>
        <v>0.39971845881554707</v>
      </c>
    </row>
    <row r="642" spans="1:40" x14ac:dyDescent="0.25">
      <c r="A642">
        <v>2.3684599999999998</v>
      </c>
      <c r="B642">
        <f>-(Table1419[[#This Row],[time]]-2)*2</f>
        <v>-0.73691999999999958</v>
      </c>
      <c r="C642">
        <v>75.327699999999993</v>
      </c>
      <c r="D642">
        <v>0.65146000000000004</v>
      </c>
      <c r="E642">
        <f>Table1419[[#This Row],[CFNM]]/Table1419[[#This Row],[CAREA]]</f>
        <v>8.6483458276304746E-3</v>
      </c>
      <c r="F642">
        <v>2.3684599999999998</v>
      </c>
      <c r="G642">
        <f>-(Table2420[[#This Row],[time]]-2)*2</f>
        <v>-0.73691999999999958</v>
      </c>
      <c r="H642">
        <v>87.085700000000003</v>
      </c>
      <c r="I642">
        <v>24.653099999999998</v>
      </c>
      <c r="J642">
        <f>Table2420[[#This Row],[CFNM]]/Table2420[[#This Row],[CAREA]]</f>
        <v>0.28309010549378366</v>
      </c>
      <c r="K642">
        <v>2.3684599999999998</v>
      </c>
      <c r="L642">
        <f>-(Table3421[[#This Row],[time]]-2)*2</f>
        <v>-0.73691999999999958</v>
      </c>
      <c r="M642">
        <v>70.165700000000001</v>
      </c>
      <c r="N642">
        <v>1.92264E-3</v>
      </c>
      <c r="O642">
        <f>Table3421[[#This Row],[CFNM]]/Table3421[[#This Row],[CAREA]]</f>
        <v>2.7401422632425815E-5</v>
      </c>
      <c r="P642">
        <v>2.3684599999999998</v>
      </c>
      <c r="Q642">
        <f>-(Table4422[[#This Row],[time]]-2)*2</f>
        <v>-0.73691999999999958</v>
      </c>
      <c r="R642">
        <v>78.566199999999995</v>
      </c>
      <c r="S642">
        <v>23.673100000000002</v>
      </c>
      <c r="T642">
        <f>Table4422[[#This Row],[CFNM]]/Table4422[[#This Row],[CAREA]]</f>
        <v>0.30131405108049014</v>
      </c>
      <c r="U642">
        <v>2.3684599999999998</v>
      </c>
      <c r="V642">
        <f>-(Table5423[[#This Row],[time]]-2)*2</f>
        <v>-0.73691999999999958</v>
      </c>
      <c r="W642">
        <v>82.5625</v>
      </c>
      <c r="X642">
        <v>4.0336599999999997E-3</v>
      </c>
      <c r="Y642">
        <f>Table5423[[#This Row],[CFNM]]/Table5423[[#This Row],[CAREA]]</f>
        <v>4.885583648750946E-5</v>
      </c>
      <c r="Z642">
        <v>2.3684599999999998</v>
      </c>
      <c r="AA642">
        <f>-(Table6424[[#This Row],[time]]-2)*2</f>
        <v>-0.73691999999999958</v>
      </c>
      <c r="AB642">
        <v>80.863799999999998</v>
      </c>
      <c r="AC642">
        <v>22.279699999999998</v>
      </c>
      <c r="AD642">
        <f>Table6424[[#This Row],[CFNM]]/Table6424[[#This Row],[CAREA]]</f>
        <v>0.27552130866963953</v>
      </c>
      <c r="AE642">
        <v>2.3684599999999998</v>
      </c>
      <c r="AF642">
        <f>-(Table7425[[#This Row],[time]]-2)*2</f>
        <v>-0.73691999999999958</v>
      </c>
      <c r="AG642">
        <v>78.712699999999998</v>
      </c>
      <c r="AH642">
        <v>8.0943400000000008</v>
      </c>
      <c r="AI642">
        <f>Table7425[[#This Row],[CFNM]]/Table7425[[#This Row],[CAREA]]</f>
        <v>0.10283397723620205</v>
      </c>
      <c r="AJ642">
        <v>2.3684599999999998</v>
      </c>
      <c r="AK642">
        <f>-(Table8426[[#This Row],[time]]-2)*2</f>
        <v>-0.73691999999999958</v>
      </c>
      <c r="AL642">
        <v>83.033799999999999</v>
      </c>
      <c r="AM642">
        <v>35.627099999999999</v>
      </c>
      <c r="AN642">
        <f>Table8426[[#This Row],[CFNM]]/Table8426[[#This Row],[CAREA]]</f>
        <v>0.42906744000635882</v>
      </c>
    </row>
    <row r="643" spans="1:40" x14ac:dyDescent="0.25">
      <c r="A643">
        <v>2.4278300000000002</v>
      </c>
      <c r="B643">
        <f>-(Table1419[[#This Row],[time]]-2)*2</f>
        <v>-0.85566000000000031</v>
      </c>
      <c r="C643">
        <v>73.574700000000007</v>
      </c>
      <c r="D643">
        <v>0.144811</v>
      </c>
      <c r="E643">
        <f>Table1419[[#This Row],[CFNM]]/Table1419[[#This Row],[CAREA]]</f>
        <v>1.9682173355786703E-3</v>
      </c>
      <c r="F643">
        <v>2.4278300000000002</v>
      </c>
      <c r="G643">
        <f>-(Table2420[[#This Row],[time]]-2)*2</f>
        <v>-0.85566000000000031</v>
      </c>
      <c r="H643">
        <v>85.846100000000007</v>
      </c>
      <c r="I643">
        <v>27.457899999999999</v>
      </c>
      <c r="J643">
        <f>Table2420[[#This Row],[CFNM]]/Table2420[[#This Row],[CAREA]]</f>
        <v>0.31985029022867661</v>
      </c>
      <c r="K643">
        <v>2.4278300000000002</v>
      </c>
      <c r="L643">
        <f>-(Table3421[[#This Row],[time]]-2)*2</f>
        <v>-0.85566000000000031</v>
      </c>
      <c r="M643">
        <v>66.992199999999997</v>
      </c>
      <c r="N643">
        <v>1.6779900000000001E-3</v>
      </c>
      <c r="O643">
        <f>Table3421[[#This Row],[CFNM]]/Table3421[[#This Row],[CAREA]]</f>
        <v>2.5047542848271891E-5</v>
      </c>
      <c r="P643">
        <v>2.4278300000000002</v>
      </c>
      <c r="Q643">
        <f>-(Table4422[[#This Row],[time]]-2)*2</f>
        <v>-0.85566000000000031</v>
      </c>
      <c r="R643">
        <v>77.702799999999996</v>
      </c>
      <c r="S643">
        <v>26.3431</v>
      </c>
      <c r="T643">
        <f>Table4422[[#This Row],[CFNM]]/Table4422[[#This Row],[CAREA]]</f>
        <v>0.33902381896147887</v>
      </c>
      <c r="U643">
        <v>2.4278300000000002</v>
      </c>
      <c r="V643">
        <f>-(Table5423[[#This Row],[time]]-2)*2</f>
        <v>-0.85566000000000031</v>
      </c>
      <c r="W643">
        <v>83.088899999999995</v>
      </c>
      <c r="X643">
        <v>3.8527000000000001E-3</v>
      </c>
      <c r="Y643">
        <f>Table5423[[#This Row],[CFNM]]/Table5423[[#This Row],[CAREA]]</f>
        <v>4.6368407813799441E-5</v>
      </c>
      <c r="Z643">
        <v>2.4278300000000002</v>
      </c>
      <c r="AA643">
        <f>-(Table6424[[#This Row],[time]]-2)*2</f>
        <v>-0.85566000000000031</v>
      </c>
      <c r="AB643">
        <v>79.380200000000002</v>
      </c>
      <c r="AC643">
        <v>25.143699999999999</v>
      </c>
      <c r="AD643">
        <f>Table6424[[#This Row],[CFNM]]/Table6424[[#This Row],[CAREA]]</f>
        <v>0.31675027273803791</v>
      </c>
      <c r="AE643">
        <v>2.4278300000000002</v>
      </c>
      <c r="AF643">
        <f>-(Table7425[[#This Row],[time]]-2)*2</f>
        <v>-0.85566000000000031</v>
      </c>
      <c r="AG643">
        <v>77.762699999999995</v>
      </c>
      <c r="AH643">
        <v>6.9559100000000003</v>
      </c>
      <c r="AI643">
        <f>Table7425[[#This Row],[CFNM]]/Table7425[[#This Row],[CAREA]]</f>
        <v>8.945046918381179E-2</v>
      </c>
      <c r="AJ643">
        <v>2.4278300000000002</v>
      </c>
      <c r="AK643">
        <f>-(Table8426[[#This Row],[time]]-2)*2</f>
        <v>-0.85566000000000031</v>
      </c>
      <c r="AL643">
        <v>83.119399999999999</v>
      </c>
      <c r="AM643">
        <v>38.113199999999999</v>
      </c>
      <c r="AN643">
        <f>Table8426[[#This Row],[CFNM]]/Table8426[[#This Row],[CAREA]]</f>
        <v>0.45853555247030175</v>
      </c>
    </row>
    <row r="644" spans="1:40" x14ac:dyDescent="0.25">
      <c r="A644">
        <v>2.4542000000000002</v>
      </c>
      <c r="B644">
        <f>-(Table1419[[#This Row],[time]]-2)*2</f>
        <v>-0.90840000000000032</v>
      </c>
      <c r="C644">
        <v>71.67</v>
      </c>
      <c r="D644">
        <v>2.9186699999999999E-3</v>
      </c>
      <c r="E644">
        <f>Table1419[[#This Row],[CFNM]]/Table1419[[#This Row],[CAREA]]</f>
        <v>4.0723733779824191E-5</v>
      </c>
      <c r="F644">
        <v>2.4542000000000002</v>
      </c>
      <c r="G644">
        <f>-(Table2420[[#This Row],[time]]-2)*2</f>
        <v>-0.90840000000000032</v>
      </c>
      <c r="H644">
        <v>84.882199999999997</v>
      </c>
      <c r="I644">
        <v>29.562000000000001</v>
      </c>
      <c r="J644">
        <f>Table2420[[#This Row],[CFNM]]/Table2420[[#This Row],[CAREA]]</f>
        <v>0.34827089778540143</v>
      </c>
      <c r="K644">
        <v>2.4542000000000002</v>
      </c>
      <c r="L644">
        <f>-(Table3421[[#This Row],[time]]-2)*2</f>
        <v>-0.90840000000000032</v>
      </c>
      <c r="M644">
        <v>62.868400000000001</v>
      </c>
      <c r="N644">
        <v>1.5111E-3</v>
      </c>
      <c r="O644">
        <f>Table3421[[#This Row],[CFNM]]/Table3421[[#This Row],[CAREA]]</f>
        <v>2.4035922657487704E-5</v>
      </c>
      <c r="P644">
        <v>2.4542000000000002</v>
      </c>
      <c r="Q644">
        <f>-(Table4422[[#This Row],[time]]-2)*2</f>
        <v>-0.90840000000000032</v>
      </c>
      <c r="R644">
        <v>77.0792</v>
      </c>
      <c r="S644">
        <v>28.474299999999999</v>
      </c>
      <c r="T644">
        <f>Table4422[[#This Row],[CFNM]]/Table4422[[#This Row],[CAREA]]</f>
        <v>0.36941613301642984</v>
      </c>
      <c r="U644">
        <v>2.4542000000000002</v>
      </c>
      <c r="V644">
        <f>-(Table5423[[#This Row],[time]]-2)*2</f>
        <v>-0.90840000000000032</v>
      </c>
      <c r="W644">
        <v>82.749200000000002</v>
      </c>
      <c r="X644">
        <v>3.69447E-3</v>
      </c>
      <c r="Y644">
        <f>Table5423[[#This Row],[CFNM]]/Table5423[[#This Row],[CAREA]]</f>
        <v>4.4646594770704732E-5</v>
      </c>
      <c r="Z644">
        <v>2.4542000000000002</v>
      </c>
      <c r="AA644">
        <f>-(Table6424[[#This Row],[time]]-2)*2</f>
        <v>-0.90840000000000032</v>
      </c>
      <c r="AB644">
        <v>78.480400000000003</v>
      </c>
      <c r="AC644">
        <v>27.4208</v>
      </c>
      <c r="AD644">
        <f>Table6424[[#This Row],[CFNM]]/Table6424[[#This Row],[CAREA]]</f>
        <v>0.34939679206527996</v>
      </c>
      <c r="AE644">
        <v>2.4542000000000002</v>
      </c>
      <c r="AF644">
        <f>-(Table7425[[#This Row],[time]]-2)*2</f>
        <v>-0.90840000000000032</v>
      </c>
      <c r="AG644">
        <v>77.043099999999995</v>
      </c>
      <c r="AH644">
        <v>6.09795</v>
      </c>
      <c r="AI644">
        <f>Table7425[[#This Row],[CFNM]]/Table7425[[#This Row],[CAREA]]</f>
        <v>7.9149852485167399E-2</v>
      </c>
      <c r="AJ644">
        <v>2.4542000000000002</v>
      </c>
      <c r="AK644">
        <f>-(Table8426[[#This Row],[time]]-2)*2</f>
        <v>-0.90840000000000032</v>
      </c>
      <c r="AL644">
        <v>83.010999999999996</v>
      </c>
      <c r="AM644">
        <v>40.1736</v>
      </c>
      <c r="AN644">
        <f>Table8426[[#This Row],[CFNM]]/Table8426[[#This Row],[CAREA]]</f>
        <v>0.48395513847562377</v>
      </c>
    </row>
    <row r="645" spans="1:40" x14ac:dyDescent="0.25">
      <c r="A645">
        <v>2.5061499999999999</v>
      </c>
      <c r="B645">
        <f>-(Table1419[[#This Row],[time]]-2)*2</f>
        <v>-1.0122999999999998</v>
      </c>
      <c r="C645">
        <v>69.768100000000004</v>
      </c>
      <c r="D645">
        <v>2.4783299999999999E-3</v>
      </c>
      <c r="E645">
        <f>Table1419[[#This Row],[CFNM]]/Table1419[[#This Row],[CAREA]]</f>
        <v>3.5522394905408053E-5</v>
      </c>
      <c r="F645">
        <v>2.5061499999999999</v>
      </c>
      <c r="G645">
        <f>-(Table2420[[#This Row],[time]]-2)*2</f>
        <v>-1.0122999999999998</v>
      </c>
      <c r="H645">
        <v>83.997600000000006</v>
      </c>
      <c r="I645">
        <v>31.677499999999998</v>
      </c>
      <c r="J645">
        <f>Table2420[[#This Row],[CFNM]]/Table2420[[#This Row],[CAREA]]</f>
        <v>0.37712387020581534</v>
      </c>
      <c r="K645">
        <v>2.5061499999999999</v>
      </c>
      <c r="L645">
        <f>-(Table3421[[#This Row],[time]]-2)*2</f>
        <v>-1.0122999999999998</v>
      </c>
      <c r="M645">
        <v>61.357500000000002</v>
      </c>
      <c r="N645">
        <v>1.34607E-3</v>
      </c>
      <c r="O645">
        <f>Table3421[[#This Row],[CFNM]]/Table3421[[#This Row],[CAREA]]</f>
        <v>2.1938149370492604E-5</v>
      </c>
      <c r="P645">
        <v>2.5061499999999999</v>
      </c>
      <c r="Q645">
        <f>-(Table4422[[#This Row],[time]]-2)*2</f>
        <v>-1.0122999999999998</v>
      </c>
      <c r="R645">
        <v>76.319199999999995</v>
      </c>
      <c r="S645">
        <v>30.692299999999999</v>
      </c>
      <c r="T645">
        <f>Table4422[[#This Row],[CFNM]]/Table4422[[#This Row],[CAREA]]</f>
        <v>0.40215699325988746</v>
      </c>
      <c r="U645">
        <v>2.5061499999999999</v>
      </c>
      <c r="V645">
        <f>-(Table5423[[#This Row],[time]]-2)*2</f>
        <v>-1.0122999999999998</v>
      </c>
      <c r="W645">
        <v>82.462199999999996</v>
      </c>
      <c r="X645">
        <v>3.5118699999999998E-3</v>
      </c>
      <c r="Y645">
        <f>Table5423[[#This Row],[CFNM]]/Table5423[[#This Row],[CAREA]]</f>
        <v>4.2587634091741425E-5</v>
      </c>
      <c r="Z645">
        <v>2.5061499999999999</v>
      </c>
      <c r="AA645">
        <f>-(Table6424[[#This Row],[time]]-2)*2</f>
        <v>-1.0122999999999998</v>
      </c>
      <c r="AB645">
        <v>77.481099999999998</v>
      </c>
      <c r="AC645">
        <v>29.815100000000001</v>
      </c>
      <c r="AD645">
        <f>Table6424[[#This Row],[CFNM]]/Table6424[[#This Row],[CAREA]]</f>
        <v>0.38480481046345499</v>
      </c>
      <c r="AE645">
        <v>2.5061499999999999</v>
      </c>
      <c r="AF645">
        <f>-(Table7425[[#This Row],[time]]-2)*2</f>
        <v>-1.0122999999999998</v>
      </c>
      <c r="AG645">
        <v>76.343900000000005</v>
      </c>
      <c r="AH645">
        <v>5.2625099999999998</v>
      </c>
      <c r="AI645">
        <f>Table7425[[#This Row],[CFNM]]/Table7425[[#This Row],[CAREA]]</f>
        <v>6.8931636974270363E-2</v>
      </c>
      <c r="AJ645">
        <v>2.5061499999999999</v>
      </c>
      <c r="AK645">
        <f>-(Table8426[[#This Row],[time]]-2)*2</f>
        <v>-1.0122999999999998</v>
      </c>
      <c r="AL645">
        <v>83.098600000000005</v>
      </c>
      <c r="AM645">
        <v>42.355800000000002</v>
      </c>
      <c r="AN645">
        <f>Table8426[[#This Row],[CFNM]]/Table8426[[#This Row],[CAREA]]</f>
        <v>0.50970533799606732</v>
      </c>
    </row>
    <row r="646" spans="1:40" x14ac:dyDescent="0.25">
      <c r="A646">
        <v>2.5507599999999999</v>
      </c>
      <c r="B646">
        <f>-(Table1419[[#This Row],[time]]-2)*2</f>
        <v>-1.1015199999999998</v>
      </c>
      <c r="C646">
        <v>67.754599999999996</v>
      </c>
      <c r="D646">
        <v>2.3167499999999998E-3</v>
      </c>
      <c r="E646">
        <f>Table1419[[#This Row],[CFNM]]/Table1419[[#This Row],[CAREA]]</f>
        <v>3.4193250347577876E-5</v>
      </c>
      <c r="F646">
        <v>2.5507599999999999</v>
      </c>
      <c r="G646">
        <f>-(Table2420[[#This Row],[time]]-2)*2</f>
        <v>-1.1015199999999998</v>
      </c>
      <c r="H646">
        <v>83.272999999999996</v>
      </c>
      <c r="I646">
        <v>33.5182</v>
      </c>
      <c r="J646">
        <f>Table2420[[#This Row],[CFNM]]/Table2420[[#This Row],[CAREA]]</f>
        <v>0.40250981710758593</v>
      </c>
      <c r="K646">
        <v>2.5507599999999999</v>
      </c>
      <c r="L646">
        <f>-(Table3421[[#This Row],[time]]-2)*2</f>
        <v>-1.1015199999999998</v>
      </c>
      <c r="M646">
        <v>57.381799999999998</v>
      </c>
      <c r="N646">
        <v>1.2109E-3</v>
      </c>
      <c r="O646">
        <f>Table3421[[#This Row],[CFNM]]/Table3421[[#This Row],[CAREA]]</f>
        <v>2.1102509855041147E-5</v>
      </c>
      <c r="P646">
        <v>2.5507599999999999</v>
      </c>
      <c r="Q646">
        <f>-(Table4422[[#This Row],[time]]-2)*2</f>
        <v>-1.1015199999999998</v>
      </c>
      <c r="R646">
        <v>75.6387</v>
      </c>
      <c r="S646">
        <v>32.623699999999999</v>
      </c>
      <c r="T646">
        <f>Table4422[[#This Row],[CFNM]]/Table4422[[#This Row],[CAREA]]</f>
        <v>0.43130963382501286</v>
      </c>
      <c r="U646">
        <v>2.5507599999999999</v>
      </c>
      <c r="V646">
        <f>-(Table5423[[#This Row],[time]]-2)*2</f>
        <v>-1.1015199999999998</v>
      </c>
      <c r="W646">
        <v>82.0595</v>
      </c>
      <c r="X646">
        <v>3.3547899999999999E-3</v>
      </c>
      <c r="Y646">
        <f>Table5423[[#This Row],[CFNM]]/Table5423[[#This Row],[CAREA]]</f>
        <v>4.0882408496274044E-5</v>
      </c>
      <c r="Z646">
        <v>2.5507599999999999</v>
      </c>
      <c r="AA646">
        <f>-(Table6424[[#This Row],[time]]-2)*2</f>
        <v>-1.1015199999999998</v>
      </c>
      <c r="AB646">
        <v>76.881100000000004</v>
      </c>
      <c r="AC646">
        <v>31.866700000000002</v>
      </c>
      <c r="AD646">
        <f>Table6424[[#This Row],[CFNM]]/Table6424[[#This Row],[CAREA]]</f>
        <v>0.41449328898780063</v>
      </c>
      <c r="AE646">
        <v>2.5507599999999999</v>
      </c>
      <c r="AF646">
        <f>-(Table7425[[#This Row],[time]]-2)*2</f>
        <v>-1.1015199999999998</v>
      </c>
      <c r="AG646">
        <v>75.725999999999999</v>
      </c>
      <c r="AH646">
        <v>4.5682299999999998</v>
      </c>
      <c r="AI646">
        <f>Table7425[[#This Row],[CFNM]]/Table7425[[#This Row],[CAREA]]</f>
        <v>6.032577978501439E-2</v>
      </c>
      <c r="AJ646">
        <v>2.5507599999999999</v>
      </c>
      <c r="AK646">
        <f>-(Table8426[[#This Row],[time]]-2)*2</f>
        <v>-1.1015199999999998</v>
      </c>
      <c r="AL646">
        <v>83.122600000000006</v>
      </c>
      <c r="AM646">
        <v>44.317100000000003</v>
      </c>
      <c r="AN646">
        <f>Table8426[[#This Row],[CFNM]]/Table8426[[#This Row],[CAREA]]</f>
        <v>0.53315343841506402</v>
      </c>
    </row>
    <row r="647" spans="1:40" x14ac:dyDescent="0.25">
      <c r="A647">
        <v>2.60453</v>
      </c>
      <c r="B647">
        <f>-(Table1419[[#This Row],[time]]-2)*2</f>
        <v>-1.20906</v>
      </c>
      <c r="C647">
        <v>66.319599999999994</v>
      </c>
      <c r="D647">
        <v>2.1386700000000001E-3</v>
      </c>
      <c r="E647">
        <f>Table1419[[#This Row],[CFNM]]/Table1419[[#This Row],[CAREA]]</f>
        <v>3.2247932737833162E-5</v>
      </c>
      <c r="F647">
        <v>2.60453</v>
      </c>
      <c r="G647">
        <f>-(Table2420[[#This Row],[time]]-2)*2</f>
        <v>-1.20906</v>
      </c>
      <c r="H647">
        <v>82.435500000000005</v>
      </c>
      <c r="I647">
        <v>35.483899999999998</v>
      </c>
      <c r="J647">
        <f>Table2420[[#This Row],[CFNM]]/Table2420[[#This Row],[CAREA]]</f>
        <v>0.43044440805235606</v>
      </c>
      <c r="K647">
        <v>2.60453</v>
      </c>
      <c r="L647">
        <f>-(Table3421[[#This Row],[time]]-2)*2</f>
        <v>-1.20906</v>
      </c>
      <c r="M647">
        <v>56.180500000000002</v>
      </c>
      <c r="N647">
        <v>1.0773600000000001E-3</v>
      </c>
      <c r="O647">
        <f>Table3421[[#This Row],[CFNM]]/Table3421[[#This Row],[CAREA]]</f>
        <v>1.9176760619788007E-5</v>
      </c>
      <c r="P647">
        <v>2.60453</v>
      </c>
      <c r="Q647">
        <f>-(Table4422[[#This Row],[time]]-2)*2</f>
        <v>-1.20906</v>
      </c>
      <c r="R647">
        <v>75.180700000000002</v>
      </c>
      <c r="S647">
        <v>34.755699999999997</v>
      </c>
      <c r="T647">
        <f>Table4422[[#This Row],[CFNM]]/Table4422[[#This Row],[CAREA]]</f>
        <v>0.46229550935279928</v>
      </c>
      <c r="U647">
        <v>2.60453</v>
      </c>
      <c r="V647">
        <f>-(Table5423[[#This Row],[time]]-2)*2</f>
        <v>-1.20906</v>
      </c>
      <c r="W647">
        <v>81.496899999999997</v>
      </c>
      <c r="X647">
        <v>3.1825600000000001E-3</v>
      </c>
      <c r="Y647">
        <f>Table5423[[#This Row],[CFNM]]/Table5423[[#This Row],[CAREA]]</f>
        <v>3.9051301337842302E-5</v>
      </c>
      <c r="Z647">
        <v>2.60453</v>
      </c>
      <c r="AA647">
        <f>-(Table6424[[#This Row],[time]]-2)*2</f>
        <v>-1.20906</v>
      </c>
      <c r="AB647">
        <v>75.874799999999993</v>
      </c>
      <c r="AC647">
        <v>34.132800000000003</v>
      </c>
      <c r="AD647">
        <f>Table6424[[#This Row],[CFNM]]/Table6424[[#This Row],[CAREA]]</f>
        <v>0.44985686947445008</v>
      </c>
      <c r="AE647">
        <v>2.60453</v>
      </c>
      <c r="AF647">
        <f>-(Table7425[[#This Row],[time]]-2)*2</f>
        <v>-1.20906</v>
      </c>
      <c r="AG647">
        <v>74.966700000000003</v>
      </c>
      <c r="AH647">
        <v>3.8633000000000002</v>
      </c>
      <c r="AI647">
        <f>Table7425[[#This Row],[CFNM]]/Table7425[[#This Row],[CAREA]]</f>
        <v>5.1533547561784097E-2</v>
      </c>
      <c r="AJ647">
        <v>2.60453</v>
      </c>
      <c r="AK647">
        <f>-(Table8426[[#This Row],[time]]-2)*2</f>
        <v>-1.20906</v>
      </c>
      <c r="AL647">
        <v>83.029300000000006</v>
      </c>
      <c r="AM647">
        <v>46.517699999999998</v>
      </c>
      <c r="AN647">
        <f>Table8426[[#This Row],[CFNM]]/Table8426[[#This Row],[CAREA]]</f>
        <v>0.56025643959421545</v>
      </c>
    </row>
    <row r="648" spans="1:40" x14ac:dyDescent="0.25">
      <c r="A648">
        <v>2.65273</v>
      </c>
      <c r="B648">
        <f>-(Table1419[[#This Row],[time]]-2)*2</f>
        <v>-1.3054600000000001</v>
      </c>
      <c r="C648">
        <v>61.544600000000003</v>
      </c>
      <c r="D648">
        <v>1.93081E-3</v>
      </c>
      <c r="E648">
        <f>Table1419[[#This Row],[CFNM]]/Table1419[[#This Row],[CAREA]]</f>
        <v>3.1372533089824288E-5</v>
      </c>
      <c r="F648">
        <v>2.65273</v>
      </c>
      <c r="G648">
        <f>-(Table2420[[#This Row],[time]]-2)*2</f>
        <v>-1.3054600000000001</v>
      </c>
      <c r="H648">
        <v>81.494500000000002</v>
      </c>
      <c r="I648">
        <v>37.679200000000002</v>
      </c>
      <c r="J648">
        <f>Table2420[[#This Row],[CFNM]]/Table2420[[#This Row],[CAREA]]</f>
        <v>0.46235267410684155</v>
      </c>
      <c r="K648">
        <v>2.65273</v>
      </c>
      <c r="L648">
        <f>-(Table3421[[#This Row],[time]]-2)*2</f>
        <v>-1.3054600000000001</v>
      </c>
      <c r="M648">
        <v>52.453899999999997</v>
      </c>
      <c r="N648">
        <v>9.3058300000000002E-4</v>
      </c>
      <c r="O648">
        <f>Table3421[[#This Row],[CFNM]]/Table3421[[#This Row],[CAREA]]</f>
        <v>1.7740968736357069E-5</v>
      </c>
      <c r="P648">
        <v>2.65273</v>
      </c>
      <c r="Q648">
        <f>-(Table4422[[#This Row],[time]]-2)*2</f>
        <v>-1.3054600000000001</v>
      </c>
      <c r="R648">
        <v>74.358099999999993</v>
      </c>
      <c r="S648">
        <v>37.193899999999999</v>
      </c>
      <c r="T648">
        <f>Table4422[[#This Row],[CFNM]]/Table4422[[#This Row],[CAREA]]</f>
        <v>0.50019970924485702</v>
      </c>
      <c r="U648">
        <v>2.65273</v>
      </c>
      <c r="V648">
        <f>-(Table5423[[#This Row],[time]]-2)*2</f>
        <v>-1.3054600000000001</v>
      </c>
      <c r="W648">
        <v>80.4893</v>
      </c>
      <c r="X648">
        <v>2.9863099999999998E-3</v>
      </c>
      <c r="Y648">
        <f>Table5423[[#This Row],[CFNM]]/Table5423[[#This Row],[CAREA]]</f>
        <v>3.710195019710694E-5</v>
      </c>
      <c r="Z648">
        <v>2.65273</v>
      </c>
      <c r="AA648">
        <f>-(Table6424[[#This Row],[time]]-2)*2</f>
        <v>-1.3054600000000001</v>
      </c>
      <c r="AB648">
        <v>74.498400000000004</v>
      </c>
      <c r="AC648">
        <v>36.727400000000003</v>
      </c>
      <c r="AD648">
        <f>Table6424[[#This Row],[CFNM]]/Table6424[[#This Row],[CAREA]]</f>
        <v>0.49299582272907877</v>
      </c>
      <c r="AE648">
        <v>2.65273</v>
      </c>
      <c r="AF648">
        <f>-(Table7425[[#This Row],[time]]-2)*2</f>
        <v>-1.3054600000000001</v>
      </c>
      <c r="AG648">
        <v>74.104699999999994</v>
      </c>
      <c r="AH648">
        <v>3.0877699999999999</v>
      </c>
      <c r="AI648">
        <f>Table7425[[#This Row],[CFNM]]/Table7425[[#This Row],[CAREA]]</f>
        <v>4.1667667502870938E-2</v>
      </c>
      <c r="AJ648">
        <v>2.65273</v>
      </c>
      <c r="AK648">
        <f>-(Table8426[[#This Row],[time]]-2)*2</f>
        <v>-1.3054600000000001</v>
      </c>
      <c r="AL648">
        <v>82.291399999999996</v>
      </c>
      <c r="AM648">
        <v>49.039700000000003</v>
      </c>
      <c r="AN648">
        <f>Table8426[[#This Row],[CFNM]]/Table8426[[#This Row],[CAREA]]</f>
        <v>0.59592739946094009</v>
      </c>
    </row>
    <row r="649" spans="1:40" x14ac:dyDescent="0.25">
      <c r="A649">
        <v>2.7006199999999998</v>
      </c>
      <c r="B649">
        <f>-(Table1419[[#This Row],[time]]-2)*2</f>
        <v>-1.4012399999999996</v>
      </c>
      <c r="C649">
        <v>58.534199999999998</v>
      </c>
      <c r="D649">
        <v>1.7602399999999999E-3</v>
      </c>
      <c r="E649">
        <f>Table1419[[#This Row],[CFNM]]/Table1419[[#This Row],[CAREA]]</f>
        <v>3.0071992100344755E-5</v>
      </c>
      <c r="F649">
        <v>2.7006199999999998</v>
      </c>
      <c r="G649">
        <f>-(Table2420[[#This Row],[time]]-2)*2</f>
        <v>-1.4012399999999996</v>
      </c>
      <c r="H649">
        <v>80.757099999999994</v>
      </c>
      <c r="I649">
        <v>39.463000000000001</v>
      </c>
      <c r="J649">
        <f>Table2420[[#This Row],[CFNM]]/Table2420[[#This Row],[CAREA]]</f>
        <v>0.48866291632562342</v>
      </c>
      <c r="K649">
        <v>2.7006199999999998</v>
      </c>
      <c r="L649">
        <f>-(Table3421[[#This Row],[time]]-2)*2</f>
        <v>-1.4012399999999996</v>
      </c>
      <c r="M649">
        <v>50.153500000000001</v>
      </c>
      <c r="N649">
        <v>8.1481499999999998E-4</v>
      </c>
      <c r="O649">
        <f>Table3421[[#This Row],[CFNM]]/Table3421[[#This Row],[CAREA]]</f>
        <v>1.6246423479916654E-5</v>
      </c>
      <c r="P649">
        <v>2.7006199999999998</v>
      </c>
      <c r="Q649">
        <f>-(Table4422[[#This Row],[time]]-2)*2</f>
        <v>-1.4012399999999996</v>
      </c>
      <c r="R649">
        <v>73.656400000000005</v>
      </c>
      <c r="S649">
        <v>39.151699999999998</v>
      </c>
      <c r="T649">
        <f>Table4422[[#This Row],[CFNM]]/Table4422[[#This Row],[CAREA]]</f>
        <v>0.53154512031541046</v>
      </c>
      <c r="U649">
        <v>2.7006199999999998</v>
      </c>
      <c r="V649">
        <f>-(Table5423[[#This Row],[time]]-2)*2</f>
        <v>-1.4012399999999996</v>
      </c>
      <c r="W649">
        <v>80.110299999999995</v>
      </c>
      <c r="X649">
        <v>2.81278E-3</v>
      </c>
      <c r="Y649">
        <f>Table5423[[#This Row],[CFNM]]/Table5423[[#This Row],[CAREA]]</f>
        <v>3.5111340239644594E-5</v>
      </c>
      <c r="Z649">
        <v>2.7006199999999998</v>
      </c>
      <c r="AA649">
        <f>-(Table6424[[#This Row],[time]]-2)*2</f>
        <v>-1.4012399999999996</v>
      </c>
      <c r="AB649">
        <v>73.802400000000006</v>
      </c>
      <c r="AC649">
        <v>38.866999999999997</v>
      </c>
      <c r="AD649">
        <f>Table6424[[#This Row],[CFNM]]/Table6424[[#This Row],[CAREA]]</f>
        <v>0.52663599015750162</v>
      </c>
      <c r="AE649">
        <v>2.7006199999999998</v>
      </c>
      <c r="AF649">
        <f>-(Table7425[[#This Row],[time]]-2)*2</f>
        <v>-1.4012399999999996</v>
      </c>
      <c r="AG649">
        <v>73.462100000000007</v>
      </c>
      <c r="AH649">
        <v>2.4511400000000001</v>
      </c>
      <c r="AI649">
        <f>Table7425[[#This Row],[CFNM]]/Table7425[[#This Row],[CAREA]]</f>
        <v>3.3366048615544611E-2</v>
      </c>
      <c r="AJ649">
        <v>2.7006199999999998</v>
      </c>
      <c r="AK649">
        <f>-(Table8426[[#This Row],[time]]-2)*2</f>
        <v>-1.4012399999999996</v>
      </c>
      <c r="AL649">
        <v>82.154200000000003</v>
      </c>
      <c r="AM649">
        <v>51.098599999999998</v>
      </c>
      <c r="AN649">
        <f>Table8426[[#This Row],[CFNM]]/Table8426[[#This Row],[CAREA]]</f>
        <v>0.62198402516243834</v>
      </c>
    </row>
    <row r="650" spans="1:40" x14ac:dyDescent="0.25">
      <c r="A650">
        <v>2.75176</v>
      </c>
      <c r="B650">
        <f>-(Table1419[[#This Row],[time]]-2)*2</f>
        <v>-1.50352</v>
      </c>
      <c r="C650">
        <v>55.192399999999999</v>
      </c>
      <c r="D650">
        <v>1.60085E-3</v>
      </c>
      <c r="E650">
        <f>Table1419[[#This Row],[CFNM]]/Table1419[[#This Row],[CAREA]]</f>
        <v>2.9004899225255651E-5</v>
      </c>
      <c r="F650">
        <v>2.75176</v>
      </c>
      <c r="G650">
        <f>-(Table2420[[#This Row],[time]]-2)*2</f>
        <v>-1.50352</v>
      </c>
      <c r="H650">
        <v>80.029700000000005</v>
      </c>
      <c r="I650">
        <v>41.200099999999999</v>
      </c>
      <c r="J650">
        <f>Table2420[[#This Row],[CFNM]]/Table2420[[#This Row],[CAREA]]</f>
        <v>0.51481012674044757</v>
      </c>
      <c r="K650">
        <v>2.75176</v>
      </c>
      <c r="L650">
        <f>-(Table3421[[#This Row],[time]]-2)*2</f>
        <v>-1.50352</v>
      </c>
      <c r="M650">
        <v>48.773099999999999</v>
      </c>
      <c r="N650">
        <v>6.9982300000000002E-4</v>
      </c>
      <c r="O650">
        <f>Table3421[[#This Row],[CFNM]]/Table3421[[#This Row],[CAREA]]</f>
        <v>1.4348544587077714E-5</v>
      </c>
      <c r="P650">
        <v>2.75176</v>
      </c>
      <c r="Q650">
        <f>-(Table4422[[#This Row],[time]]-2)*2</f>
        <v>-1.50352</v>
      </c>
      <c r="R650">
        <v>72.973600000000005</v>
      </c>
      <c r="S650">
        <v>41.064100000000003</v>
      </c>
      <c r="T650">
        <f>Table4422[[#This Row],[CFNM]]/Table4422[[#This Row],[CAREA]]</f>
        <v>0.56272542398894942</v>
      </c>
      <c r="U650">
        <v>2.75176</v>
      </c>
      <c r="V650">
        <f>-(Table5423[[#This Row],[time]]-2)*2</f>
        <v>-1.50352</v>
      </c>
      <c r="W650">
        <v>79.64</v>
      </c>
      <c r="X650">
        <v>2.6379300000000001E-3</v>
      </c>
      <c r="Y650">
        <f>Table5423[[#This Row],[CFNM]]/Table5423[[#This Row],[CAREA]]</f>
        <v>3.3123179306880963E-5</v>
      </c>
      <c r="Z650">
        <v>2.75176</v>
      </c>
      <c r="AA650">
        <f>-(Table6424[[#This Row],[time]]-2)*2</f>
        <v>-1.50352</v>
      </c>
      <c r="AB650">
        <v>72.991600000000005</v>
      </c>
      <c r="AC650">
        <v>41.0154</v>
      </c>
      <c r="AD650">
        <f>Table6424[[#This Row],[CFNM]]/Table6424[[#This Row],[CAREA]]</f>
        <v>0.56191945374536245</v>
      </c>
      <c r="AE650">
        <v>2.75176</v>
      </c>
      <c r="AF650">
        <f>-(Table7425[[#This Row],[time]]-2)*2</f>
        <v>-1.50352</v>
      </c>
      <c r="AG650">
        <v>72.835700000000003</v>
      </c>
      <c r="AH650">
        <v>1.95723</v>
      </c>
      <c r="AI650">
        <f>Table7425[[#This Row],[CFNM]]/Table7425[[#This Row],[CAREA]]</f>
        <v>2.6871849930734517E-2</v>
      </c>
      <c r="AJ650">
        <v>2.75176</v>
      </c>
      <c r="AK650">
        <f>-(Table8426[[#This Row],[time]]-2)*2</f>
        <v>-1.50352</v>
      </c>
      <c r="AL650">
        <v>82.175299999999993</v>
      </c>
      <c r="AM650">
        <v>53.094000000000001</v>
      </c>
      <c r="AN650">
        <f>Table8426[[#This Row],[CFNM]]/Table8426[[#This Row],[CAREA]]</f>
        <v>0.64610655513274673</v>
      </c>
    </row>
    <row r="651" spans="1:40" x14ac:dyDescent="0.25">
      <c r="A651">
        <v>2.80444</v>
      </c>
      <c r="B651">
        <f>-(Table1419[[#This Row],[time]]-2)*2</f>
        <v>-1.6088800000000001</v>
      </c>
      <c r="C651">
        <v>52.685299999999998</v>
      </c>
      <c r="D651">
        <v>1.4483499999999999E-3</v>
      </c>
      <c r="E651">
        <f>Table1419[[#This Row],[CFNM]]/Table1419[[#This Row],[CAREA]]</f>
        <v>2.749059035442524E-5</v>
      </c>
      <c r="F651">
        <v>2.80444</v>
      </c>
      <c r="G651">
        <f>-(Table2420[[#This Row],[time]]-2)*2</f>
        <v>-1.6088800000000001</v>
      </c>
      <c r="H651">
        <v>79.317999999999998</v>
      </c>
      <c r="I651">
        <v>42.913400000000003</v>
      </c>
      <c r="J651">
        <f>Table2420[[#This Row],[CFNM]]/Table2420[[#This Row],[CAREA]]</f>
        <v>0.54102977886482262</v>
      </c>
      <c r="K651">
        <v>2.80444</v>
      </c>
      <c r="L651">
        <f>-(Table3421[[#This Row],[time]]-2)*2</f>
        <v>-1.6088800000000001</v>
      </c>
      <c r="M651">
        <v>42.040399999999998</v>
      </c>
      <c r="N651">
        <v>5.9678300000000004E-4</v>
      </c>
      <c r="O651">
        <f>Table3421[[#This Row],[CFNM]]/Table3421[[#This Row],[CAREA]]</f>
        <v>1.4195464362850974E-5</v>
      </c>
      <c r="P651">
        <v>2.80444</v>
      </c>
      <c r="Q651">
        <f>-(Table4422[[#This Row],[time]]-2)*2</f>
        <v>-1.6088800000000001</v>
      </c>
      <c r="R651">
        <v>72.311599999999999</v>
      </c>
      <c r="S651">
        <v>42.885899999999999</v>
      </c>
      <c r="T651">
        <f>Table4422[[#This Row],[CFNM]]/Table4422[[#This Row],[CAREA]]</f>
        <v>0.59307082127902022</v>
      </c>
      <c r="U651">
        <v>2.80444</v>
      </c>
      <c r="V651">
        <f>-(Table5423[[#This Row],[time]]-2)*2</f>
        <v>-1.6088800000000001</v>
      </c>
      <c r="W651">
        <v>78.070599999999999</v>
      </c>
      <c r="X651">
        <v>2.4570099999999999E-3</v>
      </c>
      <c r="Y651">
        <f>Table5423[[#This Row],[CFNM]]/Table5423[[#This Row],[CAREA]]</f>
        <v>3.1471642333990004E-5</v>
      </c>
      <c r="Z651">
        <v>2.80444</v>
      </c>
      <c r="AA651">
        <f>-(Table6424[[#This Row],[time]]-2)*2</f>
        <v>-1.6088800000000001</v>
      </c>
      <c r="AB651">
        <v>72.184399999999997</v>
      </c>
      <c r="AC651">
        <v>43.1462</v>
      </c>
      <c r="AD651">
        <f>Table6424[[#This Row],[CFNM]]/Table6424[[#This Row],[CAREA]]</f>
        <v>0.59772194546190038</v>
      </c>
      <c r="AE651">
        <v>2.80444</v>
      </c>
      <c r="AF651">
        <f>-(Table7425[[#This Row],[time]]-2)*2</f>
        <v>-1.6088800000000001</v>
      </c>
      <c r="AG651">
        <v>72.231399999999994</v>
      </c>
      <c r="AH651">
        <v>1.5659700000000001</v>
      </c>
      <c r="AI651">
        <f>Table7425[[#This Row],[CFNM]]/Table7425[[#This Row],[CAREA]]</f>
        <v>2.1679906522648049E-2</v>
      </c>
      <c r="AJ651">
        <v>2.80444</v>
      </c>
      <c r="AK651">
        <f>-(Table8426[[#This Row],[time]]-2)*2</f>
        <v>-1.6088800000000001</v>
      </c>
      <c r="AL651">
        <v>82.181700000000006</v>
      </c>
      <c r="AM651">
        <v>55.034399999999998</v>
      </c>
      <c r="AN651">
        <f>Table8426[[#This Row],[CFNM]]/Table8426[[#This Row],[CAREA]]</f>
        <v>0.66966733469860074</v>
      </c>
    </row>
    <row r="652" spans="1:40" x14ac:dyDescent="0.25">
      <c r="A652">
        <v>2.8583699999999999</v>
      </c>
      <c r="B652">
        <f>-(Table1419[[#This Row],[time]]-2)*2</f>
        <v>-1.7167399999999997</v>
      </c>
      <c r="C652">
        <v>49.395200000000003</v>
      </c>
      <c r="D652">
        <v>1.3041400000000001E-3</v>
      </c>
      <c r="E652">
        <f>Table1419[[#This Row],[CFNM]]/Table1419[[#This Row],[CAREA]]</f>
        <v>2.640216053381705E-5</v>
      </c>
      <c r="F652">
        <v>2.8583699999999999</v>
      </c>
      <c r="G652">
        <f>-(Table2420[[#This Row],[time]]-2)*2</f>
        <v>-1.7167399999999997</v>
      </c>
      <c r="H652">
        <v>78.624700000000004</v>
      </c>
      <c r="I652">
        <v>44.601500000000001</v>
      </c>
      <c r="J652">
        <f>Table2420[[#This Row],[CFNM]]/Table2420[[#This Row],[CAREA]]</f>
        <v>0.56727084491260382</v>
      </c>
      <c r="K652">
        <v>2.8583699999999999</v>
      </c>
      <c r="L652">
        <f>-(Table3421[[#This Row],[time]]-2)*2</f>
        <v>-1.7167399999999997</v>
      </c>
      <c r="M652">
        <v>38.874699999999997</v>
      </c>
      <c r="N652">
        <v>5.0401500000000002E-4</v>
      </c>
      <c r="O652">
        <f>Table3421[[#This Row],[CFNM]]/Table3421[[#This Row],[CAREA]]</f>
        <v>1.2965116129513541E-5</v>
      </c>
      <c r="P652">
        <v>2.8583699999999999</v>
      </c>
      <c r="Q652">
        <f>-(Table4422[[#This Row],[time]]-2)*2</f>
        <v>-1.7167399999999997</v>
      </c>
      <c r="R652">
        <v>71.672600000000003</v>
      </c>
      <c r="S652">
        <v>44.647300000000001</v>
      </c>
      <c r="T652">
        <f>Table4422[[#This Row],[CFNM]]/Table4422[[#This Row],[CAREA]]</f>
        <v>0.62293400825420031</v>
      </c>
      <c r="U652">
        <v>2.8583699999999999</v>
      </c>
      <c r="V652">
        <f>-(Table5423[[#This Row],[time]]-2)*2</f>
        <v>-1.7167399999999997</v>
      </c>
      <c r="W652">
        <v>76.639099999999999</v>
      </c>
      <c r="X652">
        <v>2.2758800000000001E-3</v>
      </c>
      <c r="Y652">
        <f>Table5423[[#This Row],[CFNM]]/Table5423[[#This Row],[CAREA]]</f>
        <v>2.9696068977845515E-5</v>
      </c>
      <c r="Z652">
        <v>2.8583699999999999</v>
      </c>
      <c r="AA652">
        <f>-(Table6424[[#This Row],[time]]-2)*2</f>
        <v>-1.7167399999999997</v>
      </c>
      <c r="AB652">
        <v>71.038499999999999</v>
      </c>
      <c r="AC652">
        <v>45.215499999999999</v>
      </c>
      <c r="AD652">
        <f>Table6424[[#This Row],[CFNM]]/Table6424[[#This Row],[CAREA]]</f>
        <v>0.63649288765950862</v>
      </c>
      <c r="AE652">
        <v>2.8583699999999999</v>
      </c>
      <c r="AF652">
        <f>-(Table7425[[#This Row],[time]]-2)*2</f>
        <v>-1.7167399999999997</v>
      </c>
      <c r="AG652">
        <v>71.677899999999994</v>
      </c>
      <c r="AH652">
        <v>1.1710799999999999</v>
      </c>
      <c r="AI652">
        <f>Table7425[[#This Row],[CFNM]]/Table7425[[#This Row],[CAREA]]</f>
        <v>1.6338090262131004E-2</v>
      </c>
      <c r="AJ652">
        <v>2.8583699999999999</v>
      </c>
      <c r="AK652">
        <f>-(Table8426[[#This Row],[time]]-2)*2</f>
        <v>-1.7167399999999997</v>
      </c>
      <c r="AL652">
        <v>81.952200000000005</v>
      </c>
      <c r="AM652">
        <v>56.942399999999999</v>
      </c>
      <c r="AN652">
        <f>Table8426[[#This Row],[CFNM]]/Table8426[[#This Row],[CAREA]]</f>
        <v>0.69482454406349059</v>
      </c>
    </row>
    <row r="653" spans="1:40" x14ac:dyDescent="0.25">
      <c r="A653">
        <v>2.9134199999999999</v>
      </c>
      <c r="B653">
        <f>-(Table1419[[#This Row],[time]]-2)*2</f>
        <v>-1.8268399999999998</v>
      </c>
      <c r="C653">
        <v>43.584000000000003</v>
      </c>
      <c r="D653">
        <v>1.1462200000000001E-3</v>
      </c>
      <c r="E653">
        <f>Table1419[[#This Row],[CFNM]]/Table1419[[#This Row],[CAREA]]</f>
        <v>2.6299100587371511E-5</v>
      </c>
      <c r="F653">
        <v>2.9134199999999999</v>
      </c>
      <c r="G653">
        <f>-(Table2420[[#This Row],[time]]-2)*2</f>
        <v>-1.8268399999999998</v>
      </c>
      <c r="H653">
        <v>77.766900000000007</v>
      </c>
      <c r="I653">
        <v>46.590200000000003</v>
      </c>
      <c r="J653">
        <f>Table2420[[#This Row],[CFNM]]/Table2420[[#This Row],[CAREA]]</f>
        <v>0.59910064564744125</v>
      </c>
      <c r="K653">
        <v>2.9134199999999999</v>
      </c>
      <c r="L653">
        <f>-(Table3421[[#This Row],[time]]-2)*2</f>
        <v>-1.8268399999999998</v>
      </c>
      <c r="M653">
        <v>36.367899999999999</v>
      </c>
      <c r="N653">
        <v>4.0629799999999998E-4</v>
      </c>
      <c r="O653">
        <f>Table3421[[#This Row],[CFNM]]/Table3421[[#This Row],[CAREA]]</f>
        <v>1.1171885096472438E-5</v>
      </c>
      <c r="P653">
        <v>2.9134199999999999</v>
      </c>
      <c r="Q653">
        <f>-(Table4422[[#This Row],[time]]-2)*2</f>
        <v>-1.8268399999999998</v>
      </c>
      <c r="R653">
        <v>70.938800000000001</v>
      </c>
      <c r="S653">
        <v>46.674900000000001</v>
      </c>
      <c r="T653">
        <f>Table4422[[#This Row],[CFNM]]/Table4422[[#This Row],[CAREA]]</f>
        <v>0.65796010081929779</v>
      </c>
      <c r="U653">
        <v>2.9134199999999999</v>
      </c>
      <c r="V653">
        <f>-(Table5423[[#This Row],[time]]-2)*2</f>
        <v>-1.8268399999999998</v>
      </c>
      <c r="W653">
        <v>75.215400000000002</v>
      </c>
      <c r="X653">
        <v>2.0681300000000001E-3</v>
      </c>
      <c r="Y653">
        <f>Table5423[[#This Row],[CFNM]]/Table5423[[#This Row],[CAREA]]</f>
        <v>2.7496097873573763E-5</v>
      </c>
      <c r="Z653">
        <v>2.9134199999999999</v>
      </c>
      <c r="AA653">
        <f>-(Table6424[[#This Row],[time]]-2)*2</f>
        <v>-1.8268399999999998</v>
      </c>
      <c r="AB653">
        <v>70.2547</v>
      </c>
      <c r="AC653">
        <v>47.655500000000004</v>
      </c>
      <c r="AD653">
        <f>Table6424[[#This Row],[CFNM]]/Table6424[[#This Row],[CAREA]]</f>
        <v>0.67832472418215439</v>
      </c>
      <c r="AE653">
        <v>2.9134199999999999</v>
      </c>
      <c r="AF653">
        <f>-(Table7425[[#This Row],[time]]-2)*2</f>
        <v>-1.8268399999999998</v>
      </c>
      <c r="AG653">
        <v>71.097999999999999</v>
      </c>
      <c r="AH653">
        <v>0.76383800000000002</v>
      </c>
      <c r="AI653">
        <f>Table7425[[#This Row],[CFNM]]/Table7425[[#This Row],[CAREA]]</f>
        <v>1.0743452699091395E-2</v>
      </c>
      <c r="AJ653">
        <v>2.9134199999999999</v>
      </c>
      <c r="AK653">
        <f>-(Table8426[[#This Row],[time]]-2)*2</f>
        <v>-1.8268399999999998</v>
      </c>
      <c r="AL653">
        <v>81.988600000000005</v>
      </c>
      <c r="AM653">
        <v>59.152299999999997</v>
      </c>
      <c r="AN653">
        <f>Table8426[[#This Row],[CFNM]]/Table8426[[#This Row],[CAREA]]</f>
        <v>0.721469814096106</v>
      </c>
    </row>
    <row r="654" spans="1:40" x14ac:dyDescent="0.25">
      <c r="A654">
        <v>2.9619599999999999</v>
      </c>
      <c r="B654">
        <f>-(Table1419[[#This Row],[time]]-2)*2</f>
        <v>-1.9239199999999999</v>
      </c>
      <c r="C654">
        <v>38.712699999999998</v>
      </c>
      <c r="D654">
        <v>1.0457800000000001E-3</v>
      </c>
      <c r="E654">
        <f>Table1419[[#This Row],[CFNM]]/Table1419[[#This Row],[CAREA]]</f>
        <v>2.7013874000005168E-5</v>
      </c>
      <c r="F654">
        <v>2.9619599999999999</v>
      </c>
      <c r="G654">
        <f>-(Table2420[[#This Row],[time]]-2)*2</f>
        <v>-1.9239199999999999</v>
      </c>
      <c r="H654">
        <v>77.121700000000004</v>
      </c>
      <c r="I654">
        <v>47.966999999999999</v>
      </c>
      <c r="J654">
        <f>Table2420[[#This Row],[CFNM]]/Table2420[[#This Row],[CAREA]]</f>
        <v>0.62196502411124233</v>
      </c>
      <c r="K654">
        <v>2.9619599999999999</v>
      </c>
      <c r="L654">
        <f>-(Table3421[[#This Row],[time]]-2)*2</f>
        <v>-1.9239199999999999</v>
      </c>
      <c r="M654">
        <v>33.071800000000003</v>
      </c>
      <c r="N654">
        <v>3.3898400000000002E-4</v>
      </c>
      <c r="O654">
        <f>Table3421[[#This Row],[CFNM]]/Table3421[[#This Row],[CAREA]]</f>
        <v>1.0249941037379278E-5</v>
      </c>
      <c r="P654">
        <v>2.9619599999999999</v>
      </c>
      <c r="Q654">
        <f>-(Table4422[[#This Row],[time]]-2)*2</f>
        <v>-1.9239199999999999</v>
      </c>
      <c r="R654">
        <v>70.449299999999994</v>
      </c>
      <c r="S654">
        <v>48.060899999999997</v>
      </c>
      <c r="T654">
        <f>Table4422[[#This Row],[CFNM]]/Table4422[[#This Row],[CAREA]]</f>
        <v>0.6822055009772986</v>
      </c>
      <c r="U654">
        <v>2.9619599999999999</v>
      </c>
      <c r="V654">
        <f>-(Table5423[[#This Row],[time]]-2)*2</f>
        <v>-1.9239199999999999</v>
      </c>
      <c r="W654">
        <v>74.176299999999998</v>
      </c>
      <c r="X654">
        <v>1.9226899999999999E-3</v>
      </c>
      <c r="Y654">
        <f>Table5423[[#This Row],[CFNM]]/Table5423[[#This Row],[CAREA]]</f>
        <v>2.5920543354144114E-5</v>
      </c>
      <c r="Z654">
        <v>2.9619599999999999</v>
      </c>
      <c r="AA654">
        <f>-(Table6424[[#This Row],[time]]-2)*2</f>
        <v>-1.9239199999999999</v>
      </c>
      <c r="AB654">
        <v>69.518600000000006</v>
      </c>
      <c r="AC654">
        <v>49.403500000000001</v>
      </c>
      <c r="AD654">
        <f>Table6424[[#This Row],[CFNM]]/Table6424[[#This Row],[CAREA]]</f>
        <v>0.71065153786180957</v>
      </c>
      <c r="AE654">
        <v>2.9619599999999999</v>
      </c>
      <c r="AF654">
        <f>-(Table7425[[#This Row],[time]]-2)*2</f>
        <v>-1.9239199999999999</v>
      </c>
      <c r="AG654">
        <v>70.644900000000007</v>
      </c>
      <c r="AH654">
        <v>0.53168400000000005</v>
      </c>
      <c r="AI654">
        <f>Table7425[[#This Row],[CFNM]]/Table7425[[#This Row],[CAREA]]</f>
        <v>7.5261483843844356E-3</v>
      </c>
      <c r="AJ654">
        <v>2.9619599999999999</v>
      </c>
      <c r="AK654">
        <f>-(Table8426[[#This Row],[time]]-2)*2</f>
        <v>-1.9239199999999999</v>
      </c>
      <c r="AL654">
        <v>82.031999999999996</v>
      </c>
      <c r="AM654">
        <v>60.676000000000002</v>
      </c>
      <c r="AN654">
        <f>Table8426[[#This Row],[CFNM]]/Table8426[[#This Row],[CAREA]]</f>
        <v>0.73966257070411556</v>
      </c>
    </row>
    <row r="655" spans="1:40" x14ac:dyDescent="0.25">
      <c r="A655">
        <v>3</v>
      </c>
      <c r="B655">
        <f>-(Table1419[[#This Row],[time]]-2)*2</f>
        <v>-2</v>
      </c>
      <c r="C655">
        <v>34.896099999999997</v>
      </c>
      <c r="D655">
        <v>9.6961699999999998E-4</v>
      </c>
      <c r="E655">
        <f>Table1419[[#This Row],[CFNM]]/Table1419[[#This Row],[CAREA]]</f>
        <v>2.7785827069500606E-5</v>
      </c>
      <c r="F655">
        <v>3</v>
      </c>
      <c r="G655">
        <f>-(Table2420[[#This Row],[time]]-2)*2</f>
        <v>-2</v>
      </c>
      <c r="H655">
        <v>76.592600000000004</v>
      </c>
      <c r="I655">
        <v>49.118499999999997</v>
      </c>
      <c r="J655">
        <f>Table2420[[#This Row],[CFNM]]/Table2420[[#This Row],[CAREA]]</f>
        <v>0.6412956343040972</v>
      </c>
      <c r="K655">
        <v>3</v>
      </c>
      <c r="L655">
        <f>-(Table3421[[#This Row],[time]]-2)*2</f>
        <v>-2</v>
      </c>
      <c r="M655">
        <v>30.4009</v>
      </c>
      <c r="N655">
        <v>2.8508599999999999E-4</v>
      </c>
      <c r="O655">
        <f>Table3421[[#This Row],[CFNM]]/Table3421[[#This Row],[CAREA]]</f>
        <v>9.3775513224937415E-6</v>
      </c>
      <c r="P655">
        <v>3</v>
      </c>
      <c r="Q655">
        <f>-(Table4422[[#This Row],[time]]-2)*2</f>
        <v>-2</v>
      </c>
      <c r="R655">
        <v>70.017700000000005</v>
      </c>
      <c r="S655">
        <v>49.274799999999999</v>
      </c>
      <c r="T655">
        <f>Table4422[[#This Row],[CFNM]]/Table4422[[#This Row],[CAREA]]</f>
        <v>0.70374776663615046</v>
      </c>
      <c r="U655">
        <v>3</v>
      </c>
      <c r="V655">
        <f>-(Table5423[[#This Row],[time]]-2)*2</f>
        <v>-2</v>
      </c>
      <c r="W655">
        <v>73.524000000000001</v>
      </c>
      <c r="X655">
        <v>1.8007399999999999E-3</v>
      </c>
      <c r="Y655">
        <f>Table5423[[#This Row],[CFNM]]/Table5423[[#This Row],[CAREA]]</f>
        <v>2.4491866601381861E-5</v>
      </c>
      <c r="Z655">
        <v>3</v>
      </c>
      <c r="AA655">
        <f>-(Table6424[[#This Row],[time]]-2)*2</f>
        <v>-2</v>
      </c>
      <c r="AB655">
        <v>69.132900000000006</v>
      </c>
      <c r="AC655">
        <v>50.9176</v>
      </c>
      <c r="AD655">
        <f>Table6424[[#This Row],[CFNM]]/Table6424[[#This Row],[CAREA]]</f>
        <v>0.73651763487427835</v>
      </c>
      <c r="AE655">
        <v>3</v>
      </c>
      <c r="AF655">
        <f>-(Table7425[[#This Row],[time]]-2)*2</f>
        <v>-2</v>
      </c>
      <c r="AG655">
        <v>70.265900000000002</v>
      </c>
      <c r="AH655">
        <v>0.406939</v>
      </c>
      <c r="AI655">
        <f>Table7425[[#This Row],[CFNM]]/Table7425[[#This Row],[CAREA]]</f>
        <v>5.7914151814749404E-3</v>
      </c>
      <c r="AJ655">
        <v>3</v>
      </c>
      <c r="AK655">
        <f>-(Table8426[[#This Row],[time]]-2)*2</f>
        <v>-2</v>
      </c>
      <c r="AL655">
        <v>82.037099999999995</v>
      </c>
      <c r="AM655">
        <v>61.947000000000003</v>
      </c>
      <c r="AN655">
        <f>Table8426[[#This Row],[CFNM]]/Table8426[[#This Row],[CAREA]]</f>
        <v>0.75510957847120397</v>
      </c>
    </row>
    <row r="657" spans="1:40" x14ac:dyDescent="0.25">
      <c r="A657" t="s">
        <v>68</v>
      </c>
      <c r="E657" t="s">
        <v>1</v>
      </c>
    </row>
    <row r="658" spans="1:40" x14ac:dyDescent="0.25">
      <c r="A658" t="s">
        <v>69</v>
      </c>
      <c r="E658" t="s">
        <v>2</v>
      </c>
      <c r="F658" t="s">
        <v>3</v>
      </c>
    </row>
    <row r="660" spans="1:40" x14ac:dyDescent="0.25">
      <c r="A660" t="s">
        <v>4</v>
      </c>
      <c r="F660" t="s">
        <v>5</v>
      </c>
      <c r="K660" t="s">
        <v>6</v>
      </c>
      <c r="P660" t="s">
        <v>7</v>
      </c>
      <c r="U660" t="s">
        <v>8</v>
      </c>
      <c r="Z660" t="s">
        <v>9</v>
      </c>
      <c r="AE660" t="s">
        <v>10</v>
      </c>
      <c r="AJ660" t="s">
        <v>11</v>
      </c>
    </row>
    <row r="661" spans="1:40" x14ac:dyDescent="0.25">
      <c r="A661" t="s">
        <v>12</v>
      </c>
      <c r="B661" t="s">
        <v>13</v>
      </c>
      <c r="C661" t="s">
        <v>14</v>
      </c>
      <c r="D661" t="s">
        <v>15</v>
      </c>
      <c r="E661" t="s">
        <v>16</v>
      </c>
      <c r="F661" t="s">
        <v>12</v>
      </c>
      <c r="G661" t="s">
        <v>13</v>
      </c>
      <c r="H661" t="s">
        <v>14</v>
      </c>
      <c r="I661" t="s">
        <v>15</v>
      </c>
      <c r="J661" t="s">
        <v>16</v>
      </c>
      <c r="K661" t="s">
        <v>12</v>
      </c>
      <c r="L661" t="s">
        <v>13</v>
      </c>
      <c r="M661" t="s">
        <v>14</v>
      </c>
      <c r="N661" t="s">
        <v>15</v>
      </c>
      <c r="O661" t="s">
        <v>16</v>
      </c>
      <c r="P661" t="s">
        <v>12</v>
      </c>
      <c r="Q661" t="s">
        <v>13</v>
      </c>
      <c r="R661" t="s">
        <v>14</v>
      </c>
      <c r="S661" t="s">
        <v>15</v>
      </c>
      <c r="T661" t="s">
        <v>16</v>
      </c>
      <c r="U661" t="s">
        <v>12</v>
      </c>
      <c r="V661" t="s">
        <v>13</v>
      </c>
      <c r="W661" t="s">
        <v>14</v>
      </c>
      <c r="X661" t="s">
        <v>15</v>
      </c>
      <c r="Y661" t="s">
        <v>16</v>
      </c>
      <c r="Z661" t="s">
        <v>12</v>
      </c>
      <c r="AA661" t="s">
        <v>13</v>
      </c>
      <c r="AB661" t="s">
        <v>14</v>
      </c>
      <c r="AC661" t="s">
        <v>15</v>
      </c>
      <c r="AD661" t="s">
        <v>16</v>
      </c>
      <c r="AE661" t="s">
        <v>12</v>
      </c>
      <c r="AF661" t="s">
        <v>13</v>
      </c>
      <c r="AG661" t="s">
        <v>14</v>
      </c>
      <c r="AH661" t="s">
        <v>15</v>
      </c>
      <c r="AI661" t="s">
        <v>16</v>
      </c>
      <c r="AJ661" t="s">
        <v>12</v>
      </c>
      <c r="AK661" t="s">
        <v>13</v>
      </c>
      <c r="AL661" t="s">
        <v>14</v>
      </c>
      <c r="AM661" t="s">
        <v>15</v>
      </c>
      <c r="AN661" t="s">
        <v>16</v>
      </c>
    </row>
    <row r="662" spans="1:40" x14ac:dyDescent="0.25">
      <c r="A662">
        <v>2</v>
      </c>
      <c r="B662">
        <f>(Table110427[[#This Row],[time]]-2)*2</f>
        <v>0</v>
      </c>
      <c r="C662">
        <v>80.561000000000007</v>
      </c>
      <c r="D662">
        <v>3.9823499999999998</v>
      </c>
      <c r="E662" s="2">
        <f>Table110427[[#This Row],[CFNM]]/Table110427[[#This Row],[CAREA]]</f>
        <v>4.9432727994935512E-2</v>
      </c>
      <c r="F662">
        <v>2</v>
      </c>
      <c r="G662">
        <f>(Table211428[[#This Row],[time]]-2)*2</f>
        <v>0</v>
      </c>
      <c r="H662">
        <v>87.831800000000001</v>
      </c>
      <c r="I662">
        <v>3.84921E-3</v>
      </c>
      <c r="J662" s="2">
        <f>Table211428[[#This Row],[CFNM]]/Table211428[[#This Row],[CAREA]]</f>
        <v>4.382478783310828E-5</v>
      </c>
      <c r="K662">
        <v>2</v>
      </c>
      <c r="L662">
        <f>(Table312429[[#This Row],[time]]-2)*2</f>
        <v>0</v>
      </c>
      <c r="M662">
        <v>85.166700000000006</v>
      </c>
      <c r="N662">
        <v>3.7005300000000001E-3</v>
      </c>
      <c r="O662">
        <f>Table312429[[#This Row],[CFNM]]/Table312429[[#This Row],[CAREA]]</f>
        <v>4.3450433091807004E-5</v>
      </c>
      <c r="P662">
        <v>2</v>
      </c>
      <c r="Q662">
        <f>(Table413430[[#This Row],[time]]-2)*2</f>
        <v>0</v>
      </c>
      <c r="R662">
        <v>79.101699999999994</v>
      </c>
      <c r="S662">
        <v>4.5258399999999997E-3</v>
      </c>
      <c r="T662">
        <f>Table413430[[#This Row],[CFNM]]/Table413430[[#This Row],[CAREA]]</f>
        <v>5.7215458074858061E-5</v>
      </c>
      <c r="U662">
        <v>2</v>
      </c>
      <c r="V662">
        <f>(Table514431[[#This Row],[time]]-2)*2</f>
        <v>0</v>
      </c>
      <c r="W662">
        <v>83.227800000000002</v>
      </c>
      <c r="X662">
        <v>3.5063800000000001</v>
      </c>
      <c r="Y662">
        <f>Table514431[[#This Row],[CFNM]]/Table514431[[#This Row],[CAREA]]</f>
        <v>4.2129913322231274E-2</v>
      </c>
      <c r="Z662">
        <v>2</v>
      </c>
      <c r="AA662">
        <f>(Table615432[[#This Row],[time]]-2)*2</f>
        <v>0</v>
      </c>
      <c r="AB662">
        <v>83.949600000000004</v>
      </c>
      <c r="AC662">
        <v>6.2742100000000001</v>
      </c>
      <c r="AD662">
        <f>Table615432[[#This Row],[CFNM]]/Table615432[[#This Row],[CAREA]]</f>
        <v>7.4737818881805265E-2</v>
      </c>
      <c r="AE662">
        <v>2</v>
      </c>
      <c r="AF662">
        <f>(Table716433[[#This Row],[time]]-2)*2</f>
        <v>0</v>
      </c>
      <c r="AG662">
        <v>78.459999999999994</v>
      </c>
      <c r="AH662">
        <v>14.707599999999999</v>
      </c>
      <c r="AI662">
        <f>Table716433[[#This Row],[CFNM]]/Table716433[[#This Row],[CAREA]]</f>
        <v>0.1874534794799898</v>
      </c>
      <c r="AJ662">
        <v>2</v>
      </c>
      <c r="AK662">
        <f>(Table817434[[#This Row],[time]]-2)*2</f>
        <v>0</v>
      </c>
      <c r="AL662">
        <v>83.006</v>
      </c>
      <c r="AM662">
        <v>14.6488</v>
      </c>
      <c r="AN662">
        <f>Table817434[[#This Row],[CFNM]]/Table817434[[#This Row],[CAREA]]</f>
        <v>0.17647880876081246</v>
      </c>
    </row>
    <row r="663" spans="1:40" x14ac:dyDescent="0.25">
      <c r="A663">
        <v>2.0512600000000001</v>
      </c>
      <c r="B663">
        <f>(Table110427[[#This Row],[time]]-2)*2</f>
        <v>0.10252000000000017</v>
      </c>
      <c r="C663">
        <v>91.837299999999999</v>
      </c>
      <c r="D663">
        <v>11.9781</v>
      </c>
      <c r="E663">
        <f>Table110427[[#This Row],[CFNM]]/Table110427[[#This Row],[CAREA]]</f>
        <v>0.1304273971469109</v>
      </c>
      <c r="F663">
        <v>2.0512600000000001</v>
      </c>
      <c r="G663">
        <f>(Table211428[[#This Row],[time]]-2)*2</f>
        <v>0.10252000000000017</v>
      </c>
      <c r="H663">
        <v>94.663200000000003</v>
      </c>
      <c r="I663">
        <v>1.3055699999999999</v>
      </c>
      <c r="J663">
        <f>Table211428[[#This Row],[CFNM]]/Table211428[[#This Row],[CAREA]]</f>
        <v>1.3791737443906394E-2</v>
      </c>
      <c r="K663">
        <v>2.0512600000000001</v>
      </c>
      <c r="L663">
        <f>(Table312429[[#This Row],[time]]-2)*2</f>
        <v>0.10252000000000017</v>
      </c>
      <c r="M663">
        <v>89.212699999999998</v>
      </c>
      <c r="N663">
        <v>5.6298399999999997</v>
      </c>
      <c r="O663">
        <f>Table312429[[#This Row],[CFNM]]/Table312429[[#This Row],[CAREA]]</f>
        <v>6.3105813409974135E-2</v>
      </c>
      <c r="P663">
        <v>2.0512600000000001</v>
      </c>
      <c r="Q663">
        <f>(Table413430[[#This Row],[time]]-2)*2</f>
        <v>0.10252000000000017</v>
      </c>
      <c r="R663">
        <v>85.709800000000001</v>
      </c>
      <c r="S663">
        <v>3.0415100000000002</v>
      </c>
      <c r="T663">
        <f>Table413430[[#This Row],[CFNM]]/Table413430[[#This Row],[CAREA]]</f>
        <v>3.5486140441349769E-2</v>
      </c>
      <c r="U663">
        <v>2.0512600000000001</v>
      </c>
      <c r="V663">
        <f>(Table514431[[#This Row],[time]]-2)*2</f>
        <v>0.10252000000000017</v>
      </c>
      <c r="W663">
        <v>83.099000000000004</v>
      </c>
      <c r="X663">
        <v>9.8829200000000004</v>
      </c>
      <c r="Y663">
        <f>Table514431[[#This Row],[CFNM]]/Table514431[[#This Row],[CAREA]]</f>
        <v>0.1189294696687084</v>
      </c>
      <c r="Z663">
        <v>2.0512600000000001</v>
      </c>
      <c r="AA663">
        <f>(Table615432[[#This Row],[time]]-2)*2</f>
        <v>0.10252000000000017</v>
      </c>
      <c r="AB663">
        <v>88.627499999999998</v>
      </c>
      <c r="AC663">
        <v>12.5679</v>
      </c>
      <c r="AD663">
        <f>Table615432[[#This Row],[CFNM]]/Table615432[[#This Row],[CAREA]]</f>
        <v>0.14180587289498181</v>
      </c>
      <c r="AE663">
        <v>2.0512600000000001</v>
      </c>
      <c r="AF663">
        <f>(Table716433[[#This Row],[time]]-2)*2</f>
        <v>0.10252000000000017</v>
      </c>
      <c r="AG663">
        <v>78.683099999999996</v>
      </c>
      <c r="AH663">
        <v>22.048500000000001</v>
      </c>
      <c r="AI663">
        <f>Table716433[[#This Row],[CFNM]]/Table716433[[#This Row],[CAREA]]</f>
        <v>0.28021900509766395</v>
      </c>
      <c r="AJ663">
        <v>2.0512600000000001</v>
      </c>
      <c r="AK663">
        <f>(Table817434[[#This Row],[time]]-2)*2</f>
        <v>0.10252000000000017</v>
      </c>
      <c r="AL663">
        <v>83.305000000000007</v>
      </c>
      <c r="AM663">
        <v>17.497900000000001</v>
      </c>
      <c r="AN663">
        <f>Table817434[[#This Row],[CFNM]]/Table817434[[#This Row],[CAREA]]</f>
        <v>0.21004621571334253</v>
      </c>
    </row>
    <row r="664" spans="1:40" x14ac:dyDescent="0.25">
      <c r="A664">
        <v>2.1153300000000002</v>
      </c>
      <c r="B664">
        <f>(Table110427[[#This Row],[time]]-2)*2</f>
        <v>0.23066000000000031</v>
      </c>
      <c r="C664">
        <v>90.734499999999997</v>
      </c>
      <c r="D664">
        <v>15.1495</v>
      </c>
      <c r="E664">
        <f>Table110427[[#This Row],[CFNM]]/Table110427[[#This Row],[CAREA]]</f>
        <v>0.16696515658321806</v>
      </c>
      <c r="F664">
        <v>2.1153300000000002</v>
      </c>
      <c r="G664">
        <f>(Table211428[[#This Row],[time]]-2)*2</f>
        <v>0.23066000000000031</v>
      </c>
      <c r="H664">
        <v>93.774000000000001</v>
      </c>
      <c r="I664">
        <v>5.3806100000000001E-3</v>
      </c>
      <c r="J664">
        <f>Table211428[[#This Row],[CFNM]]/Table211428[[#This Row],[CAREA]]</f>
        <v>5.7378484441316359E-5</v>
      </c>
      <c r="K664">
        <v>2.1153300000000002</v>
      </c>
      <c r="L664">
        <f>(Table312429[[#This Row],[time]]-2)*2</f>
        <v>0.23066000000000031</v>
      </c>
      <c r="M664">
        <v>87.535899999999998</v>
      </c>
      <c r="N664">
        <v>10.302899999999999</v>
      </c>
      <c r="O664">
        <f>Table312429[[#This Row],[CFNM]]/Table312429[[#This Row],[CAREA]]</f>
        <v>0.11769913829640181</v>
      </c>
      <c r="P664">
        <v>2.1153300000000002</v>
      </c>
      <c r="Q664">
        <f>(Table413430[[#This Row],[time]]-2)*2</f>
        <v>0.23066000000000031</v>
      </c>
      <c r="R664">
        <v>87.652699999999996</v>
      </c>
      <c r="S664">
        <v>1.4211400000000001</v>
      </c>
      <c r="T664">
        <f>Table413430[[#This Row],[CFNM]]/Table413430[[#This Row],[CAREA]]</f>
        <v>1.6213305465775728E-2</v>
      </c>
      <c r="U664">
        <v>2.1153300000000002</v>
      </c>
      <c r="V664">
        <f>(Table514431[[#This Row],[time]]-2)*2</f>
        <v>0.23066000000000031</v>
      </c>
      <c r="W664">
        <v>81.503500000000003</v>
      </c>
      <c r="X664">
        <v>13.694100000000001</v>
      </c>
      <c r="Y664">
        <f>Table514431[[#This Row],[CFNM]]/Table514431[[#This Row],[CAREA]]</f>
        <v>0.16801855135055549</v>
      </c>
      <c r="Z664">
        <v>2.1153300000000002</v>
      </c>
      <c r="AA664">
        <f>(Table615432[[#This Row],[time]]-2)*2</f>
        <v>0.23066000000000031</v>
      </c>
      <c r="AB664">
        <v>88.674300000000002</v>
      </c>
      <c r="AC664">
        <v>13.9983</v>
      </c>
      <c r="AD664">
        <f>Table615432[[#This Row],[CFNM]]/Table615432[[#This Row],[CAREA]]</f>
        <v>0.15786197353686468</v>
      </c>
      <c r="AE664">
        <v>2.1153300000000002</v>
      </c>
      <c r="AF664">
        <f>(Table716433[[#This Row],[time]]-2)*2</f>
        <v>0.23066000000000031</v>
      </c>
      <c r="AG664">
        <v>77.951899999999995</v>
      </c>
      <c r="AH664">
        <v>25.8916</v>
      </c>
      <c r="AI664">
        <f>Table716433[[#This Row],[CFNM]]/Table716433[[#This Row],[CAREA]]</f>
        <v>0.33214841459925931</v>
      </c>
      <c r="AJ664">
        <v>2.1153300000000002</v>
      </c>
      <c r="AK664">
        <f>(Table817434[[#This Row],[time]]-2)*2</f>
        <v>0.23066000000000031</v>
      </c>
      <c r="AL664">
        <v>83.147900000000007</v>
      </c>
      <c r="AM664">
        <v>15.831200000000001</v>
      </c>
      <c r="AN664">
        <f>Table817434[[#This Row],[CFNM]]/Table817434[[#This Row],[CAREA]]</f>
        <v>0.19039807379380597</v>
      </c>
    </row>
    <row r="665" spans="1:40" x14ac:dyDescent="0.25">
      <c r="A665">
        <v>2.16533</v>
      </c>
      <c r="B665">
        <f>(Table110427[[#This Row],[time]]-2)*2</f>
        <v>0.33065999999999995</v>
      </c>
      <c r="C665">
        <v>90.185599999999994</v>
      </c>
      <c r="D665">
        <v>16.221499999999999</v>
      </c>
      <c r="E665">
        <f>Table110427[[#This Row],[CFNM]]/Table110427[[#This Row],[CAREA]]</f>
        <v>0.179867961182273</v>
      </c>
      <c r="F665">
        <v>2.16533</v>
      </c>
      <c r="G665">
        <f>(Table211428[[#This Row],[time]]-2)*2</f>
        <v>0.33065999999999995</v>
      </c>
      <c r="H665">
        <v>92.788700000000006</v>
      </c>
      <c r="I665">
        <v>4.8347299999999998E-3</v>
      </c>
      <c r="J665">
        <f>Table211428[[#This Row],[CFNM]]/Table211428[[#This Row],[CAREA]]</f>
        <v>5.210472826971387E-5</v>
      </c>
      <c r="K665">
        <v>2.16533</v>
      </c>
      <c r="L665">
        <f>(Table312429[[#This Row],[time]]-2)*2</f>
        <v>0.33065999999999995</v>
      </c>
      <c r="M665">
        <v>86.941999999999993</v>
      </c>
      <c r="N665">
        <v>12.138999999999999</v>
      </c>
      <c r="O665">
        <f>Table312429[[#This Row],[CFNM]]/Table312429[[#This Row],[CAREA]]</f>
        <v>0.13962181684341285</v>
      </c>
      <c r="P665">
        <v>2.16533</v>
      </c>
      <c r="Q665">
        <f>(Table413430[[#This Row],[time]]-2)*2</f>
        <v>0.33065999999999995</v>
      </c>
      <c r="R665">
        <v>88.303200000000004</v>
      </c>
      <c r="S665">
        <v>0.64269100000000001</v>
      </c>
      <c r="T665">
        <f>Table413430[[#This Row],[CFNM]]/Table413430[[#This Row],[CAREA]]</f>
        <v>7.2782300075195459E-3</v>
      </c>
      <c r="U665">
        <v>2.16533</v>
      </c>
      <c r="V665">
        <f>(Table514431[[#This Row],[time]]-2)*2</f>
        <v>0.33065999999999995</v>
      </c>
      <c r="W665">
        <v>81.415800000000004</v>
      </c>
      <c r="X665">
        <v>14.9354</v>
      </c>
      <c r="Y665">
        <f>Table514431[[#This Row],[CFNM]]/Table514431[[#This Row],[CAREA]]</f>
        <v>0.18344596503381405</v>
      </c>
      <c r="Z665">
        <v>2.16533</v>
      </c>
      <c r="AA665">
        <f>(Table615432[[#This Row],[time]]-2)*2</f>
        <v>0.33065999999999995</v>
      </c>
      <c r="AB665">
        <v>89.119900000000001</v>
      </c>
      <c r="AC665">
        <v>13.6593</v>
      </c>
      <c r="AD665">
        <f>Table615432[[#This Row],[CFNM]]/Table615432[[#This Row],[CAREA]]</f>
        <v>0.15326879855116535</v>
      </c>
      <c r="AE665">
        <v>2.16533</v>
      </c>
      <c r="AF665">
        <f>(Table716433[[#This Row],[time]]-2)*2</f>
        <v>0.33065999999999995</v>
      </c>
      <c r="AG665">
        <v>77.854600000000005</v>
      </c>
      <c r="AH665">
        <v>27.5091</v>
      </c>
      <c r="AI665">
        <f>Table716433[[#This Row],[CFNM]]/Table716433[[#This Row],[CAREA]]</f>
        <v>0.35333943016854491</v>
      </c>
      <c r="AJ665">
        <v>2.16533</v>
      </c>
      <c r="AK665">
        <f>(Table817434[[#This Row],[time]]-2)*2</f>
        <v>0.33065999999999995</v>
      </c>
      <c r="AL665">
        <v>83.143500000000003</v>
      </c>
      <c r="AM665">
        <v>15.156700000000001</v>
      </c>
      <c r="AN665">
        <f>Table817434[[#This Row],[CFNM]]/Table817434[[#This Row],[CAREA]]</f>
        <v>0.18229566953520118</v>
      </c>
    </row>
    <row r="666" spans="1:40" x14ac:dyDescent="0.25">
      <c r="A666">
        <v>2.2246999999999999</v>
      </c>
      <c r="B666">
        <f>(Table110427[[#This Row],[time]]-2)*2</f>
        <v>0.4493999999999998</v>
      </c>
      <c r="C666">
        <v>88.760900000000007</v>
      </c>
      <c r="D666">
        <v>18.377700000000001</v>
      </c>
      <c r="E666">
        <f>Table110427[[#This Row],[CFNM]]/Table110427[[#This Row],[CAREA]]</f>
        <v>0.20704724715499728</v>
      </c>
      <c r="F666">
        <v>2.2246999999999999</v>
      </c>
      <c r="G666">
        <f>(Table211428[[#This Row],[time]]-2)*2</f>
        <v>0.4493999999999998</v>
      </c>
      <c r="H666">
        <v>92.002399999999994</v>
      </c>
      <c r="I666">
        <v>3.7052999999999999E-3</v>
      </c>
      <c r="J666">
        <f>Table211428[[#This Row],[CFNM]]/Table211428[[#This Row],[CAREA]]</f>
        <v>4.0273949375233693E-5</v>
      </c>
      <c r="K666">
        <v>2.2246999999999999</v>
      </c>
      <c r="L666">
        <f>(Table312429[[#This Row],[time]]-2)*2</f>
        <v>0.4493999999999998</v>
      </c>
      <c r="M666">
        <v>85.522999999999996</v>
      </c>
      <c r="N666">
        <v>16.3461</v>
      </c>
      <c r="O666">
        <f>Table312429[[#This Row],[CFNM]]/Table312429[[#This Row],[CAREA]]</f>
        <v>0.19113104077265766</v>
      </c>
      <c r="P666">
        <v>2.2246999999999999</v>
      </c>
      <c r="Q666">
        <f>(Table413430[[#This Row],[time]]-2)*2</f>
        <v>0.4493999999999998</v>
      </c>
      <c r="R666">
        <v>88.061700000000002</v>
      </c>
      <c r="S666">
        <v>4.8210299999999996E-3</v>
      </c>
      <c r="T666">
        <f>Table413430[[#This Row],[CFNM]]/Table413430[[#This Row],[CAREA]]</f>
        <v>5.4746047373602824E-5</v>
      </c>
      <c r="U666">
        <v>2.2246999999999999</v>
      </c>
      <c r="V666">
        <f>(Table514431[[#This Row],[time]]-2)*2</f>
        <v>0.4493999999999998</v>
      </c>
      <c r="W666">
        <v>77.389200000000002</v>
      </c>
      <c r="X666">
        <v>17.686</v>
      </c>
      <c r="Y666">
        <f>Table514431[[#This Row],[CFNM]]/Table514431[[#This Row],[CAREA]]</f>
        <v>0.22853318034040926</v>
      </c>
      <c r="Z666">
        <v>2.2246999999999999</v>
      </c>
      <c r="AA666">
        <f>(Table615432[[#This Row],[time]]-2)*2</f>
        <v>0.4493999999999998</v>
      </c>
      <c r="AB666">
        <v>91.596800000000002</v>
      </c>
      <c r="AC666">
        <v>12.178900000000001</v>
      </c>
      <c r="AD666">
        <f>Table615432[[#This Row],[CFNM]]/Table615432[[#This Row],[CAREA]]</f>
        <v>0.13296206854387926</v>
      </c>
      <c r="AE666">
        <v>2.2246999999999999</v>
      </c>
      <c r="AF666">
        <f>(Table716433[[#This Row],[time]]-2)*2</f>
        <v>0.4493999999999998</v>
      </c>
      <c r="AG666">
        <v>77.655500000000004</v>
      </c>
      <c r="AH666">
        <v>30.748999999999999</v>
      </c>
      <c r="AI666">
        <f>Table716433[[#This Row],[CFNM]]/Table716433[[#This Row],[CAREA]]</f>
        <v>0.39596680209386326</v>
      </c>
      <c r="AJ666">
        <v>2.2246999999999999</v>
      </c>
      <c r="AK666">
        <f>(Table817434[[#This Row],[time]]-2)*2</f>
        <v>0.4493999999999998</v>
      </c>
      <c r="AL666">
        <v>82.677899999999994</v>
      </c>
      <c r="AM666">
        <v>14.0085</v>
      </c>
      <c r="AN666">
        <f>Table817434[[#This Row],[CFNM]]/Table817434[[#This Row],[CAREA]]</f>
        <v>0.16943463730936564</v>
      </c>
    </row>
    <row r="667" spans="1:40" x14ac:dyDescent="0.25">
      <c r="A667">
        <v>2.2668900000000001</v>
      </c>
      <c r="B667">
        <f>(Table110427[[#This Row],[time]]-2)*2</f>
        <v>0.53378000000000014</v>
      </c>
      <c r="C667">
        <v>87.373999999999995</v>
      </c>
      <c r="D667">
        <v>21.17</v>
      </c>
      <c r="E667">
        <f>Table110427[[#This Row],[CFNM]]/Table110427[[#This Row],[CAREA]]</f>
        <v>0.24229175727333077</v>
      </c>
      <c r="F667">
        <v>2.2668900000000001</v>
      </c>
      <c r="G667">
        <f>(Table211428[[#This Row],[time]]-2)*2</f>
        <v>0.53378000000000014</v>
      </c>
      <c r="H667">
        <v>89.137100000000004</v>
      </c>
      <c r="I667">
        <v>3.06143E-3</v>
      </c>
      <c r="J667">
        <f>Table211428[[#This Row],[CFNM]]/Table211428[[#This Row],[CAREA]]</f>
        <v>3.4345182869983429E-5</v>
      </c>
      <c r="K667">
        <v>2.2668900000000001</v>
      </c>
      <c r="L667">
        <f>(Table312429[[#This Row],[time]]-2)*2</f>
        <v>0.53378000000000014</v>
      </c>
      <c r="M667">
        <v>84.162700000000001</v>
      </c>
      <c r="N667">
        <v>19.2668</v>
      </c>
      <c r="O667">
        <f>Table312429[[#This Row],[CFNM]]/Table312429[[#This Row],[CAREA]]</f>
        <v>0.22892326410630837</v>
      </c>
      <c r="P667">
        <v>2.2668900000000001</v>
      </c>
      <c r="Q667">
        <f>(Table413430[[#This Row],[time]]-2)*2</f>
        <v>0.53378000000000014</v>
      </c>
      <c r="R667">
        <v>88.2119</v>
      </c>
      <c r="S667">
        <v>4.0027999999999999E-3</v>
      </c>
      <c r="T667">
        <f>Table413430[[#This Row],[CFNM]]/Table413430[[#This Row],[CAREA]]</f>
        <v>4.5377097647823024E-5</v>
      </c>
      <c r="U667">
        <v>2.2668900000000001</v>
      </c>
      <c r="V667">
        <f>(Table514431[[#This Row],[time]]-2)*2</f>
        <v>0.53378000000000014</v>
      </c>
      <c r="W667">
        <v>75.263099999999994</v>
      </c>
      <c r="X667">
        <v>19.8398</v>
      </c>
      <c r="Y667">
        <f>Table514431[[#This Row],[CFNM]]/Table514431[[#This Row],[CAREA]]</f>
        <v>0.263605937039532</v>
      </c>
      <c r="Z667">
        <v>2.2668900000000001</v>
      </c>
      <c r="AA667">
        <f>(Table615432[[#This Row],[time]]-2)*2</f>
        <v>0.53378000000000014</v>
      </c>
      <c r="AB667">
        <v>91.194699999999997</v>
      </c>
      <c r="AC667">
        <v>10.837</v>
      </c>
      <c r="AD667">
        <f>Table615432[[#This Row],[CFNM]]/Table615432[[#This Row],[CAREA]]</f>
        <v>0.11883366028946858</v>
      </c>
      <c r="AE667">
        <v>2.2668900000000001</v>
      </c>
      <c r="AF667">
        <f>(Table716433[[#This Row],[time]]-2)*2</f>
        <v>0.53378000000000014</v>
      </c>
      <c r="AG667">
        <v>77.757199999999997</v>
      </c>
      <c r="AH667">
        <v>33.368400000000001</v>
      </c>
      <c r="AI667">
        <f>Table716433[[#This Row],[CFNM]]/Table716433[[#This Row],[CAREA]]</f>
        <v>0.42913582279197299</v>
      </c>
      <c r="AJ667">
        <v>2.2668900000000001</v>
      </c>
      <c r="AK667">
        <f>(Table817434[[#This Row],[time]]-2)*2</f>
        <v>0.53378000000000014</v>
      </c>
      <c r="AL667">
        <v>82.111099999999993</v>
      </c>
      <c r="AM667">
        <v>13.280099999999999</v>
      </c>
      <c r="AN667">
        <f>Table817434[[#This Row],[CFNM]]/Table817434[[#This Row],[CAREA]]</f>
        <v>0.16173331011276185</v>
      </c>
    </row>
    <row r="668" spans="1:40" x14ac:dyDescent="0.25">
      <c r="A668">
        <v>2.3262700000000001</v>
      </c>
      <c r="B668">
        <f>(Table110427[[#This Row],[time]]-2)*2</f>
        <v>0.65254000000000012</v>
      </c>
      <c r="C668">
        <v>84.999499999999998</v>
      </c>
      <c r="D668">
        <v>24.617799999999999</v>
      </c>
      <c r="E668">
        <f>Table110427[[#This Row],[CFNM]]/Table110427[[#This Row],[CAREA]]</f>
        <v>0.28962288013458903</v>
      </c>
      <c r="F668">
        <v>2.3262700000000001</v>
      </c>
      <c r="G668">
        <f>(Table211428[[#This Row],[time]]-2)*2</f>
        <v>0.65254000000000012</v>
      </c>
      <c r="H668">
        <v>86.000600000000006</v>
      </c>
      <c r="I668">
        <v>2.5733399999999999E-3</v>
      </c>
      <c r="J668">
        <f>Table211428[[#This Row],[CFNM]]/Table211428[[#This Row],[CAREA]]</f>
        <v>2.9922349378957818E-5</v>
      </c>
      <c r="K668">
        <v>2.3262700000000001</v>
      </c>
      <c r="L668">
        <f>(Table312429[[#This Row],[time]]-2)*2</f>
        <v>0.65254000000000012</v>
      </c>
      <c r="M668">
        <v>83.240399999999994</v>
      </c>
      <c r="N668">
        <v>22.192299999999999</v>
      </c>
      <c r="O668">
        <f>Table312429[[#This Row],[CFNM]]/Table312429[[#This Row],[CAREA]]</f>
        <v>0.26660491780433543</v>
      </c>
      <c r="P668">
        <v>2.3262700000000001</v>
      </c>
      <c r="Q668">
        <f>(Table413430[[#This Row],[time]]-2)*2</f>
        <v>0.65254000000000012</v>
      </c>
      <c r="R668">
        <v>87.089699999999993</v>
      </c>
      <c r="S668">
        <v>3.2172099999999999E-3</v>
      </c>
      <c r="T668">
        <f>Table413430[[#This Row],[CFNM]]/Table413430[[#This Row],[CAREA]]</f>
        <v>3.6941337494560209E-5</v>
      </c>
      <c r="U668">
        <v>2.3262700000000001</v>
      </c>
      <c r="V668">
        <f>(Table514431[[#This Row],[time]]-2)*2</f>
        <v>0.65254000000000012</v>
      </c>
      <c r="W668">
        <v>73.683800000000005</v>
      </c>
      <c r="X668">
        <v>22.367999999999999</v>
      </c>
      <c r="Y668">
        <f>Table514431[[#This Row],[CFNM]]/Table514431[[#This Row],[CAREA]]</f>
        <v>0.30356740558983109</v>
      </c>
      <c r="Z668">
        <v>2.3262700000000001</v>
      </c>
      <c r="AA668">
        <f>(Table615432[[#This Row],[time]]-2)*2</f>
        <v>0.65254000000000012</v>
      </c>
      <c r="AB668">
        <v>92.1845</v>
      </c>
      <c r="AC668">
        <v>9.6221999999999994</v>
      </c>
      <c r="AD668">
        <f>Table615432[[#This Row],[CFNM]]/Table615432[[#This Row],[CAREA]]</f>
        <v>0.10437980354614929</v>
      </c>
      <c r="AE668">
        <v>2.3262700000000001</v>
      </c>
      <c r="AF668">
        <f>(Table716433[[#This Row],[time]]-2)*2</f>
        <v>0.65254000000000012</v>
      </c>
      <c r="AG668">
        <v>77.7864</v>
      </c>
      <c r="AH668">
        <v>36.436300000000003</v>
      </c>
      <c r="AI668">
        <f>Table716433[[#This Row],[CFNM]]/Table716433[[#This Row],[CAREA]]</f>
        <v>0.46841478716073764</v>
      </c>
      <c r="AJ668">
        <v>2.3262700000000001</v>
      </c>
      <c r="AK668">
        <f>(Table817434[[#This Row],[time]]-2)*2</f>
        <v>0.65254000000000012</v>
      </c>
      <c r="AL668">
        <v>81.4846</v>
      </c>
      <c r="AM668">
        <v>12.563700000000001</v>
      </c>
      <c r="AN668">
        <f>Table817434[[#This Row],[CFNM]]/Table817434[[#This Row],[CAREA]]</f>
        <v>0.15418496255734213</v>
      </c>
    </row>
    <row r="669" spans="1:40" x14ac:dyDescent="0.25">
      <c r="A669">
        <v>2.3684599999999998</v>
      </c>
      <c r="B669">
        <f>(Table110427[[#This Row],[time]]-2)*2</f>
        <v>0.73691999999999958</v>
      </c>
      <c r="C669">
        <v>82.994500000000002</v>
      </c>
      <c r="D669">
        <v>28.4788</v>
      </c>
      <c r="E669">
        <f>Table110427[[#This Row],[CFNM]]/Table110427[[#This Row],[CAREA]]</f>
        <v>0.34314081053563789</v>
      </c>
      <c r="F669">
        <v>2.3684599999999998</v>
      </c>
      <c r="G669">
        <f>(Table211428[[#This Row],[time]]-2)*2</f>
        <v>0.73691999999999958</v>
      </c>
      <c r="H669">
        <v>80.867099999999994</v>
      </c>
      <c r="I669">
        <v>2.1477599999999999E-3</v>
      </c>
      <c r="J669">
        <f>Table211428[[#This Row],[CFNM]]/Table211428[[#This Row],[CAREA]]</f>
        <v>2.6559132205804339E-5</v>
      </c>
      <c r="K669">
        <v>2.3684599999999998</v>
      </c>
      <c r="L669">
        <f>(Table312429[[#This Row],[time]]-2)*2</f>
        <v>0.73691999999999958</v>
      </c>
      <c r="M669">
        <v>82.052099999999996</v>
      </c>
      <c r="N669">
        <v>25.065200000000001</v>
      </c>
      <c r="O669">
        <f>Table312429[[#This Row],[CFNM]]/Table312429[[#This Row],[CAREA]]</f>
        <v>0.30547907975542371</v>
      </c>
      <c r="P669">
        <v>2.3684599999999998</v>
      </c>
      <c r="Q669">
        <f>(Table413430[[#This Row],[time]]-2)*2</f>
        <v>0.73691999999999958</v>
      </c>
      <c r="R669">
        <v>84.796400000000006</v>
      </c>
      <c r="S669">
        <v>2.7791000000000001E-3</v>
      </c>
      <c r="T669">
        <f>Table413430[[#This Row],[CFNM]]/Table413430[[#This Row],[CAREA]]</f>
        <v>3.2773797000816072E-5</v>
      </c>
      <c r="U669">
        <v>2.3684599999999998</v>
      </c>
      <c r="V669">
        <f>(Table514431[[#This Row],[time]]-2)*2</f>
        <v>0.73691999999999958</v>
      </c>
      <c r="W669">
        <v>70.779499999999999</v>
      </c>
      <c r="X669">
        <v>25.368099999999998</v>
      </c>
      <c r="Y669">
        <f>Table514431[[#This Row],[CFNM]]/Table514431[[#This Row],[CAREA]]</f>
        <v>0.35841027416130378</v>
      </c>
      <c r="Z669">
        <v>2.3684599999999998</v>
      </c>
      <c r="AA669">
        <f>(Table615432[[#This Row],[time]]-2)*2</f>
        <v>0.73691999999999958</v>
      </c>
      <c r="AB669">
        <v>92.309799999999996</v>
      </c>
      <c r="AC669">
        <v>8.5629100000000005</v>
      </c>
      <c r="AD669">
        <f>Table615432[[#This Row],[CFNM]]/Table615432[[#This Row],[CAREA]]</f>
        <v>9.2762740250764281E-2</v>
      </c>
      <c r="AE669">
        <v>2.3684599999999998</v>
      </c>
      <c r="AF669">
        <f>(Table716433[[#This Row],[time]]-2)*2</f>
        <v>0.73691999999999958</v>
      </c>
      <c r="AG669">
        <v>77.705100000000002</v>
      </c>
      <c r="AH669">
        <v>40.056800000000003</v>
      </c>
      <c r="AI669">
        <f>Table716433[[#This Row],[CFNM]]/Table716433[[#This Row],[CAREA]]</f>
        <v>0.51549769577543814</v>
      </c>
      <c r="AJ669">
        <v>2.3684599999999998</v>
      </c>
      <c r="AK669">
        <f>(Table817434[[#This Row],[time]]-2)*2</f>
        <v>0.73691999999999958</v>
      </c>
      <c r="AL669">
        <v>80.921400000000006</v>
      </c>
      <c r="AM669">
        <v>11.776</v>
      </c>
      <c r="AN669">
        <f>Table817434[[#This Row],[CFNM]]/Table817434[[#This Row],[CAREA]]</f>
        <v>0.14552392815744661</v>
      </c>
    </row>
    <row r="670" spans="1:40" x14ac:dyDescent="0.25">
      <c r="A670">
        <v>2.4278300000000002</v>
      </c>
      <c r="B670">
        <f>(Table110427[[#This Row],[time]]-2)*2</f>
        <v>0.85566000000000031</v>
      </c>
      <c r="C670">
        <v>81.997399999999999</v>
      </c>
      <c r="D670">
        <v>30.700099999999999</v>
      </c>
      <c r="E670">
        <f>Table110427[[#This Row],[CFNM]]/Table110427[[#This Row],[CAREA]]</f>
        <v>0.37440333473988197</v>
      </c>
      <c r="F670">
        <v>2.4278300000000002</v>
      </c>
      <c r="G670">
        <f>(Table211428[[#This Row],[time]]-2)*2</f>
        <v>0.85566000000000031</v>
      </c>
      <c r="H670">
        <v>77.048000000000002</v>
      </c>
      <c r="I670">
        <v>1.9471200000000001E-3</v>
      </c>
      <c r="J670">
        <f>Table211428[[#This Row],[CFNM]]/Table211428[[#This Row],[CAREA]]</f>
        <v>2.5271519053057834E-5</v>
      </c>
      <c r="K670">
        <v>2.4278300000000002</v>
      </c>
      <c r="L670">
        <f>(Table312429[[#This Row],[time]]-2)*2</f>
        <v>0.85566000000000031</v>
      </c>
      <c r="M670">
        <v>81.3065</v>
      </c>
      <c r="N670">
        <v>26.605699999999999</v>
      </c>
      <c r="O670">
        <f>Table312429[[#This Row],[CFNM]]/Table312429[[#This Row],[CAREA]]</f>
        <v>0.32722722045592911</v>
      </c>
      <c r="P670">
        <v>2.4278300000000002</v>
      </c>
      <c r="Q670">
        <f>(Table413430[[#This Row],[time]]-2)*2</f>
        <v>0.85566000000000031</v>
      </c>
      <c r="R670">
        <v>84.959100000000007</v>
      </c>
      <c r="S670">
        <v>2.56587E-3</v>
      </c>
      <c r="T670">
        <f>Table413430[[#This Row],[CFNM]]/Table413430[[#This Row],[CAREA]]</f>
        <v>3.0201238007464768E-5</v>
      </c>
      <c r="U670">
        <v>2.4278300000000002</v>
      </c>
      <c r="V670">
        <f>(Table514431[[#This Row],[time]]-2)*2</f>
        <v>0.85566000000000031</v>
      </c>
      <c r="W670">
        <v>69.748000000000005</v>
      </c>
      <c r="X670">
        <v>27.1511</v>
      </c>
      <c r="Y670">
        <f>Table514431[[#This Row],[CFNM]]/Table514431[[#This Row],[CAREA]]</f>
        <v>0.38927424442277914</v>
      </c>
      <c r="Z670">
        <v>2.4278300000000002</v>
      </c>
      <c r="AA670">
        <f>(Table615432[[#This Row],[time]]-2)*2</f>
        <v>0.85566000000000031</v>
      </c>
      <c r="AB670">
        <v>92.353200000000001</v>
      </c>
      <c r="AC670">
        <v>8.0863800000000001</v>
      </c>
      <c r="AD670">
        <f>Table615432[[#This Row],[CFNM]]/Table615432[[#This Row],[CAREA]]</f>
        <v>8.7559283273346236E-2</v>
      </c>
      <c r="AE670">
        <v>2.4278300000000002</v>
      </c>
      <c r="AF670">
        <f>(Table716433[[#This Row],[time]]-2)*2</f>
        <v>0.85566000000000031</v>
      </c>
      <c r="AG670">
        <v>77.608400000000003</v>
      </c>
      <c r="AH670">
        <v>42.183500000000002</v>
      </c>
      <c r="AI670">
        <f>Table716433[[#This Row],[CFNM]]/Table716433[[#This Row],[CAREA]]</f>
        <v>0.54354296699841775</v>
      </c>
      <c r="AJ670">
        <v>2.4278300000000002</v>
      </c>
      <c r="AK670">
        <f>(Table817434[[#This Row],[time]]-2)*2</f>
        <v>0.85566000000000031</v>
      </c>
      <c r="AL670">
        <v>80.566699999999997</v>
      </c>
      <c r="AM670">
        <v>11.303800000000001</v>
      </c>
      <c r="AN670">
        <f>Table817434[[#This Row],[CFNM]]/Table817434[[#This Row],[CAREA]]</f>
        <v>0.14030362420205869</v>
      </c>
    </row>
    <row r="671" spans="1:40" x14ac:dyDescent="0.25">
      <c r="A671">
        <v>2.4542000000000002</v>
      </c>
      <c r="B671">
        <f>(Table110427[[#This Row],[time]]-2)*2</f>
        <v>0.90840000000000032</v>
      </c>
      <c r="C671">
        <v>79.722099999999998</v>
      </c>
      <c r="D671">
        <v>33.6556</v>
      </c>
      <c r="E671">
        <f>Table110427[[#This Row],[CFNM]]/Table110427[[#This Row],[CAREA]]</f>
        <v>0.42216148345314536</v>
      </c>
      <c r="F671">
        <v>2.4542000000000002</v>
      </c>
      <c r="G671">
        <f>(Table211428[[#This Row],[time]]-2)*2</f>
        <v>0.90840000000000032</v>
      </c>
      <c r="H671">
        <v>71.061599999999999</v>
      </c>
      <c r="I671">
        <v>1.6894799999999999E-3</v>
      </c>
      <c r="J671">
        <f>Table211428[[#This Row],[CFNM]]/Table211428[[#This Row],[CAREA]]</f>
        <v>2.3774865750278629E-5</v>
      </c>
      <c r="K671">
        <v>2.4542000000000002</v>
      </c>
      <c r="L671">
        <f>(Table312429[[#This Row],[time]]-2)*2</f>
        <v>0.90840000000000032</v>
      </c>
      <c r="M671">
        <v>80.450299999999999</v>
      </c>
      <c r="N671">
        <v>28.662199999999999</v>
      </c>
      <c r="O671">
        <f>Table312429[[#This Row],[CFNM]]/Table312429[[#This Row],[CAREA]]</f>
        <v>0.35627213323008117</v>
      </c>
      <c r="P671">
        <v>2.4542000000000002</v>
      </c>
      <c r="Q671">
        <f>(Table413430[[#This Row],[time]]-2)*2</f>
        <v>0.90840000000000032</v>
      </c>
      <c r="R671">
        <v>82.733800000000002</v>
      </c>
      <c r="S671">
        <v>2.3128900000000002E-3</v>
      </c>
      <c r="T671">
        <f>Table413430[[#This Row],[CFNM]]/Table413430[[#This Row],[CAREA]]</f>
        <v>2.7955805245256473E-5</v>
      </c>
      <c r="U671">
        <v>2.4542000000000002</v>
      </c>
      <c r="V671">
        <f>(Table514431[[#This Row],[time]]-2)*2</f>
        <v>0.90840000000000032</v>
      </c>
      <c r="W671">
        <v>68.895700000000005</v>
      </c>
      <c r="X671">
        <v>29.6539</v>
      </c>
      <c r="Y671">
        <f>Table514431[[#This Row],[CFNM]]/Table514431[[#This Row],[CAREA]]</f>
        <v>0.4304172829363806</v>
      </c>
      <c r="Z671">
        <v>2.4542000000000002</v>
      </c>
      <c r="AA671">
        <f>(Table615432[[#This Row],[time]]-2)*2</f>
        <v>0.90840000000000032</v>
      </c>
      <c r="AB671">
        <v>91.991500000000002</v>
      </c>
      <c r="AC671">
        <v>7.42279</v>
      </c>
      <c r="AD671">
        <f>Table615432[[#This Row],[CFNM]]/Table615432[[#This Row],[CAREA]]</f>
        <v>8.0689955050194856E-2</v>
      </c>
      <c r="AE671">
        <v>2.4542000000000002</v>
      </c>
      <c r="AF671">
        <f>(Table716433[[#This Row],[time]]-2)*2</f>
        <v>0.90840000000000032</v>
      </c>
      <c r="AG671">
        <v>77.383799999999994</v>
      </c>
      <c r="AH671">
        <v>45.131599999999999</v>
      </c>
      <c r="AI671">
        <f>Table716433[[#This Row],[CFNM]]/Table716433[[#This Row],[CAREA]]</f>
        <v>0.58321767605105979</v>
      </c>
      <c r="AJ671">
        <v>2.4542000000000002</v>
      </c>
      <c r="AK671">
        <f>(Table817434[[#This Row],[time]]-2)*2</f>
        <v>0.90840000000000032</v>
      </c>
      <c r="AL671">
        <v>80.0822</v>
      </c>
      <c r="AM671">
        <v>10.718</v>
      </c>
      <c r="AN671">
        <f>Table817434[[#This Row],[CFNM]]/Table817434[[#This Row],[CAREA]]</f>
        <v>0.13383748198725809</v>
      </c>
    </row>
    <row r="672" spans="1:40" x14ac:dyDescent="0.25">
      <c r="A672">
        <v>2.5061499999999999</v>
      </c>
      <c r="B672">
        <f>(Table110427[[#This Row],[time]]-2)*2</f>
        <v>1.0122999999999998</v>
      </c>
      <c r="C672">
        <v>78.306100000000001</v>
      </c>
      <c r="D672">
        <v>35.791800000000002</v>
      </c>
      <c r="E672">
        <f>Table110427[[#This Row],[CFNM]]/Table110427[[#This Row],[CAREA]]</f>
        <v>0.4570755024193518</v>
      </c>
      <c r="F672">
        <v>2.5061499999999999</v>
      </c>
      <c r="G672">
        <f>(Table211428[[#This Row],[time]]-2)*2</f>
        <v>1.0122999999999998</v>
      </c>
      <c r="H672">
        <v>67.338099999999997</v>
      </c>
      <c r="I672">
        <v>1.50665E-3</v>
      </c>
      <c r="J672">
        <f>Table211428[[#This Row],[CFNM]]/Table211428[[#This Row],[CAREA]]</f>
        <v>2.2374406168276207E-5</v>
      </c>
      <c r="K672">
        <v>2.5061499999999999</v>
      </c>
      <c r="L672">
        <f>(Table312429[[#This Row],[time]]-2)*2</f>
        <v>1.0122999999999998</v>
      </c>
      <c r="M672">
        <v>79.813999999999993</v>
      </c>
      <c r="N672">
        <v>30.232900000000001</v>
      </c>
      <c r="O672">
        <f>Table312429[[#This Row],[CFNM]]/Table312429[[#This Row],[CAREA]]</f>
        <v>0.37879194126343751</v>
      </c>
      <c r="P672">
        <v>2.5061499999999999</v>
      </c>
      <c r="Q672">
        <f>(Table413430[[#This Row],[time]]-2)*2</f>
        <v>1.0122999999999998</v>
      </c>
      <c r="R672">
        <v>82.115899999999996</v>
      </c>
      <c r="S672">
        <v>2.1167199999999999E-3</v>
      </c>
      <c r="T672">
        <f>Table413430[[#This Row],[CFNM]]/Table413430[[#This Row],[CAREA]]</f>
        <v>2.5777224630065553E-5</v>
      </c>
      <c r="U672">
        <v>2.5061499999999999</v>
      </c>
      <c r="V672">
        <f>(Table514431[[#This Row],[time]]-2)*2</f>
        <v>1.0122999999999998</v>
      </c>
      <c r="W672">
        <v>67.870400000000004</v>
      </c>
      <c r="X672">
        <v>31.583300000000001</v>
      </c>
      <c r="Y672">
        <f>Table514431[[#This Row],[CFNM]]/Table514431[[#This Row],[CAREA]]</f>
        <v>0.46534719111718803</v>
      </c>
      <c r="Z672">
        <v>2.5061499999999999</v>
      </c>
      <c r="AA672">
        <f>(Table615432[[#This Row],[time]]-2)*2</f>
        <v>1.0122999999999998</v>
      </c>
      <c r="AB672">
        <v>91.884100000000004</v>
      </c>
      <c r="AC672">
        <v>6.88422</v>
      </c>
      <c r="AD672">
        <f>Table615432[[#This Row],[CFNM]]/Table615432[[#This Row],[CAREA]]</f>
        <v>7.4922864782916737E-2</v>
      </c>
      <c r="AE672">
        <v>2.5061499999999999</v>
      </c>
      <c r="AF672">
        <f>(Table716433[[#This Row],[time]]-2)*2</f>
        <v>1.0122999999999998</v>
      </c>
      <c r="AG672">
        <v>77.365200000000002</v>
      </c>
      <c r="AH672">
        <v>47.461100000000002</v>
      </c>
      <c r="AI672">
        <f>Table716433[[#This Row],[CFNM]]/Table716433[[#This Row],[CAREA]]</f>
        <v>0.61346832942976948</v>
      </c>
      <c r="AJ672">
        <v>2.5061499999999999</v>
      </c>
      <c r="AK672">
        <f>(Table817434[[#This Row],[time]]-2)*2</f>
        <v>1.0122999999999998</v>
      </c>
      <c r="AL672">
        <v>79.665400000000005</v>
      </c>
      <c r="AM672">
        <v>10.2926</v>
      </c>
      <c r="AN672">
        <f>Table817434[[#This Row],[CFNM]]/Table817434[[#This Row],[CAREA]]</f>
        <v>0.12919787009165837</v>
      </c>
    </row>
    <row r="673" spans="1:40" x14ac:dyDescent="0.25">
      <c r="A673">
        <v>2.5507599999999999</v>
      </c>
      <c r="B673">
        <f>(Table110427[[#This Row],[time]]-2)*2</f>
        <v>1.1015199999999998</v>
      </c>
      <c r="C673">
        <v>77.281899999999993</v>
      </c>
      <c r="D673">
        <v>37.838299999999997</v>
      </c>
      <c r="E673">
        <f>Table110427[[#This Row],[CFNM]]/Table110427[[#This Row],[CAREA]]</f>
        <v>0.48961399758546309</v>
      </c>
      <c r="F673">
        <v>2.5507599999999999</v>
      </c>
      <c r="G673">
        <f>(Table211428[[#This Row],[time]]-2)*2</f>
        <v>1.1015199999999998</v>
      </c>
      <c r="H673">
        <v>61.6541</v>
      </c>
      <c r="I673">
        <v>1.32902E-3</v>
      </c>
      <c r="J673">
        <f>Table211428[[#This Row],[CFNM]]/Table211428[[#This Row],[CAREA]]</f>
        <v>2.1556068452868504E-5</v>
      </c>
      <c r="K673">
        <v>2.5507599999999999</v>
      </c>
      <c r="L673">
        <f>(Table312429[[#This Row],[time]]-2)*2</f>
        <v>1.1015199999999998</v>
      </c>
      <c r="M673">
        <v>79.377099999999999</v>
      </c>
      <c r="N673">
        <v>31.864599999999999</v>
      </c>
      <c r="O673">
        <f>Table312429[[#This Row],[CFNM]]/Table312429[[#This Row],[CAREA]]</f>
        <v>0.40143315893374787</v>
      </c>
      <c r="P673">
        <v>2.5507599999999999</v>
      </c>
      <c r="Q673">
        <f>(Table413430[[#This Row],[time]]-2)*2</f>
        <v>1.1015199999999998</v>
      </c>
      <c r="R673">
        <v>80.845399999999998</v>
      </c>
      <c r="S673">
        <v>1.9184899999999999E-3</v>
      </c>
      <c r="T673">
        <f>Table413430[[#This Row],[CFNM]]/Table413430[[#This Row],[CAREA]]</f>
        <v>2.3730354479042715E-5</v>
      </c>
      <c r="U673">
        <v>2.5507599999999999</v>
      </c>
      <c r="V673">
        <f>(Table514431[[#This Row],[time]]-2)*2</f>
        <v>1.1015199999999998</v>
      </c>
      <c r="W673">
        <v>67.127899999999997</v>
      </c>
      <c r="X673">
        <v>33.586599999999997</v>
      </c>
      <c r="Y673">
        <f>Table514431[[#This Row],[CFNM]]/Table514431[[#This Row],[CAREA]]</f>
        <v>0.50033741559023892</v>
      </c>
      <c r="Z673">
        <v>2.5507599999999999</v>
      </c>
      <c r="AA673">
        <f>(Table615432[[#This Row],[time]]-2)*2</f>
        <v>1.1015199999999998</v>
      </c>
      <c r="AB673">
        <v>91.537800000000004</v>
      </c>
      <c r="AC673">
        <v>6.3520300000000001</v>
      </c>
      <c r="AD673">
        <f>Table615432[[#This Row],[CFNM]]/Table615432[[#This Row],[CAREA]]</f>
        <v>6.9392425861228915E-2</v>
      </c>
      <c r="AE673">
        <v>2.5507599999999999</v>
      </c>
      <c r="AF673">
        <f>(Table716433[[#This Row],[time]]-2)*2</f>
        <v>1.1015199999999998</v>
      </c>
      <c r="AG673">
        <v>77.369600000000005</v>
      </c>
      <c r="AH673">
        <v>49.879199999999997</v>
      </c>
      <c r="AI673">
        <f>Table716433[[#This Row],[CFNM]]/Table716433[[#This Row],[CAREA]]</f>
        <v>0.64468731905037624</v>
      </c>
      <c r="AJ673">
        <v>2.5507599999999999</v>
      </c>
      <c r="AK673">
        <f>(Table817434[[#This Row],[time]]-2)*2</f>
        <v>1.1015199999999998</v>
      </c>
      <c r="AL673">
        <v>79.207700000000003</v>
      </c>
      <c r="AM673">
        <v>9.8035099999999993</v>
      </c>
      <c r="AN673">
        <f>Table817434[[#This Row],[CFNM]]/Table817434[[#This Row],[CAREA]]</f>
        <v>0.12376965875792377</v>
      </c>
    </row>
    <row r="674" spans="1:40" x14ac:dyDescent="0.25">
      <c r="A674">
        <v>2.60453</v>
      </c>
      <c r="B674">
        <f>(Table110427[[#This Row],[time]]-2)*2</f>
        <v>1.20906</v>
      </c>
      <c r="C674">
        <v>76.459699999999998</v>
      </c>
      <c r="D674">
        <v>39.798000000000002</v>
      </c>
      <c r="E674">
        <f>Table110427[[#This Row],[CFNM]]/Table110427[[#This Row],[CAREA]]</f>
        <v>0.52050949715994177</v>
      </c>
      <c r="F674">
        <v>2.60453</v>
      </c>
      <c r="G674">
        <f>(Table211428[[#This Row],[time]]-2)*2</f>
        <v>1.20906</v>
      </c>
      <c r="H674">
        <v>58.95</v>
      </c>
      <c r="I674">
        <v>1.1652800000000001E-3</v>
      </c>
      <c r="J674">
        <f>Table211428[[#This Row],[CFNM]]/Table211428[[#This Row],[CAREA]]</f>
        <v>1.9767260390161153E-5</v>
      </c>
      <c r="K674">
        <v>2.60453</v>
      </c>
      <c r="L674">
        <f>(Table312429[[#This Row],[time]]-2)*2</f>
        <v>1.20906</v>
      </c>
      <c r="M674">
        <v>78.901499999999999</v>
      </c>
      <c r="N674">
        <v>33.462699999999998</v>
      </c>
      <c r="O674">
        <f>Table312429[[#This Row],[CFNM]]/Table312429[[#This Row],[CAREA]]</f>
        <v>0.42410727299227519</v>
      </c>
      <c r="P674">
        <v>2.60453</v>
      </c>
      <c r="Q674">
        <f>(Table413430[[#This Row],[time]]-2)*2</f>
        <v>1.20906</v>
      </c>
      <c r="R674">
        <v>78.020200000000003</v>
      </c>
      <c r="S674">
        <v>1.7333400000000001E-3</v>
      </c>
      <c r="T674">
        <f>Table413430[[#This Row],[CFNM]]/Table413430[[#This Row],[CAREA]]</f>
        <v>2.2216554174431749E-5</v>
      </c>
      <c r="U674">
        <v>2.60453</v>
      </c>
      <c r="V674">
        <f>(Table514431[[#This Row],[time]]-2)*2</f>
        <v>1.20906</v>
      </c>
      <c r="W674">
        <v>66.243300000000005</v>
      </c>
      <c r="X674">
        <v>35.679000000000002</v>
      </c>
      <c r="Y674">
        <f>Table514431[[#This Row],[CFNM]]/Table514431[[#This Row],[CAREA]]</f>
        <v>0.53860541367957215</v>
      </c>
      <c r="Z674">
        <v>2.60453</v>
      </c>
      <c r="AA674">
        <f>(Table615432[[#This Row],[time]]-2)*2</f>
        <v>1.20906</v>
      </c>
      <c r="AB674">
        <v>91.466300000000004</v>
      </c>
      <c r="AC674">
        <v>5.7625200000000003</v>
      </c>
      <c r="AD674">
        <f>Table615432[[#This Row],[CFNM]]/Table615432[[#This Row],[CAREA]]</f>
        <v>6.3001564510644911E-2</v>
      </c>
      <c r="AE674">
        <v>2.60453</v>
      </c>
      <c r="AF674">
        <f>(Table716433[[#This Row],[time]]-2)*2</f>
        <v>1.20906</v>
      </c>
      <c r="AG674">
        <v>77.224699999999999</v>
      </c>
      <c r="AH674">
        <v>52.400799999999997</v>
      </c>
      <c r="AI674">
        <f>Table716433[[#This Row],[CFNM]]/Table716433[[#This Row],[CAREA]]</f>
        <v>0.67854973861989754</v>
      </c>
      <c r="AJ674">
        <v>2.60453</v>
      </c>
      <c r="AK674">
        <f>(Table817434[[#This Row],[time]]-2)*2</f>
        <v>1.20906</v>
      </c>
      <c r="AL674">
        <v>78.571399999999997</v>
      </c>
      <c r="AM674">
        <v>9.23916</v>
      </c>
      <c r="AN674">
        <f>Table817434[[#This Row],[CFNM]]/Table817434[[#This Row],[CAREA]]</f>
        <v>0.1175893518506734</v>
      </c>
    </row>
    <row r="675" spans="1:40" x14ac:dyDescent="0.25">
      <c r="A675">
        <v>2.65273</v>
      </c>
      <c r="B675">
        <f>(Table110427[[#This Row],[time]]-2)*2</f>
        <v>1.3054600000000001</v>
      </c>
      <c r="C675">
        <v>75.694800000000001</v>
      </c>
      <c r="D675">
        <v>41.655099999999997</v>
      </c>
      <c r="E675">
        <f>Table110427[[#This Row],[CFNM]]/Table110427[[#This Row],[CAREA]]</f>
        <v>0.5503033233458573</v>
      </c>
      <c r="F675">
        <v>2.65273</v>
      </c>
      <c r="G675">
        <f>(Table211428[[#This Row],[time]]-2)*2</f>
        <v>1.3054600000000001</v>
      </c>
      <c r="H675">
        <v>53.198099999999997</v>
      </c>
      <c r="I675">
        <v>1.0167100000000001E-3</v>
      </c>
      <c r="J675">
        <f>Table211428[[#This Row],[CFNM]]/Table211428[[#This Row],[CAREA]]</f>
        <v>1.9111772788877802E-5</v>
      </c>
      <c r="K675">
        <v>2.65273</v>
      </c>
      <c r="L675">
        <f>(Table312429[[#This Row],[time]]-2)*2</f>
        <v>1.3054600000000001</v>
      </c>
      <c r="M675">
        <v>78.474299999999999</v>
      </c>
      <c r="N675">
        <v>34.995899999999999</v>
      </c>
      <c r="O675">
        <f>Table312429[[#This Row],[CFNM]]/Table312429[[#This Row],[CAREA]]</f>
        <v>0.44595364342211397</v>
      </c>
      <c r="P675">
        <v>2.65273</v>
      </c>
      <c r="Q675">
        <f>(Table413430[[#This Row],[time]]-2)*2</f>
        <v>1.3054600000000001</v>
      </c>
      <c r="R675">
        <v>72.568399999999997</v>
      </c>
      <c r="S675">
        <v>1.55803E-3</v>
      </c>
      <c r="T675">
        <f>Table413430[[#This Row],[CFNM]]/Table413430[[#This Row],[CAREA]]</f>
        <v>2.1469813307169513E-5</v>
      </c>
      <c r="U675">
        <v>2.65273</v>
      </c>
      <c r="V675">
        <f>(Table514431[[#This Row],[time]]-2)*2</f>
        <v>1.3054600000000001</v>
      </c>
      <c r="W675">
        <v>64.356099999999998</v>
      </c>
      <c r="X675">
        <v>37.752699999999997</v>
      </c>
      <c r="Y675">
        <f>Table514431[[#This Row],[CFNM]]/Table514431[[#This Row],[CAREA]]</f>
        <v>0.58662193638209892</v>
      </c>
      <c r="Z675">
        <v>2.65273</v>
      </c>
      <c r="AA675">
        <f>(Table615432[[#This Row],[time]]-2)*2</f>
        <v>1.3054600000000001</v>
      </c>
      <c r="AB675">
        <v>90.638900000000007</v>
      </c>
      <c r="AC675">
        <v>5.1247600000000002</v>
      </c>
      <c r="AD675">
        <f>Table615432[[#This Row],[CFNM]]/Table615432[[#This Row],[CAREA]]</f>
        <v>5.6540403733937636E-2</v>
      </c>
      <c r="AE675">
        <v>2.65273</v>
      </c>
      <c r="AF675">
        <f>(Table716433[[#This Row],[time]]-2)*2</f>
        <v>1.3054600000000001</v>
      </c>
      <c r="AG675">
        <v>76.974199999999996</v>
      </c>
      <c r="AH675">
        <v>54.877299999999998</v>
      </c>
      <c r="AI675">
        <f>Table716433[[#This Row],[CFNM]]/Table716433[[#This Row],[CAREA]]</f>
        <v>0.71293108600024424</v>
      </c>
      <c r="AJ675">
        <v>2.65273</v>
      </c>
      <c r="AK675">
        <f>(Table817434[[#This Row],[time]]-2)*2</f>
        <v>1.3054600000000001</v>
      </c>
      <c r="AL675">
        <v>77.931600000000003</v>
      </c>
      <c r="AM675">
        <v>8.6263299999999994</v>
      </c>
      <c r="AN675">
        <f>Table817434[[#This Row],[CFNM]]/Table817434[[#This Row],[CAREA]]</f>
        <v>0.11069104188801461</v>
      </c>
    </row>
    <row r="676" spans="1:40" x14ac:dyDescent="0.25">
      <c r="A676">
        <v>2.7006199999999998</v>
      </c>
      <c r="B676">
        <f>(Table110427[[#This Row],[time]]-2)*2</f>
        <v>1.4012399999999996</v>
      </c>
      <c r="C676">
        <v>74.630099999999999</v>
      </c>
      <c r="D676">
        <v>43.320399999999999</v>
      </c>
      <c r="E676">
        <f>Table110427[[#This Row],[CFNM]]/Table110427[[#This Row],[CAREA]]</f>
        <v>0.58046820250810327</v>
      </c>
      <c r="F676">
        <v>2.7006199999999998</v>
      </c>
      <c r="G676">
        <f>(Table211428[[#This Row],[time]]-2)*2</f>
        <v>1.4012399999999996</v>
      </c>
      <c r="H676">
        <v>50.752499999999998</v>
      </c>
      <c r="I676">
        <v>8.9257400000000004E-4</v>
      </c>
      <c r="J676">
        <f>Table211428[[#This Row],[CFNM]]/Table211428[[#This Row],[CAREA]]</f>
        <v>1.7586798679867987E-5</v>
      </c>
      <c r="K676">
        <v>2.7006199999999998</v>
      </c>
      <c r="L676">
        <f>(Table312429[[#This Row],[time]]-2)*2</f>
        <v>1.4012399999999996</v>
      </c>
      <c r="M676">
        <v>78.1006</v>
      </c>
      <c r="N676">
        <v>36.319899999999997</v>
      </c>
      <c r="O676">
        <f>Table312429[[#This Row],[CFNM]]/Table312429[[#This Row],[CAREA]]</f>
        <v>0.46503996128070713</v>
      </c>
      <c r="P676">
        <v>2.7006199999999998</v>
      </c>
      <c r="Q676">
        <f>(Table413430[[#This Row],[time]]-2)*2</f>
        <v>1.4012399999999996</v>
      </c>
      <c r="R676">
        <v>66.63</v>
      </c>
      <c r="S676">
        <v>1.41073E-3</v>
      </c>
      <c r="T676">
        <f>Table413430[[#This Row],[CFNM]]/Table413430[[#This Row],[CAREA]]</f>
        <v>2.1172594927209967E-5</v>
      </c>
      <c r="U676">
        <v>2.7006199999999998</v>
      </c>
      <c r="V676">
        <f>(Table514431[[#This Row],[time]]-2)*2</f>
        <v>1.4012399999999996</v>
      </c>
      <c r="W676">
        <v>63.632800000000003</v>
      </c>
      <c r="X676">
        <v>39.640500000000003</v>
      </c>
      <c r="Y676">
        <f>Table514431[[#This Row],[CFNM]]/Table514431[[#This Row],[CAREA]]</f>
        <v>0.62295702845073608</v>
      </c>
      <c r="Z676">
        <v>2.7006199999999998</v>
      </c>
      <c r="AA676">
        <f>(Table615432[[#This Row],[time]]-2)*2</f>
        <v>1.4012399999999996</v>
      </c>
      <c r="AB676">
        <v>90.229100000000003</v>
      </c>
      <c r="AC676">
        <v>4.5425700000000004</v>
      </c>
      <c r="AD676">
        <f>Table615432[[#This Row],[CFNM]]/Table615432[[#This Row],[CAREA]]</f>
        <v>5.0344844401639832E-2</v>
      </c>
      <c r="AE676">
        <v>2.7006199999999998</v>
      </c>
      <c r="AF676">
        <f>(Table716433[[#This Row],[time]]-2)*2</f>
        <v>1.4012399999999996</v>
      </c>
      <c r="AG676">
        <v>76.688400000000001</v>
      </c>
      <c r="AH676">
        <v>57.046599999999998</v>
      </c>
      <c r="AI676">
        <f>Table716433[[#This Row],[CFNM]]/Table716433[[#This Row],[CAREA]]</f>
        <v>0.74387521450440997</v>
      </c>
      <c r="AJ676">
        <v>2.7006199999999998</v>
      </c>
      <c r="AK676">
        <f>(Table817434[[#This Row],[time]]-2)*2</f>
        <v>1.4012399999999996</v>
      </c>
      <c r="AL676">
        <v>77.382499999999993</v>
      </c>
      <c r="AM676">
        <v>8.0226100000000002</v>
      </c>
      <c r="AN676">
        <f>Table817434[[#This Row],[CFNM]]/Table817434[[#This Row],[CAREA]]</f>
        <v>0.10367473265919298</v>
      </c>
    </row>
    <row r="677" spans="1:40" x14ac:dyDescent="0.25">
      <c r="A677">
        <v>2.75176</v>
      </c>
      <c r="B677">
        <f>(Table110427[[#This Row],[time]]-2)*2</f>
        <v>1.50352</v>
      </c>
      <c r="C677">
        <v>72.390199999999993</v>
      </c>
      <c r="D677">
        <v>45.403300000000002</v>
      </c>
      <c r="E677">
        <f>Table110427[[#This Row],[CFNM]]/Table110427[[#This Row],[CAREA]]</f>
        <v>0.62720230086392914</v>
      </c>
      <c r="F677">
        <v>2.75176</v>
      </c>
      <c r="G677">
        <f>(Table211428[[#This Row],[time]]-2)*2</f>
        <v>1.50352</v>
      </c>
      <c r="H677">
        <v>45.206400000000002</v>
      </c>
      <c r="I677">
        <v>7.3746700000000001E-4</v>
      </c>
      <c r="J677">
        <f>Table211428[[#This Row],[CFNM]]/Table211428[[#This Row],[CAREA]]</f>
        <v>1.6313331740638494E-5</v>
      </c>
      <c r="K677">
        <v>2.75176</v>
      </c>
      <c r="L677">
        <f>(Table312429[[#This Row],[time]]-2)*2</f>
        <v>1.50352</v>
      </c>
      <c r="M677">
        <v>77.628600000000006</v>
      </c>
      <c r="N677">
        <v>38.044400000000003</v>
      </c>
      <c r="O677">
        <f>Table312429[[#This Row],[CFNM]]/Table312429[[#This Row],[CAREA]]</f>
        <v>0.49008226349567041</v>
      </c>
      <c r="P677">
        <v>2.75176</v>
      </c>
      <c r="Q677">
        <f>(Table413430[[#This Row],[time]]-2)*2</f>
        <v>1.50352</v>
      </c>
      <c r="R677">
        <v>62.539299999999997</v>
      </c>
      <c r="S677">
        <v>1.2348700000000001E-3</v>
      </c>
      <c r="T677">
        <f>Table413430[[#This Row],[CFNM]]/Table413430[[#This Row],[CAREA]]</f>
        <v>1.9745504027067782E-5</v>
      </c>
      <c r="U677">
        <v>2.75176</v>
      </c>
      <c r="V677">
        <f>(Table514431[[#This Row],[time]]-2)*2</f>
        <v>1.50352</v>
      </c>
      <c r="W677">
        <v>62.3491</v>
      </c>
      <c r="X677">
        <v>42.134799999999998</v>
      </c>
      <c r="Y677">
        <f>Table514431[[#This Row],[CFNM]]/Table514431[[#This Row],[CAREA]]</f>
        <v>0.67578842356986701</v>
      </c>
      <c r="Z677">
        <v>2.75176</v>
      </c>
      <c r="AA677">
        <f>(Table615432[[#This Row],[time]]-2)*2</f>
        <v>1.50352</v>
      </c>
      <c r="AB677">
        <v>89.853800000000007</v>
      </c>
      <c r="AC677">
        <v>3.89086</v>
      </c>
      <c r="AD677">
        <f>Table615432[[#This Row],[CFNM]]/Table615432[[#This Row],[CAREA]]</f>
        <v>4.3302119665501064E-2</v>
      </c>
      <c r="AE677">
        <v>2.75176</v>
      </c>
      <c r="AF677">
        <f>(Table716433[[#This Row],[time]]-2)*2</f>
        <v>1.50352</v>
      </c>
      <c r="AG677">
        <v>75.952500000000001</v>
      </c>
      <c r="AH677">
        <v>59.807000000000002</v>
      </c>
      <c r="AI677">
        <f>Table716433[[#This Row],[CFNM]]/Table716433[[#This Row],[CAREA]]</f>
        <v>0.7874263519963135</v>
      </c>
      <c r="AJ677">
        <v>2.75176</v>
      </c>
      <c r="AK677">
        <f>(Table817434[[#This Row],[time]]-2)*2</f>
        <v>1.50352</v>
      </c>
      <c r="AL677">
        <v>76.806700000000006</v>
      </c>
      <c r="AM677">
        <v>7.2748600000000003</v>
      </c>
      <c r="AN677">
        <f>Table817434[[#This Row],[CFNM]]/Table817434[[#This Row],[CAREA]]</f>
        <v>9.4716476557383661E-2</v>
      </c>
    </row>
    <row r="678" spans="1:40" x14ac:dyDescent="0.25">
      <c r="A678">
        <v>2.80444</v>
      </c>
      <c r="B678">
        <f>(Table110427[[#This Row],[time]]-2)*2</f>
        <v>1.6088800000000001</v>
      </c>
      <c r="C678">
        <v>71.963399999999993</v>
      </c>
      <c r="D678">
        <v>46.626800000000003</v>
      </c>
      <c r="E678">
        <f>Table110427[[#This Row],[CFNM]]/Table110427[[#This Row],[CAREA]]</f>
        <v>0.64792380571234831</v>
      </c>
      <c r="F678">
        <v>2.80444</v>
      </c>
      <c r="G678">
        <f>(Table211428[[#This Row],[time]]-2)*2</f>
        <v>1.6088800000000001</v>
      </c>
      <c r="H678">
        <v>42.067100000000003</v>
      </c>
      <c r="I678">
        <v>6.4917800000000004E-4</v>
      </c>
      <c r="J678">
        <f>Table211428[[#This Row],[CFNM]]/Table211428[[#This Row],[CAREA]]</f>
        <v>1.5431964646956886E-5</v>
      </c>
      <c r="K678">
        <v>2.80444</v>
      </c>
      <c r="L678">
        <f>(Table312429[[#This Row],[time]]-2)*2</f>
        <v>1.6088800000000001</v>
      </c>
      <c r="M678">
        <v>77.288700000000006</v>
      </c>
      <c r="N678">
        <v>39.142600000000002</v>
      </c>
      <c r="O678">
        <f>Table312429[[#This Row],[CFNM]]/Table312429[[#This Row],[CAREA]]</f>
        <v>0.5064466086245466</v>
      </c>
      <c r="P678">
        <v>2.80444</v>
      </c>
      <c r="Q678">
        <f>(Table413430[[#This Row],[time]]-2)*2</f>
        <v>1.6088800000000001</v>
      </c>
      <c r="R678">
        <v>58.305</v>
      </c>
      <c r="S678">
        <v>1.1338800000000001E-3</v>
      </c>
      <c r="T678">
        <f>Table413430[[#This Row],[CFNM]]/Table413430[[#This Row],[CAREA]]</f>
        <v>1.9447388731669669E-5</v>
      </c>
      <c r="U678">
        <v>2.80444</v>
      </c>
      <c r="V678">
        <f>(Table514431[[#This Row],[time]]-2)*2</f>
        <v>1.6088800000000001</v>
      </c>
      <c r="W678">
        <v>61.866500000000002</v>
      </c>
      <c r="X678">
        <v>43.698399999999999</v>
      </c>
      <c r="Y678">
        <f>Table514431[[#This Row],[CFNM]]/Table514431[[#This Row],[CAREA]]</f>
        <v>0.70633379939062335</v>
      </c>
      <c r="Z678">
        <v>2.80444</v>
      </c>
      <c r="AA678">
        <f>(Table615432[[#This Row],[time]]-2)*2</f>
        <v>1.6088800000000001</v>
      </c>
      <c r="AB678">
        <v>89.522900000000007</v>
      </c>
      <c r="AC678">
        <v>3.4980099999999998</v>
      </c>
      <c r="AD678">
        <f>Table615432[[#This Row],[CFNM]]/Table615432[[#This Row],[CAREA]]</f>
        <v>3.9073912931774993E-2</v>
      </c>
      <c r="AE678">
        <v>2.80444</v>
      </c>
      <c r="AF678">
        <f>(Table716433[[#This Row],[time]]-2)*2</f>
        <v>1.6088800000000001</v>
      </c>
      <c r="AG678">
        <v>75.706900000000005</v>
      </c>
      <c r="AH678">
        <v>61.500799999999998</v>
      </c>
      <c r="AI678">
        <f>Table716433[[#This Row],[CFNM]]/Table716433[[#This Row],[CAREA]]</f>
        <v>0.81235395981079661</v>
      </c>
      <c r="AJ678">
        <v>2.80444</v>
      </c>
      <c r="AK678">
        <f>(Table817434[[#This Row],[time]]-2)*2</f>
        <v>1.6088800000000001</v>
      </c>
      <c r="AL678">
        <v>76.384600000000006</v>
      </c>
      <c r="AM678">
        <v>6.8183699999999998</v>
      </c>
      <c r="AN678">
        <f>Table817434[[#This Row],[CFNM]]/Table817434[[#This Row],[CAREA]]</f>
        <v>8.926367356770866E-2</v>
      </c>
    </row>
    <row r="679" spans="1:40" x14ac:dyDescent="0.25">
      <c r="A679">
        <v>2.8583699999999999</v>
      </c>
      <c r="B679">
        <f>(Table110427[[#This Row],[time]]-2)*2</f>
        <v>1.7167399999999997</v>
      </c>
      <c r="C679">
        <v>70.7851</v>
      </c>
      <c r="D679">
        <v>48.916499999999999</v>
      </c>
      <c r="E679">
        <f>Table110427[[#This Row],[CFNM]]/Table110427[[#This Row],[CAREA]]</f>
        <v>0.69105645114579195</v>
      </c>
      <c r="F679">
        <v>2.8583699999999999</v>
      </c>
      <c r="G679">
        <f>(Table211428[[#This Row],[time]]-2)*2</f>
        <v>1.7167399999999997</v>
      </c>
      <c r="H679">
        <v>35.696599999999997</v>
      </c>
      <c r="I679">
        <v>4.86861E-4</v>
      </c>
      <c r="J679">
        <f>Table211428[[#This Row],[CFNM]]/Table211428[[#This Row],[CAREA]]</f>
        <v>1.3638861964444794E-5</v>
      </c>
      <c r="K679">
        <v>2.8583699999999999</v>
      </c>
      <c r="L679">
        <f>(Table312429[[#This Row],[time]]-2)*2</f>
        <v>1.7167399999999997</v>
      </c>
      <c r="M679">
        <v>76.721800000000002</v>
      </c>
      <c r="N679">
        <v>41.269199999999998</v>
      </c>
      <c r="O679">
        <f>Table312429[[#This Row],[CFNM]]/Table312429[[#This Row],[CAREA]]</f>
        <v>0.53790708768563822</v>
      </c>
      <c r="P679">
        <v>2.8583699999999999</v>
      </c>
      <c r="Q679">
        <f>(Table413430[[#This Row],[time]]-2)*2</f>
        <v>1.7167399999999997</v>
      </c>
      <c r="R679">
        <v>48.214300000000001</v>
      </c>
      <c r="S679">
        <v>9.7118699999999998E-4</v>
      </c>
      <c r="T679">
        <f>Table413430[[#This Row],[CFNM]]/Table413430[[#This Row],[CAREA]]</f>
        <v>2.0143131809442426E-5</v>
      </c>
      <c r="U679">
        <v>2.8583699999999999</v>
      </c>
      <c r="V679">
        <f>(Table514431[[#This Row],[time]]-2)*2</f>
        <v>1.7167399999999997</v>
      </c>
      <c r="W679">
        <v>60.925699999999999</v>
      </c>
      <c r="X679">
        <v>46.719299999999997</v>
      </c>
      <c r="Y679">
        <f>Table514431[[#This Row],[CFNM]]/Table514431[[#This Row],[CAREA]]</f>
        <v>0.76682418092857363</v>
      </c>
      <c r="Z679">
        <v>2.8583699999999999</v>
      </c>
      <c r="AA679">
        <f>(Table615432[[#This Row],[time]]-2)*2</f>
        <v>1.7167399999999997</v>
      </c>
      <c r="AB679">
        <v>88.426900000000003</v>
      </c>
      <c r="AC679">
        <v>2.8046099999999998</v>
      </c>
      <c r="AD679">
        <f>Table615432[[#This Row],[CFNM]]/Table615432[[#This Row],[CAREA]]</f>
        <v>3.1716706115446767E-2</v>
      </c>
      <c r="AE679">
        <v>2.8583699999999999</v>
      </c>
      <c r="AF679">
        <f>(Table716433[[#This Row],[time]]-2)*2</f>
        <v>1.7167399999999997</v>
      </c>
      <c r="AG679">
        <v>74.784300000000002</v>
      </c>
      <c r="AH679">
        <v>64.730900000000005</v>
      </c>
      <c r="AI679">
        <f>Table716433[[#This Row],[CFNM]]/Table716433[[#This Row],[CAREA]]</f>
        <v>0.86556804035071533</v>
      </c>
      <c r="AJ679">
        <v>2.8583699999999999</v>
      </c>
      <c r="AK679">
        <f>(Table817434[[#This Row],[time]]-2)*2</f>
        <v>1.7167399999999997</v>
      </c>
      <c r="AL679">
        <v>75.563000000000002</v>
      </c>
      <c r="AM679">
        <v>5.9336700000000002</v>
      </c>
      <c r="AN679">
        <f>Table817434[[#This Row],[CFNM]]/Table817434[[#This Row],[CAREA]]</f>
        <v>7.8526130513611153E-2</v>
      </c>
    </row>
    <row r="680" spans="1:40" x14ac:dyDescent="0.25">
      <c r="A680">
        <v>2.9134199999999999</v>
      </c>
      <c r="B680">
        <f>(Table110427[[#This Row],[time]]-2)*2</f>
        <v>1.8268399999999998</v>
      </c>
      <c r="C680">
        <v>70.111800000000002</v>
      </c>
      <c r="D680">
        <v>50.424300000000002</v>
      </c>
      <c r="E680">
        <f>Table110427[[#This Row],[CFNM]]/Table110427[[#This Row],[CAREA]]</f>
        <v>0.7191984801417165</v>
      </c>
      <c r="F680">
        <v>2.9134199999999999</v>
      </c>
      <c r="G680">
        <f>(Table211428[[#This Row],[time]]-2)*2</f>
        <v>1.8268399999999998</v>
      </c>
      <c r="H680">
        <v>30.459099999999999</v>
      </c>
      <c r="I680">
        <v>3.98219E-4</v>
      </c>
      <c r="J680">
        <f>Table211428[[#This Row],[CFNM]]/Table211428[[#This Row],[CAREA]]</f>
        <v>1.3073892531296066E-5</v>
      </c>
      <c r="K680">
        <v>2.9134199999999999</v>
      </c>
      <c r="L680">
        <f>(Table312429[[#This Row],[time]]-2)*2</f>
        <v>1.8268399999999998</v>
      </c>
      <c r="M680">
        <v>76.280500000000004</v>
      </c>
      <c r="N680">
        <v>42.717700000000001</v>
      </c>
      <c r="O680">
        <f>Table312429[[#This Row],[CFNM]]/Table312429[[#This Row],[CAREA]]</f>
        <v>0.56000812789638243</v>
      </c>
      <c r="P680">
        <v>2.9134199999999999</v>
      </c>
      <c r="Q680">
        <f>(Table413430[[#This Row],[time]]-2)*2</f>
        <v>1.8268399999999998</v>
      </c>
      <c r="R680">
        <v>45.034999999999997</v>
      </c>
      <c r="S680">
        <v>8.7317099999999995E-4</v>
      </c>
      <c r="T680">
        <f>Table413430[[#This Row],[CFNM]]/Table413430[[#This Row],[CAREA]]</f>
        <v>1.9388719884534252E-5</v>
      </c>
      <c r="U680">
        <v>2.9134199999999999</v>
      </c>
      <c r="V680">
        <f>(Table514431[[#This Row],[time]]-2)*2</f>
        <v>1.8268399999999998</v>
      </c>
      <c r="W680">
        <v>60.279000000000003</v>
      </c>
      <c r="X680">
        <v>48.777200000000001</v>
      </c>
      <c r="Y680">
        <f>Table514431[[#This Row],[CFNM]]/Table514431[[#This Row],[CAREA]]</f>
        <v>0.80919059705701812</v>
      </c>
      <c r="Z680">
        <v>2.9134199999999999</v>
      </c>
      <c r="AA680">
        <f>(Table615432[[#This Row],[time]]-2)*2</f>
        <v>1.8268399999999998</v>
      </c>
      <c r="AB680">
        <v>88.091200000000001</v>
      </c>
      <c r="AC680">
        <v>2.3720400000000001</v>
      </c>
      <c r="AD680">
        <f>Table615432[[#This Row],[CFNM]]/Table615432[[#This Row],[CAREA]]</f>
        <v>2.6927093739215723E-2</v>
      </c>
      <c r="AE680">
        <v>2.9134199999999999</v>
      </c>
      <c r="AF680">
        <f>(Table716433[[#This Row],[time]]-2)*2</f>
        <v>1.8268399999999998</v>
      </c>
      <c r="AG680">
        <v>74.352599999999995</v>
      </c>
      <c r="AH680">
        <v>66.840400000000002</v>
      </c>
      <c r="AI680">
        <f>Table716433[[#This Row],[CFNM]]/Table716433[[#This Row],[CAREA]]</f>
        <v>0.89896520094791588</v>
      </c>
      <c r="AJ680">
        <v>2.9134199999999999</v>
      </c>
      <c r="AK680">
        <f>(Table817434[[#This Row],[time]]-2)*2</f>
        <v>1.8268399999999998</v>
      </c>
      <c r="AL680">
        <v>74.937600000000003</v>
      </c>
      <c r="AM680">
        <v>5.3511499999999996</v>
      </c>
      <c r="AN680">
        <f>Table817434[[#This Row],[CFNM]]/Table817434[[#This Row],[CAREA]]</f>
        <v>7.140807818771884E-2</v>
      </c>
    </row>
    <row r="681" spans="1:40" x14ac:dyDescent="0.25">
      <c r="A681">
        <v>2.9619599999999999</v>
      </c>
      <c r="B681">
        <f>(Table110427[[#This Row],[time]]-2)*2</f>
        <v>1.9239199999999999</v>
      </c>
      <c r="C681">
        <v>69.558300000000003</v>
      </c>
      <c r="D681">
        <v>51.201900000000002</v>
      </c>
      <c r="E681">
        <f>Table110427[[#This Row],[CFNM]]/Table110427[[#This Row],[CAREA]]</f>
        <v>0.73610050849431341</v>
      </c>
      <c r="F681">
        <v>2.9619599999999999</v>
      </c>
      <c r="G681">
        <f>(Table211428[[#This Row],[time]]-2)*2</f>
        <v>1.9239199999999999</v>
      </c>
      <c r="H681">
        <v>28.305399999999999</v>
      </c>
      <c r="I681">
        <v>3.59909E-4</v>
      </c>
      <c r="J681">
        <f>Table211428[[#This Row],[CFNM]]/Table211428[[#This Row],[CAREA]]</f>
        <v>1.27152062857264E-5</v>
      </c>
      <c r="K681">
        <v>2.9619599999999999</v>
      </c>
      <c r="L681">
        <f>(Table312429[[#This Row],[time]]-2)*2</f>
        <v>1.9239199999999999</v>
      </c>
      <c r="M681">
        <v>76.101900000000001</v>
      </c>
      <c r="N681">
        <v>43.409399999999998</v>
      </c>
      <c r="O681">
        <f>Table312429[[#This Row],[CFNM]]/Table312429[[#This Row],[CAREA]]</f>
        <v>0.57041151403578616</v>
      </c>
      <c r="P681">
        <v>2.9619599999999999</v>
      </c>
      <c r="Q681">
        <f>(Table413430[[#This Row],[time]]-2)*2</f>
        <v>1.9239199999999999</v>
      </c>
      <c r="R681">
        <v>43.269399999999997</v>
      </c>
      <c r="S681">
        <v>8.2885200000000004E-4</v>
      </c>
      <c r="T681">
        <f>Table413430[[#This Row],[CFNM]]/Table413430[[#This Row],[CAREA]]</f>
        <v>1.9155615746925082E-5</v>
      </c>
      <c r="U681">
        <v>2.9619599999999999</v>
      </c>
      <c r="V681">
        <f>(Table514431[[#This Row],[time]]-2)*2</f>
        <v>1.9239199999999999</v>
      </c>
      <c r="W681">
        <v>59.974200000000003</v>
      </c>
      <c r="X681">
        <v>49.775199999999998</v>
      </c>
      <c r="Y681">
        <f>Table514431[[#This Row],[CFNM]]/Table514431[[#This Row],[CAREA]]</f>
        <v>0.82994354238989421</v>
      </c>
      <c r="Z681">
        <v>2.9619599999999999</v>
      </c>
      <c r="AA681">
        <f>(Table615432[[#This Row],[time]]-2)*2</f>
        <v>1.9239199999999999</v>
      </c>
      <c r="AB681">
        <v>87.919499999999999</v>
      </c>
      <c r="AC681">
        <v>2.1821700000000002</v>
      </c>
      <c r="AD681">
        <f>Table615432[[#This Row],[CFNM]]/Table615432[[#This Row],[CAREA]]</f>
        <v>2.4820091106068622E-2</v>
      </c>
      <c r="AE681">
        <v>2.9619599999999999</v>
      </c>
      <c r="AF681">
        <f>(Table716433[[#This Row],[time]]-2)*2</f>
        <v>1.9239199999999999</v>
      </c>
      <c r="AG681">
        <v>74.118899999999996</v>
      </c>
      <c r="AH681">
        <v>67.851299999999995</v>
      </c>
      <c r="AI681">
        <f>Table716433[[#This Row],[CFNM]]/Table716433[[#This Row],[CAREA]]</f>
        <v>0.91543857234794357</v>
      </c>
      <c r="AJ681">
        <v>2.9619599999999999</v>
      </c>
      <c r="AK681">
        <f>(Table817434[[#This Row],[time]]-2)*2</f>
        <v>1.9239199999999999</v>
      </c>
      <c r="AL681">
        <v>74.625699999999995</v>
      </c>
      <c r="AM681">
        <v>5.0564799999999996</v>
      </c>
      <c r="AN681">
        <f>Table817434[[#This Row],[CFNM]]/Table817434[[#This Row],[CAREA]]</f>
        <v>6.7757890378247712E-2</v>
      </c>
    </row>
    <row r="682" spans="1:40" x14ac:dyDescent="0.25">
      <c r="A682">
        <v>3</v>
      </c>
      <c r="B682">
        <f>(Table110427[[#This Row],[time]]-2)*2</f>
        <v>2</v>
      </c>
      <c r="C682">
        <v>68.939400000000006</v>
      </c>
      <c r="D682">
        <v>52.851599999999998</v>
      </c>
      <c r="E682">
        <f>Table110427[[#This Row],[CFNM]]/Table110427[[#This Row],[CAREA]]</f>
        <v>0.76663852600979976</v>
      </c>
      <c r="F682">
        <v>3</v>
      </c>
      <c r="G682">
        <f>(Table211428[[#This Row],[time]]-2)*2</f>
        <v>2</v>
      </c>
      <c r="H682">
        <v>24.143599999999999</v>
      </c>
      <c r="I682">
        <v>2.94135E-4</v>
      </c>
      <c r="J682">
        <f>Table211428[[#This Row],[CFNM]]/Table211428[[#This Row],[CAREA]]</f>
        <v>1.2182731655594029E-5</v>
      </c>
      <c r="K682">
        <v>3</v>
      </c>
      <c r="L682">
        <f>(Table312429[[#This Row],[time]]-2)*2</f>
        <v>2</v>
      </c>
      <c r="M682">
        <v>75.828500000000005</v>
      </c>
      <c r="N682">
        <v>44.792000000000002</v>
      </c>
      <c r="O682">
        <f>Table312429[[#This Row],[CFNM]]/Table312429[[#This Row],[CAREA]]</f>
        <v>0.59070138536302308</v>
      </c>
      <c r="P682">
        <v>3</v>
      </c>
      <c r="Q682">
        <f>(Table413430[[#This Row],[time]]-2)*2</f>
        <v>2</v>
      </c>
      <c r="R682">
        <v>39.784999999999997</v>
      </c>
      <c r="S682">
        <v>7.3767600000000004E-4</v>
      </c>
      <c r="T682">
        <f>Table413430[[#This Row],[CFNM]]/Table413430[[#This Row],[CAREA]]</f>
        <v>1.8541560889782584E-5</v>
      </c>
      <c r="U682">
        <v>3</v>
      </c>
      <c r="V682">
        <f>(Table514431[[#This Row],[time]]-2)*2</f>
        <v>2</v>
      </c>
      <c r="W682">
        <v>59.340200000000003</v>
      </c>
      <c r="X682">
        <v>51.825099999999999</v>
      </c>
      <c r="Y682">
        <f>Table514431[[#This Row],[CFNM]]/Table514431[[#This Row],[CAREA]]</f>
        <v>0.87335566782720642</v>
      </c>
      <c r="Z682">
        <v>3</v>
      </c>
      <c r="AA682">
        <f>(Table615432[[#This Row],[time]]-2)*2</f>
        <v>2</v>
      </c>
      <c r="AB682">
        <v>87.888000000000005</v>
      </c>
      <c r="AC682">
        <v>1.8117700000000001</v>
      </c>
      <c r="AD682">
        <f>Table615432[[#This Row],[CFNM]]/Table615432[[#This Row],[CAREA]]</f>
        <v>2.0614532131804114E-2</v>
      </c>
      <c r="AE682">
        <v>3</v>
      </c>
      <c r="AF682">
        <f>(Table716433[[#This Row],[time]]-2)*2</f>
        <v>2</v>
      </c>
      <c r="AG682">
        <v>73.6708</v>
      </c>
      <c r="AH682">
        <v>69.923599999999993</v>
      </c>
      <c r="AI682">
        <f>Table716433[[#This Row],[CFNM]]/Table716433[[#This Row],[CAREA]]</f>
        <v>0.94913588558831985</v>
      </c>
      <c r="AJ682">
        <v>3</v>
      </c>
      <c r="AK682">
        <f>(Table817434[[#This Row],[time]]-2)*2</f>
        <v>2</v>
      </c>
      <c r="AL682">
        <v>74.109399999999994</v>
      </c>
      <c r="AM682">
        <v>4.4323100000000002</v>
      </c>
      <c r="AN682">
        <f>Table817434[[#This Row],[CFNM]]/Table817434[[#This Row],[CAREA]]</f>
        <v>5.9807662725646145E-2</v>
      </c>
    </row>
    <row r="685" spans="1:40" x14ac:dyDescent="0.25">
      <c r="A685" s="1" t="s">
        <v>30</v>
      </c>
    </row>
    <row r="686" spans="1:40" x14ac:dyDescent="0.25">
      <c r="A686" t="s">
        <v>70</v>
      </c>
      <c r="F686" t="s">
        <v>1</v>
      </c>
    </row>
    <row r="687" spans="1:40" x14ac:dyDescent="0.25">
      <c r="F687" t="s">
        <v>2</v>
      </c>
      <c r="G687" t="s">
        <v>3</v>
      </c>
    </row>
    <row r="690" spans="1:40" x14ac:dyDescent="0.25">
      <c r="A690" t="s">
        <v>4</v>
      </c>
      <c r="F690" t="s">
        <v>5</v>
      </c>
      <c r="K690" t="s">
        <v>6</v>
      </c>
      <c r="P690" t="s">
        <v>7</v>
      </c>
      <c r="U690" t="s">
        <v>8</v>
      </c>
      <c r="Z690" t="s">
        <v>9</v>
      </c>
      <c r="AE690" t="s">
        <v>10</v>
      </c>
      <c r="AJ690" t="s">
        <v>11</v>
      </c>
    </row>
    <row r="691" spans="1:40" x14ac:dyDescent="0.25">
      <c r="A691" t="s">
        <v>12</v>
      </c>
      <c r="B691" t="s">
        <v>13</v>
      </c>
      <c r="C691" t="s">
        <v>14</v>
      </c>
      <c r="D691" t="s">
        <v>15</v>
      </c>
      <c r="E691" t="s">
        <v>16</v>
      </c>
      <c r="F691" t="s">
        <v>12</v>
      </c>
      <c r="G691" t="s">
        <v>13</v>
      </c>
      <c r="H691" t="s">
        <v>14</v>
      </c>
      <c r="I691" t="s">
        <v>15</v>
      </c>
      <c r="J691" t="s">
        <v>16</v>
      </c>
      <c r="K691" t="s">
        <v>12</v>
      </c>
      <c r="L691" t="s">
        <v>13</v>
      </c>
      <c r="M691" t="s">
        <v>14</v>
      </c>
      <c r="N691" t="s">
        <v>15</v>
      </c>
      <c r="O691" t="s">
        <v>16</v>
      </c>
      <c r="P691" t="s">
        <v>12</v>
      </c>
      <c r="Q691" t="s">
        <v>13</v>
      </c>
      <c r="R691" t="s">
        <v>14</v>
      </c>
      <c r="S691" t="s">
        <v>15</v>
      </c>
      <c r="T691" t="s">
        <v>16</v>
      </c>
      <c r="U691" t="s">
        <v>12</v>
      </c>
      <c r="V691" t="s">
        <v>13</v>
      </c>
      <c r="W691" t="s">
        <v>14</v>
      </c>
      <c r="X691" t="s">
        <v>15</v>
      </c>
      <c r="Y691" t="s">
        <v>16</v>
      </c>
      <c r="Z691" t="s">
        <v>12</v>
      </c>
      <c r="AA691" t="s">
        <v>13</v>
      </c>
      <c r="AB691" t="s">
        <v>14</v>
      </c>
      <c r="AC691" t="s">
        <v>15</v>
      </c>
      <c r="AD691" t="s">
        <v>16</v>
      </c>
      <c r="AE691" t="s">
        <v>12</v>
      </c>
      <c r="AF691" t="s">
        <v>13</v>
      </c>
      <c r="AG691" t="s">
        <v>14</v>
      </c>
      <c r="AH691" t="s">
        <v>15</v>
      </c>
      <c r="AI691" t="s">
        <v>16</v>
      </c>
      <c r="AJ691" t="s">
        <v>12</v>
      </c>
      <c r="AK691" t="s">
        <v>13</v>
      </c>
      <c r="AL691" t="s">
        <v>14</v>
      </c>
      <c r="AM691" t="s">
        <v>15</v>
      </c>
      <c r="AN691" t="s">
        <v>16</v>
      </c>
    </row>
    <row r="692" spans="1:40" x14ac:dyDescent="0.25">
      <c r="A692">
        <v>2</v>
      </c>
      <c r="B692">
        <f>-(Table1435[[#This Row],[time]]-2)*2</f>
        <v>0</v>
      </c>
      <c r="C692">
        <v>89.938400000000001</v>
      </c>
      <c r="D692">
        <v>9.7723600000000008</v>
      </c>
      <c r="E692" s="2">
        <f>Table1435[[#This Row],[CFNM]]/Table1435[[#This Row],[CAREA]]</f>
        <v>0.10865614687386034</v>
      </c>
      <c r="F692">
        <v>2</v>
      </c>
      <c r="G692">
        <f>-(Table2436[[#This Row],[time]]-2)*2</f>
        <v>0</v>
      </c>
      <c r="H692">
        <v>94.646000000000001</v>
      </c>
      <c r="I692">
        <v>2.6699700000000002</v>
      </c>
      <c r="J692" s="2">
        <f>Table2436[[#This Row],[CFNM]]/Table2436[[#This Row],[CAREA]]</f>
        <v>2.8210066986454792E-2</v>
      </c>
      <c r="K692">
        <v>2</v>
      </c>
      <c r="L692">
        <f>-(Table3437[[#This Row],[time]]-2)*2</f>
        <v>0</v>
      </c>
      <c r="M692">
        <v>88.069500000000005</v>
      </c>
      <c r="N692">
        <v>3.05586</v>
      </c>
      <c r="O692">
        <f>Table3437[[#This Row],[CFNM]]/Table3437[[#This Row],[CAREA]]</f>
        <v>3.4698278064483161E-2</v>
      </c>
      <c r="P692">
        <v>2</v>
      </c>
      <c r="Q692">
        <f>-(Table4438[[#This Row],[time]]-2)*2</f>
        <v>0</v>
      </c>
      <c r="R692">
        <v>85.109300000000005</v>
      </c>
      <c r="S692">
        <v>5.3593999999999999</v>
      </c>
      <c r="T692">
        <f>Table4438[[#This Row],[CFNM]]/Table4438[[#This Row],[CAREA]]</f>
        <v>6.2970791676115301E-2</v>
      </c>
      <c r="U692">
        <v>2</v>
      </c>
      <c r="V692">
        <f>-(Table5439[[#This Row],[time]]-2)*2</f>
        <v>0</v>
      </c>
      <c r="W692">
        <v>82.472200000000001</v>
      </c>
      <c r="X692">
        <v>7.9013</v>
      </c>
      <c r="Y692">
        <f>Table5439[[#This Row],[CFNM]]/Table5439[[#This Row],[CAREA]]</f>
        <v>9.580561692303588E-2</v>
      </c>
      <c r="Z692">
        <v>2</v>
      </c>
      <c r="AA692">
        <f>-(Table6440[[#This Row],[time]]-2)*2</f>
        <v>0</v>
      </c>
      <c r="AB692">
        <v>88.875200000000007</v>
      </c>
      <c r="AC692">
        <v>14.234400000000001</v>
      </c>
      <c r="AD692">
        <f>Table6440[[#This Row],[CFNM]]/Table6440[[#This Row],[CAREA]]</f>
        <v>0.16016166489639405</v>
      </c>
      <c r="AE692">
        <v>2</v>
      </c>
      <c r="AF692">
        <f>-(Table7441[[#This Row],[time]]-2)*2</f>
        <v>0</v>
      </c>
      <c r="AG692">
        <v>77.929299999999998</v>
      </c>
      <c r="AH692">
        <v>21.065899999999999</v>
      </c>
      <c r="AI692">
        <f>Table7441[[#This Row],[CFNM]]/Table7441[[#This Row],[CAREA]]</f>
        <v>0.27032066244660224</v>
      </c>
      <c r="AJ692">
        <v>2</v>
      </c>
      <c r="AK692">
        <f>-(Table8442[[#This Row],[time]]-2)*2</f>
        <v>0</v>
      </c>
      <c r="AL692">
        <v>83.325199999999995</v>
      </c>
      <c r="AM692">
        <v>21.034700000000001</v>
      </c>
      <c r="AN692">
        <f>Table8442[[#This Row],[CFNM]]/Table8442[[#This Row],[CAREA]]</f>
        <v>0.25244103824533276</v>
      </c>
    </row>
    <row r="693" spans="1:40" x14ac:dyDescent="0.25">
      <c r="A693">
        <v>2.0512600000000001</v>
      </c>
      <c r="B693">
        <f>-(Table1435[[#This Row],[time]]-2)*2</f>
        <v>-0.10252000000000017</v>
      </c>
      <c r="C693">
        <v>85.072199999999995</v>
      </c>
      <c r="D693">
        <v>7.4579399999999998</v>
      </c>
      <c r="E693">
        <f>Table1435[[#This Row],[CFNM]]/Table1435[[#This Row],[CAREA]]</f>
        <v>8.7666006051330514E-2</v>
      </c>
      <c r="F693">
        <v>2.0512600000000001</v>
      </c>
      <c r="G693">
        <f>-(Table2436[[#This Row],[time]]-2)*2</f>
        <v>-0.10252000000000017</v>
      </c>
      <c r="H693">
        <v>92.650199999999998</v>
      </c>
      <c r="I693">
        <v>5.4936600000000002</v>
      </c>
      <c r="J693">
        <f>Table2436[[#This Row],[CFNM]]/Table2436[[#This Row],[CAREA]]</f>
        <v>5.9294637248489483E-2</v>
      </c>
      <c r="K693">
        <v>2.0512600000000001</v>
      </c>
      <c r="L693">
        <f>-(Table3437[[#This Row],[time]]-2)*2</f>
        <v>-0.10252000000000017</v>
      </c>
      <c r="M693">
        <v>86.715599999999995</v>
      </c>
      <c r="N693">
        <v>4.3544300000000003E-3</v>
      </c>
      <c r="O693">
        <f>Table3437[[#This Row],[CFNM]]/Table3437[[#This Row],[CAREA]]</f>
        <v>5.0215070875367301E-5</v>
      </c>
      <c r="P693">
        <v>2.0512600000000001</v>
      </c>
      <c r="Q693">
        <f>-(Table4438[[#This Row],[time]]-2)*2</f>
        <v>-0.10252000000000017</v>
      </c>
      <c r="R693">
        <v>82.589399999999998</v>
      </c>
      <c r="S693">
        <v>7.7921899999999997</v>
      </c>
      <c r="T693">
        <f>Table4438[[#This Row],[CFNM]]/Table4438[[#This Row],[CAREA]]</f>
        <v>9.4348548360927667E-2</v>
      </c>
      <c r="U693">
        <v>2.0512600000000001</v>
      </c>
      <c r="V693">
        <f>-(Table5439[[#This Row],[time]]-2)*2</f>
        <v>-0.10252000000000017</v>
      </c>
      <c r="W693">
        <v>82.204899999999995</v>
      </c>
      <c r="X693">
        <v>2.1381399999999999</v>
      </c>
      <c r="Y693">
        <f>Table5439[[#This Row],[CFNM]]/Table5439[[#This Row],[CAREA]]</f>
        <v>2.6009885055513722E-2</v>
      </c>
      <c r="Z693">
        <v>2.0512600000000001</v>
      </c>
      <c r="AA693">
        <f>-(Table6440[[#This Row],[time]]-2)*2</f>
        <v>-0.10252000000000017</v>
      </c>
      <c r="AB693">
        <v>86.224800000000002</v>
      </c>
      <c r="AC693">
        <v>10.580500000000001</v>
      </c>
      <c r="AD693">
        <f>Table6440[[#This Row],[CFNM]]/Table6440[[#This Row],[CAREA]]</f>
        <v>0.12270831593694621</v>
      </c>
      <c r="AE693">
        <v>2.0512600000000001</v>
      </c>
      <c r="AF693">
        <f>-(Table7441[[#This Row],[time]]-2)*2</f>
        <v>-0.10252000000000017</v>
      </c>
      <c r="AG693">
        <v>78.538600000000002</v>
      </c>
      <c r="AH693">
        <v>18.3187</v>
      </c>
      <c r="AI693">
        <f>Table7441[[#This Row],[CFNM]]/Table7441[[#This Row],[CAREA]]</f>
        <v>0.23324454472068509</v>
      </c>
      <c r="AJ693">
        <v>2.0512600000000001</v>
      </c>
      <c r="AK693">
        <f>-(Table8442[[#This Row],[time]]-2)*2</f>
        <v>-0.10252000000000017</v>
      </c>
      <c r="AL693">
        <v>83.051100000000005</v>
      </c>
      <c r="AM693">
        <v>24.000399999999999</v>
      </c>
      <c r="AN693">
        <f>Table8442[[#This Row],[CFNM]]/Table8442[[#This Row],[CAREA]]</f>
        <v>0.28898352941743094</v>
      </c>
    </row>
    <row r="694" spans="1:40" x14ac:dyDescent="0.25">
      <c r="A694">
        <v>2.1153300000000002</v>
      </c>
      <c r="B694">
        <f>-(Table1435[[#This Row],[time]]-2)*2</f>
        <v>-0.23066000000000031</v>
      </c>
      <c r="C694">
        <v>82.6785</v>
      </c>
      <c r="D694">
        <v>5.44773</v>
      </c>
      <c r="E694">
        <f>Table1435[[#This Row],[CFNM]]/Table1435[[#This Row],[CAREA]]</f>
        <v>6.5890527767194618E-2</v>
      </c>
      <c r="F694">
        <v>2.1153300000000002</v>
      </c>
      <c r="G694">
        <f>-(Table2436[[#This Row],[time]]-2)*2</f>
        <v>-0.23066000000000031</v>
      </c>
      <c r="H694">
        <v>91.21</v>
      </c>
      <c r="I694">
        <v>9.6535499999999992</v>
      </c>
      <c r="J694">
        <f>Table2436[[#This Row],[CFNM]]/Table2436[[#This Row],[CAREA]]</f>
        <v>0.10583872382414208</v>
      </c>
      <c r="K694">
        <v>2.1153300000000002</v>
      </c>
      <c r="L694">
        <f>-(Table3437[[#This Row],[time]]-2)*2</f>
        <v>-0.23066000000000031</v>
      </c>
      <c r="M694">
        <v>85.062899999999999</v>
      </c>
      <c r="N694">
        <v>3.3853400000000001E-3</v>
      </c>
      <c r="O694">
        <f>Table3437[[#This Row],[CFNM]]/Table3437[[#This Row],[CAREA]]</f>
        <v>3.9798078833427973E-5</v>
      </c>
      <c r="P694">
        <v>2.1153300000000002</v>
      </c>
      <c r="Q694">
        <f>-(Table4438[[#This Row],[time]]-2)*2</f>
        <v>-0.23066000000000031</v>
      </c>
      <c r="R694">
        <v>81.250200000000007</v>
      </c>
      <c r="S694">
        <v>11.4451</v>
      </c>
      <c r="T694">
        <f>Table4438[[#This Row],[CFNM]]/Table4438[[#This Row],[CAREA]]</f>
        <v>0.14086242249249847</v>
      </c>
      <c r="U694">
        <v>2.1153300000000002</v>
      </c>
      <c r="V694">
        <f>-(Table5439[[#This Row],[time]]-2)*2</f>
        <v>-0.23066000000000031</v>
      </c>
      <c r="W694">
        <v>81.856700000000004</v>
      </c>
      <c r="X694">
        <v>0.18793399999999999</v>
      </c>
      <c r="Y694">
        <f>Table5439[[#This Row],[CFNM]]/Table5439[[#This Row],[CAREA]]</f>
        <v>2.2958902569978996E-3</v>
      </c>
      <c r="Z694">
        <v>2.1153300000000002</v>
      </c>
      <c r="AA694">
        <f>-(Table6440[[#This Row],[time]]-2)*2</f>
        <v>-0.23066000000000031</v>
      </c>
      <c r="AB694">
        <v>84.252799999999993</v>
      </c>
      <c r="AC694">
        <v>10.7683</v>
      </c>
      <c r="AD694">
        <f>Table6440[[#This Row],[CFNM]]/Table6440[[#This Row],[CAREA]]</f>
        <v>0.12780940218010559</v>
      </c>
      <c r="AE694">
        <v>2.1153300000000002</v>
      </c>
      <c r="AF694">
        <f>-(Table7441[[#This Row],[time]]-2)*2</f>
        <v>-0.23066000000000031</v>
      </c>
      <c r="AG694">
        <v>79.029499999999999</v>
      </c>
      <c r="AH694">
        <v>15.6342</v>
      </c>
      <c r="AI694">
        <f>Table7441[[#This Row],[CFNM]]/Table7441[[#This Row],[CAREA]]</f>
        <v>0.19782739356822451</v>
      </c>
      <c r="AJ694">
        <v>2.1153300000000002</v>
      </c>
      <c r="AK694">
        <f>-(Table8442[[#This Row],[time]]-2)*2</f>
        <v>-0.23066000000000031</v>
      </c>
      <c r="AL694">
        <v>82.960999999999999</v>
      </c>
      <c r="AM694">
        <v>26.750599999999999</v>
      </c>
      <c r="AN694">
        <f>Table8442[[#This Row],[CFNM]]/Table8442[[#This Row],[CAREA]]</f>
        <v>0.32244789720471062</v>
      </c>
    </row>
    <row r="695" spans="1:40" x14ac:dyDescent="0.25">
      <c r="A695">
        <v>2.16533</v>
      </c>
      <c r="B695">
        <f>-(Table1435[[#This Row],[time]]-2)*2</f>
        <v>-0.33065999999999995</v>
      </c>
      <c r="C695">
        <v>78.983999999999995</v>
      </c>
      <c r="D695">
        <v>4.2193399999999999</v>
      </c>
      <c r="E695">
        <f>Table1435[[#This Row],[CFNM]]/Table1435[[#This Row],[CAREA]]</f>
        <v>5.3420186366859114E-2</v>
      </c>
      <c r="F695">
        <v>2.16533</v>
      </c>
      <c r="G695">
        <f>-(Table2436[[#This Row],[time]]-2)*2</f>
        <v>-0.33065999999999995</v>
      </c>
      <c r="H695">
        <v>90.255899999999997</v>
      </c>
      <c r="I695">
        <v>12.635999999999999</v>
      </c>
      <c r="J695">
        <f>Table2436[[#This Row],[CFNM]]/Table2436[[#This Row],[CAREA]]</f>
        <v>0.14000192785180801</v>
      </c>
      <c r="K695">
        <v>2.16533</v>
      </c>
      <c r="L695">
        <f>-(Table3437[[#This Row],[time]]-2)*2</f>
        <v>-0.33065999999999995</v>
      </c>
      <c r="M695">
        <v>81.014899999999997</v>
      </c>
      <c r="N695">
        <v>2.9758599999999999E-3</v>
      </c>
      <c r="O695">
        <f>Table3437[[#This Row],[CFNM]]/Table3437[[#This Row],[CAREA]]</f>
        <v>3.6732255424619423E-5</v>
      </c>
      <c r="P695">
        <v>2.16533</v>
      </c>
      <c r="Q695">
        <f>-(Table4438[[#This Row],[time]]-2)*2</f>
        <v>-0.33065999999999995</v>
      </c>
      <c r="R695">
        <v>80.5595</v>
      </c>
      <c r="S695">
        <v>14.2067</v>
      </c>
      <c r="T695">
        <f>Table4438[[#This Row],[CFNM]]/Table4438[[#This Row],[CAREA]]</f>
        <v>0.17635039939423655</v>
      </c>
      <c r="U695">
        <v>2.16533</v>
      </c>
      <c r="V695">
        <f>-(Table5439[[#This Row],[time]]-2)*2</f>
        <v>-0.33065999999999995</v>
      </c>
      <c r="W695">
        <v>82.204999999999998</v>
      </c>
      <c r="X695">
        <v>4.7447399999999999E-3</v>
      </c>
      <c r="Y695">
        <f>Table5439[[#This Row],[CFNM]]/Table5439[[#This Row],[CAREA]]</f>
        <v>5.771838695943069E-5</v>
      </c>
      <c r="Z695">
        <v>2.16533</v>
      </c>
      <c r="AA695">
        <f>-(Table6440[[#This Row],[time]]-2)*2</f>
        <v>-0.33065999999999995</v>
      </c>
      <c r="AB695">
        <v>83.954700000000003</v>
      </c>
      <c r="AC695">
        <v>12.4398</v>
      </c>
      <c r="AD695">
        <f>Table6440[[#This Row],[CFNM]]/Table6440[[#This Row],[CAREA]]</f>
        <v>0.14817276459805109</v>
      </c>
      <c r="AE695">
        <v>2.16533</v>
      </c>
      <c r="AF695">
        <f>-(Table7441[[#This Row],[time]]-2)*2</f>
        <v>-0.33065999999999995</v>
      </c>
      <c r="AG695">
        <v>79.373699999999999</v>
      </c>
      <c r="AH695">
        <v>13.8172</v>
      </c>
      <c r="AI695">
        <f>Table7441[[#This Row],[CFNM]]/Table7441[[#This Row],[CAREA]]</f>
        <v>0.1740778116680966</v>
      </c>
      <c r="AJ695">
        <v>2.16533</v>
      </c>
      <c r="AK695">
        <f>-(Table8442[[#This Row],[time]]-2)*2</f>
        <v>-0.33065999999999995</v>
      </c>
      <c r="AL695">
        <v>82.853399999999993</v>
      </c>
      <c r="AM695">
        <v>28.7317</v>
      </c>
      <c r="AN695">
        <f>Table8442[[#This Row],[CFNM]]/Table8442[[#This Row],[CAREA]]</f>
        <v>0.34677756133121879</v>
      </c>
    </row>
    <row r="696" spans="1:40" x14ac:dyDescent="0.25">
      <c r="A696">
        <v>2.2246999999999999</v>
      </c>
      <c r="B696">
        <f>-(Table1435[[#This Row],[time]]-2)*2</f>
        <v>-0.4493999999999998</v>
      </c>
      <c r="C696">
        <v>75.511700000000005</v>
      </c>
      <c r="D696">
        <v>3.21835</v>
      </c>
      <c r="E696">
        <f>Table1435[[#This Row],[CFNM]]/Table1435[[#This Row],[CAREA]]</f>
        <v>4.2620547544287839E-2</v>
      </c>
      <c r="F696">
        <v>2.2246999999999999</v>
      </c>
      <c r="G696">
        <f>-(Table2436[[#This Row],[time]]-2)*2</f>
        <v>-0.4493999999999998</v>
      </c>
      <c r="H696">
        <v>89.166399999999996</v>
      </c>
      <c r="I696">
        <v>15.3796</v>
      </c>
      <c r="J696">
        <f>Table2436[[#This Row],[CFNM]]/Table2436[[#This Row],[CAREA]]</f>
        <v>0.17248201116115489</v>
      </c>
      <c r="K696">
        <v>2.2246999999999999</v>
      </c>
      <c r="L696">
        <f>-(Table3437[[#This Row],[time]]-2)*2</f>
        <v>-0.4493999999999998</v>
      </c>
      <c r="M696">
        <v>77.7988</v>
      </c>
      <c r="N696">
        <v>2.6702700000000002E-3</v>
      </c>
      <c r="O696">
        <f>Table3437[[#This Row],[CFNM]]/Table3437[[#This Row],[CAREA]]</f>
        <v>3.4322765903844281E-5</v>
      </c>
      <c r="P696">
        <v>2.2246999999999999</v>
      </c>
      <c r="Q696">
        <f>-(Table4438[[#This Row],[time]]-2)*2</f>
        <v>-0.4493999999999998</v>
      </c>
      <c r="R696">
        <v>79.7</v>
      </c>
      <c r="S696">
        <v>16.623100000000001</v>
      </c>
      <c r="T696">
        <f>Table4438[[#This Row],[CFNM]]/Table4438[[#This Row],[CAREA]]</f>
        <v>0.20857089084065245</v>
      </c>
      <c r="U696">
        <v>2.2246999999999999</v>
      </c>
      <c r="V696">
        <f>-(Table5439[[#This Row],[time]]-2)*2</f>
        <v>-0.4493999999999998</v>
      </c>
      <c r="W696">
        <v>82.174899999999994</v>
      </c>
      <c r="X696">
        <v>4.5114300000000003E-3</v>
      </c>
      <c r="Y696">
        <f>Table5439[[#This Row],[CFNM]]/Table5439[[#This Row],[CAREA]]</f>
        <v>5.4900340614956643E-5</v>
      </c>
      <c r="Z696">
        <v>2.2246999999999999</v>
      </c>
      <c r="AA696">
        <f>-(Table6440[[#This Row],[time]]-2)*2</f>
        <v>-0.4493999999999998</v>
      </c>
      <c r="AB696">
        <v>83.305199999999999</v>
      </c>
      <c r="AC696">
        <v>14.484400000000001</v>
      </c>
      <c r="AD696">
        <f>Table6440[[#This Row],[CFNM]]/Table6440[[#This Row],[CAREA]]</f>
        <v>0.1738714990180685</v>
      </c>
      <c r="AE696">
        <v>2.2246999999999999</v>
      </c>
      <c r="AF696">
        <f>-(Table7441[[#This Row],[time]]-2)*2</f>
        <v>-0.4493999999999998</v>
      </c>
      <c r="AG696">
        <v>79.598100000000002</v>
      </c>
      <c r="AH696">
        <v>12.202199999999999</v>
      </c>
      <c r="AI696">
        <f>Table7441[[#This Row],[CFNM]]/Table7441[[#This Row],[CAREA]]</f>
        <v>0.15329762896350541</v>
      </c>
      <c r="AJ696">
        <v>2.2246999999999999</v>
      </c>
      <c r="AK696">
        <f>-(Table8442[[#This Row],[time]]-2)*2</f>
        <v>-0.4493999999999998</v>
      </c>
      <c r="AL696">
        <v>82.854299999999995</v>
      </c>
      <c r="AM696">
        <v>30.593900000000001</v>
      </c>
      <c r="AN696">
        <f>Table8442[[#This Row],[CFNM]]/Table8442[[#This Row],[CAREA]]</f>
        <v>0.36924939321193956</v>
      </c>
    </row>
    <row r="697" spans="1:40" x14ac:dyDescent="0.25">
      <c r="A697">
        <v>2.2668900000000001</v>
      </c>
      <c r="B697">
        <f>-(Table1435[[#This Row],[time]]-2)*2</f>
        <v>-0.53378000000000014</v>
      </c>
      <c r="C697">
        <v>72.896900000000002</v>
      </c>
      <c r="D697">
        <v>1.70017</v>
      </c>
      <c r="E697">
        <f>Table1435[[#This Row],[CFNM]]/Table1435[[#This Row],[CAREA]]</f>
        <v>2.3322939658613741E-2</v>
      </c>
      <c r="F697">
        <v>2.2668900000000001</v>
      </c>
      <c r="G697">
        <f>-(Table2436[[#This Row],[time]]-2)*2</f>
        <v>-0.53378000000000014</v>
      </c>
      <c r="H697">
        <v>87.255600000000001</v>
      </c>
      <c r="I697">
        <v>20.111799999999999</v>
      </c>
      <c r="J697">
        <f>Table2436[[#This Row],[CFNM]]/Table2436[[#This Row],[CAREA]]</f>
        <v>0.23049294257331332</v>
      </c>
      <c r="K697">
        <v>2.2668900000000001</v>
      </c>
      <c r="L697">
        <f>-(Table3437[[#This Row],[time]]-2)*2</f>
        <v>-0.53378000000000014</v>
      </c>
      <c r="M697">
        <v>70.839100000000002</v>
      </c>
      <c r="N697">
        <v>2.1944500000000001E-3</v>
      </c>
      <c r="O697">
        <f>Table3437[[#This Row],[CFNM]]/Table3437[[#This Row],[CAREA]]</f>
        <v>3.0977948618771275E-5</v>
      </c>
      <c r="P697">
        <v>2.2668900000000001</v>
      </c>
      <c r="Q697">
        <f>-(Table4438[[#This Row],[time]]-2)*2</f>
        <v>-0.53378000000000014</v>
      </c>
      <c r="R697">
        <v>78.619299999999996</v>
      </c>
      <c r="S697">
        <v>20.806799999999999</v>
      </c>
      <c r="T697">
        <f>Table4438[[#This Row],[CFNM]]/Table4438[[#This Row],[CAREA]]</f>
        <v>0.26465257258713826</v>
      </c>
      <c r="U697">
        <v>2.2668900000000001</v>
      </c>
      <c r="V697">
        <f>-(Table5439[[#This Row],[time]]-2)*2</f>
        <v>-0.53378000000000014</v>
      </c>
      <c r="W697">
        <v>82.646500000000003</v>
      </c>
      <c r="X697">
        <v>4.2102499999999996E-3</v>
      </c>
      <c r="Y697">
        <f>Table5439[[#This Row],[CFNM]]/Table5439[[#This Row],[CAREA]]</f>
        <v>5.0942871143968581E-5</v>
      </c>
      <c r="Z697">
        <v>2.2668900000000001</v>
      </c>
      <c r="AA697">
        <f>-(Table6440[[#This Row],[time]]-2)*2</f>
        <v>-0.53378000000000014</v>
      </c>
      <c r="AB697">
        <v>81.713099999999997</v>
      </c>
      <c r="AC697">
        <v>18.658899999999999</v>
      </c>
      <c r="AD697">
        <f>Table6440[[#This Row],[CFNM]]/Table6440[[#This Row],[CAREA]]</f>
        <v>0.22834649523760572</v>
      </c>
      <c r="AE697">
        <v>2.2668900000000001</v>
      </c>
      <c r="AF697">
        <f>-(Table7441[[#This Row],[time]]-2)*2</f>
        <v>-0.53378000000000014</v>
      </c>
      <c r="AG697">
        <v>79.884399999999999</v>
      </c>
      <c r="AH697">
        <v>9.5010499999999993</v>
      </c>
      <c r="AI697">
        <f>Table7441[[#This Row],[CFNM]]/Table7441[[#This Row],[CAREA]]</f>
        <v>0.11893498605484926</v>
      </c>
      <c r="AJ697">
        <v>2.2668900000000001</v>
      </c>
      <c r="AK697">
        <f>-(Table8442[[#This Row],[time]]-2)*2</f>
        <v>-0.53378000000000014</v>
      </c>
      <c r="AL697">
        <v>83.045199999999994</v>
      </c>
      <c r="AM697">
        <v>34.208599999999997</v>
      </c>
      <c r="AN697">
        <f>Table8442[[#This Row],[CFNM]]/Table8442[[#This Row],[CAREA]]</f>
        <v>0.41192748045642613</v>
      </c>
    </row>
    <row r="698" spans="1:40" x14ac:dyDescent="0.25">
      <c r="A698">
        <v>2.3262700000000001</v>
      </c>
      <c r="B698">
        <f>-(Table1435[[#This Row],[time]]-2)*2</f>
        <v>-0.65254000000000012</v>
      </c>
      <c r="C698">
        <v>69.5428</v>
      </c>
      <c r="D698">
        <v>1.0164200000000001</v>
      </c>
      <c r="E698">
        <f>Table1435[[#This Row],[CFNM]]/Table1435[[#This Row],[CAREA]]</f>
        <v>1.4615747424607582E-2</v>
      </c>
      <c r="F698">
        <v>2.3262700000000001</v>
      </c>
      <c r="G698">
        <f>-(Table2436[[#This Row],[time]]-2)*2</f>
        <v>-0.65254000000000012</v>
      </c>
      <c r="H698">
        <v>86.120400000000004</v>
      </c>
      <c r="I698">
        <v>22.754200000000001</v>
      </c>
      <c r="J698">
        <f>Table2436[[#This Row],[CFNM]]/Table2436[[#This Row],[CAREA]]</f>
        <v>0.26421382158002055</v>
      </c>
      <c r="K698">
        <v>2.3262700000000001</v>
      </c>
      <c r="L698">
        <f>-(Table3437[[#This Row],[time]]-2)*2</f>
        <v>-0.65254000000000012</v>
      </c>
      <c r="M698">
        <v>69.246700000000004</v>
      </c>
      <c r="N698">
        <v>1.92943E-3</v>
      </c>
      <c r="O698">
        <f>Table3437[[#This Row],[CFNM]]/Table3437[[#This Row],[CAREA]]</f>
        <v>2.7863132827990358E-5</v>
      </c>
      <c r="P698">
        <v>2.3262700000000001</v>
      </c>
      <c r="Q698">
        <f>-(Table4438[[#This Row],[time]]-2)*2</f>
        <v>-0.65254000000000012</v>
      </c>
      <c r="R698">
        <v>78.012799999999999</v>
      </c>
      <c r="S698">
        <v>23.202200000000001</v>
      </c>
      <c r="T698">
        <f>Table4438[[#This Row],[CFNM]]/Table4438[[#This Row],[CAREA]]</f>
        <v>0.29741529595143362</v>
      </c>
      <c r="U698">
        <v>2.3262700000000001</v>
      </c>
      <c r="V698">
        <f>-(Table5439[[#This Row],[time]]-2)*2</f>
        <v>-0.65254000000000012</v>
      </c>
      <c r="W698">
        <v>82.582999999999998</v>
      </c>
      <c r="X698">
        <v>4.0469900000000003E-3</v>
      </c>
      <c r="Y698">
        <f>Table5439[[#This Row],[CFNM]]/Table5439[[#This Row],[CAREA]]</f>
        <v>4.9005122119564565E-5</v>
      </c>
      <c r="Z698">
        <v>2.3262700000000001</v>
      </c>
      <c r="AA698">
        <f>-(Table6440[[#This Row],[time]]-2)*2</f>
        <v>-0.65254000000000012</v>
      </c>
      <c r="AB698">
        <v>80.861599999999996</v>
      </c>
      <c r="AC698">
        <v>21.261500000000002</v>
      </c>
      <c r="AD698">
        <f>Table6440[[#This Row],[CFNM]]/Table6440[[#This Row],[CAREA]]</f>
        <v>0.26293691937829577</v>
      </c>
      <c r="AE698">
        <v>2.3262700000000001</v>
      </c>
      <c r="AF698">
        <f>-(Table7441[[#This Row],[time]]-2)*2</f>
        <v>-0.65254000000000012</v>
      </c>
      <c r="AG698">
        <v>79.672899999999998</v>
      </c>
      <c r="AH698">
        <v>8.1885999999999992</v>
      </c>
      <c r="AI698">
        <f>Table7441[[#This Row],[CFNM]]/Table7441[[#This Row],[CAREA]]</f>
        <v>0.10277773245356953</v>
      </c>
      <c r="AJ698">
        <v>2.3262700000000001</v>
      </c>
      <c r="AK698">
        <f>-(Table8442[[#This Row],[time]]-2)*2</f>
        <v>-0.65254000000000012</v>
      </c>
      <c r="AL698">
        <v>82.860600000000005</v>
      </c>
      <c r="AM698">
        <v>36.345300000000002</v>
      </c>
      <c r="AN698">
        <f>Table8442[[#This Row],[CFNM]]/Table8442[[#This Row],[CAREA]]</f>
        <v>0.4386318708771117</v>
      </c>
    </row>
    <row r="699" spans="1:40" x14ac:dyDescent="0.25">
      <c r="A699">
        <v>2.3684599999999998</v>
      </c>
      <c r="B699">
        <f>-(Table1435[[#This Row],[time]]-2)*2</f>
        <v>-0.73691999999999958</v>
      </c>
      <c r="C699">
        <v>69.703999999999994</v>
      </c>
      <c r="D699">
        <v>0.86238400000000004</v>
      </c>
      <c r="E699">
        <f>Table1435[[#This Row],[CFNM]]/Table1435[[#This Row],[CAREA]]</f>
        <v>1.2372087685068291E-2</v>
      </c>
      <c r="F699">
        <v>2.3684599999999998</v>
      </c>
      <c r="G699">
        <f>-(Table2436[[#This Row],[time]]-2)*2</f>
        <v>-0.73691999999999958</v>
      </c>
      <c r="H699">
        <v>85.847399999999993</v>
      </c>
      <c r="I699">
        <v>23.383299999999998</v>
      </c>
      <c r="J699">
        <f>Table2436[[#This Row],[CFNM]]/Table2436[[#This Row],[CAREA]]</f>
        <v>0.27238215717657144</v>
      </c>
      <c r="K699">
        <v>2.3684599999999998</v>
      </c>
      <c r="L699">
        <f>-(Table3437[[#This Row],[time]]-2)*2</f>
        <v>-0.73691999999999958</v>
      </c>
      <c r="M699">
        <v>66.657399999999996</v>
      </c>
      <c r="N699">
        <v>1.8638999999999999E-3</v>
      </c>
      <c r="O699">
        <f>Table3437[[#This Row],[CFNM]]/Table3437[[#This Row],[CAREA]]</f>
        <v>2.7962386771761276E-5</v>
      </c>
      <c r="P699">
        <v>2.3684599999999998</v>
      </c>
      <c r="Q699">
        <f>-(Table4438[[#This Row],[time]]-2)*2</f>
        <v>-0.73691999999999958</v>
      </c>
      <c r="R699">
        <v>77.858199999999997</v>
      </c>
      <c r="S699">
        <v>23.7744</v>
      </c>
      <c r="T699">
        <f>Table4438[[#This Row],[CFNM]]/Table4438[[#This Row],[CAREA]]</f>
        <v>0.30535511994883008</v>
      </c>
      <c r="U699">
        <v>2.3684599999999998</v>
      </c>
      <c r="V699">
        <f>-(Table5439[[#This Row],[time]]-2)*2</f>
        <v>-0.73691999999999958</v>
      </c>
      <c r="W699">
        <v>82.543800000000005</v>
      </c>
      <c r="X699">
        <v>4.0040800000000001E-3</v>
      </c>
      <c r="Y699">
        <f>Table5439[[#This Row],[CFNM]]/Table5439[[#This Row],[CAREA]]</f>
        <v>4.8508549400439521E-5</v>
      </c>
      <c r="Z699">
        <v>2.3684599999999998</v>
      </c>
      <c r="AA699">
        <f>-(Table6440[[#This Row],[time]]-2)*2</f>
        <v>-0.73691999999999958</v>
      </c>
      <c r="AB699">
        <v>80.067499999999995</v>
      </c>
      <c r="AC699">
        <v>21.902699999999999</v>
      </c>
      <c r="AD699">
        <f>Table6440[[#This Row],[CFNM]]/Table6440[[#This Row],[CAREA]]</f>
        <v>0.27355293970712213</v>
      </c>
      <c r="AE699">
        <v>2.3684599999999998</v>
      </c>
      <c r="AF699">
        <f>-(Table7441[[#This Row],[time]]-2)*2</f>
        <v>-0.73691999999999958</v>
      </c>
      <c r="AG699">
        <v>79.641199999999998</v>
      </c>
      <c r="AH699">
        <v>7.8838800000000004</v>
      </c>
      <c r="AI699">
        <f>Table7441[[#This Row],[CFNM]]/Table7441[[#This Row],[CAREA]]</f>
        <v>9.8992481278534231E-2</v>
      </c>
      <c r="AJ699">
        <v>2.3684599999999998</v>
      </c>
      <c r="AK699">
        <f>-(Table8442[[#This Row],[time]]-2)*2</f>
        <v>-0.73691999999999958</v>
      </c>
      <c r="AL699">
        <v>82.904200000000003</v>
      </c>
      <c r="AM699">
        <v>36.875599999999999</v>
      </c>
      <c r="AN699">
        <f>Table8442[[#This Row],[CFNM]]/Table8442[[#This Row],[CAREA]]</f>
        <v>0.44479773039242881</v>
      </c>
    </row>
    <row r="700" spans="1:40" x14ac:dyDescent="0.25">
      <c r="A700">
        <v>2.4278300000000002</v>
      </c>
      <c r="B700">
        <f>-(Table1435[[#This Row],[time]]-2)*2</f>
        <v>-0.85566000000000031</v>
      </c>
      <c r="C700">
        <v>68.492099999999994</v>
      </c>
      <c r="D700">
        <v>0.20391599999999999</v>
      </c>
      <c r="E700">
        <f>Table1435[[#This Row],[CFNM]]/Table1435[[#This Row],[CAREA]]</f>
        <v>2.9772192705436102E-3</v>
      </c>
      <c r="F700">
        <v>2.4278300000000002</v>
      </c>
      <c r="G700">
        <f>-(Table2436[[#This Row],[time]]-2)*2</f>
        <v>-0.85566000000000031</v>
      </c>
      <c r="H700">
        <v>84.587999999999994</v>
      </c>
      <c r="I700">
        <v>26.188400000000001</v>
      </c>
      <c r="J700">
        <f>Table2436[[#This Row],[CFNM]]/Table2436[[#This Row],[CAREA]]</f>
        <v>0.30959947037404839</v>
      </c>
      <c r="K700">
        <v>2.4278300000000002</v>
      </c>
      <c r="L700">
        <f>-(Table3437[[#This Row],[time]]-2)*2</f>
        <v>-0.85566000000000031</v>
      </c>
      <c r="M700">
        <v>62.998800000000003</v>
      </c>
      <c r="N700">
        <v>1.57796E-3</v>
      </c>
      <c r="O700">
        <f>Table3437[[#This Row],[CFNM]]/Table3437[[#This Row],[CAREA]]</f>
        <v>2.5047461221483581E-5</v>
      </c>
      <c r="P700">
        <v>2.4278300000000002</v>
      </c>
      <c r="Q700">
        <f>-(Table4438[[#This Row],[time]]-2)*2</f>
        <v>-0.85566000000000031</v>
      </c>
      <c r="R700">
        <v>77.064700000000002</v>
      </c>
      <c r="S700">
        <v>26.440899999999999</v>
      </c>
      <c r="T700">
        <f>Table4438[[#This Row],[CFNM]]/Table4438[[#This Row],[CAREA]]</f>
        <v>0.34310001855583683</v>
      </c>
      <c r="U700">
        <v>2.4278300000000002</v>
      </c>
      <c r="V700">
        <f>-(Table5439[[#This Row],[time]]-2)*2</f>
        <v>-0.85566000000000031</v>
      </c>
      <c r="W700">
        <v>83.014399999999995</v>
      </c>
      <c r="X700">
        <v>3.7975299999999999E-3</v>
      </c>
      <c r="Y700">
        <f>Table5439[[#This Row],[CFNM]]/Table5439[[#This Row],[CAREA]]</f>
        <v>4.5745436936242385E-5</v>
      </c>
      <c r="Z700">
        <v>2.4278300000000002</v>
      </c>
      <c r="AA700">
        <f>-(Table6440[[#This Row],[time]]-2)*2</f>
        <v>-0.85566000000000031</v>
      </c>
      <c r="AB700">
        <v>79.113500000000002</v>
      </c>
      <c r="AC700">
        <v>24.8278</v>
      </c>
      <c r="AD700">
        <f>Table6440[[#This Row],[CFNM]]/Table6440[[#This Row],[CAREA]]</f>
        <v>0.31382507410239718</v>
      </c>
      <c r="AE700">
        <v>2.4278300000000002</v>
      </c>
      <c r="AF700">
        <f>-(Table7441[[#This Row],[time]]-2)*2</f>
        <v>-0.85566000000000031</v>
      </c>
      <c r="AG700">
        <v>79.200199999999995</v>
      </c>
      <c r="AH700">
        <v>6.5146800000000002</v>
      </c>
      <c r="AI700">
        <f>Table7441[[#This Row],[CFNM]]/Table7441[[#This Row],[CAREA]]</f>
        <v>8.2255852889260392E-2</v>
      </c>
      <c r="AJ700">
        <v>2.4278300000000002</v>
      </c>
      <c r="AK700">
        <f>-(Table8442[[#This Row],[time]]-2)*2</f>
        <v>-0.85566000000000031</v>
      </c>
      <c r="AL700">
        <v>83.035799999999995</v>
      </c>
      <c r="AM700">
        <v>39.352200000000003</v>
      </c>
      <c r="AN700">
        <f>Table8442[[#This Row],[CFNM]]/Table8442[[#This Row],[CAREA]]</f>
        <v>0.47391847853576419</v>
      </c>
    </row>
    <row r="701" spans="1:40" x14ac:dyDescent="0.25">
      <c r="A701">
        <v>2.4542000000000002</v>
      </c>
      <c r="B701">
        <f>-(Table1435[[#This Row],[time]]-2)*2</f>
        <v>-0.90840000000000032</v>
      </c>
      <c r="C701">
        <v>66.225300000000004</v>
      </c>
      <c r="D701">
        <v>2.8488799999999998E-3</v>
      </c>
      <c r="E701">
        <f>Table1435[[#This Row],[CFNM]]/Table1435[[#This Row],[CAREA]]</f>
        <v>4.3018000673458624E-5</v>
      </c>
      <c r="F701">
        <v>2.4542000000000002</v>
      </c>
      <c r="G701">
        <f>-(Table2436[[#This Row],[time]]-2)*2</f>
        <v>-0.90840000000000032</v>
      </c>
      <c r="H701">
        <v>83.772499999999994</v>
      </c>
      <c r="I701">
        <v>28.337399999999999</v>
      </c>
      <c r="J701">
        <f>Table2436[[#This Row],[CFNM]]/Table2436[[#This Row],[CAREA]]</f>
        <v>0.33826613745560896</v>
      </c>
      <c r="K701">
        <v>2.4542000000000002</v>
      </c>
      <c r="L701">
        <f>-(Table3437[[#This Row],[time]]-2)*2</f>
        <v>-0.90840000000000032</v>
      </c>
      <c r="M701">
        <v>61.1083</v>
      </c>
      <c r="N701">
        <v>1.3882899999999999E-3</v>
      </c>
      <c r="O701">
        <f>Table3437[[#This Row],[CFNM]]/Table3437[[#This Row],[CAREA]]</f>
        <v>2.2718517779090564E-5</v>
      </c>
      <c r="P701">
        <v>2.4542000000000002</v>
      </c>
      <c r="Q701">
        <f>-(Table4438[[#This Row],[time]]-2)*2</f>
        <v>-0.90840000000000032</v>
      </c>
      <c r="R701">
        <v>76.311599999999999</v>
      </c>
      <c r="S701">
        <v>28.5685</v>
      </c>
      <c r="T701">
        <f>Table4438[[#This Row],[CFNM]]/Table4438[[#This Row],[CAREA]]</f>
        <v>0.37436641349414768</v>
      </c>
      <c r="U701">
        <v>2.4542000000000002</v>
      </c>
      <c r="V701">
        <f>-(Table5439[[#This Row],[time]]-2)*2</f>
        <v>-0.90840000000000032</v>
      </c>
      <c r="W701">
        <v>82.659499999999994</v>
      </c>
      <c r="X701">
        <v>3.6147000000000002E-3</v>
      </c>
      <c r="Y701">
        <f>Table5439[[#This Row],[CFNM]]/Table5439[[#This Row],[CAREA]]</f>
        <v>4.3730000786358503E-5</v>
      </c>
      <c r="Z701">
        <v>2.4542000000000002</v>
      </c>
      <c r="AA701">
        <f>-(Table6440[[#This Row],[time]]-2)*2</f>
        <v>-0.90840000000000032</v>
      </c>
      <c r="AB701">
        <v>78.237700000000004</v>
      </c>
      <c r="AC701">
        <v>27.1938</v>
      </c>
      <c r="AD701">
        <f>Table6440[[#This Row],[CFNM]]/Table6440[[#This Row],[CAREA]]</f>
        <v>0.34757923609717561</v>
      </c>
      <c r="AE701">
        <v>2.4542000000000002</v>
      </c>
      <c r="AF701">
        <f>-(Table7441[[#This Row],[time]]-2)*2</f>
        <v>-0.90840000000000032</v>
      </c>
      <c r="AG701">
        <v>78.679599999999994</v>
      </c>
      <c r="AH701">
        <v>5.4932299999999996</v>
      </c>
      <c r="AI701">
        <f>Table7441[[#This Row],[CFNM]]/Table7441[[#This Row],[CAREA]]</f>
        <v>6.9817716409336095E-2</v>
      </c>
      <c r="AJ701">
        <v>2.4542000000000002</v>
      </c>
      <c r="AK701">
        <f>-(Table8442[[#This Row],[time]]-2)*2</f>
        <v>-0.90840000000000032</v>
      </c>
      <c r="AL701">
        <v>83.108800000000002</v>
      </c>
      <c r="AM701">
        <v>41.438600000000001</v>
      </c>
      <c r="AN701">
        <f>Table8442[[#This Row],[CFNM]]/Table8442[[#This Row],[CAREA]]</f>
        <v>0.49860664574629882</v>
      </c>
    </row>
    <row r="702" spans="1:40" x14ac:dyDescent="0.25">
      <c r="A702">
        <v>2.5061499999999999</v>
      </c>
      <c r="B702">
        <f>-(Table1435[[#This Row],[time]]-2)*2</f>
        <v>-1.0122999999999998</v>
      </c>
      <c r="C702">
        <v>64.785899999999998</v>
      </c>
      <c r="D702">
        <v>2.4020999999999999E-3</v>
      </c>
      <c r="E702">
        <f>Table1435[[#This Row],[CFNM]]/Table1435[[#This Row],[CAREA]]</f>
        <v>3.7077512236458861E-5</v>
      </c>
      <c r="F702">
        <v>2.5061499999999999</v>
      </c>
      <c r="G702">
        <f>-(Table2436[[#This Row],[time]]-2)*2</f>
        <v>-1.0122999999999998</v>
      </c>
      <c r="H702">
        <v>83.176199999999994</v>
      </c>
      <c r="I702">
        <v>29.755199999999999</v>
      </c>
      <c r="J702">
        <f>Table2436[[#This Row],[CFNM]]/Table2436[[#This Row],[CAREA]]</f>
        <v>0.35773694879063966</v>
      </c>
      <c r="K702">
        <v>2.5061499999999999</v>
      </c>
      <c r="L702">
        <f>-(Table3437[[#This Row],[time]]-2)*2</f>
        <v>-1.0122999999999998</v>
      </c>
      <c r="M702">
        <v>59.3673</v>
      </c>
      <c r="N702">
        <v>1.27271E-3</v>
      </c>
      <c r="O702">
        <f>Table3437[[#This Row],[CFNM]]/Table3437[[#This Row],[CAREA]]</f>
        <v>2.1437895946084797E-5</v>
      </c>
      <c r="P702">
        <v>2.5061499999999999</v>
      </c>
      <c r="Q702">
        <f>-(Table4438[[#This Row],[time]]-2)*2</f>
        <v>-1.0122999999999998</v>
      </c>
      <c r="R702">
        <v>75.793199999999999</v>
      </c>
      <c r="S702">
        <v>30.019200000000001</v>
      </c>
      <c r="T702">
        <f>Table4438[[#This Row],[CFNM]]/Table4438[[#This Row],[CAREA]]</f>
        <v>0.39606719336299301</v>
      </c>
      <c r="U702">
        <v>2.5061499999999999</v>
      </c>
      <c r="V702">
        <f>-(Table5439[[#This Row],[time]]-2)*2</f>
        <v>-1.0122999999999998</v>
      </c>
      <c r="W702">
        <v>82.449200000000005</v>
      </c>
      <c r="X702">
        <v>3.4848399999999999E-3</v>
      </c>
      <c r="Y702">
        <f>Table5439[[#This Row],[CFNM]]/Table5439[[#This Row],[CAREA]]</f>
        <v>4.2266510772693968E-5</v>
      </c>
      <c r="Z702">
        <v>2.5061499999999999</v>
      </c>
      <c r="AA702">
        <f>-(Table6440[[#This Row],[time]]-2)*2</f>
        <v>-1.0122999999999998</v>
      </c>
      <c r="AB702">
        <v>77.464699999999993</v>
      </c>
      <c r="AC702">
        <v>28.7942</v>
      </c>
      <c r="AD702">
        <f>Table6440[[#This Row],[CFNM]]/Table6440[[#This Row],[CAREA]]</f>
        <v>0.37170737122844344</v>
      </c>
      <c r="AE702">
        <v>2.5061499999999999</v>
      </c>
      <c r="AF702">
        <f>-(Table7441[[#This Row],[time]]-2)*2</f>
        <v>-1.0122999999999998</v>
      </c>
      <c r="AG702">
        <v>78.235399999999998</v>
      </c>
      <c r="AH702">
        <v>4.8618499999999996</v>
      </c>
      <c r="AI702">
        <f>Table7441[[#This Row],[CFNM]]/Table7441[[#This Row],[CAREA]]</f>
        <v>6.214386326394445E-2</v>
      </c>
      <c r="AJ702">
        <v>2.5061499999999999</v>
      </c>
      <c r="AK702">
        <f>-(Table8442[[#This Row],[time]]-2)*2</f>
        <v>-1.0122999999999998</v>
      </c>
      <c r="AL702">
        <v>83.096999999999994</v>
      </c>
      <c r="AM702">
        <v>42.889099999999999</v>
      </c>
      <c r="AN702">
        <f>Table8442[[#This Row],[CFNM]]/Table8442[[#This Row],[CAREA]]</f>
        <v>0.51613295305486362</v>
      </c>
    </row>
    <row r="703" spans="1:40" x14ac:dyDescent="0.25">
      <c r="A703">
        <v>2.5507599999999999</v>
      </c>
      <c r="B703">
        <f>-(Table1435[[#This Row],[time]]-2)*2</f>
        <v>-1.1015199999999998</v>
      </c>
      <c r="C703">
        <v>62.537100000000002</v>
      </c>
      <c r="D703">
        <v>2.2165399999999999E-3</v>
      </c>
      <c r="E703">
        <f>Table1435[[#This Row],[CFNM]]/Table1435[[#This Row],[CAREA]]</f>
        <v>3.544360067863716E-5</v>
      </c>
      <c r="F703">
        <v>2.5507599999999999</v>
      </c>
      <c r="G703">
        <f>-(Table2436[[#This Row],[time]]-2)*2</f>
        <v>-1.1015199999999998</v>
      </c>
      <c r="H703">
        <v>82.291300000000007</v>
      </c>
      <c r="I703">
        <v>31.823699999999999</v>
      </c>
      <c r="J703">
        <f>Table2436[[#This Row],[CFNM]]/Table2436[[#This Row],[CAREA]]</f>
        <v>0.38672010285412911</v>
      </c>
      <c r="K703">
        <v>2.5507599999999999</v>
      </c>
      <c r="L703">
        <f>-(Table3437[[#This Row],[time]]-2)*2</f>
        <v>-1.1015199999999998</v>
      </c>
      <c r="M703">
        <v>57.542700000000004</v>
      </c>
      <c r="N703">
        <v>1.1160600000000001E-3</v>
      </c>
      <c r="O703">
        <f>Table3437[[#This Row],[CFNM]]/Table3437[[#This Row],[CAREA]]</f>
        <v>1.9395335985277021E-5</v>
      </c>
      <c r="P703">
        <v>2.5507599999999999</v>
      </c>
      <c r="Q703">
        <f>-(Table4438[[#This Row],[time]]-2)*2</f>
        <v>-1.1015199999999998</v>
      </c>
      <c r="R703">
        <v>74.970600000000005</v>
      </c>
      <c r="S703">
        <v>32.284399999999998</v>
      </c>
      <c r="T703">
        <f>Table4438[[#This Row],[CFNM]]/Table4438[[#This Row],[CAREA]]</f>
        <v>0.43062747263593992</v>
      </c>
      <c r="U703">
        <v>2.5507599999999999</v>
      </c>
      <c r="V703">
        <f>-(Table5439[[#This Row],[time]]-2)*2</f>
        <v>-1.1015199999999998</v>
      </c>
      <c r="W703">
        <v>81.950500000000005</v>
      </c>
      <c r="X703">
        <v>3.2959199999999999E-3</v>
      </c>
      <c r="Y703">
        <f>Table5439[[#This Row],[CFNM]]/Table5439[[#This Row],[CAREA]]</f>
        <v>4.0218424536763044E-5</v>
      </c>
      <c r="Z703">
        <v>2.5507599999999999</v>
      </c>
      <c r="AA703">
        <f>-(Table6440[[#This Row],[time]]-2)*2</f>
        <v>-1.1015199999999998</v>
      </c>
      <c r="AB703">
        <v>76.791899999999998</v>
      </c>
      <c r="AC703">
        <v>31.1524</v>
      </c>
      <c r="AD703">
        <f>Table6440[[#This Row],[CFNM]]/Table6440[[#This Row],[CAREA]]</f>
        <v>0.40567299415693581</v>
      </c>
      <c r="AE703">
        <v>2.5507599999999999</v>
      </c>
      <c r="AF703">
        <f>-(Table7441[[#This Row],[time]]-2)*2</f>
        <v>-1.1015199999999998</v>
      </c>
      <c r="AG703">
        <v>77.538700000000006</v>
      </c>
      <c r="AH703">
        <v>4.0006899999999996</v>
      </c>
      <c r="AI703">
        <f>Table7441[[#This Row],[CFNM]]/Table7441[[#This Row],[CAREA]]</f>
        <v>5.1596041718522487E-2</v>
      </c>
      <c r="AJ703">
        <v>2.5507599999999999</v>
      </c>
      <c r="AK703">
        <f>-(Table8442[[#This Row],[time]]-2)*2</f>
        <v>-1.1015199999999998</v>
      </c>
      <c r="AL703">
        <v>82.401600000000002</v>
      </c>
      <c r="AM703">
        <v>45.0764</v>
      </c>
      <c r="AN703">
        <f>Table8442[[#This Row],[CFNM]]/Table8442[[#This Row],[CAREA]]</f>
        <v>0.54703306731908119</v>
      </c>
    </row>
    <row r="704" spans="1:40" x14ac:dyDescent="0.25">
      <c r="A704">
        <v>2.60453</v>
      </c>
      <c r="B704">
        <f>-(Table1435[[#This Row],[time]]-2)*2</f>
        <v>-1.20906</v>
      </c>
      <c r="C704">
        <v>58.629899999999999</v>
      </c>
      <c r="D704">
        <v>1.9263100000000001E-3</v>
      </c>
      <c r="E704">
        <f>Table1435[[#This Row],[CFNM]]/Table1435[[#This Row],[CAREA]]</f>
        <v>3.2855420186628326E-5</v>
      </c>
      <c r="F704">
        <v>2.60453</v>
      </c>
      <c r="G704">
        <f>-(Table2436[[#This Row],[time]]-2)*2</f>
        <v>-1.20906</v>
      </c>
      <c r="H704">
        <v>80.967699999999994</v>
      </c>
      <c r="I704">
        <v>34.959299999999999</v>
      </c>
      <c r="J704">
        <f>Table2436[[#This Row],[CFNM]]/Table2436[[#This Row],[CAREA]]</f>
        <v>0.43176847063705653</v>
      </c>
      <c r="K704">
        <v>2.60453</v>
      </c>
      <c r="L704">
        <f>-(Table3437[[#This Row],[time]]-2)*2</f>
        <v>-1.20906</v>
      </c>
      <c r="M704">
        <v>51.285200000000003</v>
      </c>
      <c r="N704">
        <v>8.8261199999999996E-4</v>
      </c>
      <c r="O704">
        <f>Table3437[[#This Row],[CFNM]]/Table3437[[#This Row],[CAREA]]</f>
        <v>1.7209877313532948E-5</v>
      </c>
      <c r="P704">
        <v>2.60453</v>
      </c>
      <c r="Q704">
        <f>-(Table4438[[#This Row],[time]]-2)*2</f>
        <v>-1.20906</v>
      </c>
      <c r="R704">
        <v>73.554299999999998</v>
      </c>
      <c r="S704">
        <v>35.784700000000001</v>
      </c>
      <c r="T704">
        <f>Table4438[[#This Row],[CFNM]]/Table4438[[#This Row],[CAREA]]</f>
        <v>0.4865072470270263</v>
      </c>
      <c r="U704">
        <v>2.60453</v>
      </c>
      <c r="V704">
        <f>-(Table5439[[#This Row],[time]]-2)*2</f>
        <v>-1.20906</v>
      </c>
      <c r="W704">
        <v>80.582099999999997</v>
      </c>
      <c r="X704">
        <v>2.99614E-3</v>
      </c>
      <c r="Y704">
        <f>Table5439[[#This Row],[CFNM]]/Table5439[[#This Row],[CAREA]]</f>
        <v>3.7181210219142965E-5</v>
      </c>
      <c r="Z704">
        <v>2.60453</v>
      </c>
      <c r="AA704">
        <f>-(Table6440[[#This Row],[time]]-2)*2</f>
        <v>-1.20906</v>
      </c>
      <c r="AB704">
        <v>74.722899999999996</v>
      </c>
      <c r="AC704">
        <v>34.898899999999998</v>
      </c>
      <c r="AD704">
        <f>Table6440[[#This Row],[CFNM]]/Table6440[[#This Row],[CAREA]]</f>
        <v>0.46704423945002133</v>
      </c>
      <c r="AE704">
        <v>2.60453</v>
      </c>
      <c r="AF704">
        <f>-(Table7441[[#This Row],[time]]-2)*2</f>
        <v>-1.20906</v>
      </c>
      <c r="AG704">
        <v>76.327799999999996</v>
      </c>
      <c r="AH704">
        <v>2.8597600000000001</v>
      </c>
      <c r="AI704">
        <f>Table7441[[#This Row],[CFNM]]/Table7441[[#This Row],[CAREA]]</f>
        <v>3.7466820738970598E-2</v>
      </c>
      <c r="AJ704">
        <v>2.60453</v>
      </c>
      <c r="AK704">
        <f>-(Table8442[[#This Row],[time]]-2)*2</f>
        <v>-1.20906</v>
      </c>
      <c r="AL704">
        <v>82.069900000000004</v>
      </c>
      <c r="AM704">
        <v>48.643900000000002</v>
      </c>
      <c r="AN704">
        <f>Table8442[[#This Row],[CFNM]]/Table8442[[#This Row],[CAREA]]</f>
        <v>0.59271304095655042</v>
      </c>
    </row>
    <row r="705" spans="1:40" x14ac:dyDescent="0.25">
      <c r="A705">
        <v>2.65273</v>
      </c>
      <c r="B705">
        <f>-(Table1435[[#This Row],[time]]-2)*2</f>
        <v>-1.3054600000000001</v>
      </c>
      <c r="C705">
        <v>58.347999999999999</v>
      </c>
      <c r="D705">
        <v>1.8863199999999999E-3</v>
      </c>
      <c r="E705">
        <f>Table1435[[#This Row],[CFNM]]/Table1435[[#This Row],[CAREA]]</f>
        <v>3.2328785905258107E-5</v>
      </c>
      <c r="F705">
        <v>2.65273</v>
      </c>
      <c r="G705">
        <f>-(Table2436[[#This Row],[time]]-2)*2</f>
        <v>-1.3054600000000001</v>
      </c>
      <c r="H705">
        <v>80.7821</v>
      </c>
      <c r="I705">
        <v>35.384900000000002</v>
      </c>
      <c r="J705">
        <f>Table2436[[#This Row],[CFNM]]/Table2436[[#This Row],[CAREA]]</f>
        <v>0.43802896928898855</v>
      </c>
      <c r="K705">
        <v>2.65273</v>
      </c>
      <c r="L705">
        <f>-(Table3437[[#This Row],[time]]-2)*2</f>
        <v>-1.3054600000000001</v>
      </c>
      <c r="M705">
        <v>50.528799999999997</v>
      </c>
      <c r="N705">
        <v>8.5449400000000002E-4</v>
      </c>
      <c r="O705">
        <f>Table3437[[#This Row],[CFNM]]/Table3437[[#This Row],[CAREA]]</f>
        <v>1.6911028957742913E-5</v>
      </c>
      <c r="P705">
        <v>2.65273</v>
      </c>
      <c r="Q705">
        <f>-(Table4438[[#This Row],[time]]-2)*2</f>
        <v>-1.3054600000000001</v>
      </c>
      <c r="R705">
        <v>73.396900000000002</v>
      </c>
      <c r="S705">
        <v>36.273299999999999</v>
      </c>
      <c r="T705">
        <f>Table4438[[#This Row],[CFNM]]/Table4438[[#This Row],[CAREA]]</f>
        <v>0.49420752102609233</v>
      </c>
      <c r="U705">
        <v>2.65273</v>
      </c>
      <c r="V705">
        <f>-(Table5439[[#This Row],[time]]-2)*2</f>
        <v>-1.3054600000000001</v>
      </c>
      <c r="W705">
        <v>80.465999999999994</v>
      </c>
      <c r="X705">
        <v>2.95437E-3</v>
      </c>
      <c r="Y705">
        <f>Table5439[[#This Row],[CFNM]]/Table5439[[#This Row],[CAREA]]</f>
        <v>3.6715755722914027E-5</v>
      </c>
      <c r="Z705">
        <v>2.65273</v>
      </c>
      <c r="AA705">
        <f>-(Table6440[[#This Row],[time]]-2)*2</f>
        <v>-1.3054600000000001</v>
      </c>
      <c r="AB705">
        <v>74.521699999999996</v>
      </c>
      <c r="AC705">
        <v>35.422800000000002</v>
      </c>
      <c r="AD705">
        <f>Table6440[[#This Row],[CFNM]]/Table6440[[#This Row],[CAREA]]</f>
        <v>0.47533537211308929</v>
      </c>
      <c r="AE705">
        <v>2.65273</v>
      </c>
      <c r="AF705">
        <f>-(Table7441[[#This Row],[time]]-2)*2</f>
        <v>-1.3054600000000001</v>
      </c>
      <c r="AG705">
        <v>76.138499999999993</v>
      </c>
      <c r="AH705">
        <v>2.7118500000000001</v>
      </c>
      <c r="AI705">
        <f>Table7441[[#This Row],[CFNM]]/Table7441[[#This Row],[CAREA]]</f>
        <v>3.5617328946590754E-2</v>
      </c>
      <c r="AJ705">
        <v>2.65273</v>
      </c>
      <c r="AK705">
        <f>-(Table8442[[#This Row],[time]]-2)*2</f>
        <v>-1.3054600000000001</v>
      </c>
      <c r="AL705">
        <v>82.021799999999999</v>
      </c>
      <c r="AM705">
        <v>49.138500000000001</v>
      </c>
      <c r="AN705">
        <f>Table8442[[#This Row],[CFNM]]/Table8442[[#This Row],[CAREA]]</f>
        <v>0.59909072953775699</v>
      </c>
    </row>
    <row r="706" spans="1:40" x14ac:dyDescent="0.25">
      <c r="A706">
        <v>2.7006199999999998</v>
      </c>
      <c r="B706">
        <f>-(Table1435[[#This Row],[time]]-2)*2</f>
        <v>-1.4012399999999996</v>
      </c>
      <c r="C706">
        <v>57.047499999999999</v>
      </c>
      <c r="D706">
        <v>1.73653E-3</v>
      </c>
      <c r="E706">
        <f>Table1435[[#This Row],[CFNM]]/Table1435[[#This Row],[CAREA]]</f>
        <v>3.0440071869932951E-5</v>
      </c>
      <c r="F706">
        <v>2.7006199999999998</v>
      </c>
      <c r="G706">
        <f>-(Table2436[[#This Row],[time]]-2)*2</f>
        <v>-1.4012399999999996</v>
      </c>
      <c r="H706">
        <v>80.086500000000001</v>
      </c>
      <c r="I706">
        <v>36.945</v>
      </c>
      <c r="J706">
        <f>Table2436[[#This Row],[CFNM]]/Table2436[[#This Row],[CAREA]]</f>
        <v>0.46131370455694781</v>
      </c>
      <c r="K706">
        <v>2.7006199999999998</v>
      </c>
      <c r="L706">
        <f>-(Table3437[[#This Row],[time]]-2)*2</f>
        <v>-1.4012399999999996</v>
      </c>
      <c r="M706">
        <v>48.741300000000003</v>
      </c>
      <c r="N706">
        <v>7.5402599999999998E-4</v>
      </c>
      <c r="O706">
        <f>Table3437[[#This Row],[CFNM]]/Table3437[[#This Row],[CAREA]]</f>
        <v>1.5469960793003057E-5</v>
      </c>
      <c r="P706">
        <v>2.7006199999999998</v>
      </c>
      <c r="Q706">
        <f>-(Table4438[[#This Row],[time]]-2)*2</f>
        <v>-1.4012399999999996</v>
      </c>
      <c r="R706">
        <v>72.754900000000006</v>
      </c>
      <c r="S706">
        <v>38.029899999999998</v>
      </c>
      <c r="T706">
        <f>Table4438[[#This Row],[CFNM]]/Table4438[[#This Row],[CAREA]]</f>
        <v>0.52271255956643459</v>
      </c>
      <c r="U706">
        <v>2.7006199999999998</v>
      </c>
      <c r="V706">
        <f>-(Table5439[[#This Row],[time]]-2)*2</f>
        <v>-1.4012399999999996</v>
      </c>
      <c r="W706">
        <v>80.095699999999994</v>
      </c>
      <c r="X706">
        <v>2.7967999999999999E-3</v>
      </c>
      <c r="Y706">
        <f>Table5439[[#This Row],[CFNM]]/Table5439[[#This Row],[CAREA]]</f>
        <v>3.4918229068476833E-5</v>
      </c>
      <c r="Z706">
        <v>2.7006199999999998</v>
      </c>
      <c r="AA706">
        <f>-(Table6440[[#This Row],[time]]-2)*2</f>
        <v>-1.4012399999999996</v>
      </c>
      <c r="AB706">
        <v>73.905199999999994</v>
      </c>
      <c r="AC706">
        <v>37.368699999999997</v>
      </c>
      <c r="AD706">
        <f>Table6440[[#This Row],[CFNM]]/Table6440[[#This Row],[CAREA]]</f>
        <v>0.50563018569735285</v>
      </c>
      <c r="AE706">
        <v>2.7006199999999998</v>
      </c>
      <c r="AF706">
        <f>-(Table7441[[#This Row],[time]]-2)*2</f>
        <v>-1.4012399999999996</v>
      </c>
      <c r="AG706">
        <v>75.546199999999999</v>
      </c>
      <c r="AH706">
        <v>2.1531400000000001</v>
      </c>
      <c r="AI706">
        <f>Table7441[[#This Row],[CFNM]]/Table7441[[#This Row],[CAREA]]</f>
        <v>2.8500970267200734E-2</v>
      </c>
      <c r="AJ706">
        <v>2.7006199999999998</v>
      </c>
      <c r="AK706">
        <f>-(Table8442[[#This Row],[time]]-2)*2</f>
        <v>-1.4012399999999996</v>
      </c>
      <c r="AL706">
        <v>82.007199999999997</v>
      </c>
      <c r="AM706">
        <v>50.985199999999999</v>
      </c>
      <c r="AN706">
        <f>Table8442[[#This Row],[CFNM]]/Table8442[[#This Row],[CAREA]]</f>
        <v>0.62171614199728809</v>
      </c>
    </row>
    <row r="707" spans="1:40" x14ac:dyDescent="0.25">
      <c r="A707">
        <v>2.75176</v>
      </c>
      <c r="B707">
        <f>-(Table1435[[#This Row],[time]]-2)*2</f>
        <v>-1.50352</v>
      </c>
      <c r="C707">
        <v>52.201999999999998</v>
      </c>
      <c r="D707">
        <v>1.4562500000000001E-3</v>
      </c>
      <c r="E707">
        <f>Table1435[[#This Row],[CFNM]]/Table1435[[#This Row],[CAREA]]</f>
        <v>2.7896440749396576E-5</v>
      </c>
      <c r="F707">
        <v>2.75176</v>
      </c>
      <c r="G707">
        <f>-(Table2436[[#This Row],[time]]-2)*2</f>
        <v>-1.50352</v>
      </c>
      <c r="H707">
        <v>78.754599999999996</v>
      </c>
      <c r="I707">
        <v>39.913699999999999</v>
      </c>
      <c r="J707">
        <f>Table2436[[#This Row],[CFNM]]/Table2436[[#This Row],[CAREA]]</f>
        <v>0.50681103072074518</v>
      </c>
      <c r="K707">
        <v>2.75176</v>
      </c>
      <c r="L707">
        <f>-(Table3437[[#This Row],[time]]-2)*2</f>
        <v>-1.50352</v>
      </c>
      <c r="M707">
        <v>45.319299999999998</v>
      </c>
      <c r="N707">
        <v>5.7118900000000005E-4</v>
      </c>
      <c r="O707">
        <f>Table3437[[#This Row],[CFNM]]/Table3437[[#This Row],[CAREA]]</f>
        <v>1.2603658926770716E-5</v>
      </c>
      <c r="P707">
        <v>2.75176</v>
      </c>
      <c r="Q707">
        <f>-(Table4438[[#This Row],[time]]-2)*2</f>
        <v>-1.50352</v>
      </c>
      <c r="R707">
        <v>71.5989</v>
      </c>
      <c r="S707">
        <v>41.285699999999999</v>
      </c>
      <c r="T707">
        <f>Table4438[[#This Row],[CFNM]]/Table4438[[#This Row],[CAREA]]</f>
        <v>0.57662478054830446</v>
      </c>
      <c r="U707">
        <v>2.75176</v>
      </c>
      <c r="V707">
        <f>-(Table5439[[#This Row],[time]]-2)*2</f>
        <v>-1.50352</v>
      </c>
      <c r="W707">
        <v>78.160600000000002</v>
      </c>
      <c r="X707">
        <v>2.4743199999999999E-3</v>
      </c>
      <c r="Y707">
        <f>Table5439[[#This Row],[CFNM]]/Table5439[[#This Row],[CAREA]]</f>
        <v>3.1656870597206261E-5</v>
      </c>
      <c r="Z707">
        <v>2.75176</v>
      </c>
      <c r="AA707">
        <f>-(Table6440[[#This Row],[time]]-2)*2</f>
        <v>-1.50352</v>
      </c>
      <c r="AB707">
        <v>72.358699999999999</v>
      </c>
      <c r="AC707">
        <v>41.188299999999998</v>
      </c>
      <c r="AD707">
        <f>Table6440[[#This Row],[CFNM]]/Table6440[[#This Row],[CAREA]]</f>
        <v>0.56922388047325334</v>
      </c>
      <c r="AE707">
        <v>2.75176</v>
      </c>
      <c r="AF707">
        <f>-(Table7441[[#This Row],[time]]-2)*2</f>
        <v>-1.50352</v>
      </c>
      <c r="AG707">
        <v>74.295100000000005</v>
      </c>
      <c r="AH707">
        <v>1.2753300000000001</v>
      </c>
      <c r="AI707">
        <f>Table7441[[#This Row],[CFNM]]/Table7441[[#This Row],[CAREA]]</f>
        <v>1.7165735021555929E-2</v>
      </c>
      <c r="AJ707">
        <v>2.75176</v>
      </c>
      <c r="AK707">
        <f>-(Table8442[[#This Row],[time]]-2)*2</f>
        <v>-1.50352</v>
      </c>
      <c r="AL707">
        <v>81.875500000000002</v>
      </c>
      <c r="AM707">
        <v>54.439</v>
      </c>
      <c r="AN707">
        <f>Table8442[[#This Row],[CFNM]]/Table8442[[#This Row],[CAREA]]</f>
        <v>0.66489975633736587</v>
      </c>
    </row>
    <row r="708" spans="1:40" x14ac:dyDescent="0.25">
      <c r="A708">
        <v>2.80444</v>
      </c>
      <c r="B708">
        <f>-(Table1435[[#This Row],[time]]-2)*2</f>
        <v>-1.6088800000000001</v>
      </c>
      <c r="C708">
        <v>51.354300000000002</v>
      </c>
      <c r="D708">
        <v>1.4203499999999999E-3</v>
      </c>
      <c r="E708">
        <f>Table1435[[#This Row],[CFNM]]/Table1435[[#This Row],[CAREA]]</f>
        <v>2.7657859225030812E-5</v>
      </c>
      <c r="F708">
        <v>2.80444</v>
      </c>
      <c r="G708">
        <f>-(Table2436[[#This Row],[time]]-2)*2</f>
        <v>-1.6088800000000001</v>
      </c>
      <c r="H708">
        <v>78.581000000000003</v>
      </c>
      <c r="I708">
        <v>40.307499999999997</v>
      </c>
      <c r="J708">
        <f>Table2436[[#This Row],[CFNM]]/Table2436[[#This Row],[CAREA]]</f>
        <v>0.51294205978544427</v>
      </c>
      <c r="K708">
        <v>2.80444</v>
      </c>
      <c r="L708">
        <f>-(Table3437[[#This Row],[time]]-2)*2</f>
        <v>-1.6088800000000001</v>
      </c>
      <c r="M708">
        <v>42.302900000000001</v>
      </c>
      <c r="N708">
        <v>5.4723E-4</v>
      </c>
      <c r="O708">
        <f>Table3437[[#This Row],[CFNM]]/Table3437[[#This Row],[CAREA]]</f>
        <v>1.2935992567885417E-5</v>
      </c>
      <c r="P708">
        <v>2.80444</v>
      </c>
      <c r="Q708">
        <f>-(Table4438[[#This Row],[time]]-2)*2</f>
        <v>-1.6088800000000001</v>
      </c>
      <c r="R708">
        <v>71.433599999999998</v>
      </c>
      <c r="S708">
        <v>41.713500000000003</v>
      </c>
      <c r="T708">
        <f>Table4438[[#This Row],[CFNM]]/Table4438[[#This Row],[CAREA]]</f>
        <v>0.5839478900685392</v>
      </c>
      <c r="U708">
        <v>2.80444</v>
      </c>
      <c r="V708">
        <f>-(Table5439[[#This Row],[time]]-2)*2</f>
        <v>-1.6088800000000001</v>
      </c>
      <c r="W708">
        <v>78.031800000000004</v>
      </c>
      <c r="X708">
        <v>2.4286300000000002E-3</v>
      </c>
      <c r="Y708">
        <f>Table5439[[#This Row],[CFNM]]/Table5439[[#This Row],[CAREA]]</f>
        <v>3.1123593201745957E-5</v>
      </c>
      <c r="Z708">
        <v>2.80444</v>
      </c>
      <c r="AA708">
        <f>-(Table6440[[#This Row],[time]]-2)*2</f>
        <v>-1.6088800000000001</v>
      </c>
      <c r="AB708">
        <v>72.246700000000004</v>
      </c>
      <c r="AC708">
        <v>41.701500000000003</v>
      </c>
      <c r="AD708">
        <f>Table6440[[#This Row],[CFNM]]/Table6440[[#This Row],[CAREA]]</f>
        <v>0.57720975490922077</v>
      </c>
      <c r="AE708">
        <v>2.80444</v>
      </c>
      <c r="AF708">
        <f>-(Table7441[[#This Row],[time]]-2)*2</f>
        <v>-1.6088800000000001</v>
      </c>
      <c r="AG708">
        <v>74.146900000000002</v>
      </c>
      <c r="AH708">
        <v>1.1955100000000001</v>
      </c>
      <c r="AI708">
        <f>Table7441[[#This Row],[CFNM]]/Table7441[[#This Row],[CAREA]]</f>
        <v>1.6123533148385164E-2</v>
      </c>
      <c r="AJ708">
        <v>2.80444</v>
      </c>
      <c r="AK708">
        <f>-(Table8442[[#This Row],[time]]-2)*2</f>
        <v>-1.6088800000000001</v>
      </c>
      <c r="AL708">
        <v>81.863699999999994</v>
      </c>
      <c r="AM708">
        <v>54.894799999999996</v>
      </c>
      <c r="AN708">
        <f>Table8442[[#This Row],[CFNM]]/Table8442[[#This Row],[CAREA]]</f>
        <v>0.67056338767976531</v>
      </c>
    </row>
    <row r="709" spans="1:40" x14ac:dyDescent="0.25">
      <c r="A709">
        <v>2.8583699999999999</v>
      </c>
      <c r="B709">
        <f>-(Table1435[[#This Row],[time]]-2)*2</f>
        <v>-1.7167399999999997</v>
      </c>
      <c r="C709">
        <v>45.562199999999997</v>
      </c>
      <c r="D709">
        <v>1.28645E-3</v>
      </c>
      <c r="E709">
        <f>Table1435[[#This Row],[CFNM]]/Table1435[[#This Row],[CAREA]]</f>
        <v>2.8235028159307497E-5</v>
      </c>
      <c r="F709">
        <v>2.8583699999999999</v>
      </c>
      <c r="G709">
        <f>-(Table2436[[#This Row],[time]]-2)*2</f>
        <v>-1.7167399999999997</v>
      </c>
      <c r="H709">
        <v>77.8446</v>
      </c>
      <c r="I709">
        <v>41.908700000000003</v>
      </c>
      <c r="J709">
        <f>Table2436[[#This Row],[CFNM]]/Table2436[[#This Row],[CAREA]]</f>
        <v>0.53836361160568624</v>
      </c>
      <c r="K709">
        <v>2.8583699999999999</v>
      </c>
      <c r="L709">
        <f>-(Table3437[[#This Row],[time]]-2)*2</f>
        <v>-1.7167399999999997</v>
      </c>
      <c r="M709">
        <v>37.597299999999997</v>
      </c>
      <c r="N709">
        <v>4.5600600000000001E-4</v>
      </c>
      <c r="O709">
        <f>Table3437[[#This Row],[CFNM]]/Table3437[[#This Row],[CAREA]]</f>
        <v>1.212869009210768E-5</v>
      </c>
      <c r="P709">
        <v>2.8583699999999999</v>
      </c>
      <c r="Q709">
        <f>-(Table4438[[#This Row],[time]]-2)*2</f>
        <v>-1.7167399999999997</v>
      </c>
      <c r="R709">
        <v>70.806700000000006</v>
      </c>
      <c r="S709">
        <v>43.395899999999997</v>
      </c>
      <c r="T709">
        <f>Table4438[[#This Row],[CFNM]]/Table4438[[#This Row],[CAREA]]</f>
        <v>0.61287844229430255</v>
      </c>
      <c r="U709">
        <v>2.8583699999999999</v>
      </c>
      <c r="V709">
        <f>-(Table5439[[#This Row],[time]]-2)*2</f>
        <v>-1.7167399999999997</v>
      </c>
      <c r="W709">
        <v>76.590199999999996</v>
      </c>
      <c r="X709">
        <v>2.2516300000000001E-3</v>
      </c>
      <c r="Y709">
        <f>Table5439[[#This Row],[CFNM]]/Table5439[[#This Row],[CAREA]]</f>
        <v>2.9398408673694548E-5</v>
      </c>
      <c r="Z709">
        <v>2.8583699999999999</v>
      </c>
      <c r="AA709">
        <f>-(Table6440[[#This Row],[time]]-2)*2</f>
        <v>-1.7167399999999997</v>
      </c>
      <c r="AB709">
        <v>71.105900000000005</v>
      </c>
      <c r="AC709">
        <v>43.749000000000002</v>
      </c>
      <c r="AD709">
        <f>Table6440[[#This Row],[CFNM]]/Table6440[[#This Row],[CAREA]]</f>
        <v>0.61526539991758766</v>
      </c>
      <c r="AE709">
        <v>2.8583699999999999</v>
      </c>
      <c r="AF709">
        <f>-(Table7441[[#This Row],[time]]-2)*2</f>
        <v>-1.7167399999999997</v>
      </c>
      <c r="AG709">
        <v>73.570999999999998</v>
      </c>
      <c r="AH709">
        <v>0.88677399999999995</v>
      </c>
      <c r="AI709">
        <f>Table7441[[#This Row],[CFNM]]/Table7441[[#This Row],[CAREA]]</f>
        <v>1.2053309048402223E-2</v>
      </c>
      <c r="AJ709">
        <v>2.8583699999999999</v>
      </c>
      <c r="AK709">
        <f>-(Table8442[[#This Row],[time]]-2)*2</f>
        <v>-1.7167399999999997</v>
      </c>
      <c r="AL709">
        <v>81.8459</v>
      </c>
      <c r="AM709">
        <v>56.708599999999997</v>
      </c>
      <c r="AN709">
        <f>Table8442[[#This Row],[CFNM]]/Table8442[[#This Row],[CAREA]]</f>
        <v>0.69287038202280138</v>
      </c>
    </row>
    <row r="710" spans="1:40" x14ac:dyDescent="0.25">
      <c r="A710">
        <v>2.9134199999999999</v>
      </c>
      <c r="B710">
        <f>-(Table1435[[#This Row],[time]]-2)*2</f>
        <v>-1.8268399999999998</v>
      </c>
      <c r="C710">
        <v>42.708399999999997</v>
      </c>
      <c r="D710">
        <v>1.1861599999999999E-3</v>
      </c>
      <c r="E710">
        <f>Table1435[[#This Row],[CFNM]]/Table1435[[#This Row],[CAREA]]</f>
        <v>2.7773459085332158E-5</v>
      </c>
      <c r="F710">
        <v>2.9134199999999999</v>
      </c>
      <c r="G710">
        <f>-(Table2436[[#This Row],[time]]-2)*2</f>
        <v>-1.8268399999999998</v>
      </c>
      <c r="H710">
        <v>77.230099999999993</v>
      </c>
      <c r="I710">
        <v>43.179699999999997</v>
      </c>
      <c r="J710">
        <f>Table2436[[#This Row],[CFNM]]/Table2436[[#This Row],[CAREA]]</f>
        <v>0.55910454602544868</v>
      </c>
      <c r="K710">
        <v>2.9134199999999999</v>
      </c>
      <c r="L710">
        <f>-(Table3437[[#This Row],[time]]-2)*2</f>
        <v>-1.8268399999999998</v>
      </c>
      <c r="M710">
        <v>37.328400000000002</v>
      </c>
      <c r="N710">
        <v>3.8978299999999999E-4</v>
      </c>
      <c r="O710">
        <f>Table3437[[#This Row],[CFNM]]/Table3437[[#This Row],[CAREA]]</f>
        <v>1.0441995906601943E-5</v>
      </c>
      <c r="P710">
        <v>2.9134199999999999</v>
      </c>
      <c r="Q710">
        <f>-(Table4438[[#This Row],[time]]-2)*2</f>
        <v>-1.8268399999999998</v>
      </c>
      <c r="R710">
        <v>70.301900000000003</v>
      </c>
      <c r="S710">
        <v>44.701799999999999</v>
      </c>
      <c r="T710">
        <f>Table4438[[#This Row],[CFNM]]/Table4438[[#This Row],[CAREA]]</f>
        <v>0.63585479197575023</v>
      </c>
      <c r="U710">
        <v>2.9134199999999999</v>
      </c>
      <c r="V710">
        <f>-(Table5439[[#This Row],[time]]-2)*2</f>
        <v>-1.8268399999999998</v>
      </c>
      <c r="W710">
        <v>75.335599999999999</v>
      </c>
      <c r="X710">
        <v>2.1102E-3</v>
      </c>
      <c r="Y710">
        <f>Table5439[[#This Row],[CFNM]]/Table5439[[#This Row],[CAREA]]</f>
        <v>2.8010661626110366E-5</v>
      </c>
      <c r="Z710">
        <v>2.9134199999999999</v>
      </c>
      <c r="AA710">
        <f>-(Table6440[[#This Row],[time]]-2)*2</f>
        <v>-1.8268399999999998</v>
      </c>
      <c r="AB710">
        <v>70.495400000000004</v>
      </c>
      <c r="AC710">
        <v>45.396900000000002</v>
      </c>
      <c r="AD710">
        <f>Table6440[[#This Row],[CFNM]]/Table6440[[#This Row],[CAREA]]</f>
        <v>0.64396967745413181</v>
      </c>
      <c r="AE710">
        <v>2.9134199999999999</v>
      </c>
      <c r="AF710">
        <f>-(Table7441[[#This Row],[time]]-2)*2</f>
        <v>-1.8268399999999998</v>
      </c>
      <c r="AG710">
        <v>73.065600000000003</v>
      </c>
      <c r="AH710">
        <v>0.65165799999999996</v>
      </c>
      <c r="AI710">
        <f>Table7441[[#This Row],[CFNM]]/Table7441[[#This Row],[CAREA]]</f>
        <v>8.9188072088643624E-3</v>
      </c>
      <c r="AJ710">
        <v>2.9134199999999999</v>
      </c>
      <c r="AK710">
        <f>-(Table8442[[#This Row],[time]]-2)*2</f>
        <v>-1.8268399999999998</v>
      </c>
      <c r="AL710">
        <v>81.864099999999993</v>
      </c>
      <c r="AM710">
        <v>58.154299999999999</v>
      </c>
      <c r="AN710">
        <f>Table8442[[#This Row],[CFNM]]/Table8442[[#This Row],[CAREA]]</f>
        <v>0.71037609892492559</v>
      </c>
    </row>
    <row r="711" spans="1:40" x14ac:dyDescent="0.25">
      <c r="A711">
        <v>2.9619599999999999</v>
      </c>
      <c r="B711">
        <f>-(Table1435[[#This Row],[time]]-2)*2</f>
        <v>-1.9239199999999999</v>
      </c>
      <c r="C711">
        <v>37.326099999999997</v>
      </c>
      <c r="D711">
        <v>1.04046E-3</v>
      </c>
      <c r="E711">
        <f>Table1435[[#This Row],[CFNM]]/Table1435[[#This Row],[CAREA]]</f>
        <v>2.7874865040815947E-5</v>
      </c>
      <c r="F711">
        <v>2.9619599999999999</v>
      </c>
      <c r="G711">
        <f>-(Table2436[[#This Row],[time]]-2)*2</f>
        <v>-1.9239199999999999</v>
      </c>
      <c r="H711">
        <v>76.248500000000007</v>
      </c>
      <c r="I711">
        <v>45.1798</v>
      </c>
      <c r="J711">
        <f>Table2436[[#This Row],[CFNM]]/Table2436[[#This Row],[CAREA]]</f>
        <v>0.59253362361226769</v>
      </c>
      <c r="K711">
        <v>2.9619599999999999</v>
      </c>
      <c r="L711">
        <f>-(Table3437[[#This Row],[time]]-2)*2</f>
        <v>-1.9239199999999999</v>
      </c>
      <c r="M711">
        <v>29.671399999999998</v>
      </c>
      <c r="N711">
        <v>2.8912000000000002E-4</v>
      </c>
      <c r="O711">
        <f>Table3437[[#This Row],[CFNM]]/Table3437[[#This Row],[CAREA]]</f>
        <v>9.7440633067533063E-6</v>
      </c>
      <c r="P711">
        <v>2.9619599999999999</v>
      </c>
      <c r="Q711">
        <f>-(Table4438[[#This Row],[time]]-2)*2</f>
        <v>-1.9239199999999999</v>
      </c>
      <c r="R711">
        <v>69.522000000000006</v>
      </c>
      <c r="S711">
        <v>46.725000000000001</v>
      </c>
      <c r="T711">
        <f>Table4438[[#This Row],[CFNM]]/Table4438[[#This Row],[CAREA]]</f>
        <v>0.67208941054630189</v>
      </c>
      <c r="U711">
        <v>2.9619599999999999</v>
      </c>
      <c r="V711">
        <f>-(Table5439[[#This Row],[time]]-2)*2</f>
        <v>-1.9239199999999999</v>
      </c>
      <c r="W711">
        <v>73.639399999999995</v>
      </c>
      <c r="X711">
        <v>1.8868999999999999E-3</v>
      </c>
      <c r="Y711">
        <f>Table5439[[#This Row],[CFNM]]/Table5439[[#This Row],[CAREA]]</f>
        <v>2.5623511326816895E-5</v>
      </c>
      <c r="Z711">
        <v>2.9619599999999999</v>
      </c>
      <c r="AA711">
        <f>-(Table6440[[#This Row],[time]]-2)*2</f>
        <v>-1.9239199999999999</v>
      </c>
      <c r="AB711">
        <v>69.854600000000005</v>
      </c>
      <c r="AC711">
        <v>48.0687</v>
      </c>
      <c r="AD711">
        <f>Table6440[[#This Row],[CFNM]]/Table6440[[#This Row],[CAREA]]</f>
        <v>0.68812504831464205</v>
      </c>
      <c r="AE711">
        <v>2.9619599999999999</v>
      </c>
      <c r="AF711">
        <f>-(Table7441[[#This Row],[time]]-2)*2</f>
        <v>-1.9239199999999999</v>
      </c>
      <c r="AG711">
        <v>72.312100000000001</v>
      </c>
      <c r="AH711">
        <v>0.30652499999999999</v>
      </c>
      <c r="AI711">
        <f>Table7441[[#This Row],[CFNM]]/Table7441[[#This Row],[CAREA]]</f>
        <v>4.238917138348907E-3</v>
      </c>
      <c r="AJ711">
        <v>2.9619599999999999</v>
      </c>
      <c r="AK711">
        <f>-(Table8442[[#This Row],[time]]-2)*2</f>
        <v>-1.9239199999999999</v>
      </c>
      <c r="AL711">
        <v>81.916200000000003</v>
      </c>
      <c r="AM711">
        <v>60.467199999999998</v>
      </c>
      <c r="AN711">
        <f>Table8442[[#This Row],[CFNM]]/Table8442[[#This Row],[CAREA]]</f>
        <v>0.73815924078509498</v>
      </c>
    </row>
    <row r="712" spans="1:40" x14ac:dyDescent="0.25">
      <c r="A712">
        <v>3</v>
      </c>
      <c r="B712">
        <f>-(Table1435[[#This Row],[time]]-2)*2</f>
        <v>-2</v>
      </c>
      <c r="C712">
        <v>34.865000000000002</v>
      </c>
      <c r="D712">
        <v>9.7679499999999992E-4</v>
      </c>
      <c r="E712">
        <f>Table1435[[#This Row],[CFNM]]/Table1435[[#This Row],[CAREA]]</f>
        <v>2.8016492184138817E-5</v>
      </c>
      <c r="F712">
        <v>3</v>
      </c>
      <c r="G712">
        <f>-(Table2436[[#This Row],[time]]-2)*2</f>
        <v>-2</v>
      </c>
      <c r="H712">
        <v>75.788700000000006</v>
      </c>
      <c r="I712">
        <v>46.145899999999997</v>
      </c>
      <c r="J712">
        <f>Table2436[[#This Row],[CFNM]]/Table2436[[#This Row],[CAREA]]</f>
        <v>0.60887572949529412</v>
      </c>
      <c r="K712">
        <v>3</v>
      </c>
      <c r="L712">
        <f>-(Table3437[[#This Row],[time]]-2)*2</f>
        <v>-2</v>
      </c>
      <c r="M712">
        <v>25.638300000000001</v>
      </c>
      <c r="N712">
        <v>2.4647599999999998E-4</v>
      </c>
      <c r="O712">
        <f>Table3437[[#This Row],[CFNM]]/Table3437[[#This Row],[CAREA]]</f>
        <v>9.61358592418374E-6</v>
      </c>
      <c r="P712">
        <v>3</v>
      </c>
      <c r="Q712">
        <f>-(Table4438[[#This Row],[time]]-2)*2</f>
        <v>-2</v>
      </c>
      <c r="R712">
        <v>69.146500000000003</v>
      </c>
      <c r="S712">
        <v>47.721200000000003</v>
      </c>
      <c r="T712">
        <f>Table4438[[#This Row],[CFNM]]/Table4438[[#This Row],[CAREA]]</f>
        <v>0.69014628361522279</v>
      </c>
      <c r="U712">
        <v>3</v>
      </c>
      <c r="V712">
        <f>-(Table5439[[#This Row],[time]]-2)*2</f>
        <v>-2</v>
      </c>
      <c r="W712">
        <v>73.424499999999995</v>
      </c>
      <c r="X712">
        <v>1.78075E-3</v>
      </c>
      <c r="Y712">
        <f>Table5439[[#This Row],[CFNM]]/Table5439[[#This Row],[CAREA]]</f>
        <v>2.4252803900605387E-5</v>
      </c>
      <c r="Z712">
        <v>3</v>
      </c>
      <c r="AA712">
        <f>-(Table6440[[#This Row],[time]]-2)*2</f>
        <v>-2</v>
      </c>
      <c r="AB712">
        <v>69.186099999999996</v>
      </c>
      <c r="AC712">
        <v>49.405999999999999</v>
      </c>
      <c r="AD712">
        <f>Table6440[[#This Row],[CFNM]]/Table6440[[#This Row],[CAREA]]</f>
        <v>0.714102977332152</v>
      </c>
      <c r="AE712">
        <v>3</v>
      </c>
      <c r="AF712">
        <f>-(Table7441[[#This Row],[time]]-2)*2</f>
        <v>-2</v>
      </c>
      <c r="AG712">
        <v>71.927300000000002</v>
      </c>
      <c r="AH712">
        <v>0.213337</v>
      </c>
      <c r="AI712">
        <f>Table7441[[#This Row],[CFNM]]/Table7441[[#This Row],[CAREA]]</f>
        <v>2.9660087338187306E-3</v>
      </c>
      <c r="AJ712">
        <v>3</v>
      </c>
      <c r="AK712">
        <f>-(Table8442[[#This Row],[time]]-2)*2</f>
        <v>-2</v>
      </c>
      <c r="AL712">
        <v>81.882800000000003</v>
      </c>
      <c r="AM712">
        <v>61.629600000000003</v>
      </c>
      <c r="AN712">
        <f>Table8442[[#This Row],[CFNM]]/Table8442[[#This Row],[CAREA]]</f>
        <v>0.75265623549756477</v>
      </c>
    </row>
    <row r="714" spans="1:40" x14ac:dyDescent="0.25">
      <c r="A714" t="s">
        <v>71</v>
      </c>
      <c r="E714" t="s">
        <v>1</v>
      </c>
    </row>
    <row r="715" spans="1:40" x14ac:dyDescent="0.25">
      <c r="A715" t="s">
        <v>72</v>
      </c>
      <c r="E715" t="s">
        <v>2</v>
      </c>
      <c r="F715" t="s">
        <v>3</v>
      </c>
    </row>
    <row r="717" spans="1:40" x14ac:dyDescent="0.25">
      <c r="A717" t="s">
        <v>4</v>
      </c>
      <c r="F717" t="s">
        <v>5</v>
      </c>
      <c r="K717" t="s">
        <v>6</v>
      </c>
      <c r="P717" t="s">
        <v>7</v>
      </c>
      <c r="U717" t="s">
        <v>8</v>
      </c>
      <c r="Z717" t="s">
        <v>9</v>
      </c>
      <c r="AE717" t="s">
        <v>10</v>
      </c>
      <c r="AJ717" t="s">
        <v>11</v>
      </c>
    </row>
    <row r="718" spans="1:40" x14ac:dyDescent="0.25">
      <c r="A718" t="s">
        <v>12</v>
      </c>
      <c r="B718" t="s">
        <v>13</v>
      </c>
      <c r="C718" t="s">
        <v>14</v>
      </c>
      <c r="D718" t="s">
        <v>15</v>
      </c>
      <c r="E718" t="s">
        <v>16</v>
      </c>
      <c r="F718" t="s">
        <v>12</v>
      </c>
      <c r="G718" t="s">
        <v>13</v>
      </c>
      <c r="H718" t="s">
        <v>14</v>
      </c>
      <c r="I718" t="s">
        <v>15</v>
      </c>
      <c r="J718" t="s">
        <v>16</v>
      </c>
      <c r="K718" t="s">
        <v>12</v>
      </c>
      <c r="L718" t="s">
        <v>13</v>
      </c>
      <c r="M718" t="s">
        <v>14</v>
      </c>
      <c r="N718" t="s">
        <v>15</v>
      </c>
      <c r="O718" t="s">
        <v>16</v>
      </c>
      <c r="P718" t="s">
        <v>12</v>
      </c>
      <c r="Q718" t="s">
        <v>13</v>
      </c>
      <c r="R718" t="s">
        <v>14</v>
      </c>
      <c r="S718" t="s">
        <v>15</v>
      </c>
      <c r="T718" t="s">
        <v>16</v>
      </c>
      <c r="U718" t="s">
        <v>12</v>
      </c>
      <c r="V718" t="s">
        <v>13</v>
      </c>
      <c r="W718" t="s">
        <v>14</v>
      </c>
      <c r="X718" t="s">
        <v>15</v>
      </c>
      <c r="Y718" t="s">
        <v>16</v>
      </c>
      <c r="Z718" t="s">
        <v>12</v>
      </c>
      <c r="AA718" t="s">
        <v>13</v>
      </c>
      <c r="AB718" t="s">
        <v>14</v>
      </c>
      <c r="AC718" t="s">
        <v>15</v>
      </c>
      <c r="AD718" t="s">
        <v>16</v>
      </c>
      <c r="AE718" t="s">
        <v>12</v>
      </c>
      <c r="AF718" t="s">
        <v>13</v>
      </c>
      <c r="AG718" t="s">
        <v>14</v>
      </c>
      <c r="AH718" t="s">
        <v>15</v>
      </c>
      <c r="AI718" t="s">
        <v>16</v>
      </c>
      <c r="AJ718" t="s">
        <v>12</v>
      </c>
      <c r="AK718" t="s">
        <v>13</v>
      </c>
      <c r="AL718" t="s">
        <v>14</v>
      </c>
      <c r="AM718" t="s">
        <v>15</v>
      </c>
      <c r="AN718" t="s">
        <v>16</v>
      </c>
    </row>
    <row r="719" spans="1:40" x14ac:dyDescent="0.25">
      <c r="A719">
        <v>2</v>
      </c>
      <c r="B719">
        <f>(Table110443[[#This Row],[time]]-2)*2</f>
        <v>0</v>
      </c>
      <c r="C719">
        <v>89.938400000000001</v>
      </c>
      <c r="D719">
        <v>9.7723600000000008</v>
      </c>
      <c r="E719" s="2">
        <f>Table110443[[#This Row],[CFNM]]/Table110443[[#This Row],[CAREA]]</f>
        <v>0.10865614687386034</v>
      </c>
      <c r="F719">
        <v>2</v>
      </c>
      <c r="G719">
        <f>(Table211444[[#This Row],[time]]-2)*2</f>
        <v>0</v>
      </c>
      <c r="H719">
        <v>94.646000000000001</v>
      </c>
      <c r="I719">
        <v>2.6699700000000002</v>
      </c>
      <c r="J719" s="2">
        <f>Table211444[[#This Row],[CFNM]]/Table211444[[#This Row],[CAREA]]</f>
        <v>2.8210066986454792E-2</v>
      </c>
      <c r="K719">
        <v>2</v>
      </c>
      <c r="L719">
        <f>(Table312445[[#This Row],[time]]-2)*2</f>
        <v>0</v>
      </c>
      <c r="M719">
        <v>88.069500000000005</v>
      </c>
      <c r="N719">
        <v>3.05586</v>
      </c>
      <c r="O719">
        <f>Table312445[[#This Row],[CFNM]]/Table312445[[#This Row],[CAREA]]</f>
        <v>3.4698278064483161E-2</v>
      </c>
      <c r="P719">
        <v>2</v>
      </c>
      <c r="Q719">
        <f>(Table413446[[#This Row],[time]]-2)*2</f>
        <v>0</v>
      </c>
      <c r="R719">
        <v>85.109300000000005</v>
      </c>
      <c r="S719">
        <v>5.3593999999999999</v>
      </c>
      <c r="T719">
        <f>Table413446[[#This Row],[CFNM]]/Table413446[[#This Row],[CAREA]]</f>
        <v>6.2970791676115301E-2</v>
      </c>
      <c r="U719">
        <v>2</v>
      </c>
      <c r="V719">
        <f>(Table514447[[#This Row],[time]]-2)*2</f>
        <v>0</v>
      </c>
      <c r="W719">
        <v>82.472200000000001</v>
      </c>
      <c r="X719">
        <v>7.9013</v>
      </c>
      <c r="Y719">
        <f>Table514447[[#This Row],[CFNM]]/Table514447[[#This Row],[CAREA]]</f>
        <v>9.580561692303588E-2</v>
      </c>
      <c r="Z719">
        <v>2</v>
      </c>
      <c r="AA719">
        <f>(Table615448[[#This Row],[time]]-2)*2</f>
        <v>0</v>
      </c>
      <c r="AB719">
        <v>88.875200000000007</v>
      </c>
      <c r="AC719">
        <v>14.234400000000001</v>
      </c>
      <c r="AD719">
        <f>Table615448[[#This Row],[CFNM]]/Table615448[[#This Row],[CAREA]]</f>
        <v>0.16016166489639405</v>
      </c>
      <c r="AE719">
        <v>2</v>
      </c>
      <c r="AF719">
        <f>(Table716449[[#This Row],[time]]-2)*2</f>
        <v>0</v>
      </c>
      <c r="AG719">
        <v>77.929299999999998</v>
      </c>
      <c r="AH719">
        <v>21.065899999999999</v>
      </c>
      <c r="AI719">
        <f>Table716449[[#This Row],[CFNM]]/Table716449[[#This Row],[CAREA]]</f>
        <v>0.27032066244660224</v>
      </c>
      <c r="AJ719">
        <v>2</v>
      </c>
      <c r="AK719">
        <f>(Table817450[[#This Row],[time]]-2)*2</f>
        <v>0</v>
      </c>
      <c r="AL719">
        <v>83.325199999999995</v>
      </c>
      <c r="AM719">
        <v>21.034700000000001</v>
      </c>
      <c r="AN719">
        <f>Table817450[[#This Row],[CFNM]]/Table817450[[#This Row],[CAREA]]</f>
        <v>0.25244103824533276</v>
      </c>
    </row>
    <row r="720" spans="1:40" x14ac:dyDescent="0.25">
      <c r="A720">
        <v>2.0512600000000001</v>
      </c>
      <c r="B720">
        <f>(Table110443[[#This Row],[time]]-2)*2</f>
        <v>0.10252000000000017</v>
      </c>
      <c r="C720">
        <v>90.229900000000001</v>
      </c>
      <c r="D720">
        <v>10.454599999999999</v>
      </c>
      <c r="E720">
        <f>Table110443[[#This Row],[CFNM]]/Table110443[[#This Row],[CAREA]]</f>
        <v>0.11586624832788243</v>
      </c>
      <c r="F720">
        <v>2.0512600000000001</v>
      </c>
      <c r="G720">
        <f>(Table211444[[#This Row],[time]]-2)*2</f>
        <v>0.10252000000000017</v>
      </c>
      <c r="H720">
        <v>94.586600000000004</v>
      </c>
      <c r="I720">
        <v>2.03383</v>
      </c>
      <c r="J720">
        <f>Table211444[[#This Row],[CFNM]]/Table211444[[#This Row],[CAREA]]</f>
        <v>2.1502305823446449E-2</v>
      </c>
      <c r="K720">
        <v>2.0512600000000001</v>
      </c>
      <c r="L720">
        <f>(Table312445[[#This Row],[time]]-2)*2</f>
        <v>0.10252000000000017</v>
      </c>
      <c r="M720">
        <v>88.095399999999998</v>
      </c>
      <c r="N720">
        <v>4.0905699999999996</v>
      </c>
      <c r="O720">
        <f>Table312445[[#This Row],[CFNM]]/Table312445[[#This Row],[CAREA]]</f>
        <v>4.6433411960215852E-2</v>
      </c>
      <c r="P720">
        <v>2.0512600000000001</v>
      </c>
      <c r="Q720">
        <f>(Table413446[[#This Row],[time]]-2)*2</f>
        <v>0.10252000000000017</v>
      </c>
      <c r="R720">
        <v>85.135199999999998</v>
      </c>
      <c r="S720">
        <v>4.5708700000000002</v>
      </c>
      <c r="T720">
        <f>Table413446[[#This Row],[CFNM]]/Table413446[[#This Row],[CAREA]]</f>
        <v>5.3689543220665485E-2</v>
      </c>
      <c r="U720">
        <v>2.0512600000000001</v>
      </c>
      <c r="V720">
        <f>(Table514447[[#This Row],[time]]-2)*2</f>
        <v>0.10252000000000017</v>
      </c>
      <c r="W720">
        <v>82.791300000000007</v>
      </c>
      <c r="X720">
        <v>9.3407199999999992</v>
      </c>
      <c r="Y720">
        <f>Table514447[[#This Row],[CFNM]]/Table514447[[#This Row],[CAREA]]</f>
        <v>0.1128224825555342</v>
      </c>
      <c r="Z720">
        <v>2.0512600000000001</v>
      </c>
      <c r="AA720">
        <f>(Table615448[[#This Row],[time]]-2)*2</f>
        <v>0.10252000000000017</v>
      </c>
      <c r="AB720">
        <v>88.777699999999996</v>
      </c>
      <c r="AC720">
        <v>13.923400000000001</v>
      </c>
      <c r="AD720">
        <f>Table615448[[#This Row],[CFNM]]/Table615448[[#This Row],[CAREA]]</f>
        <v>0.15683443026796146</v>
      </c>
      <c r="AE720">
        <v>2.0512600000000001</v>
      </c>
      <c r="AF720">
        <f>(Table716449[[#This Row],[time]]-2)*2</f>
        <v>0.10252000000000017</v>
      </c>
      <c r="AG720">
        <v>77.823400000000007</v>
      </c>
      <c r="AH720">
        <v>22.965900000000001</v>
      </c>
      <c r="AI720">
        <f>Table716449[[#This Row],[CFNM]]/Table716449[[#This Row],[CAREA]]</f>
        <v>0.29510275829634786</v>
      </c>
      <c r="AJ720">
        <v>2.0512600000000001</v>
      </c>
      <c r="AK720">
        <f>(Table817450[[#This Row],[time]]-2)*2</f>
        <v>0.10252000000000017</v>
      </c>
      <c r="AL720">
        <v>83.376099999999994</v>
      </c>
      <c r="AM720">
        <v>19.629899999999999</v>
      </c>
      <c r="AN720">
        <f>Table817450[[#This Row],[CFNM]]/Table817450[[#This Row],[CAREA]]</f>
        <v>0.23543797323213728</v>
      </c>
    </row>
    <row r="721" spans="1:40" x14ac:dyDescent="0.25">
      <c r="A721">
        <v>2.1153300000000002</v>
      </c>
      <c r="B721">
        <f>(Table110443[[#This Row],[time]]-2)*2</f>
        <v>0.23066000000000031</v>
      </c>
      <c r="C721">
        <v>90.157499999999999</v>
      </c>
      <c r="D721">
        <v>12.410500000000001</v>
      </c>
      <c r="E721">
        <f>Table110443[[#This Row],[CFNM]]/Table110443[[#This Row],[CAREA]]</f>
        <v>0.13765355073066579</v>
      </c>
      <c r="F721">
        <v>2.1153300000000002</v>
      </c>
      <c r="G721">
        <f>(Table211444[[#This Row],[time]]-2)*2</f>
        <v>0.23066000000000031</v>
      </c>
      <c r="H721">
        <v>94.188800000000001</v>
      </c>
      <c r="I721">
        <v>0.463868</v>
      </c>
      <c r="J721">
        <f>Table211444[[#This Row],[CFNM]]/Table211444[[#This Row],[CAREA]]</f>
        <v>4.9248742950329548E-3</v>
      </c>
      <c r="K721">
        <v>2.1153300000000002</v>
      </c>
      <c r="L721">
        <f>(Table312445[[#This Row],[time]]-2)*2</f>
        <v>0.23066000000000031</v>
      </c>
      <c r="M721">
        <v>87.938599999999994</v>
      </c>
      <c r="N721">
        <v>6.4866599999999996</v>
      </c>
      <c r="O721">
        <f>Table312445[[#This Row],[CFNM]]/Table312445[[#This Row],[CAREA]]</f>
        <v>7.3763512268787537E-2</v>
      </c>
      <c r="P721">
        <v>2.1153300000000002</v>
      </c>
      <c r="Q721">
        <f>(Table413446[[#This Row],[time]]-2)*2</f>
        <v>0.23066000000000031</v>
      </c>
      <c r="R721">
        <v>85.224800000000002</v>
      </c>
      <c r="S721">
        <v>2.6754199999999999</v>
      </c>
      <c r="T721">
        <f>Table413446[[#This Row],[CFNM]]/Table413446[[#This Row],[CAREA]]</f>
        <v>3.1392505467891976E-2</v>
      </c>
      <c r="U721">
        <v>2.1153300000000002</v>
      </c>
      <c r="V721">
        <f>(Table514447[[#This Row],[time]]-2)*2</f>
        <v>0.23066000000000031</v>
      </c>
      <c r="W721">
        <v>82.9358</v>
      </c>
      <c r="X721">
        <v>12.073600000000001</v>
      </c>
      <c r="Y721">
        <f>Table514447[[#This Row],[CFNM]]/Table514447[[#This Row],[CAREA]]</f>
        <v>0.14557766368685177</v>
      </c>
      <c r="Z721">
        <v>2.1153300000000002</v>
      </c>
      <c r="AA721">
        <f>(Table615448[[#This Row],[time]]-2)*2</f>
        <v>0.23066000000000031</v>
      </c>
      <c r="AB721">
        <v>89.165300000000002</v>
      </c>
      <c r="AC721">
        <v>13.6838</v>
      </c>
      <c r="AD721">
        <f>Table615448[[#This Row],[CFNM]]/Table615448[[#This Row],[CAREA]]</f>
        <v>0.1534655297520448</v>
      </c>
      <c r="AE721">
        <v>2.1153300000000002</v>
      </c>
      <c r="AF721">
        <f>(Table716449[[#This Row],[time]]-2)*2</f>
        <v>0.23066000000000031</v>
      </c>
      <c r="AG721">
        <v>77.705399999999997</v>
      </c>
      <c r="AH721">
        <v>25.969000000000001</v>
      </c>
      <c r="AI721">
        <f>Table716449[[#This Row],[CFNM]]/Table716449[[#This Row],[CAREA]]</f>
        <v>0.33419813809593674</v>
      </c>
      <c r="AJ721">
        <v>2.1153300000000002</v>
      </c>
      <c r="AK721">
        <f>(Table817450[[#This Row],[time]]-2)*2</f>
        <v>0.23066000000000031</v>
      </c>
      <c r="AL721">
        <v>83.285799999999995</v>
      </c>
      <c r="AM721">
        <v>17.5898</v>
      </c>
      <c r="AN721">
        <f>Table817450[[#This Row],[CFNM]]/Table817450[[#This Row],[CAREA]]</f>
        <v>0.21119806737763222</v>
      </c>
    </row>
    <row r="722" spans="1:40" x14ac:dyDescent="0.25">
      <c r="A722">
        <v>2.16533</v>
      </c>
      <c r="B722">
        <f>(Table110443[[#This Row],[time]]-2)*2</f>
        <v>0.33065999999999995</v>
      </c>
      <c r="C722">
        <v>89.971699999999998</v>
      </c>
      <c r="D722">
        <v>14.138</v>
      </c>
      <c r="E722">
        <f>Table110443[[#This Row],[CFNM]]/Table110443[[#This Row],[CAREA]]</f>
        <v>0.15713830015438188</v>
      </c>
      <c r="F722">
        <v>2.16533</v>
      </c>
      <c r="G722">
        <f>(Table211444[[#This Row],[time]]-2)*2</f>
        <v>0.33065999999999995</v>
      </c>
      <c r="H722">
        <v>93.813699999999997</v>
      </c>
      <c r="I722">
        <v>5.3082199999999998E-3</v>
      </c>
      <c r="J722">
        <f>Table211444[[#This Row],[CFNM]]/Table211444[[#This Row],[CAREA]]</f>
        <v>5.6582567364894468E-5</v>
      </c>
      <c r="K722">
        <v>2.16533</v>
      </c>
      <c r="L722">
        <f>(Table312445[[#This Row],[time]]-2)*2</f>
        <v>0.33065999999999995</v>
      </c>
      <c r="M722">
        <v>87.569699999999997</v>
      </c>
      <c r="N722">
        <v>8.8977900000000005</v>
      </c>
      <c r="O722">
        <f>Table312445[[#This Row],[CFNM]]/Table312445[[#This Row],[CAREA]]</f>
        <v>0.10160809046964876</v>
      </c>
      <c r="P722">
        <v>2.16533</v>
      </c>
      <c r="Q722">
        <f>(Table413446[[#This Row],[time]]-2)*2</f>
        <v>0.33065999999999995</v>
      </c>
      <c r="R722">
        <v>85.8001</v>
      </c>
      <c r="S722">
        <v>1.3641099999999999</v>
      </c>
      <c r="T722">
        <f>Table413446[[#This Row],[CFNM]]/Table413446[[#This Row],[CAREA]]</f>
        <v>1.5898699418765247E-2</v>
      </c>
      <c r="U722">
        <v>2.16533</v>
      </c>
      <c r="V722">
        <f>(Table514447[[#This Row],[time]]-2)*2</f>
        <v>0.33065999999999995</v>
      </c>
      <c r="W722">
        <v>82.602000000000004</v>
      </c>
      <c r="X722">
        <v>14.309200000000001</v>
      </c>
      <c r="Y722">
        <f>Table514447[[#This Row],[CFNM]]/Table514447[[#This Row],[CAREA]]</f>
        <v>0.17323067238081402</v>
      </c>
      <c r="Z722">
        <v>2.16533</v>
      </c>
      <c r="AA722">
        <f>(Table615448[[#This Row],[time]]-2)*2</f>
        <v>0.33065999999999995</v>
      </c>
      <c r="AB722">
        <v>88.523200000000003</v>
      </c>
      <c r="AC722">
        <v>13.5984</v>
      </c>
      <c r="AD722">
        <f>Table615448[[#This Row],[CFNM]]/Table615448[[#This Row],[CAREA]]</f>
        <v>0.15361396786379164</v>
      </c>
      <c r="AE722">
        <v>2.16533</v>
      </c>
      <c r="AF722">
        <f>(Table716449[[#This Row],[time]]-2)*2</f>
        <v>0.33065999999999995</v>
      </c>
      <c r="AG722">
        <v>77.602699999999999</v>
      </c>
      <c r="AH722">
        <v>28.493500000000001</v>
      </c>
      <c r="AI722">
        <f>Table716449[[#This Row],[CFNM]]/Table716449[[#This Row],[CAREA]]</f>
        <v>0.36717150305337315</v>
      </c>
      <c r="AJ722">
        <v>2.16533</v>
      </c>
      <c r="AK722">
        <f>(Table817450[[#This Row],[time]]-2)*2</f>
        <v>0.33065999999999995</v>
      </c>
      <c r="AL722">
        <v>83.463899999999995</v>
      </c>
      <c r="AM722">
        <v>16.224</v>
      </c>
      <c r="AN722">
        <f>Table817450[[#This Row],[CFNM]]/Table817450[[#This Row],[CAREA]]</f>
        <v>0.194383440026167</v>
      </c>
    </row>
    <row r="723" spans="1:40" x14ac:dyDescent="0.25">
      <c r="A723">
        <v>2.2246999999999999</v>
      </c>
      <c r="B723">
        <f>(Table110443[[#This Row],[time]]-2)*2</f>
        <v>0.4493999999999998</v>
      </c>
      <c r="C723">
        <v>89.745800000000003</v>
      </c>
      <c r="D723">
        <v>16.0139</v>
      </c>
      <c r="E723">
        <f>Table110443[[#This Row],[CFNM]]/Table110443[[#This Row],[CAREA]]</f>
        <v>0.17843620537117055</v>
      </c>
      <c r="F723">
        <v>2.2246999999999999</v>
      </c>
      <c r="G723">
        <f>(Table211444[[#This Row],[time]]-2)*2</f>
        <v>0.4493999999999998</v>
      </c>
      <c r="H723">
        <v>92.979900000000001</v>
      </c>
      <c r="I723">
        <v>4.5737699999999996E-3</v>
      </c>
      <c r="J723">
        <f>Table211444[[#This Row],[CFNM]]/Table211444[[#This Row],[CAREA]]</f>
        <v>4.9190954173966627E-5</v>
      </c>
      <c r="K723">
        <v>2.2246999999999999</v>
      </c>
      <c r="L723">
        <f>(Table312445[[#This Row],[time]]-2)*2</f>
        <v>0.4493999999999998</v>
      </c>
      <c r="M723">
        <v>87.423000000000002</v>
      </c>
      <c r="N723">
        <v>11.632899999999999</v>
      </c>
      <c r="O723">
        <f>Table312445[[#This Row],[CFNM]]/Table312445[[#This Row],[CAREA]]</f>
        <v>0.13306452535373986</v>
      </c>
      <c r="P723">
        <v>2.2246999999999999</v>
      </c>
      <c r="Q723">
        <f>(Table413446[[#This Row],[time]]-2)*2</f>
        <v>0.4493999999999998</v>
      </c>
      <c r="R723">
        <v>86.302199999999999</v>
      </c>
      <c r="S723">
        <v>0.46016000000000001</v>
      </c>
      <c r="T723">
        <f>Table413446[[#This Row],[CFNM]]/Table413446[[#This Row],[CAREA]]</f>
        <v>5.3319614100219926E-3</v>
      </c>
      <c r="U723">
        <v>2.2246999999999999</v>
      </c>
      <c r="V723">
        <f>(Table514447[[#This Row],[time]]-2)*2</f>
        <v>0.4493999999999998</v>
      </c>
      <c r="W723">
        <v>81.603899999999996</v>
      </c>
      <c r="X723">
        <v>16.709499999999998</v>
      </c>
      <c r="Y723">
        <f>Table514447[[#This Row],[CFNM]]/Table514447[[#This Row],[CAREA]]</f>
        <v>0.2047634978230207</v>
      </c>
      <c r="Z723">
        <v>2.2246999999999999</v>
      </c>
      <c r="AA723">
        <f>(Table615448[[#This Row],[time]]-2)*2</f>
        <v>0.4493999999999998</v>
      </c>
      <c r="AB723">
        <v>89.236000000000004</v>
      </c>
      <c r="AC723">
        <v>13.3325</v>
      </c>
      <c r="AD723">
        <f>Table615448[[#This Row],[CFNM]]/Table615448[[#This Row],[CAREA]]</f>
        <v>0.14940718992334931</v>
      </c>
      <c r="AE723">
        <v>2.2246999999999999</v>
      </c>
      <c r="AF723">
        <f>(Table716449[[#This Row],[time]]-2)*2</f>
        <v>0.4493999999999998</v>
      </c>
      <c r="AG723">
        <v>77.685500000000005</v>
      </c>
      <c r="AH723">
        <v>31.071899999999999</v>
      </c>
      <c r="AI723">
        <f>Table716449[[#This Row],[CFNM]]/Table716449[[#This Row],[CAREA]]</f>
        <v>0.39997039344536622</v>
      </c>
      <c r="AJ723">
        <v>2.2246999999999999</v>
      </c>
      <c r="AK723">
        <f>(Table817450[[#This Row],[time]]-2)*2</f>
        <v>0.4493999999999998</v>
      </c>
      <c r="AL723">
        <v>83.343999999999994</v>
      </c>
      <c r="AM723">
        <v>15.1296</v>
      </c>
      <c r="AN723">
        <f>Table817450[[#This Row],[CFNM]]/Table817450[[#This Row],[CAREA]]</f>
        <v>0.1815319639086197</v>
      </c>
    </row>
    <row r="724" spans="1:40" x14ac:dyDescent="0.25">
      <c r="A724">
        <v>2.2668900000000001</v>
      </c>
      <c r="B724">
        <f>(Table110443[[#This Row],[time]]-2)*2</f>
        <v>0.53378000000000014</v>
      </c>
      <c r="C724">
        <v>89.5989</v>
      </c>
      <c r="D724">
        <v>17.6614</v>
      </c>
      <c r="E724">
        <f>Table110443[[#This Row],[CFNM]]/Table110443[[#This Row],[CAREA]]</f>
        <v>0.19711625923978979</v>
      </c>
      <c r="F724">
        <v>2.2668900000000001</v>
      </c>
      <c r="G724">
        <f>(Table211444[[#This Row],[time]]-2)*2</f>
        <v>0.53378000000000014</v>
      </c>
      <c r="H724">
        <v>91.391000000000005</v>
      </c>
      <c r="I724">
        <v>4.0674500000000002E-3</v>
      </c>
      <c r="J724">
        <f>Table211444[[#This Row],[CFNM]]/Table211444[[#This Row],[CAREA]]</f>
        <v>4.450602356906041E-5</v>
      </c>
      <c r="K724">
        <v>2.2668900000000001</v>
      </c>
      <c r="L724">
        <f>(Table312445[[#This Row],[time]]-2)*2</f>
        <v>0.53378000000000014</v>
      </c>
      <c r="M724">
        <v>86.968100000000007</v>
      </c>
      <c r="N724">
        <v>13.9061</v>
      </c>
      <c r="O724">
        <f>Table312445[[#This Row],[CFNM]]/Table312445[[#This Row],[CAREA]]</f>
        <v>0.15989885946686197</v>
      </c>
      <c r="P724">
        <v>2.2668900000000001</v>
      </c>
      <c r="Q724">
        <f>(Table413446[[#This Row],[time]]-2)*2</f>
        <v>0.53378000000000014</v>
      </c>
      <c r="R724">
        <v>86.365600000000001</v>
      </c>
      <c r="S724">
        <v>5.2955900000000002E-3</v>
      </c>
      <c r="T724">
        <f>Table413446[[#This Row],[CFNM]]/Table413446[[#This Row],[CAREA]]</f>
        <v>6.1315963763350218E-5</v>
      </c>
      <c r="U724">
        <v>2.2668900000000001</v>
      </c>
      <c r="V724">
        <f>(Table514447[[#This Row],[time]]-2)*2</f>
        <v>0.53378000000000014</v>
      </c>
      <c r="W724">
        <v>81.060599999999994</v>
      </c>
      <c r="X724">
        <v>18.703600000000002</v>
      </c>
      <c r="Y724">
        <f>Table514447[[#This Row],[CFNM]]/Table514447[[#This Row],[CAREA]]</f>
        <v>0.23073601725129106</v>
      </c>
      <c r="Z724">
        <v>2.2668900000000001</v>
      </c>
      <c r="AA724">
        <f>(Table615448[[#This Row],[time]]-2)*2</f>
        <v>0.53378000000000014</v>
      </c>
      <c r="AB724">
        <v>90.960599999999999</v>
      </c>
      <c r="AC724">
        <v>12.9442</v>
      </c>
      <c r="AD724">
        <f>Table615448[[#This Row],[CFNM]]/Table615448[[#This Row],[CAREA]]</f>
        <v>0.14230556966422825</v>
      </c>
      <c r="AE724">
        <v>2.2668900000000001</v>
      </c>
      <c r="AF724">
        <f>(Table716449[[#This Row],[time]]-2)*2</f>
        <v>0.53378000000000014</v>
      </c>
      <c r="AG724">
        <v>77.681899999999999</v>
      </c>
      <c r="AH724">
        <v>33.100900000000003</v>
      </c>
      <c r="AI724">
        <f>Table716449[[#This Row],[CFNM]]/Table716449[[#This Row],[CAREA]]</f>
        <v>0.42610826975138355</v>
      </c>
      <c r="AJ724">
        <v>2.2668900000000001</v>
      </c>
      <c r="AK724">
        <f>(Table817450[[#This Row],[time]]-2)*2</f>
        <v>0.53378000000000014</v>
      </c>
      <c r="AL724">
        <v>83.2273</v>
      </c>
      <c r="AM724">
        <v>14.3985</v>
      </c>
      <c r="AN724">
        <f>Table817450[[#This Row],[CFNM]]/Table817450[[#This Row],[CAREA]]</f>
        <v>0.17300212790754957</v>
      </c>
    </row>
    <row r="725" spans="1:40" x14ac:dyDescent="0.25">
      <c r="A725">
        <v>2.3262700000000001</v>
      </c>
      <c r="B725">
        <f>(Table110443[[#This Row],[time]]-2)*2</f>
        <v>0.65254000000000012</v>
      </c>
      <c r="C725">
        <v>89.251599999999996</v>
      </c>
      <c r="D725">
        <v>20.263000000000002</v>
      </c>
      <c r="E725">
        <f>Table110443[[#This Row],[CFNM]]/Table110443[[#This Row],[CAREA]]</f>
        <v>0.22703234451819354</v>
      </c>
      <c r="F725">
        <v>2.3262700000000001</v>
      </c>
      <c r="G725">
        <f>(Table211444[[#This Row],[time]]-2)*2</f>
        <v>0.65254000000000012</v>
      </c>
      <c r="H725">
        <v>89.166600000000003</v>
      </c>
      <c r="I725">
        <v>3.43546E-3</v>
      </c>
      <c r="J725">
        <f>Table211444[[#This Row],[CFNM]]/Table211444[[#This Row],[CAREA]]</f>
        <v>3.8528552170880126E-5</v>
      </c>
      <c r="K725">
        <v>2.3262700000000001</v>
      </c>
      <c r="L725">
        <f>(Table312445[[#This Row],[time]]-2)*2</f>
        <v>0.65254000000000012</v>
      </c>
      <c r="M725">
        <v>85.987499999999997</v>
      </c>
      <c r="N725">
        <v>17.7498</v>
      </c>
      <c r="O725">
        <f>Table312445[[#This Row],[CFNM]]/Table312445[[#This Row],[CAREA]]</f>
        <v>0.2064230266027039</v>
      </c>
      <c r="P725">
        <v>2.3262700000000001</v>
      </c>
      <c r="Q725">
        <f>(Table413446[[#This Row],[time]]-2)*2</f>
        <v>0.65254000000000012</v>
      </c>
      <c r="R725">
        <v>86.093100000000007</v>
      </c>
      <c r="S725">
        <v>4.2261299999999998E-3</v>
      </c>
      <c r="T725">
        <f>Table413446[[#This Row],[CFNM]]/Table413446[[#This Row],[CAREA]]</f>
        <v>4.9087905999435488E-5</v>
      </c>
      <c r="U725">
        <v>2.3262700000000001</v>
      </c>
      <c r="V725">
        <f>(Table514447[[#This Row],[time]]-2)*2</f>
        <v>0.65254000000000012</v>
      </c>
      <c r="W725">
        <v>77.886600000000001</v>
      </c>
      <c r="X725">
        <v>21.749700000000001</v>
      </c>
      <c r="Y725">
        <f>Table514447[[#This Row],[CFNM]]/Table514447[[#This Row],[CAREA]]</f>
        <v>0.27924829174723254</v>
      </c>
      <c r="Z725">
        <v>2.3262700000000001</v>
      </c>
      <c r="AA725">
        <f>(Table615448[[#This Row],[time]]-2)*2</f>
        <v>0.65254000000000012</v>
      </c>
      <c r="AB725">
        <v>91.468699999999998</v>
      </c>
      <c r="AC725">
        <v>11.869400000000001</v>
      </c>
      <c r="AD725">
        <f>Table615448[[#This Row],[CFNM]]/Table615448[[#This Row],[CAREA]]</f>
        <v>0.12976460800251891</v>
      </c>
      <c r="AE725">
        <v>2.3262700000000001</v>
      </c>
      <c r="AF725">
        <f>(Table716449[[#This Row],[time]]-2)*2</f>
        <v>0.65254000000000012</v>
      </c>
      <c r="AG725">
        <v>77.656700000000001</v>
      </c>
      <c r="AH725">
        <v>36.081400000000002</v>
      </c>
      <c r="AI725">
        <f>Table716449[[#This Row],[CFNM]]/Table716449[[#This Row],[CAREA]]</f>
        <v>0.46462700578314559</v>
      </c>
      <c r="AJ725">
        <v>2.3262700000000001</v>
      </c>
      <c r="AK725">
        <f>(Table817450[[#This Row],[time]]-2)*2</f>
        <v>0.65254000000000012</v>
      </c>
      <c r="AL725">
        <v>82.992699999999999</v>
      </c>
      <c r="AM725">
        <v>13.4398</v>
      </c>
      <c r="AN725">
        <f>Table817450[[#This Row],[CFNM]]/Table817450[[#This Row],[CAREA]]</f>
        <v>0.16193954408038297</v>
      </c>
    </row>
    <row r="726" spans="1:40" x14ac:dyDescent="0.25">
      <c r="A726">
        <v>2.3684599999999998</v>
      </c>
      <c r="B726">
        <f>(Table110443[[#This Row],[time]]-2)*2</f>
        <v>0.73691999999999958</v>
      </c>
      <c r="C726">
        <v>88.961600000000004</v>
      </c>
      <c r="D726">
        <v>22.715299999999999</v>
      </c>
      <c r="E726">
        <f>Table110443[[#This Row],[CFNM]]/Table110443[[#This Row],[CAREA]]</f>
        <v>0.25533825830470674</v>
      </c>
      <c r="F726">
        <v>2.3684599999999998</v>
      </c>
      <c r="G726">
        <f>(Table211444[[#This Row],[time]]-2)*2</f>
        <v>0.73691999999999958</v>
      </c>
      <c r="H726">
        <v>85.453400000000002</v>
      </c>
      <c r="I726">
        <v>2.84732E-3</v>
      </c>
      <c r="J726">
        <f>Table211444[[#This Row],[CFNM]]/Table211444[[#This Row],[CAREA]]</f>
        <v>3.3320148759440814E-5</v>
      </c>
      <c r="K726">
        <v>2.3684599999999998</v>
      </c>
      <c r="L726">
        <f>(Table312445[[#This Row],[time]]-2)*2</f>
        <v>0.73691999999999958</v>
      </c>
      <c r="M726">
        <v>85.082899999999995</v>
      </c>
      <c r="N726">
        <v>21.259</v>
      </c>
      <c r="O726">
        <f>Table312445[[#This Row],[CFNM]]/Table312445[[#This Row],[CAREA]]</f>
        <v>0.2498621932256658</v>
      </c>
      <c r="P726">
        <v>2.3684599999999998</v>
      </c>
      <c r="Q726">
        <f>(Table413446[[#This Row],[time]]-2)*2</f>
        <v>0.73691999999999958</v>
      </c>
      <c r="R726">
        <v>85.749099999999999</v>
      </c>
      <c r="S726">
        <v>3.4557899999999998E-3</v>
      </c>
      <c r="T726">
        <f>Table413446[[#This Row],[CFNM]]/Table413446[[#This Row],[CAREA]]</f>
        <v>4.0301181003649019E-5</v>
      </c>
      <c r="U726">
        <v>2.3684599999999998</v>
      </c>
      <c r="V726">
        <f>(Table514447[[#This Row],[time]]-2)*2</f>
        <v>0.73691999999999958</v>
      </c>
      <c r="W726">
        <v>76.236099999999993</v>
      </c>
      <c r="X726">
        <v>24.345400000000001</v>
      </c>
      <c r="Y726">
        <f>Table514447[[#This Row],[CFNM]]/Table514447[[#This Row],[CAREA]]</f>
        <v>0.31934214892944424</v>
      </c>
      <c r="Z726">
        <v>2.3684599999999998</v>
      </c>
      <c r="AA726">
        <f>(Table615448[[#This Row],[time]]-2)*2</f>
        <v>0.73691999999999958</v>
      </c>
      <c r="AB726">
        <v>91.069000000000003</v>
      </c>
      <c r="AC726">
        <v>10.487</v>
      </c>
      <c r="AD726">
        <f>Table615448[[#This Row],[CFNM]]/Table615448[[#This Row],[CAREA]]</f>
        <v>0.11515444333417518</v>
      </c>
      <c r="AE726">
        <v>2.3684599999999998</v>
      </c>
      <c r="AF726">
        <f>(Table716449[[#This Row],[time]]-2)*2</f>
        <v>0.73691999999999958</v>
      </c>
      <c r="AG726">
        <v>77.615600000000001</v>
      </c>
      <c r="AH726">
        <v>38.753100000000003</v>
      </c>
      <c r="AI726">
        <f>Table716449[[#This Row],[CFNM]]/Table716449[[#This Row],[CAREA]]</f>
        <v>0.49929524477038123</v>
      </c>
      <c r="AJ726">
        <v>2.3684599999999998</v>
      </c>
      <c r="AK726">
        <f>(Table817450[[#This Row],[time]]-2)*2</f>
        <v>0.73691999999999958</v>
      </c>
      <c r="AL726">
        <v>82.527199999999993</v>
      </c>
      <c r="AM726">
        <v>12.6576</v>
      </c>
      <c r="AN726">
        <f>Table817450[[#This Row],[CFNM]]/Table817450[[#This Row],[CAREA]]</f>
        <v>0.15337488730988089</v>
      </c>
    </row>
    <row r="727" spans="1:40" x14ac:dyDescent="0.25">
      <c r="A727">
        <v>2.4278300000000002</v>
      </c>
      <c r="B727">
        <f>(Table110443[[#This Row],[time]]-2)*2</f>
        <v>0.85566000000000031</v>
      </c>
      <c r="C727">
        <v>88.4</v>
      </c>
      <c r="D727">
        <v>25.850999999999999</v>
      </c>
      <c r="E727">
        <f>Table110443[[#This Row],[CFNM]]/Table110443[[#This Row],[CAREA]]</f>
        <v>0.29243212669683255</v>
      </c>
      <c r="F727">
        <v>2.4278300000000002</v>
      </c>
      <c r="G727">
        <f>(Table211444[[#This Row],[time]]-2)*2</f>
        <v>0.85566000000000031</v>
      </c>
      <c r="H727">
        <v>69.489599999999996</v>
      </c>
      <c r="I727">
        <v>2.1599700000000002E-3</v>
      </c>
      <c r="J727">
        <f>Table211444[[#This Row],[CFNM]]/Table211444[[#This Row],[CAREA]]</f>
        <v>3.1083356358361541E-5</v>
      </c>
      <c r="K727">
        <v>2.4278300000000002</v>
      </c>
      <c r="L727">
        <f>(Table312445[[#This Row],[time]]-2)*2</f>
        <v>0.85566000000000031</v>
      </c>
      <c r="M727">
        <v>84.279799999999994</v>
      </c>
      <c r="N727">
        <v>25.079000000000001</v>
      </c>
      <c r="O727">
        <f>Table312445[[#This Row],[CFNM]]/Table312445[[#This Row],[CAREA]]</f>
        <v>0.29756833784607939</v>
      </c>
      <c r="P727">
        <v>2.4278300000000002</v>
      </c>
      <c r="Q727">
        <f>(Table413446[[#This Row],[time]]-2)*2</f>
        <v>0.85566000000000031</v>
      </c>
      <c r="R727">
        <v>84.285799999999995</v>
      </c>
      <c r="S727">
        <v>2.7802E-3</v>
      </c>
      <c r="T727">
        <f>Table413446[[#This Row],[CFNM]]/Table413446[[#This Row],[CAREA]]</f>
        <v>3.2985390184348966E-5</v>
      </c>
      <c r="U727">
        <v>2.4278300000000002</v>
      </c>
      <c r="V727">
        <f>(Table514447[[#This Row],[time]]-2)*2</f>
        <v>0.85566000000000031</v>
      </c>
      <c r="W727">
        <v>74.355500000000006</v>
      </c>
      <c r="X727">
        <v>27.824000000000002</v>
      </c>
      <c r="Y727">
        <f>Table514447[[#This Row],[CFNM]]/Table514447[[#This Row],[CAREA]]</f>
        <v>0.37420231186664066</v>
      </c>
      <c r="Z727">
        <v>2.4278300000000002</v>
      </c>
      <c r="AA727">
        <f>(Table615448[[#This Row],[time]]-2)*2</f>
        <v>0.85566000000000031</v>
      </c>
      <c r="AB727">
        <v>91.938999999999993</v>
      </c>
      <c r="AC727">
        <v>8.6501800000000006</v>
      </c>
      <c r="AD727">
        <f>Table615448[[#This Row],[CFNM]]/Table615448[[#This Row],[CAREA]]</f>
        <v>9.4086078813126112E-2</v>
      </c>
      <c r="AE727">
        <v>2.4278300000000002</v>
      </c>
      <c r="AF727">
        <f>(Table716449[[#This Row],[time]]-2)*2</f>
        <v>0.85566000000000031</v>
      </c>
      <c r="AG727">
        <v>77.474599999999995</v>
      </c>
      <c r="AH727">
        <v>42.085999999999999</v>
      </c>
      <c r="AI727">
        <f>Table716449[[#This Row],[CFNM]]/Table716449[[#This Row],[CAREA]]</f>
        <v>0.54322319831273735</v>
      </c>
      <c r="AJ727">
        <v>2.4278300000000002</v>
      </c>
      <c r="AK727">
        <f>(Table817450[[#This Row],[time]]-2)*2</f>
        <v>0.85566000000000031</v>
      </c>
      <c r="AL727">
        <v>81.771699999999996</v>
      </c>
      <c r="AM727">
        <v>11.7882</v>
      </c>
      <c r="AN727">
        <f>Table817450[[#This Row],[CFNM]]/Table817450[[#This Row],[CAREA]]</f>
        <v>0.14415989884030783</v>
      </c>
    </row>
    <row r="728" spans="1:40" x14ac:dyDescent="0.25">
      <c r="A728">
        <v>2.4542000000000002</v>
      </c>
      <c r="B728">
        <f>(Table110443[[#This Row],[time]]-2)*2</f>
        <v>0.90840000000000032</v>
      </c>
      <c r="C728">
        <v>87.640699999999995</v>
      </c>
      <c r="D728">
        <v>29.063600000000001</v>
      </c>
      <c r="E728">
        <f>Table110443[[#This Row],[CFNM]]/Table110443[[#This Row],[CAREA]]</f>
        <v>0.33162218010581845</v>
      </c>
      <c r="F728">
        <v>2.4542000000000002</v>
      </c>
      <c r="G728">
        <f>(Table211444[[#This Row],[time]]-2)*2</f>
        <v>0.90840000000000032</v>
      </c>
      <c r="H728">
        <v>61.704599999999999</v>
      </c>
      <c r="I728">
        <v>1.7059200000000001E-3</v>
      </c>
      <c r="J728">
        <f>Table211444[[#This Row],[CFNM]]/Table211444[[#This Row],[CAREA]]</f>
        <v>2.7646561196409994E-5</v>
      </c>
      <c r="K728">
        <v>2.4542000000000002</v>
      </c>
      <c r="L728">
        <f>(Table312445[[#This Row],[time]]-2)*2</f>
        <v>0.90840000000000032</v>
      </c>
      <c r="M728">
        <v>83.679599999999994</v>
      </c>
      <c r="N728">
        <v>28.018599999999999</v>
      </c>
      <c r="O728">
        <f>Table312445[[#This Row],[CFNM]]/Table312445[[#This Row],[CAREA]]</f>
        <v>0.33483190646226801</v>
      </c>
      <c r="P728">
        <v>2.4542000000000002</v>
      </c>
      <c r="Q728">
        <f>(Table413446[[#This Row],[time]]-2)*2</f>
        <v>0.90840000000000032</v>
      </c>
      <c r="R728">
        <v>83.488200000000006</v>
      </c>
      <c r="S728">
        <v>2.2992799999999999E-3</v>
      </c>
      <c r="T728">
        <f>Table413446[[#This Row],[CFNM]]/Table413446[[#This Row],[CAREA]]</f>
        <v>2.7540179330731763E-5</v>
      </c>
      <c r="U728">
        <v>2.4542000000000002</v>
      </c>
      <c r="V728">
        <f>(Table514447[[#This Row],[time]]-2)*2</f>
        <v>0.90840000000000032</v>
      </c>
      <c r="W728">
        <v>72.869200000000006</v>
      </c>
      <c r="X728">
        <v>30.805800000000001</v>
      </c>
      <c r="Y728">
        <f>Table514447[[#This Row],[CFNM]]/Table514447[[#This Row],[CAREA]]</f>
        <v>0.42275474411685593</v>
      </c>
      <c r="Z728">
        <v>2.4542000000000002</v>
      </c>
      <c r="AA728">
        <f>(Table615448[[#This Row],[time]]-2)*2</f>
        <v>0.90840000000000032</v>
      </c>
      <c r="AB728">
        <v>92.170100000000005</v>
      </c>
      <c r="AC728">
        <v>7.2125500000000002</v>
      </c>
      <c r="AD728">
        <f>Table615448[[#This Row],[CFNM]]/Table615448[[#This Row],[CAREA]]</f>
        <v>7.8252600355212809E-2</v>
      </c>
      <c r="AE728">
        <v>2.4542000000000002</v>
      </c>
      <c r="AF728">
        <f>(Table716449[[#This Row],[time]]-2)*2</f>
        <v>0.90840000000000032</v>
      </c>
      <c r="AG728">
        <v>77.186300000000003</v>
      </c>
      <c r="AH728">
        <v>44.9786</v>
      </c>
      <c r="AI728">
        <f>Table716449[[#This Row],[CFNM]]/Table716449[[#This Row],[CAREA]]</f>
        <v>0.58272776386483094</v>
      </c>
      <c r="AJ728">
        <v>2.4542000000000002</v>
      </c>
      <c r="AK728">
        <f>(Table817450[[#This Row],[time]]-2)*2</f>
        <v>0.90840000000000032</v>
      </c>
      <c r="AL728">
        <v>81.1738</v>
      </c>
      <c r="AM728">
        <v>11.0184</v>
      </c>
      <c r="AN728">
        <f>Table817450[[#This Row],[CFNM]]/Table817450[[#This Row],[CAREA]]</f>
        <v>0.13573837863941321</v>
      </c>
    </row>
    <row r="729" spans="1:40" x14ac:dyDescent="0.25">
      <c r="A729">
        <v>2.5061499999999999</v>
      </c>
      <c r="B729">
        <f>(Table110443[[#This Row],[time]]-2)*2</f>
        <v>1.0122999999999998</v>
      </c>
      <c r="C729">
        <v>86.721800000000002</v>
      </c>
      <c r="D729">
        <v>32.401400000000002</v>
      </c>
      <c r="E729">
        <f>Table110443[[#This Row],[CFNM]]/Table110443[[#This Row],[CAREA]]</f>
        <v>0.37362462495012788</v>
      </c>
      <c r="F729">
        <v>2.5061499999999999</v>
      </c>
      <c r="G729">
        <f>(Table211444[[#This Row],[time]]-2)*2</f>
        <v>1.0122999999999998</v>
      </c>
      <c r="H729">
        <v>55.486600000000003</v>
      </c>
      <c r="I729">
        <v>1.3513100000000001E-3</v>
      </c>
      <c r="J729">
        <f>Table211444[[#This Row],[CFNM]]/Table211444[[#This Row],[CAREA]]</f>
        <v>2.4353807946423102E-5</v>
      </c>
      <c r="K729">
        <v>2.5061499999999999</v>
      </c>
      <c r="L729">
        <f>(Table312445[[#This Row],[time]]-2)*2</f>
        <v>1.0122999999999998</v>
      </c>
      <c r="M729">
        <v>83.044499999999999</v>
      </c>
      <c r="N729">
        <v>30.842700000000001</v>
      </c>
      <c r="O729">
        <f>Table312445[[#This Row],[CFNM]]/Table312445[[#This Row],[CAREA]]</f>
        <v>0.3713996712605892</v>
      </c>
      <c r="P729">
        <v>2.5061499999999999</v>
      </c>
      <c r="Q729">
        <f>(Table413446[[#This Row],[time]]-2)*2</f>
        <v>1.0122999999999998</v>
      </c>
      <c r="R729">
        <v>76.550399999999996</v>
      </c>
      <c r="S729">
        <v>1.87024E-3</v>
      </c>
      <c r="T729">
        <f>Table413446[[#This Row],[CFNM]]/Table413446[[#This Row],[CAREA]]</f>
        <v>2.443148566173397E-5</v>
      </c>
      <c r="U729">
        <v>2.5061499999999999</v>
      </c>
      <c r="V729">
        <f>(Table514447[[#This Row],[time]]-2)*2</f>
        <v>1.0122999999999998</v>
      </c>
      <c r="W729">
        <v>70.767499999999998</v>
      </c>
      <c r="X729">
        <v>33.880000000000003</v>
      </c>
      <c r="Y729">
        <f>Table514447[[#This Row],[CFNM]]/Table514447[[#This Row],[CAREA]]</f>
        <v>0.47875083901508464</v>
      </c>
      <c r="Z729">
        <v>2.5061499999999999</v>
      </c>
      <c r="AA729">
        <f>(Table615448[[#This Row],[time]]-2)*2</f>
        <v>1.0122999999999998</v>
      </c>
      <c r="AB729">
        <v>91.488799999999998</v>
      </c>
      <c r="AC729">
        <v>6.0441500000000001</v>
      </c>
      <c r="AD729">
        <f>Table615448[[#This Row],[CFNM]]/Table615448[[#This Row],[CAREA]]</f>
        <v>6.6064370720787691E-2</v>
      </c>
      <c r="AE729">
        <v>2.5061499999999999</v>
      </c>
      <c r="AF729">
        <f>(Table716449[[#This Row],[time]]-2)*2</f>
        <v>1.0122999999999998</v>
      </c>
      <c r="AG729">
        <v>77.092399999999998</v>
      </c>
      <c r="AH729">
        <v>47.840800000000002</v>
      </c>
      <c r="AI729">
        <f>Table716449[[#This Row],[CFNM]]/Table716449[[#This Row],[CAREA]]</f>
        <v>0.62056441361275561</v>
      </c>
      <c r="AJ729">
        <v>2.5061499999999999</v>
      </c>
      <c r="AK729">
        <f>(Table817450[[#This Row],[time]]-2)*2</f>
        <v>1.0122999999999998</v>
      </c>
      <c r="AL729">
        <v>81.089399999999998</v>
      </c>
      <c r="AM729">
        <v>10.3194</v>
      </c>
      <c r="AN729">
        <f>Table817450[[#This Row],[CFNM]]/Table817450[[#This Row],[CAREA]]</f>
        <v>0.12725954317087068</v>
      </c>
    </row>
    <row r="730" spans="1:40" x14ac:dyDescent="0.25">
      <c r="A730">
        <v>2.5507599999999999</v>
      </c>
      <c r="B730">
        <f>(Table110443[[#This Row],[time]]-2)*2</f>
        <v>1.1015199999999998</v>
      </c>
      <c r="C730">
        <v>85.231099999999998</v>
      </c>
      <c r="D730">
        <v>35.202300000000001</v>
      </c>
      <c r="E730">
        <f>Table110443[[#This Row],[CFNM]]/Table110443[[#This Row],[CAREA]]</f>
        <v>0.41302177256893319</v>
      </c>
      <c r="F730">
        <v>2.5507599999999999</v>
      </c>
      <c r="G730">
        <f>(Table211444[[#This Row],[time]]-2)*2</f>
        <v>1.1015199999999998</v>
      </c>
      <c r="H730">
        <v>49.8825</v>
      </c>
      <c r="I730">
        <v>1.1017399999999999E-3</v>
      </c>
      <c r="J730">
        <f>Table211444[[#This Row],[CFNM]]/Table211444[[#This Row],[CAREA]]</f>
        <v>2.2086703753821479E-5</v>
      </c>
      <c r="K730">
        <v>2.5507599999999999</v>
      </c>
      <c r="L730">
        <f>(Table312445[[#This Row],[time]]-2)*2</f>
        <v>1.1015199999999998</v>
      </c>
      <c r="M730">
        <v>82.283299999999997</v>
      </c>
      <c r="N730">
        <v>33.0107</v>
      </c>
      <c r="O730">
        <f>Table312445[[#This Row],[CFNM]]/Table312445[[#This Row],[CAREA]]</f>
        <v>0.40118347222340378</v>
      </c>
      <c r="P730">
        <v>2.5507599999999999</v>
      </c>
      <c r="Q730">
        <f>(Table413446[[#This Row],[time]]-2)*2</f>
        <v>1.1015199999999998</v>
      </c>
      <c r="R730">
        <v>69.413600000000002</v>
      </c>
      <c r="S730">
        <v>1.5578499999999999E-3</v>
      </c>
      <c r="T730">
        <f>Table413446[[#This Row],[CFNM]]/Table413446[[#This Row],[CAREA]]</f>
        <v>2.2443008286560557E-5</v>
      </c>
      <c r="U730">
        <v>2.5507599999999999</v>
      </c>
      <c r="V730">
        <f>(Table514447[[#This Row],[time]]-2)*2</f>
        <v>1.1015199999999998</v>
      </c>
      <c r="W730">
        <v>69.518299999999996</v>
      </c>
      <c r="X730">
        <v>36.385599999999997</v>
      </c>
      <c r="Y730">
        <f>Table514447[[#This Row],[CFNM]]/Table514447[[#This Row],[CAREA]]</f>
        <v>0.5233959978883258</v>
      </c>
      <c r="Z730">
        <v>2.5507599999999999</v>
      </c>
      <c r="AA730">
        <f>(Table615448[[#This Row],[time]]-2)*2</f>
        <v>1.1015199999999998</v>
      </c>
      <c r="AB730">
        <v>91.830200000000005</v>
      </c>
      <c r="AC730">
        <v>5.2734199999999998</v>
      </c>
      <c r="AD730">
        <f>Table615448[[#This Row],[CFNM]]/Table615448[[#This Row],[CAREA]]</f>
        <v>5.7425770607055192E-2</v>
      </c>
      <c r="AE730">
        <v>2.5507599999999999</v>
      </c>
      <c r="AF730">
        <f>(Table716449[[#This Row],[time]]-2)*2</f>
        <v>1.1015199999999998</v>
      </c>
      <c r="AG730">
        <v>77.063199999999995</v>
      </c>
      <c r="AH730">
        <v>50.197400000000002</v>
      </c>
      <c r="AI730">
        <f>Table716449[[#This Row],[CFNM]]/Table716449[[#This Row],[CAREA]]</f>
        <v>0.65137964683532479</v>
      </c>
      <c r="AJ730">
        <v>2.5507599999999999</v>
      </c>
      <c r="AK730">
        <f>(Table817450[[#This Row],[time]]-2)*2</f>
        <v>1.1015199999999998</v>
      </c>
      <c r="AL730">
        <v>80.713200000000001</v>
      </c>
      <c r="AM730">
        <v>9.7559199999999997</v>
      </c>
      <c r="AN730">
        <f>Table817450[[#This Row],[CFNM]]/Table817450[[#This Row],[CAREA]]</f>
        <v>0.12087143119093283</v>
      </c>
    </row>
    <row r="731" spans="1:40" x14ac:dyDescent="0.25">
      <c r="A731">
        <v>2.60453</v>
      </c>
      <c r="B731">
        <f>(Table110443[[#This Row],[time]]-2)*2</f>
        <v>1.20906</v>
      </c>
      <c r="C731">
        <v>84.096400000000003</v>
      </c>
      <c r="D731">
        <v>38.557400000000001</v>
      </c>
      <c r="E731">
        <f>Table110443[[#This Row],[CFNM]]/Table110443[[#This Row],[CAREA]]</f>
        <v>0.45849049424232191</v>
      </c>
      <c r="F731">
        <v>2.60453</v>
      </c>
      <c r="G731">
        <f>(Table211444[[#This Row],[time]]-2)*2</f>
        <v>1.20906</v>
      </c>
      <c r="H731">
        <v>45.228999999999999</v>
      </c>
      <c r="I731">
        <v>8.4797799999999999E-4</v>
      </c>
      <c r="J731">
        <f>Table211444[[#This Row],[CFNM]]/Table211444[[#This Row],[CAREA]]</f>
        <v>1.874854628667448E-5</v>
      </c>
      <c r="K731">
        <v>2.60453</v>
      </c>
      <c r="L731">
        <f>(Table312445[[#This Row],[time]]-2)*2</f>
        <v>1.20906</v>
      </c>
      <c r="M731">
        <v>81.758600000000001</v>
      </c>
      <c r="N731">
        <v>35.592199999999998</v>
      </c>
      <c r="O731">
        <f>Table312445[[#This Row],[CFNM]]/Table312445[[#This Row],[CAREA]]</f>
        <v>0.43533279679446563</v>
      </c>
      <c r="P731">
        <v>2.60453</v>
      </c>
      <c r="Q731">
        <f>(Table413446[[#This Row],[time]]-2)*2</f>
        <v>1.20906</v>
      </c>
      <c r="R731">
        <v>62.439100000000003</v>
      </c>
      <c r="S731">
        <v>1.2873699999999999E-3</v>
      </c>
      <c r="T731">
        <f>Table413446[[#This Row],[CFNM]]/Table413446[[#This Row],[CAREA]]</f>
        <v>2.0618010189128283E-5</v>
      </c>
      <c r="U731">
        <v>2.60453</v>
      </c>
      <c r="V731">
        <f>(Table514447[[#This Row],[time]]-2)*2</f>
        <v>1.20906</v>
      </c>
      <c r="W731">
        <v>68.756200000000007</v>
      </c>
      <c r="X731">
        <v>39.4285</v>
      </c>
      <c r="Y731">
        <f>Table514447[[#This Row],[CFNM]]/Table514447[[#This Row],[CAREA]]</f>
        <v>0.57345373944458822</v>
      </c>
      <c r="Z731">
        <v>2.60453</v>
      </c>
      <c r="AA731">
        <f>(Table615448[[#This Row],[time]]-2)*2</f>
        <v>1.20906</v>
      </c>
      <c r="AB731">
        <v>91.035899999999998</v>
      </c>
      <c r="AC731">
        <v>4.5478800000000001</v>
      </c>
      <c r="AD731">
        <f>Table615448[[#This Row],[CFNM]]/Table615448[[#This Row],[CAREA]]</f>
        <v>4.9956994987691669E-2</v>
      </c>
      <c r="AE731">
        <v>2.60453</v>
      </c>
      <c r="AF731">
        <f>(Table716449[[#This Row],[time]]-2)*2</f>
        <v>1.20906</v>
      </c>
      <c r="AG731">
        <v>76.925899999999999</v>
      </c>
      <c r="AH731">
        <v>53.009500000000003</v>
      </c>
      <c r="AI731">
        <f>Table716449[[#This Row],[CFNM]]/Table716449[[#This Row],[CAREA]]</f>
        <v>0.6890982100956895</v>
      </c>
      <c r="AJ731">
        <v>2.60453</v>
      </c>
      <c r="AK731">
        <f>(Table817450[[#This Row],[time]]-2)*2</f>
        <v>1.20906</v>
      </c>
      <c r="AL731">
        <v>80.080600000000004</v>
      </c>
      <c r="AM731">
        <v>9.0998199999999994</v>
      </c>
      <c r="AN731">
        <f>Table817450[[#This Row],[CFNM]]/Table817450[[#This Row],[CAREA]]</f>
        <v>0.11363326448603031</v>
      </c>
    </row>
    <row r="732" spans="1:40" x14ac:dyDescent="0.25">
      <c r="A732">
        <v>2.65273</v>
      </c>
      <c r="B732">
        <f>(Table110443[[#This Row],[time]]-2)*2</f>
        <v>1.3054600000000001</v>
      </c>
      <c r="C732">
        <v>83.141900000000007</v>
      </c>
      <c r="D732">
        <v>40.944299999999998</v>
      </c>
      <c r="E732">
        <f>Table110443[[#This Row],[CFNM]]/Table110443[[#This Row],[CAREA]]</f>
        <v>0.49246288574112446</v>
      </c>
      <c r="F732">
        <v>2.65273</v>
      </c>
      <c r="G732">
        <f>(Table211444[[#This Row],[time]]-2)*2</f>
        <v>1.3054600000000001</v>
      </c>
      <c r="H732">
        <v>39.527200000000001</v>
      </c>
      <c r="I732">
        <v>6.9746700000000001E-4</v>
      </c>
      <c r="J732">
        <f>Table211444[[#This Row],[CFNM]]/Table211444[[#This Row],[CAREA]]</f>
        <v>1.7645241757574532E-5</v>
      </c>
      <c r="K732">
        <v>2.65273</v>
      </c>
      <c r="L732">
        <f>(Table312445[[#This Row],[time]]-2)*2</f>
        <v>1.3054600000000001</v>
      </c>
      <c r="M732">
        <v>81.355999999999995</v>
      </c>
      <c r="N732">
        <v>37.412399999999998</v>
      </c>
      <c r="O732">
        <f>Table312445[[#This Row],[CFNM]]/Table312445[[#This Row],[CAREA]]</f>
        <v>0.45986036678302766</v>
      </c>
      <c r="P732">
        <v>2.65273</v>
      </c>
      <c r="Q732">
        <f>(Table413446[[#This Row],[time]]-2)*2</f>
        <v>1.3054600000000001</v>
      </c>
      <c r="R732">
        <v>59.494</v>
      </c>
      <c r="S732">
        <v>1.13009E-3</v>
      </c>
      <c r="T732">
        <f>Table413446[[#This Row],[CFNM]]/Table413446[[#This Row],[CAREA]]</f>
        <v>1.8995024708373955E-5</v>
      </c>
      <c r="U732">
        <v>2.65273</v>
      </c>
      <c r="V732">
        <f>(Table514447[[#This Row],[time]]-2)*2</f>
        <v>1.3054600000000001</v>
      </c>
      <c r="W732">
        <v>67.932100000000005</v>
      </c>
      <c r="X732">
        <v>41.585999999999999</v>
      </c>
      <c r="Y732">
        <f>Table514447[[#This Row],[CFNM]]/Table514447[[#This Row],[CAREA]]</f>
        <v>0.61217009337264705</v>
      </c>
      <c r="Z732">
        <v>2.65273</v>
      </c>
      <c r="AA732">
        <f>(Table615448[[#This Row],[time]]-2)*2</f>
        <v>1.3054600000000001</v>
      </c>
      <c r="AB732">
        <v>91.315700000000007</v>
      </c>
      <c r="AC732">
        <v>4.0806899999999997</v>
      </c>
      <c r="AD732">
        <f>Table615448[[#This Row],[CFNM]]/Table615448[[#This Row],[CAREA]]</f>
        <v>4.4687715255974599E-2</v>
      </c>
      <c r="AE732">
        <v>2.65273</v>
      </c>
      <c r="AF732">
        <f>(Table716449[[#This Row],[time]]-2)*2</f>
        <v>1.3054600000000001</v>
      </c>
      <c r="AG732">
        <v>76.816699999999997</v>
      </c>
      <c r="AH732">
        <v>55.042099999999998</v>
      </c>
      <c r="AI732">
        <f>Table716449[[#This Row],[CFNM]]/Table716449[[#This Row],[CAREA]]</f>
        <v>0.71653820067771723</v>
      </c>
      <c r="AJ732">
        <v>2.65273</v>
      </c>
      <c r="AK732">
        <f>(Table817450[[#This Row],[time]]-2)*2</f>
        <v>1.3054600000000001</v>
      </c>
      <c r="AL732">
        <v>79.606399999999994</v>
      </c>
      <c r="AM732">
        <v>8.6591699999999996</v>
      </c>
      <c r="AN732">
        <f>Table817450[[#This Row],[CFNM]]/Table817450[[#This Row],[CAREA]]</f>
        <v>0.10877479700124613</v>
      </c>
    </row>
    <row r="733" spans="1:40" x14ac:dyDescent="0.25">
      <c r="A733">
        <v>2.7006199999999998</v>
      </c>
      <c r="B733">
        <f>(Table110443[[#This Row],[time]]-2)*2</f>
        <v>1.4012399999999996</v>
      </c>
      <c r="C733">
        <v>81.505499999999998</v>
      </c>
      <c r="D733">
        <v>45.277099999999997</v>
      </c>
      <c r="E733">
        <f>Table110443[[#This Row],[CFNM]]/Table110443[[#This Row],[CAREA]]</f>
        <v>0.55550975087570775</v>
      </c>
      <c r="F733">
        <v>2.7006199999999998</v>
      </c>
      <c r="G733">
        <f>(Table211444[[#This Row],[time]]-2)*2</f>
        <v>1.4012399999999996</v>
      </c>
      <c r="H733">
        <v>33.683100000000003</v>
      </c>
      <c r="I733">
        <v>4.8722300000000001E-4</v>
      </c>
      <c r="J733">
        <f>Table211444[[#This Row],[CFNM]]/Table211444[[#This Row],[CAREA]]</f>
        <v>1.4464909702491753E-5</v>
      </c>
      <c r="K733">
        <v>2.7006199999999998</v>
      </c>
      <c r="L733">
        <f>(Table312445[[#This Row],[time]]-2)*2</f>
        <v>1.4012399999999996</v>
      </c>
      <c r="M733">
        <v>80.436400000000006</v>
      </c>
      <c r="N733">
        <v>40.399799999999999</v>
      </c>
      <c r="O733">
        <f>Table312445[[#This Row],[CFNM]]/Table312445[[#This Row],[CAREA]]</f>
        <v>0.50225768433196905</v>
      </c>
      <c r="P733">
        <v>2.7006199999999998</v>
      </c>
      <c r="Q733">
        <f>(Table413446[[#This Row],[time]]-2)*2</f>
        <v>1.4012399999999996</v>
      </c>
      <c r="R733">
        <v>50.217300000000002</v>
      </c>
      <c r="S733">
        <v>8.8597399999999998E-4</v>
      </c>
      <c r="T733">
        <f>Table413446[[#This Row],[CFNM]]/Table413446[[#This Row],[CAREA]]</f>
        <v>1.7642804372198424E-5</v>
      </c>
      <c r="U733">
        <v>2.7006199999999998</v>
      </c>
      <c r="V733">
        <f>(Table514447[[#This Row],[time]]-2)*2</f>
        <v>1.4012399999999996</v>
      </c>
      <c r="W733">
        <v>66.586399999999998</v>
      </c>
      <c r="X733">
        <v>45.354300000000002</v>
      </c>
      <c r="Y733">
        <f>Table514447[[#This Row],[CFNM]]/Table514447[[#This Row],[CAREA]]</f>
        <v>0.68113458604159416</v>
      </c>
      <c r="Z733">
        <v>2.7006199999999998</v>
      </c>
      <c r="AA733">
        <f>(Table615448[[#This Row],[time]]-2)*2</f>
        <v>1.4012399999999996</v>
      </c>
      <c r="AB733">
        <v>90.582599999999999</v>
      </c>
      <c r="AC733">
        <v>3.2120299999999999</v>
      </c>
      <c r="AD733">
        <f>Table615448[[#This Row],[CFNM]]/Table615448[[#This Row],[CAREA]]</f>
        <v>3.5459679894372646E-2</v>
      </c>
      <c r="AE733">
        <v>2.7006199999999998</v>
      </c>
      <c r="AF733">
        <f>(Table716449[[#This Row],[time]]-2)*2</f>
        <v>1.4012399999999996</v>
      </c>
      <c r="AG733">
        <v>75.931399999999996</v>
      </c>
      <c r="AH733">
        <v>58.836799999999997</v>
      </c>
      <c r="AI733">
        <f>Table716449[[#This Row],[CFNM]]/Table716449[[#This Row],[CAREA]]</f>
        <v>0.77486784123564167</v>
      </c>
      <c r="AJ733">
        <v>2.7006199999999998</v>
      </c>
      <c r="AK733">
        <f>(Table817450[[#This Row],[time]]-2)*2</f>
        <v>1.4012399999999996</v>
      </c>
      <c r="AL733">
        <v>78.792400000000001</v>
      </c>
      <c r="AM733">
        <v>7.8259600000000002</v>
      </c>
      <c r="AN733">
        <f>Table817450[[#This Row],[CFNM]]/Table817450[[#This Row],[CAREA]]</f>
        <v>9.9323792650052548E-2</v>
      </c>
    </row>
    <row r="734" spans="1:40" x14ac:dyDescent="0.25">
      <c r="A734">
        <v>2.75176</v>
      </c>
      <c r="B734">
        <f>(Table110443[[#This Row],[time]]-2)*2</f>
        <v>1.50352</v>
      </c>
      <c r="C734">
        <v>80.887900000000002</v>
      </c>
      <c r="D734">
        <v>46.842399999999998</v>
      </c>
      <c r="E734">
        <f>Table110443[[#This Row],[CFNM]]/Table110443[[#This Row],[CAREA]]</f>
        <v>0.57910268408501142</v>
      </c>
      <c r="F734">
        <v>2.75176</v>
      </c>
      <c r="G734">
        <f>(Table211444[[#This Row],[time]]-2)*2</f>
        <v>1.50352</v>
      </c>
      <c r="H734">
        <v>30.1663</v>
      </c>
      <c r="I734">
        <v>4.2150400000000001E-4</v>
      </c>
      <c r="J734">
        <f>Table211444[[#This Row],[CFNM]]/Table211444[[#This Row],[CAREA]]</f>
        <v>1.3972678120949536E-5</v>
      </c>
      <c r="K734">
        <v>2.75176</v>
      </c>
      <c r="L734">
        <f>(Table312445[[#This Row],[time]]-2)*2</f>
        <v>1.50352</v>
      </c>
      <c r="M734">
        <v>80.137600000000006</v>
      </c>
      <c r="N734">
        <v>41.408700000000003</v>
      </c>
      <c r="O734">
        <f>Table312445[[#This Row],[CFNM]]/Table312445[[#This Row],[CAREA]]</f>
        <v>0.51671999161442317</v>
      </c>
      <c r="P734">
        <v>2.75176</v>
      </c>
      <c r="Q734">
        <f>(Table413446[[#This Row],[time]]-2)*2</f>
        <v>1.50352</v>
      </c>
      <c r="R734">
        <v>46.402500000000003</v>
      </c>
      <c r="S734">
        <v>8.0404499999999998E-4</v>
      </c>
      <c r="T734">
        <f>Table413446[[#This Row],[CFNM]]/Table413446[[#This Row],[CAREA]]</f>
        <v>1.7327622434136092E-5</v>
      </c>
      <c r="U734">
        <v>2.75176</v>
      </c>
      <c r="V734">
        <f>(Table514447[[#This Row],[time]]-2)*2</f>
        <v>1.50352</v>
      </c>
      <c r="W734">
        <v>66.077200000000005</v>
      </c>
      <c r="X734">
        <v>46.748699999999999</v>
      </c>
      <c r="Y734">
        <f>Table514447[[#This Row],[CFNM]]/Table514447[[#This Row],[CAREA]]</f>
        <v>0.70748609202569113</v>
      </c>
      <c r="Z734">
        <v>2.75176</v>
      </c>
      <c r="AA734">
        <f>(Table615448[[#This Row],[time]]-2)*2</f>
        <v>1.50352</v>
      </c>
      <c r="AB734">
        <v>90.267799999999994</v>
      </c>
      <c r="AC734">
        <v>2.9280900000000001</v>
      </c>
      <c r="AD734">
        <f>Table615448[[#This Row],[CFNM]]/Table615448[[#This Row],[CAREA]]</f>
        <v>3.243781281918913E-2</v>
      </c>
      <c r="AE734">
        <v>2.75176</v>
      </c>
      <c r="AF734">
        <f>(Table716449[[#This Row],[time]]-2)*2</f>
        <v>1.50352</v>
      </c>
      <c r="AG734">
        <v>75.764099999999999</v>
      </c>
      <c r="AH734">
        <v>60.255400000000002</v>
      </c>
      <c r="AI734">
        <f>Table716449[[#This Row],[CFNM]]/Table716449[[#This Row],[CAREA]]</f>
        <v>0.79530278852385239</v>
      </c>
      <c r="AJ734">
        <v>2.75176</v>
      </c>
      <c r="AK734">
        <f>(Table817450[[#This Row],[time]]-2)*2</f>
        <v>1.50352</v>
      </c>
      <c r="AL734">
        <v>78.401399999999995</v>
      </c>
      <c r="AM734">
        <v>7.4819199999999997</v>
      </c>
      <c r="AN734">
        <f>Table817450[[#This Row],[CFNM]]/Table817450[[#This Row],[CAREA]]</f>
        <v>9.5430948937136328E-2</v>
      </c>
    </row>
    <row r="735" spans="1:40" x14ac:dyDescent="0.25">
      <c r="A735">
        <v>2.80444</v>
      </c>
      <c r="B735">
        <f>(Table110443[[#This Row],[time]]-2)*2</f>
        <v>1.6088800000000001</v>
      </c>
      <c r="C735">
        <v>78.492000000000004</v>
      </c>
      <c r="D735">
        <v>49.457299999999996</v>
      </c>
      <c r="E735">
        <f>Table110443[[#This Row],[CFNM]]/Table110443[[#This Row],[CAREA]]</f>
        <v>0.63009351271467151</v>
      </c>
      <c r="F735">
        <v>2.80444</v>
      </c>
      <c r="G735">
        <f>(Table211444[[#This Row],[time]]-2)*2</f>
        <v>1.6088800000000001</v>
      </c>
      <c r="H735">
        <v>24.770700000000001</v>
      </c>
      <c r="I735">
        <v>3.3045200000000001E-4</v>
      </c>
      <c r="J735">
        <f>Table211444[[#This Row],[CFNM]]/Table211444[[#This Row],[CAREA]]</f>
        <v>1.3340438501939791E-5</v>
      </c>
      <c r="K735">
        <v>2.80444</v>
      </c>
      <c r="L735">
        <f>(Table312445[[#This Row],[time]]-2)*2</f>
        <v>1.6088800000000001</v>
      </c>
      <c r="M735">
        <v>79.737300000000005</v>
      </c>
      <c r="N735">
        <v>43.100900000000003</v>
      </c>
      <c r="O735">
        <f>Table312445[[#This Row],[CFNM]]/Table312445[[#This Row],[CAREA]]</f>
        <v>0.54053623586452015</v>
      </c>
      <c r="P735">
        <v>2.80444</v>
      </c>
      <c r="Q735">
        <f>(Table413446[[#This Row],[time]]-2)*2</f>
        <v>1.6088800000000001</v>
      </c>
      <c r="R735">
        <v>39.340499999999999</v>
      </c>
      <c r="S735">
        <v>6.8819200000000001E-4</v>
      </c>
      <c r="T735">
        <f>Table413446[[#This Row],[CFNM]]/Table413446[[#This Row],[CAREA]]</f>
        <v>1.7493219455777125E-5</v>
      </c>
      <c r="U735">
        <v>2.80444</v>
      </c>
      <c r="V735">
        <f>(Table514447[[#This Row],[time]]-2)*2</f>
        <v>1.6088800000000001</v>
      </c>
      <c r="W735">
        <v>64.077699999999993</v>
      </c>
      <c r="X735">
        <v>49.203699999999998</v>
      </c>
      <c r="Y735">
        <f>Table514447[[#This Row],[CFNM]]/Table514447[[#This Row],[CAREA]]</f>
        <v>0.76787556357359898</v>
      </c>
      <c r="Z735">
        <v>2.80444</v>
      </c>
      <c r="AA735">
        <f>(Table615448[[#This Row],[time]]-2)*2</f>
        <v>1.6088800000000001</v>
      </c>
      <c r="AB735">
        <v>89.601799999999997</v>
      </c>
      <c r="AC735">
        <v>2.4623200000000001</v>
      </c>
      <c r="AD735">
        <f>Table615448[[#This Row],[CFNM]]/Table615448[[#This Row],[CAREA]]</f>
        <v>2.7480697932407608E-2</v>
      </c>
      <c r="AE735">
        <v>2.80444</v>
      </c>
      <c r="AF735">
        <f>(Table716449[[#This Row],[time]]-2)*2</f>
        <v>1.6088800000000001</v>
      </c>
      <c r="AG735">
        <v>75.022800000000004</v>
      </c>
      <c r="AH735">
        <v>62.7453</v>
      </c>
      <c r="AI735">
        <f>Table716449[[#This Row],[CFNM]]/Table716449[[#This Row],[CAREA]]</f>
        <v>0.83634974967609843</v>
      </c>
      <c r="AJ735">
        <v>2.80444</v>
      </c>
      <c r="AK735">
        <f>(Table817450[[#This Row],[time]]-2)*2</f>
        <v>1.6088800000000001</v>
      </c>
      <c r="AL735">
        <v>77.7577</v>
      </c>
      <c r="AM735">
        <v>6.8347600000000002</v>
      </c>
      <c r="AN735">
        <f>Table817450[[#This Row],[CFNM]]/Table817450[[#This Row],[CAREA]]</f>
        <v>8.7898176000576145E-2</v>
      </c>
    </row>
    <row r="736" spans="1:40" x14ac:dyDescent="0.25">
      <c r="A736">
        <v>2.8583699999999999</v>
      </c>
      <c r="B736">
        <f>(Table110443[[#This Row],[time]]-2)*2</f>
        <v>1.7167399999999997</v>
      </c>
      <c r="C736">
        <v>77.772000000000006</v>
      </c>
      <c r="D736">
        <v>50.892499999999998</v>
      </c>
      <c r="E736">
        <f>Table110443[[#This Row],[CFNM]]/Table110443[[#This Row],[CAREA]]</f>
        <v>0.65438075399886841</v>
      </c>
      <c r="F736">
        <v>2.8583699999999999</v>
      </c>
      <c r="G736">
        <f>(Table211444[[#This Row],[time]]-2)*2</f>
        <v>1.7167399999999997</v>
      </c>
      <c r="H736">
        <v>21.9848</v>
      </c>
      <c r="I736">
        <v>2.8405900000000003E-4</v>
      </c>
      <c r="J736">
        <f>Table211444[[#This Row],[CFNM]]/Table211444[[#This Row],[CAREA]]</f>
        <v>1.2920699756195191E-5</v>
      </c>
      <c r="K736">
        <v>2.8583699999999999</v>
      </c>
      <c r="L736">
        <f>(Table312445[[#This Row],[time]]-2)*2</f>
        <v>1.7167399999999997</v>
      </c>
      <c r="M736">
        <v>79.487899999999996</v>
      </c>
      <c r="N736">
        <v>44.039099999999998</v>
      </c>
      <c r="O736">
        <f>Table312445[[#This Row],[CFNM]]/Table312445[[#This Row],[CAREA]]</f>
        <v>0.55403526826095539</v>
      </c>
      <c r="P736">
        <v>2.8583699999999999</v>
      </c>
      <c r="Q736">
        <f>(Table413446[[#This Row],[time]]-2)*2</f>
        <v>1.7167399999999997</v>
      </c>
      <c r="R736">
        <v>37.280700000000003</v>
      </c>
      <c r="S736">
        <v>6.2962300000000005E-4</v>
      </c>
      <c r="T736">
        <f>Table413446[[#This Row],[CFNM]]/Table413446[[#This Row],[CAREA]]</f>
        <v>1.6888711853586441E-5</v>
      </c>
      <c r="U736">
        <v>2.8583699999999999</v>
      </c>
      <c r="V736">
        <f>(Table514447[[#This Row],[time]]-2)*2</f>
        <v>1.7167399999999997</v>
      </c>
      <c r="W736">
        <v>63.542400000000001</v>
      </c>
      <c r="X736">
        <v>50.632399999999997</v>
      </c>
      <c r="Y736">
        <f>Table514447[[#This Row],[CFNM]]/Table514447[[#This Row],[CAREA]]</f>
        <v>0.79682857430628995</v>
      </c>
      <c r="Z736">
        <v>2.8583699999999999</v>
      </c>
      <c r="AA736">
        <f>(Table615448[[#This Row],[time]]-2)*2</f>
        <v>1.7167399999999997</v>
      </c>
      <c r="AB736">
        <v>89.655900000000003</v>
      </c>
      <c r="AC736">
        <v>2.1909800000000001</v>
      </c>
      <c r="AD736">
        <f>Table615448[[#This Row],[CFNM]]/Table615448[[#This Row],[CAREA]]</f>
        <v>2.4437655525180162E-2</v>
      </c>
      <c r="AE736">
        <v>2.8583699999999999</v>
      </c>
      <c r="AF736">
        <f>(Table716449[[#This Row],[time]]-2)*2</f>
        <v>1.7167399999999997</v>
      </c>
      <c r="AG736">
        <v>74.822000000000003</v>
      </c>
      <c r="AH736">
        <v>64.237200000000001</v>
      </c>
      <c r="AI736">
        <f>Table716449[[#This Row],[CFNM]]/Table716449[[#This Row],[CAREA]]</f>
        <v>0.85853358637833788</v>
      </c>
      <c r="AJ736">
        <v>2.8583699999999999</v>
      </c>
      <c r="AK736">
        <f>(Table817450[[#This Row],[time]]-2)*2</f>
        <v>1.7167399999999997</v>
      </c>
      <c r="AL736">
        <v>77.336699999999993</v>
      </c>
      <c r="AM736">
        <v>6.4582499999999996</v>
      </c>
      <c r="AN736">
        <f>Table817450[[#This Row],[CFNM]]/Table817450[[#This Row],[CAREA]]</f>
        <v>8.3508217961200823E-2</v>
      </c>
    </row>
    <row r="737" spans="1:40" x14ac:dyDescent="0.25">
      <c r="A737">
        <v>2.9134199999999999</v>
      </c>
      <c r="B737">
        <f>(Table110443[[#This Row],[time]]-2)*2</f>
        <v>1.8268399999999998</v>
      </c>
      <c r="C737">
        <v>76.445800000000006</v>
      </c>
      <c r="D737">
        <v>52.979599999999998</v>
      </c>
      <c r="E737">
        <f>Table110443[[#This Row],[CFNM]]/Table110443[[#This Row],[CAREA]]</f>
        <v>0.69303480374330562</v>
      </c>
      <c r="F737">
        <v>2.9134199999999999</v>
      </c>
      <c r="G737">
        <f>(Table211444[[#This Row],[time]]-2)*2</f>
        <v>1.8268399999999998</v>
      </c>
      <c r="H737">
        <v>17.787700000000001</v>
      </c>
      <c r="I737">
        <v>2.2100200000000001E-4</v>
      </c>
      <c r="J737">
        <f>Table211444[[#This Row],[CFNM]]/Table211444[[#This Row],[CAREA]]</f>
        <v>1.2424428116057724E-5</v>
      </c>
      <c r="K737">
        <v>2.9134199999999999</v>
      </c>
      <c r="L737">
        <f>(Table312445[[#This Row],[time]]-2)*2</f>
        <v>1.8268399999999998</v>
      </c>
      <c r="M737">
        <v>78.916899999999998</v>
      </c>
      <c r="N737">
        <v>45.371400000000001</v>
      </c>
      <c r="O737">
        <f>Table312445[[#This Row],[CFNM]]/Table312445[[#This Row],[CAREA]]</f>
        <v>0.57492628321690287</v>
      </c>
      <c r="P737">
        <v>2.9134199999999999</v>
      </c>
      <c r="Q737">
        <f>(Table413446[[#This Row],[time]]-2)*2</f>
        <v>1.8268399999999998</v>
      </c>
      <c r="R737">
        <v>33.834200000000003</v>
      </c>
      <c r="S737">
        <v>5.4694900000000002E-4</v>
      </c>
      <c r="T737">
        <f>Table413446[[#This Row],[CFNM]]/Table413446[[#This Row],[CAREA]]</f>
        <v>1.6165566202245064E-5</v>
      </c>
      <c r="U737">
        <v>2.9134199999999999</v>
      </c>
      <c r="V737">
        <f>(Table514447[[#This Row],[time]]-2)*2</f>
        <v>1.8268399999999998</v>
      </c>
      <c r="W737">
        <v>62.354900000000001</v>
      </c>
      <c r="X737">
        <v>52.925699999999999</v>
      </c>
      <c r="Y737">
        <f>Table514447[[#This Row],[CFNM]]/Table514447[[#This Row],[CAREA]]</f>
        <v>0.848781731668241</v>
      </c>
      <c r="Z737">
        <v>2.9134199999999999</v>
      </c>
      <c r="AA737">
        <f>(Table615448[[#This Row],[time]]-2)*2</f>
        <v>1.8268399999999998</v>
      </c>
      <c r="AB737">
        <v>88.626499999999993</v>
      </c>
      <c r="AC737">
        <v>1.80067</v>
      </c>
      <c r="AD737">
        <f>Table615448[[#This Row],[CFNM]]/Table615448[[#This Row],[CAREA]]</f>
        <v>2.0317512256492136E-2</v>
      </c>
      <c r="AE737">
        <v>2.9134199999999999</v>
      </c>
      <c r="AF737">
        <f>(Table716449[[#This Row],[time]]-2)*2</f>
        <v>1.8268399999999998</v>
      </c>
      <c r="AG737">
        <v>74.432500000000005</v>
      </c>
      <c r="AH737">
        <v>66.705500000000001</v>
      </c>
      <c r="AI737">
        <f>Table716449[[#This Row],[CFNM]]/Table716449[[#This Row],[CAREA]]</f>
        <v>0.89618782118026397</v>
      </c>
      <c r="AJ737">
        <v>2.9134199999999999</v>
      </c>
      <c r="AK737">
        <f>(Table817450[[#This Row],[time]]-2)*2</f>
        <v>1.8268399999999998</v>
      </c>
      <c r="AL737">
        <v>76.790400000000005</v>
      </c>
      <c r="AM737">
        <v>5.9192900000000002</v>
      </c>
      <c r="AN737">
        <f>Table817450[[#This Row],[CFNM]]/Table817450[[#This Row],[CAREA]]</f>
        <v>7.7083724007167564E-2</v>
      </c>
    </row>
    <row r="738" spans="1:40" x14ac:dyDescent="0.25">
      <c r="A738">
        <v>2.9619599999999999</v>
      </c>
      <c r="B738">
        <f>(Table110443[[#This Row],[time]]-2)*2</f>
        <v>1.9239199999999999</v>
      </c>
      <c r="C738">
        <v>75.693700000000007</v>
      </c>
      <c r="D738">
        <v>54.313000000000002</v>
      </c>
      <c r="E738">
        <f>Table110443[[#This Row],[CFNM]]/Table110443[[#This Row],[CAREA]]</f>
        <v>0.717536598158103</v>
      </c>
      <c r="F738">
        <v>2.9619599999999999</v>
      </c>
      <c r="G738">
        <f>(Table211444[[#This Row],[time]]-2)*2</f>
        <v>1.9239199999999999</v>
      </c>
      <c r="H738">
        <v>15.299200000000001</v>
      </c>
      <c r="I738">
        <v>1.8525E-4</v>
      </c>
      <c r="J738">
        <f>Table211444[[#This Row],[CFNM]]/Table211444[[#This Row],[CAREA]]</f>
        <v>1.2108476260196611E-5</v>
      </c>
      <c r="K738">
        <v>2.9619599999999999</v>
      </c>
      <c r="L738">
        <f>(Table312445[[#This Row],[time]]-2)*2</f>
        <v>1.9239199999999999</v>
      </c>
      <c r="M738">
        <v>78.499700000000004</v>
      </c>
      <c r="N738">
        <v>46.234999999999999</v>
      </c>
      <c r="O738">
        <f>Table312445[[#This Row],[CFNM]]/Table312445[[#This Row],[CAREA]]</f>
        <v>0.58898314261073603</v>
      </c>
      <c r="P738">
        <v>2.9619599999999999</v>
      </c>
      <c r="Q738">
        <f>(Table413446[[#This Row],[time]]-2)*2</f>
        <v>1.9239199999999999</v>
      </c>
      <c r="R738">
        <v>32.816099999999999</v>
      </c>
      <c r="S738">
        <v>4.9140700000000002E-4</v>
      </c>
      <c r="T738">
        <f>Table413446[[#This Row],[CFNM]]/Table413446[[#This Row],[CAREA]]</f>
        <v>1.4974570409037028E-5</v>
      </c>
      <c r="U738">
        <v>2.9619599999999999</v>
      </c>
      <c r="V738">
        <f>(Table514447[[#This Row],[time]]-2)*2</f>
        <v>1.9239199999999999</v>
      </c>
      <c r="W738">
        <v>61.6783</v>
      </c>
      <c r="X738">
        <v>54.575299999999999</v>
      </c>
      <c r="Y738">
        <f>Table514447[[#This Row],[CFNM]]/Table514447[[#This Row],[CAREA]]</f>
        <v>0.88483794138294991</v>
      </c>
      <c r="Z738">
        <v>2.9619599999999999</v>
      </c>
      <c r="AA738">
        <f>(Table615448[[#This Row],[time]]-2)*2</f>
        <v>1.9239199999999999</v>
      </c>
      <c r="AB738">
        <v>88.320800000000006</v>
      </c>
      <c r="AC738">
        <v>1.55064</v>
      </c>
      <c r="AD738">
        <f>Table615448[[#This Row],[CFNM]]/Table615448[[#This Row],[CAREA]]</f>
        <v>1.7556906187443953E-2</v>
      </c>
      <c r="AE738">
        <v>2.9619599999999999</v>
      </c>
      <c r="AF738">
        <f>(Table716449[[#This Row],[time]]-2)*2</f>
        <v>1.9239199999999999</v>
      </c>
      <c r="AG738">
        <v>74.063400000000001</v>
      </c>
      <c r="AH738">
        <v>68.515799999999999</v>
      </c>
      <c r="AI738">
        <f>Table716449[[#This Row],[CFNM]]/Table716449[[#This Row],[CAREA]]</f>
        <v>0.92509660642098523</v>
      </c>
      <c r="AJ738">
        <v>2.9619599999999999</v>
      </c>
      <c r="AK738">
        <f>(Table817450[[#This Row],[time]]-2)*2</f>
        <v>1.9239199999999999</v>
      </c>
      <c r="AL738">
        <v>76.244100000000003</v>
      </c>
      <c r="AM738">
        <v>5.5379899999999997</v>
      </c>
      <c r="AN738">
        <f>Table817450[[#This Row],[CFNM]]/Table817450[[#This Row],[CAREA]]</f>
        <v>7.2634997330941017E-2</v>
      </c>
    </row>
    <row r="739" spans="1:40" x14ac:dyDescent="0.25">
      <c r="A739">
        <v>3</v>
      </c>
      <c r="B739">
        <f>(Table110443[[#This Row],[time]]-2)*2</f>
        <v>2</v>
      </c>
      <c r="C739">
        <v>74.531400000000005</v>
      </c>
      <c r="D739">
        <v>55.603400000000001</v>
      </c>
      <c r="E739">
        <f>Table110443[[#This Row],[CFNM]]/Table110443[[#This Row],[CAREA]]</f>
        <v>0.74603992411252162</v>
      </c>
      <c r="F739">
        <v>3</v>
      </c>
      <c r="G739">
        <f>(Table211444[[#This Row],[time]]-2)*2</f>
        <v>2</v>
      </c>
      <c r="H739">
        <v>11.520099999999999</v>
      </c>
      <c r="I739">
        <v>1.5445699999999999E-4</v>
      </c>
      <c r="J739">
        <f>Table211444[[#This Row],[CFNM]]/Table211444[[#This Row],[CAREA]]</f>
        <v>1.3407609308946971E-5</v>
      </c>
      <c r="K739">
        <v>3</v>
      </c>
      <c r="L739">
        <f>(Table312445[[#This Row],[time]]-2)*2</f>
        <v>2</v>
      </c>
      <c r="M739">
        <v>78.048900000000003</v>
      </c>
      <c r="N739">
        <v>47.111499999999999</v>
      </c>
      <c r="O739">
        <f>Table312445[[#This Row],[CFNM]]/Table312445[[#This Row],[CAREA]]</f>
        <v>0.60361516946427174</v>
      </c>
      <c r="P739">
        <v>3</v>
      </c>
      <c r="Q739">
        <f>(Table413446[[#This Row],[time]]-2)*2</f>
        <v>2</v>
      </c>
      <c r="R739">
        <v>30.238199999999999</v>
      </c>
      <c r="S739">
        <v>4.4118E-4</v>
      </c>
      <c r="T739">
        <f>Table413446[[#This Row],[CFNM]]/Table413446[[#This Row],[CAREA]]</f>
        <v>1.4590154175843801E-5</v>
      </c>
      <c r="U739">
        <v>3</v>
      </c>
      <c r="V739">
        <f>(Table514447[[#This Row],[time]]-2)*2</f>
        <v>2</v>
      </c>
      <c r="W739">
        <v>61.076999999999998</v>
      </c>
      <c r="X739">
        <v>56.270699999999998</v>
      </c>
      <c r="Y739">
        <f>Table514447[[#This Row],[CFNM]]/Table514447[[#This Row],[CAREA]]</f>
        <v>0.92130752983938302</v>
      </c>
      <c r="Z739">
        <v>3</v>
      </c>
      <c r="AA739">
        <f>(Table615448[[#This Row],[time]]-2)*2</f>
        <v>2</v>
      </c>
      <c r="AB739">
        <v>87.955500000000001</v>
      </c>
      <c r="AC739">
        <v>1.34754</v>
      </c>
      <c r="AD739">
        <f>Table615448[[#This Row],[CFNM]]/Table615448[[#This Row],[CAREA]]</f>
        <v>1.5320701945870355E-2</v>
      </c>
      <c r="AE739">
        <v>3</v>
      </c>
      <c r="AF739">
        <f>(Table716449[[#This Row],[time]]-2)*2</f>
        <v>2</v>
      </c>
      <c r="AG739">
        <v>73.4041</v>
      </c>
      <c r="AH739">
        <v>70.346299999999999</v>
      </c>
      <c r="AI739">
        <f>Table716449[[#This Row],[CFNM]]/Table716449[[#This Row],[CAREA]]</f>
        <v>0.95834292634880069</v>
      </c>
      <c r="AJ739">
        <v>3</v>
      </c>
      <c r="AK739">
        <f>(Table817450[[#This Row],[time]]-2)*2</f>
        <v>2</v>
      </c>
      <c r="AL739">
        <v>75.730900000000005</v>
      </c>
      <c r="AM739">
        <v>5.1281499999999998</v>
      </c>
      <c r="AN739">
        <f>Table817450[[#This Row],[CFNM]]/Table817450[[#This Row],[CAREA]]</f>
        <v>6.7715423955083051E-2</v>
      </c>
    </row>
    <row r="742" spans="1:40" x14ac:dyDescent="0.25">
      <c r="A742" s="1" t="s">
        <v>31</v>
      </c>
    </row>
    <row r="743" spans="1:40" x14ac:dyDescent="0.25">
      <c r="A743" t="s">
        <v>73</v>
      </c>
      <c r="F743" t="s">
        <v>1</v>
      </c>
    </row>
    <row r="744" spans="1:40" x14ac:dyDescent="0.25">
      <c r="F744" t="s">
        <v>2</v>
      </c>
      <c r="G744" t="s">
        <v>3</v>
      </c>
    </row>
    <row r="747" spans="1:40" x14ac:dyDescent="0.25">
      <c r="A747" t="s">
        <v>4</v>
      </c>
      <c r="F747" t="s">
        <v>5</v>
      </c>
      <c r="K747" t="s">
        <v>6</v>
      </c>
      <c r="P747" t="s">
        <v>7</v>
      </c>
      <c r="U747" t="s">
        <v>8</v>
      </c>
      <c r="Z747" t="s">
        <v>9</v>
      </c>
      <c r="AE747" t="s">
        <v>10</v>
      </c>
      <c r="AJ747" t="s">
        <v>11</v>
      </c>
    </row>
    <row r="748" spans="1:40" x14ac:dyDescent="0.25">
      <c r="A748" t="s">
        <v>12</v>
      </c>
      <c r="B748" t="s">
        <v>13</v>
      </c>
      <c r="C748" t="s">
        <v>14</v>
      </c>
      <c r="D748" t="s">
        <v>15</v>
      </c>
      <c r="E748" t="s">
        <v>16</v>
      </c>
      <c r="F748" t="s">
        <v>12</v>
      </c>
      <c r="G748" t="s">
        <v>13</v>
      </c>
      <c r="H748" t="s">
        <v>14</v>
      </c>
      <c r="I748" t="s">
        <v>15</v>
      </c>
      <c r="J748" t="s">
        <v>16</v>
      </c>
      <c r="K748" t="s">
        <v>12</v>
      </c>
      <c r="L748" t="s">
        <v>13</v>
      </c>
      <c r="M748" t="s">
        <v>14</v>
      </c>
      <c r="N748" t="s">
        <v>15</v>
      </c>
      <c r="O748" t="s">
        <v>16</v>
      </c>
      <c r="P748" t="s">
        <v>12</v>
      </c>
      <c r="Q748" t="s">
        <v>13</v>
      </c>
      <c r="R748" t="s">
        <v>14</v>
      </c>
      <c r="S748" t="s">
        <v>15</v>
      </c>
      <c r="T748" t="s">
        <v>16</v>
      </c>
      <c r="U748" t="s">
        <v>12</v>
      </c>
      <c r="V748" t="s">
        <v>13</v>
      </c>
      <c r="W748" t="s">
        <v>14</v>
      </c>
      <c r="X748" t="s">
        <v>15</v>
      </c>
      <c r="Y748" t="s">
        <v>16</v>
      </c>
      <c r="Z748" t="s">
        <v>12</v>
      </c>
      <c r="AA748" t="s">
        <v>13</v>
      </c>
      <c r="AB748" t="s">
        <v>14</v>
      </c>
      <c r="AC748" t="s">
        <v>15</v>
      </c>
      <c r="AD748" t="s">
        <v>16</v>
      </c>
      <c r="AE748" t="s">
        <v>12</v>
      </c>
      <c r="AF748" t="s">
        <v>13</v>
      </c>
      <c r="AG748" t="s">
        <v>14</v>
      </c>
      <c r="AH748" t="s">
        <v>15</v>
      </c>
      <c r="AI748" t="s">
        <v>16</v>
      </c>
      <c r="AJ748" t="s">
        <v>12</v>
      </c>
      <c r="AK748" t="s">
        <v>13</v>
      </c>
      <c r="AL748" t="s">
        <v>14</v>
      </c>
      <c r="AM748" t="s">
        <v>15</v>
      </c>
      <c r="AN748" t="s">
        <v>16</v>
      </c>
    </row>
    <row r="749" spans="1:40" x14ac:dyDescent="0.25">
      <c r="A749">
        <v>2</v>
      </c>
      <c r="B749">
        <f>-(Table1451[[#This Row],[time]]-2)*2</f>
        <v>0</v>
      </c>
      <c r="C749">
        <v>89.597300000000004</v>
      </c>
      <c r="D749">
        <v>7.6775399999999996</v>
      </c>
      <c r="E749" s="2">
        <f>Table1451[[#This Row],[CFNM]]/Table1451[[#This Row],[CAREA]]</f>
        <v>8.5689412515778926E-2</v>
      </c>
      <c r="F749">
        <v>2</v>
      </c>
      <c r="G749">
        <f>-(Table2452[[#This Row],[time]]-2)*2</f>
        <v>0</v>
      </c>
      <c r="H749">
        <v>92.131299999999996</v>
      </c>
      <c r="I749">
        <v>0.23485200000000001</v>
      </c>
      <c r="J749" s="2">
        <f>Table2452[[#This Row],[CFNM]]/Table2452[[#This Row],[CAREA]]</f>
        <v>2.5491011198148731E-3</v>
      </c>
      <c r="K749">
        <v>2</v>
      </c>
      <c r="L749">
        <f>-(Table3453[[#This Row],[time]]-2)*2</f>
        <v>0</v>
      </c>
      <c r="M749">
        <v>87.840900000000005</v>
      </c>
      <c r="N749">
        <v>1.0432900000000001</v>
      </c>
      <c r="O749">
        <f>Table3453[[#This Row],[CFNM]]/Table3453[[#This Row],[CAREA]]</f>
        <v>1.1877041332682156E-2</v>
      </c>
      <c r="P749">
        <v>2</v>
      </c>
      <c r="Q749">
        <f>-(Table4454[[#This Row],[time]]-2)*2</f>
        <v>0</v>
      </c>
      <c r="R749">
        <v>82.212800000000001</v>
      </c>
      <c r="S749">
        <v>1.2537100000000001</v>
      </c>
      <c r="T749">
        <f>Table4454[[#This Row],[CFNM]]/Table4454[[#This Row],[CAREA]]</f>
        <v>1.5249571842827395E-2</v>
      </c>
      <c r="U749">
        <v>2</v>
      </c>
      <c r="V749">
        <f>-(Table5455[[#This Row],[time]]-2)*2</f>
        <v>0</v>
      </c>
      <c r="W749">
        <v>83.035700000000006</v>
      </c>
      <c r="X749">
        <v>4.7089100000000004</v>
      </c>
      <c r="Y749">
        <f>Table5455[[#This Row],[CFNM]]/Table5455[[#This Row],[CAREA]]</f>
        <v>5.6709463519907702E-2</v>
      </c>
      <c r="Z749">
        <v>2</v>
      </c>
      <c r="AA749">
        <f>-(Table6456[[#This Row],[time]]-2)*2</f>
        <v>0</v>
      </c>
      <c r="AB749">
        <v>86.564499999999995</v>
      </c>
      <c r="AC749">
        <v>7.2600199999999999</v>
      </c>
      <c r="AD749">
        <f>Table6456[[#This Row],[CFNM]]/Table6456[[#This Row],[CAREA]]</f>
        <v>8.3868329395999516E-2</v>
      </c>
      <c r="AE749">
        <v>2</v>
      </c>
      <c r="AF749">
        <f>-(Table7457[[#This Row],[time]]-2)*2</f>
        <v>0</v>
      </c>
      <c r="AG749">
        <v>77.847899999999996</v>
      </c>
      <c r="AH749">
        <v>20.320699999999999</v>
      </c>
      <c r="AI749">
        <f>Table7457[[#This Row],[CFNM]]/Table7457[[#This Row],[CAREA]]</f>
        <v>0.26103080494143066</v>
      </c>
      <c r="AJ749">
        <v>2</v>
      </c>
      <c r="AK749">
        <f>-(Table8458[[#This Row],[time]]-2)*2</f>
        <v>0</v>
      </c>
      <c r="AL749">
        <v>83.372500000000002</v>
      </c>
      <c r="AM749">
        <v>19.753900000000002</v>
      </c>
      <c r="AN749">
        <f>Table8458[[#This Row],[CFNM]]/Table8458[[#This Row],[CAREA]]</f>
        <v>0.23693544034303879</v>
      </c>
    </row>
    <row r="750" spans="1:40" x14ac:dyDescent="0.25">
      <c r="A750">
        <v>2.0512600000000001</v>
      </c>
      <c r="B750">
        <f>-(Table1451[[#This Row],[time]]-2)*2</f>
        <v>-0.10252000000000017</v>
      </c>
      <c r="C750">
        <v>89.380200000000002</v>
      </c>
      <c r="D750">
        <v>8.4849800000000002</v>
      </c>
      <c r="E750">
        <f>Table1451[[#This Row],[CFNM]]/Table1451[[#This Row],[CAREA]]</f>
        <v>9.4931315884278625E-2</v>
      </c>
      <c r="F750">
        <v>2.0512600000000001</v>
      </c>
      <c r="G750">
        <f>-(Table2452[[#This Row],[time]]-2)*2</f>
        <v>-0.10252000000000017</v>
      </c>
      <c r="H750">
        <v>93.795500000000004</v>
      </c>
      <c r="I750">
        <v>4.4869700000000003</v>
      </c>
      <c r="J750">
        <f>Table2452[[#This Row],[CFNM]]/Table2452[[#This Row],[CAREA]]</f>
        <v>4.7837796056314004E-2</v>
      </c>
      <c r="K750">
        <v>2.0512600000000001</v>
      </c>
      <c r="L750">
        <f>-(Table3453[[#This Row],[time]]-2)*2</f>
        <v>-0.10252000000000017</v>
      </c>
      <c r="M750">
        <v>88.766999999999996</v>
      </c>
      <c r="N750">
        <v>1.48292</v>
      </c>
      <c r="O750">
        <f>Table3453[[#This Row],[CFNM]]/Table3453[[#This Row],[CAREA]]</f>
        <v>1.6705757770342583E-2</v>
      </c>
      <c r="P750">
        <v>2.0512600000000001</v>
      </c>
      <c r="Q750">
        <f>-(Table4454[[#This Row],[time]]-2)*2</f>
        <v>-0.10252000000000017</v>
      </c>
      <c r="R750">
        <v>84.104100000000003</v>
      </c>
      <c r="S750">
        <v>7.4467100000000004</v>
      </c>
      <c r="T750">
        <f>Table4454[[#This Row],[CFNM]]/Table4454[[#This Row],[CAREA]]</f>
        <v>8.8541581207099304E-2</v>
      </c>
      <c r="U750">
        <v>2.0512600000000001</v>
      </c>
      <c r="V750">
        <f>-(Table5455[[#This Row],[time]]-2)*2</f>
        <v>-0.10252000000000017</v>
      </c>
      <c r="W750">
        <v>82.379800000000003</v>
      </c>
      <c r="X750">
        <v>5.79962</v>
      </c>
      <c r="Y750">
        <f>Table5455[[#This Row],[CFNM]]/Table5455[[#This Row],[CAREA]]</f>
        <v>7.0400996360758333E-2</v>
      </c>
      <c r="Z750">
        <v>2.0512600000000001</v>
      </c>
      <c r="AA750">
        <f>-(Table6456[[#This Row],[time]]-2)*2</f>
        <v>-0.10252000000000017</v>
      </c>
      <c r="AB750">
        <v>88.898099999999999</v>
      </c>
      <c r="AC750">
        <v>13.4659</v>
      </c>
      <c r="AD750">
        <f>Table6456[[#This Row],[CFNM]]/Table6456[[#This Row],[CAREA]]</f>
        <v>0.15147567833283276</v>
      </c>
      <c r="AE750">
        <v>2.0512600000000001</v>
      </c>
      <c r="AF750">
        <f>-(Table7457[[#This Row],[time]]-2)*2</f>
        <v>-0.10252000000000017</v>
      </c>
      <c r="AG750">
        <v>78.506699999999995</v>
      </c>
      <c r="AH750">
        <v>18.946999999999999</v>
      </c>
      <c r="AI750">
        <f>Table7457[[#This Row],[CFNM]]/Table7457[[#This Row],[CAREA]]</f>
        <v>0.2413424586691327</v>
      </c>
      <c r="AJ750">
        <v>2.0512600000000001</v>
      </c>
      <c r="AK750">
        <f>-(Table8458[[#This Row],[time]]-2)*2</f>
        <v>-0.10252000000000017</v>
      </c>
      <c r="AL750">
        <v>83.198400000000007</v>
      </c>
      <c r="AM750">
        <v>22.9984</v>
      </c>
      <c r="AN750">
        <f>Table8458[[#This Row],[CFNM]]/Table8458[[#This Row],[CAREA]]</f>
        <v>0.27642839285370868</v>
      </c>
    </row>
    <row r="751" spans="1:40" x14ac:dyDescent="0.25">
      <c r="A751">
        <v>2.1153300000000002</v>
      </c>
      <c r="B751">
        <f>-(Table1451[[#This Row],[time]]-2)*2</f>
        <v>-0.23066000000000031</v>
      </c>
      <c r="C751">
        <v>85.6875</v>
      </c>
      <c r="D751">
        <v>6.68093</v>
      </c>
      <c r="E751">
        <f>Table1451[[#This Row],[CFNM]]/Table1451[[#This Row],[CAREA]]</f>
        <v>7.7968548504741067E-2</v>
      </c>
      <c r="F751">
        <v>2.1153300000000002</v>
      </c>
      <c r="G751">
        <f>-(Table2452[[#This Row],[time]]-2)*2</f>
        <v>-0.23066000000000031</v>
      </c>
      <c r="H751">
        <v>93.3399</v>
      </c>
      <c r="I751">
        <v>8.0701300000000007</v>
      </c>
      <c r="J751">
        <f>Table2452[[#This Row],[CFNM]]/Table2452[[#This Row],[CAREA]]</f>
        <v>8.6459595521315116E-2</v>
      </c>
      <c r="K751">
        <v>2.1153300000000002</v>
      </c>
      <c r="L751">
        <f>-(Table3453[[#This Row],[time]]-2)*2</f>
        <v>-0.23066000000000031</v>
      </c>
      <c r="M751">
        <v>88.447800000000001</v>
      </c>
      <c r="N751">
        <v>4.5179499999999997E-3</v>
      </c>
      <c r="O751">
        <f>Table3453[[#This Row],[CFNM]]/Table3453[[#This Row],[CAREA]]</f>
        <v>5.1080411270828664E-5</v>
      </c>
      <c r="P751">
        <v>2.1153300000000002</v>
      </c>
      <c r="Q751">
        <f>-(Table4454[[#This Row],[time]]-2)*2</f>
        <v>-0.23066000000000031</v>
      </c>
      <c r="R751">
        <v>82.702200000000005</v>
      </c>
      <c r="S751">
        <v>11.0046</v>
      </c>
      <c r="T751">
        <f>Table4454[[#This Row],[CFNM]]/Table4454[[#This Row],[CAREA]]</f>
        <v>0.13306296567685019</v>
      </c>
      <c r="U751">
        <v>2.1153300000000002</v>
      </c>
      <c r="V751">
        <f>-(Table5455[[#This Row],[time]]-2)*2</f>
        <v>-0.23066000000000031</v>
      </c>
      <c r="W751">
        <v>82.214100000000002</v>
      </c>
      <c r="X751">
        <v>3.06107</v>
      </c>
      <c r="Y751">
        <f>Table5455[[#This Row],[CFNM]]/Table5455[[#This Row],[CAREA]]</f>
        <v>3.7232907737237288E-2</v>
      </c>
      <c r="Z751">
        <v>2.1153300000000002</v>
      </c>
      <c r="AA751">
        <f>-(Table6456[[#This Row],[time]]-2)*2</f>
        <v>-0.23066000000000031</v>
      </c>
      <c r="AB751">
        <v>86.590299999999999</v>
      </c>
      <c r="AC751">
        <v>13.528700000000001</v>
      </c>
      <c r="AD751">
        <f>Table6456[[#This Row],[CFNM]]/Table6456[[#This Row],[CAREA]]</f>
        <v>0.15623805437791533</v>
      </c>
      <c r="AE751">
        <v>2.1153300000000002</v>
      </c>
      <c r="AF751">
        <f>-(Table7457[[#This Row],[time]]-2)*2</f>
        <v>-0.23066000000000031</v>
      </c>
      <c r="AG751">
        <v>78.854600000000005</v>
      </c>
      <c r="AH751">
        <v>16.3965</v>
      </c>
      <c r="AI751">
        <f>Table7457[[#This Row],[CFNM]]/Table7457[[#This Row],[CAREA]]</f>
        <v>0.20793333553147184</v>
      </c>
      <c r="AJ751">
        <v>2.1153300000000002</v>
      </c>
      <c r="AK751">
        <f>-(Table8458[[#This Row],[time]]-2)*2</f>
        <v>-0.23066000000000031</v>
      </c>
      <c r="AL751">
        <v>82.935900000000004</v>
      </c>
      <c r="AM751">
        <v>25.532800000000002</v>
      </c>
      <c r="AN751">
        <f>Table8458[[#This Row],[CFNM]]/Table8458[[#This Row],[CAREA]]</f>
        <v>0.3078618547577105</v>
      </c>
    </row>
    <row r="752" spans="1:40" x14ac:dyDescent="0.25">
      <c r="A752">
        <v>2.16533</v>
      </c>
      <c r="B752">
        <f>-(Table1451[[#This Row],[time]]-2)*2</f>
        <v>-0.33065999999999995</v>
      </c>
      <c r="C752">
        <v>79.953500000000005</v>
      </c>
      <c r="D752">
        <v>5.2389099999999997</v>
      </c>
      <c r="E752">
        <f>Table1451[[#This Row],[CFNM]]/Table1451[[#This Row],[CAREA]]</f>
        <v>6.55244610930103E-2</v>
      </c>
      <c r="F752">
        <v>2.16533</v>
      </c>
      <c r="G752">
        <f>-(Table2452[[#This Row],[time]]-2)*2</f>
        <v>-0.33065999999999995</v>
      </c>
      <c r="H752">
        <v>92.783500000000004</v>
      </c>
      <c r="I752">
        <v>10.862399999999999</v>
      </c>
      <c r="J752">
        <f>Table2452[[#This Row],[CFNM]]/Table2452[[#This Row],[CAREA]]</f>
        <v>0.11707253983736331</v>
      </c>
      <c r="K752">
        <v>2.16533</v>
      </c>
      <c r="L752">
        <f>-(Table3453[[#This Row],[time]]-2)*2</f>
        <v>-0.33065999999999995</v>
      </c>
      <c r="M752">
        <v>87.779499999999999</v>
      </c>
      <c r="N752">
        <v>3.6503799999999999E-3</v>
      </c>
      <c r="O752">
        <f>Table3453[[#This Row],[CFNM]]/Table3453[[#This Row],[CAREA]]</f>
        <v>4.1585791671176073E-5</v>
      </c>
      <c r="P752">
        <v>2.16533</v>
      </c>
      <c r="Q752">
        <f>-(Table4454[[#This Row],[time]]-2)*2</f>
        <v>-0.33065999999999995</v>
      </c>
      <c r="R752">
        <v>81.772599999999997</v>
      </c>
      <c r="S752">
        <v>13.5688</v>
      </c>
      <c r="T752">
        <f>Table4454[[#This Row],[CFNM]]/Table4454[[#This Row],[CAREA]]</f>
        <v>0.16593333219195672</v>
      </c>
      <c r="U752">
        <v>2.16533</v>
      </c>
      <c r="V752">
        <f>-(Table5455[[#This Row],[time]]-2)*2</f>
        <v>-0.33065999999999995</v>
      </c>
      <c r="W752">
        <v>82.686899999999994</v>
      </c>
      <c r="X752">
        <v>0.98450599999999999</v>
      </c>
      <c r="Y752">
        <f>Table5455[[#This Row],[CFNM]]/Table5455[[#This Row],[CAREA]]</f>
        <v>1.190643257880027E-2</v>
      </c>
      <c r="Z752">
        <v>2.16533</v>
      </c>
      <c r="AA752">
        <f>-(Table6456[[#This Row],[time]]-2)*2</f>
        <v>-0.33065999999999995</v>
      </c>
      <c r="AB752">
        <v>84.463200000000001</v>
      </c>
      <c r="AC752">
        <v>13.450900000000001</v>
      </c>
      <c r="AD752">
        <f>Table6456[[#This Row],[CFNM]]/Table6456[[#This Row],[CAREA]]</f>
        <v>0.15925160306500347</v>
      </c>
      <c r="AE752">
        <v>2.16533</v>
      </c>
      <c r="AF752">
        <f>-(Table7457[[#This Row],[time]]-2)*2</f>
        <v>-0.33065999999999995</v>
      </c>
      <c r="AG752">
        <v>79.170100000000005</v>
      </c>
      <c r="AH752">
        <v>14.5465</v>
      </c>
      <c r="AI752">
        <f>Table7457[[#This Row],[CFNM]]/Table7457[[#This Row],[CAREA]]</f>
        <v>0.18373729476153244</v>
      </c>
      <c r="AJ752">
        <v>2.16533</v>
      </c>
      <c r="AK752">
        <f>-(Table8458[[#This Row],[time]]-2)*2</f>
        <v>-0.33065999999999995</v>
      </c>
      <c r="AL752">
        <v>82.892899999999997</v>
      </c>
      <c r="AM752">
        <v>27.5688</v>
      </c>
      <c r="AN752">
        <f>Table8458[[#This Row],[CFNM]]/Table8458[[#This Row],[CAREA]]</f>
        <v>0.33258336962514279</v>
      </c>
    </row>
    <row r="753" spans="1:40" x14ac:dyDescent="0.25">
      <c r="A753">
        <v>2.2246999999999999</v>
      </c>
      <c r="B753">
        <f>-(Table1451[[#This Row],[time]]-2)*2</f>
        <v>-0.4493999999999998</v>
      </c>
      <c r="C753">
        <v>73.471900000000005</v>
      </c>
      <c r="D753">
        <v>3.06359</v>
      </c>
      <c r="E753">
        <f>Table1451[[#This Row],[CFNM]]/Table1451[[#This Row],[CAREA]]</f>
        <v>4.1697438068159391E-2</v>
      </c>
      <c r="F753">
        <v>2.2246999999999999</v>
      </c>
      <c r="G753">
        <f>-(Table2452[[#This Row],[time]]-2)*2</f>
        <v>-0.4493999999999998</v>
      </c>
      <c r="H753">
        <v>90.756600000000006</v>
      </c>
      <c r="I753">
        <v>16.430800000000001</v>
      </c>
      <c r="J753">
        <f>Table2452[[#This Row],[CFNM]]/Table2452[[#This Row],[CAREA]]</f>
        <v>0.18104248065705414</v>
      </c>
      <c r="K753">
        <v>2.2246999999999999</v>
      </c>
      <c r="L753">
        <f>-(Table3453[[#This Row],[time]]-2)*2</f>
        <v>-0.4493999999999998</v>
      </c>
      <c r="M753">
        <v>78.772099999999995</v>
      </c>
      <c r="N753">
        <v>2.7621799999999999E-3</v>
      </c>
      <c r="O753">
        <f>Table3453[[#This Row],[CFNM]]/Table3453[[#This Row],[CAREA]]</f>
        <v>3.5065460994438387E-5</v>
      </c>
      <c r="P753">
        <v>2.2246999999999999</v>
      </c>
      <c r="Q753">
        <f>-(Table4454[[#This Row],[time]]-2)*2</f>
        <v>-0.4493999999999998</v>
      </c>
      <c r="R753">
        <v>80.338700000000003</v>
      </c>
      <c r="S753">
        <v>18.4998</v>
      </c>
      <c r="T753">
        <f>Table4454[[#This Row],[CFNM]]/Table4454[[#This Row],[CAREA]]</f>
        <v>0.23027258344981932</v>
      </c>
      <c r="U753">
        <v>2.2246999999999999</v>
      </c>
      <c r="V753">
        <f>-(Table5455[[#This Row],[time]]-2)*2</f>
        <v>-0.4493999999999998</v>
      </c>
      <c r="W753">
        <v>82.802199999999999</v>
      </c>
      <c r="X753">
        <v>4.5791699999999996E-3</v>
      </c>
      <c r="Y753">
        <f>Table5455[[#This Row],[CFNM]]/Table5455[[#This Row],[CAREA]]</f>
        <v>5.5302516116721531E-5</v>
      </c>
      <c r="Z753">
        <v>2.2246999999999999</v>
      </c>
      <c r="AA753">
        <f>-(Table6456[[#This Row],[time]]-2)*2</f>
        <v>-0.4493999999999998</v>
      </c>
      <c r="AB753">
        <v>83.786000000000001</v>
      </c>
      <c r="AC753">
        <v>15.8125</v>
      </c>
      <c r="AD753">
        <f>Table6456[[#This Row],[CFNM]]/Table6456[[#This Row],[CAREA]]</f>
        <v>0.18872484663308906</v>
      </c>
      <c r="AE753">
        <v>2.2246999999999999</v>
      </c>
      <c r="AF753">
        <f>-(Table7457[[#This Row],[time]]-2)*2</f>
        <v>-0.4493999999999998</v>
      </c>
      <c r="AG753">
        <v>79.703000000000003</v>
      </c>
      <c r="AH753">
        <v>11.439</v>
      </c>
      <c r="AI753">
        <f>Table7457[[#This Row],[CFNM]]/Table7457[[#This Row],[CAREA]]</f>
        <v>0.14352031918497421</v>
      </c>
      <c r="AJ753">
        <v>2.2246999999999999</v>
      </c>
      <c r="AK753">
        <f>-(Table8458[[#This Row],[time]]-2)*2</f>
        <v>-0.4493999999999998</v>
      </c>
      <c r="AL753">
        <v>82.828400000000002</v>
      </c>
      <c r="AM753">
        <v>31.194600000000001</v>
      </c>
      <c r="AN753">
        <f>Table8458[[#This Row],[CFNM]]/Table8458[[#This Row],[CAREA]]</f>
        <v>0.37661719893176737</v>
      </c>
    </row>
    <row r="754" spans="1:40" x14ac:dyDescent="0.25">
      <c r="A754">
        <v>2.2668900000000001</v>
      </c>
      <c r="B754">
        <f>-(Table1451[[#This Row],[time]]-2)*2</f>
        <v>-0.53378000000000014</v>
      </c>
      <c r="C754">
        <v>71.933999999999997</v>
      </c>
      <c r="D754">
        <v>2.36267</v>
      </c>
      <c r="E754">
        <f>Table1451[[#This Row],[CFNM]]/Table1451[[#This Row],[CAREA]]</f>
        <v>3.2844968999360527E-2</v>
      </c>
      <c r="F754">
        <v>2.2668900000000001</v>
      </c>
      <c r="G754">
        <f>-(Table2452[[#This Row],[time]]-2)*2</f>
        <v>-0.53378000000000014</v>
      </c>
      <c r="H754">
        <v>89.747200000000007</v>
      </c>
      <c r="I754">
        <v>18.369499999999999</v>
      </c>
      <c r="J754">
        <f>Table2452[[#This Row],[CFNM]]/Table2452[[#This Row],[CAREA]]</f>
        <v>0.20468048028239319</v>
      </c>
      <c r="K754">
        <v>2.2668900000000001</v>
      </c>
      <c r="L754">
        <f>-(Table3453[[#This Row],[time]]-2)*2</f>
        <v>-0.53378000000000014</v>
      </c>
      <c r="M754">
        <v>74.128500000000003</v>
      </c>
      <c r="N754">
        <v>2.5355400000000002E-3</v>
      </c>
      <c r="O754">
        <f>Table3453[[#This Row],[CFNM]]/Table3453[[#This Row],[CAREA]]</f>
        <v>3.4204658127440864E-5</v>
      </c>
      <c r="P754">
        <v>2.2668900000000001</v>
      </c>
      <c r="Q754">
        <f>-(Table4454[[#This Row],[time]]-2)*2</f>
        <v>-0.53378000000000014</v>
      </c>
      <c r="R754">
        <v>79.8643</v>
      </c>
      <c r="S754">
        <v>20.092300000000002</v>
      </c>
      <c r="T754">
        <f>Table4454[[#This Row],[CFNM]]/Table4454[[#This Row],[CAREA]]</f>
        <v>0.25158049341195005</v>
      </c>
      <c r="U754">
        <v>2.2668900000000001</v>
      </c>
      <c r="V754">
        <f>-(Table5455[[#This Row],[time]]-2)*2</f>
        <v>-0.53378000000000014</v>
      </c>
      <c r="W754">
        <v>82.744500000000002</v>
      </c>
      <c r="X754">
        <v>4.3292399999999998E-3</v>
      </c>
      <c r="Y754">
        <f>Table5455[[#This Row],[CFNM]]/Table5455[[#This Row],[CAREA]]</f>
        <v>5.2320577198484491E-5</v>
      </c>
      <c r="Z754">
        <v>2.2668900000000001</v>
      </c>
      <c r="AA754">
        <f>-(Table6456[[#This Row],[time]]-2)*2</f>
        <v>-0.53378000000000014</v>
      </c>
      <c r="AB754">
        <v>83.280699999999996</v>
      </c>
      <c r="AC754">
        <v>17.297999999999998</v>
      </c>
      <c r="AD754">
        <f>Table6456[[#This Row],[CFNM]]/Table6456[[#This Row],[CAREA]]</f>
        <v>0.20770718785985226</v>
      </c>
      <c r="AE754">
        <v>2.2668900000000001</v>
      </c>
      <c r="AF754">
        <f>-(Table7457[[#This Row],[time]]-2)*2</f>
        <v>-0.53378000000000014</v>
      </c>
      <c r="AG754">
        <v>79.8416</v>
      </c>
      <c r="AH754">
        <v>10.364000000000001</v>
      </c>
      <c r="AI754">
        <f>Table7457[[#This Row],[CFNM]]/Table7457[[#This Row],[CAREA]]</f>
        <v>0.12980701789543297</v>
      </c>
      <c r="AJ754">
        <v>2.2668900000000001</v>
      </c>
      <c r="AK754">
        <f>-(Table8458[[#This Row],[time]]-2)*2</f>
        <v>-0.53378000000000014</v>
      </c>
      <c r="AL754">
        <v>82.861699999999999</v>
      </c>
      <c r="AM754">
        <v>32.615200000000002</v>
      </c>
      <c r="AN754">
        <f>Table8458[[#This Row],[CFNM]]/Table8458[[#This Row],[CAREA]]</f>
        <v>0.39361007558377398</v>
      </c>
    </row>
    <row r="755" spans="1:40" x14ac:dyDescent="0.25">
      <c r="A755">
        <v>2.3262700000000001</v>
      </c>
      <c r="B755">
        <f>-(Table1451[[#This Row],[time]]-2)*2</f>
        <v>-0.65254000000000012</v>
      </c>
      <c r="C755">
        <v>67.513900000000007</v>
      </c>
      <c r="D755">
        <v>1.1899900000000001</v>
      </c>
      <c r="E755">
        <f>Table1451[[#This Row],[CFNM]]/Table1451[[#This Row],[CAREA]]</f>
        <v>1.7625851861616644E-2</v>
      </c>
      <c r="F755">
        <v>2.3262700000000001</v>
      </c>
      <c r="G755">
        <f>-(Table2452[[#This Row],[time]]-2)*2</f>
        <v>-0.65254000000000012</v>
      </c>
      <c r="H755">
        <v>87.998800000000003</v>
      </c>
      <c r="I755">
        <v>22.344799999999999</v>
      </c>
      <c r="J755">
        <f>Table2452[[#This Row],[CFNM]]/Table2452[[#This Row],[CAREA]]</f>
        <v>0.2539216443860598</v>
      </c>
      <c r="K755">
        <v>2.3262700000000001</v>
      </c>
      <c r="L755">
        <f>-(Table3453[[#This Row],[time]]-2)*2</f>
        <v>-0.65254000000000012</v>
      </c>
      <c r="M755">
        <v>70.9636</v>
      </c>
      <c r="N755">
        <v>2.0855000000000001E-3</v>
      </c>
      <c r="O755">
        <f>Table3453[[#This Row],[CFNM]]/Table3453[[#This Row],[CAREA]]</f>
        <v>2.9388306117502495E-5</v>
      </c>
      <c r="P755">
        <v>2.3262700000000001</v>
      </c>
      <c r="Q755">
        <f>-(Table4454[[#This Row],[time]]-2)*2</f>
        <v>-0.65254000000000012</v>
      </c>
      <c r="R755">
        <v>78.802000000000007</v>
      </c>
      <c r="S755">
        <v>23.3735</v>
      </c>
      <c r="T755">
        <f>Table4454[[#This Row],[CFNM]]/Table4454[[#This Row],[CAREA]]</f>
        <v>0.29661049211948931</v>
      </c>
      <c r="U755">
        <v>2.3262700000000001</v>
      </c>
      <c r="V755">
        <f>-(Table5455[[#This Row],[time]]-2)*2</f>
        <v>-0.65254000000000012</v>
      </c>
      <c r="W755">
        <v>82.551299999999998</v>
      </c>
      <c r="X755">
        <v>4.03857E-3</v>
      </c>
      <c r="Y755">
        <f>Table5455[[#This Row],[CFNM]]/Table5455[[#This Row],[CAREA]]</f>
        <v>4.8921943082664962E-5</v>
      </c>
      <c r="Z755">
        <v>2.3262700000000001</v>
      </c>
      <c r="AA755">
        <f>-(Table6456[[#This Row],[time]]-2)*2</f>
        <v>-0.65254000000000012</v>
      </c>
      <c r="AB755">
        <v>81.707099999999997</v>
      </c>
      <c r="AC755">
        <v>21.029</v>
      </c>
      <c r="AD755">
        <f>Table6456[[#This Row],[CFNM]]/Table6456[[#This Row],[CAREA]]</f>
        <v>0.2573705345067932</v>
      </c>
      <c r="AE755">
        <v>2.3262700000000001</v>
      </c>
      <c r="AF755">
        <f>-(Table7457[[#This Row],[time]]-2)*2</f>
        <v>-0.65254000000000012</v>
      </c>
      <c r="AG755">
        <v>79.7166</v>
      </c>
      <c r="AH755">
        <v>8.3544300000000007</v>
      </c>
      <c r="AI755">
        <f>Table7457[[#This Row],[CFNM]]/Table7457[[#This Row],[CAREA]]</f>
        <v>0.104801634791248</v>
      </c>
      <c r="AJ755">
        <v>2.3262700000000001</v>
      </c>
      <c r="AK755">
        <f>-(Table8458[[#This Row],[time]]-2)*2</f>
        <v>-0.65254000000000012</v>
      </c>
      <c r="AL755">
        <v>83.031599999999997</v>
      </c>
      <c r="AM755">
        <v>35.732599999999998</v>
      </c>
      <c r="AN755">
        <f>Table8458[[#This Row],[CFNM]]/Table8458[[#This Row],[CAREA]]</f>
        <v>0.43034940914061631</v>
      </c>
    </row>
    <row r="756" spans="1:40" x14ac:dyDescent="0.25">
      <c r="A756">
        <v>2.3684599999999998</v>
      </c>
      <c r="B756">
        <f>-(Table1451[[#This Row],[time]]-2)*2</f>
        <v>-0.73691999999999958</v>
      </c>
      <c r="C756">
        <v>66.145899999999997</v>
      </c>
      <c r="D756">
        <v>0.55677299999999996</v>
      </c>
      <c r="E756">
        <f>Table1451[[#This Row],[CFNM]]/Table1451[[#This Row],[CAREA]]</f>
        <v>8.4173471069257499E-3</v>
      </c>
      <c r="F756">
        <v>2.3684599999999998</v>
      </c>
      <c r="G756">
        <f>-(Table2452[[#This Row],[time]]-2)*2</f>
        <v>-0.73691999999999958</v>
      </c>
      <c r="H756">
        <v>86.772900000000007</v>
      </c>
      <c r="I756">
        <v>24.967400000000001</v>
      </c>
      <c r="J756">
        <f>Table2452[[#This Row],[CFNM]]/Table2452[[#This Row],[CAREA]]</f>
        <v>0.28773269073639351</v>
      </c>
      <c r="K756">
        <v>2.3684599999999998</v>
      </c>
      <c r="L756">
        <f>-(Table3453[[#This Row],[time]]-2)*2</f>
        <v>-0.73691999999999958</v>
      </c>
      <c r="M756">
        <v>65.939800000000005</v>
      </c>
      <c r="N756">
        <v>1.78375E-3</v>
      </c>
      <c r="O756">
        <f>Table3453[[#This Row],[CFNM]]/Table3453[[#This Row],[CAREA]]</f>
        <v>2.7051189114919971E-5</v>
      </c>
      <c r="P756">
        <v>2.3684599999999998</v>
      </c>
      <c r="Q756">
        <f>-(Table4454[[#This Row],[time]]-2)*2</f>
        <v>-0.73691999999999958</v>
      </c>
      <c r="R756">
        <v>78.059299999999993</v>
      </c>
      <c r="S756">
        <v>25.619</v>
      </c>
      <c r="T756">
        <f>Table4454[[#This Row],[CFNM]]/Table4454[[#This Row],[CAREA]]</f>
        <v>0.32819920240125139</v>
      </c>
      <c r="U756">
        <v>2.3684599999999998</v>
      </c>
      <c r="V756">
        <f>-(Table5455[[#This Row],[time]]-2)*2</f>
        <v>-0.73691999999999958</v>
      </c>
      <c r="W756">
        <v>82.448099999999997</v>
      </c>
      <c r="X756">
        <v>3.8798600000000002E-3</v>
      </c>
      <c r="Y756">
        <f>Table5455[[#This Row],[CFNM]]/Table5455[[#This Row],[CAREA]]</f>
        <v>4.7058209952685387E-5</v>
      </c>
      <c r="Z756">
        <v>2.3684599999999998</v>
      </c>
      <c r="AA756">
        <f>-(Table6456[[#This Row],[time]]-2)*2</f>
        <v>-0.73691999999999958</v>
      </c>
      <c r="AB756">
        <v>80.133399999999995</v>
      </c>
      <c r="AC756">
        <v>23.6904</v>
      </c>
      <c r="AD756">
        <f>Table6456[[#This Row],[CFNM]]/Table6456[[#This Row],[CAREA]]</f>
        <v>0.29563702526037833</v>
      </c>
      <c r="AE756">
        <v>2.3684599999999998</v>
      </c>
      <c r="AF756">
        <f>-(Table7457[[#This Row],[time]]-2)*2</f>
        <v>-0.73691999999999958</v>
      </c>
      <c r="AG756">
        <v>79.511700000000005</v>
      </c>
      <c r="AH756">
        <v>7.1407999999999996</v>
      </c>
      <c r="AI756">
        <f>Table7457[[#This Row],[CFNM]]/Table7457[[#This Row],[CAREA]]</f>
        <v>8.9808166596865607E-2</v>
      </c>
      <c r="AJ756">
        <v>2.3684599999999998</v>
      </c>
      <c r="AK756">
        <f>-(Table8458[[#This Row],[time]]-2)*2</f>
        <v>-0.73691999999999958</v>
      </c>
      <c r="AL756">
        <v>82.928899999999999</v>
      </c>
      <c r="AM756">
        <v>37.863</v>
      </c>
      <c r="AN756">
        <f>Table8458[[#This Row],[CFNM]]/Table8458[[#This Row],[CAREA]]</f>
        <v>0.45657183442684035</v>
      </c>
    </row>
    <row r="757" spans="1:40" x14ac:dyDescent="0.25">
      <c r="A757">
        <v>2.4278300000000002</v>
      </c>
      <c r="B757">
        <f>-(Table1451[[#This Row],[time]]-2)*2</f>
        <v>-0.85566000000000031</v>
      </c>
      <c r="C757">
        <v>65.541899999999998</v>
      </c>
      <c r="D757">
        <v>6.9069400000000003E-2</v>
      </c>
      <c r="E757">
        <f>Table1451[[#This Row],[CFNM]]/Table1451[[#This Row],[CAREA]]</f>
        <v>1.053820533124612E-3</v>
      </c>
      <c r="F757">
        <v>2.4278300000000002</v>
      </c>
      <c r="G757">
        <f>-(Table2452[[#This Row],[time]]-2)*2</f>
        <v>-0.85566000000000031</v>
      </c>
      <c r="H757">
        <v>85.534000000000006</v>
      </c>
      <c r="I757">
        <v>27.385000000000002</v>
      </c>
      <c r="J757">
        <f>Table2452[[#This Row],[CFNM]]/Table2452[[#This Row],[CAREA]]</f>
        <v>0.32016508055276266</v>
      </c>
      <c r="K757">
        <v>2.4278300000000002</v>
      </c>
      <c r="L757">
        <f>-(Table3453[[#This Row],[time]]-2)*2</f>
        <v>-0.85566000000000031</v>
      </c>
      <c r="M757">
        <v>62.099299999999999</v>
      </c>
      <c r="N757">
        <v>1.52999E-3</v>
      </c>
      <c r="O757">
        <f>Table3453[[#This Row],[CFNM]]/Table3453[[#This Row],[CAREA]]</f>
        <v>2.4637797849573184E-5</v>
      </c>
      <c r="P757">
        <v>2.4278300000000002</v>
      </c>
      <c r="Q757">
        <f>-(Table4454[[#This Row],[time]]-2)*2</f>
        <v>-0.85566000000000031</v>
      </c>
      <c r="R757">
        <v>77.413499999999999</v>
      </c>
      <c r="S757">
        <v>27.7013</v>
      </c>
      <c r="T757">
        <f>Table4454[[#This Row],[CFNM]]/Table4454[[#This Row],[CAREA]]</f>
        <v>0.35783551964450644</v>
      </c>
      <c r="U757">
        <v>2.4278300000000002</v>
      </c>
      <c r="V757">
        <f>-(Table5455[[#This Row],[time]]-2)*2</f>
        <v>-0.85566000000000031</v>
      </c>
      <c r="W757">
        <v>82.226100000000002</v>
      </c>
      <c r="X757">
        <v>3.72288E-3</v>
      </c>
      <c r="Y757">
        <f>Table5455[[#This Row],[CFNM]]/Table5455[[#This Row],[CAREA]]</f>
        <v>4.5276134949851686E-5</v>
      </c>
      <c r="Z757">
        <v>2.4278300000000002</v>
      </c>
      <c r="AA757">
        <f>-(Table6456[[#This Row],[time]]-2)*2</f>
        <v>-0.85566000000000031</v>
      </c>
      <c r="AB757">
        <v>79.285300000000007</v>
      </c>
      <c r="AC757">
        <v>26.232800000000001</v>
      </c>
      <c r="AD757">
        <f>Table6456[[#This Row],[CFNM]]/Table6456[[#This Row],[CAREA]]</f>
        <v>0.33086587299284986</v>
      </c>
      <c r="AE757">
        <v>2.4278300000000002</v>
      </c>
      <c r="AF757">
        <f>-(Table7457[[#This Row],[time]]-2)*2</f>
        <v>-0.85566000000000031</v>
      </c>
      <c r="AG757">
        <v>79.072599999999994</v>
      </c>
      <c r="AH757">
        <v>6.0577800000000002</v>
      </c>
      <c r="AI757">
        <f>Table7457[[#This Row],[CFNM]]/Table7457[[#This Row],[CAREA]]</f>
        <v>7.6610355546674835E-2</v>
      </c>
      <c r="AJ757">
        <v>2.4278300000000002</v>
      </c>
      <c r="AK757">
        <f>-(Table8458[[#This Row],[time]]-2)*2</f>
        <v>-0.85566000000000031</v>
      </c>
      <c r="AL757">
        <v>83.029600000000002</v>
      </c>
      <c r="AM757">
        <v>39.961799999999997</v>
      </c>
      <c r="AN757">
        <f>Table8458[[#This Row],[CFNM]]/Table8458[[#This Row],[CAREA]]</f>
        <v>0.48129582703036022</v>
      </c>
    </row>
    <row r="758" spans="1:40" x14ac:dyDescent="0.25">
      <c r="A758">
        <v>2.4542000000000002</v>
      </c>
      <c r="B758">
        <f>-(Table1451[[#This Row],[time]]-2)*2</f>
        <v>-0.90840000000000032</v>
      </c>
      <c r="C758">
        <v>64.984800000000007</v>
      </c>
      <c r="D758">
        <v>2.7132599999999999E-3</v>
      </c>
      <c r="E758">
        <f>Table1451[[#This Row],[CFNM]]/Table1451[[#This Row],[CAREA]]</f>
        <v>4.1752225135724038E-5</v>
      </c>
      <c r="F758">
        <v>2.4542000000000002</v>
      </c>
      <c r="G758">
        <f>-(Table2452[[#This Row],[time]]-2)*2</f>
        <v>-0.90840000000000032</v>
      </c>
      <c r="H758">
        <v>84.819100000000006</v>
      </c>
      <c r="I758">
        <v>28.740500000000001</v>
      </c>
      <c r="J758">
        <f>Table2452[[#This Row],[CFNM]]/Table2452[[#This Row],[CAREA]]</f>
        <v>0.33884467059895707</v>
      </c>
      <c r="K758">
        <v>2.4542000000000002</v>
      </c>
      <c r="L758">
        <f>-(Table3453[[#This Row],[time]]-2)*2</f>
        <v>-0.90840000000000032</v>
      </c>
      <c r="M758">
        <v>61.095999999999997</v>
      </c>
      <c r="N758">
        <v>1.3960299999999999E-3</v>
      </c>
      <c r="O758">
        <f>Table3453[[#This Row],[CFNM]]/Table3453[[#This Row],[CAREA]]</f>
        <v>2.2849777399502422E-5</v>
      </c>
      <c r="P758">
        <v>2.4542000000000002</v>
      </c>
      <c r="Q758">
        <f>-(Table4454[[#This Row],[time]]-2)*2</f>
        <v>-0.90840000000000032</v>
      </c>
      <c r="R758">
        <v>76.924700000000001</v>
      </c>
      <c r="S758">
        <v>28.954799999999999</v>
      </c>
      <c r="T758">
        <f>Table4454[[#This Row],[CFNM]]/Table4454[[#This Row],[CAREA]]</f>
        <v>0.37640445786593901</v>
      </c>
      <c r="U758">
        <v>2.4542000000000002</v>
      </c>
      <c r="V758">
        <f>-(Table5455[[#This Row],[time]]-2)*2</f>
        <v>-0.90840000000000032</v>
      </c>
      <c r="W758">
        <v>82.709000000000003</v>
      </c>
      <c r="X758">
        <v>3.6218700000000001E-3</v>
      </c>
      <c r="Y758">
        <f>Table5455[[#This Row],[CFNM]]/Table5455[[#This Row],[CAREA]]</f>
        <v>4.3790518565089651E-5</v>
      </c>
      <c r="Z758">
        <v>2.4542000000000002</v>
      </c>
      <c r="AA758">
        <f>-(Table6456[[#This Row],[time]]-2)*2</f>
        <v>-0.90840000000000032</v>
      </c>
      <c r="AB758">
        <v>78.621700000000004</v>
      </c>
      <c r="AC758">
        <v>27.760999999999999</v>
      </c>
      <c r="AD758">
        <f>Table6456[[#This Row],[CFNM]]/Table6456[[#This Row],[CAREA]]</f>
        <v>0.35309590100443006</v>
      </c>
      <c r="AE758">
        <v>2.4542000000000002</v>
      </c>
      <c r="AF758">
        <f>-(Table7457[[#This Row],[time]]-2)*2</f>
        <v>-0.90840000000000032</v>
      </c>
      <c r="AG758">
        <v>78.741100000000003</v>
      </c>
      <c r="AH758">
        <v>5.4361899999999999</v>
      </c>
      <c r="AI758">
        <f>Table7457[[#This Row],[CFNM]]/Table7457[[#This Row],[CAREA]]</f>
        <v>6.9038786605724323E-2</v>
      </c>
      <c r="AJ758">
        <v>2.4542000000000002</v>
      </c>
      <c r="AK758">
        <f>-(Table8458[[#This Row],[time]]-2)*2</f>
        <v>-0.90840000000000032</v>
      </c>
      <c r="AL758">
        <v>83.076599999999999</v>
      </c>
      <c r="AM758">
        <v>41.2744</v>
      </c>
      <c r="AN758">
        <f>Table8458[[#This Row],[CFNM]]/Table8458[[#This Row],[CAREA]]</f>
        <v>0.49682341357253429</v>
      </c>
    </row>
    <row r="759" spans="1:40" x14ac:dyDescent="0.25">
      <c r="A759">
        <v>2.5061499999999999</v>
      </c>
      <c r="B759">
        <f>-(Table1451[[#This Row],[time]]-2)*2</f>
        <v>-1.0122999999999998</v>
      </c>
      <c r="C759">
        <v>62.372900000000001</v>
      </c>
      <c r="D759">
        <v>2.3242599999999999E-3</v>
      </c>
      <c r="E759">
        <f>Table1451[[#This Row],[CFNM]]/Table1451[[#This Row],[CAREA]]</f>
        <v>3.7263939948278817E-5</v>
      </c>
      <c r="F759">
        <v>2.5061499999999999</v>
      </c>
      <c r="G759">
        <f>-(Table2452[[#This Row],[time]]-2)*2</f>
        <v>-1.0122999999999998</v>
      </c>
      <c r="H759">
        <v>84.097899999999996</v>
      </c>
      <c r="I759">
        <v>30.351099999999999</v>
      </c>
      <c r="J759">
        <f>Table2452[[#This Row],[CFNM]]/Table2452[[#This Row],[CAREA]]</f>
        <v>0.36090199636376175</v>
      </c>
      <c r="K759">
        <v>2.5061499999999999</v>
      </c>
      <c r="L759">
        <f>-(Table3453[[#This Row],[time]]-2)*2</f>
        <v>-1.0122999999999998</v>
      </c>
      <c r="M759">
        <v>59.355499999999999</v>
      </c>
      <c r="N759">
        <v>1.24861E-3</v>
      </c>
      <c r="O759">
        <f>Table3453[[#This Row],[CFNM]]/Table3453[[#This Row],[CAREA]]</f>
        <v>2.1036129760510821E-5</v>
      </c>
      <c r="P759">
        <v>2.5061499999999999</v>
      </c>
      <c r="Q759">
        <f>-(Table4454[[#This Row],[time]]-2)*2</f>
        <v>-1.0122999999999998</v>
      </c>
      <c r="R759">
        <v>76.306399999999996</v>
      </c>
      <c r="S759">
        <v>30.501000000000001</v>
      </c>
      <c r="T759">
        <f>Table4454[[#This Row],[CFNM]]/Table4454[[#This Row],[CAREA]]</f>
        <v>0.39971745489238125</v>
      </c>
      <c r="U759">
        <v>2.5061499999999999</v>
      </c>
      <c r="V759">
        <f>-(Table5455[[#This Row],[time]]-2)*2</f>
        <v>-1.0122999999999998</v>
      </c>
      <c r="W759">
        <v>82.498000000000005</v>
      </c>
      <c r="X759">
        <v>3.4922099999999999E-3</v>
      </c>
      <c r="Y759">
        <f>Table5455[[#This Row],[CFNM]]/Table5455[[#This Row],[CAREA]]</f>
        <v>4.2330844384106279E-5</v>
      </c>
      <c r="Z759">
        <v>2.5061499999999999</v>
      </c>
      <c r="AA759">
        <f>-(Table6456[[#This Row],[time]]-2)*2</f>
        <v>-1.0122999999999998</v>
      </c>
      <c r="AB759">
        <v>78.008099999999999</v>
      </c>
      <c r="AC759">
        <v>29.625599999999999</v>
      </c>
      <c r="AD759">
        <f>Table6456[[#This Row],[CFNM]]/Table6456[[#This Row],[CAREA]]</f>
        <v>0.3797759463440335</v>
      </c>
      <c r="AE759">
        <v>2.5061499999999999</v>
      </c>
      <c r="AF759">
        <f>-(Table7457[[#This Row],[time]]-2)*2</f>
        <v>-1.0122999999999998</v>
      </c>
      <c r="AG759">
        <v>78.255300000000005</v>
      </c>
      <c r="AH759">
        <v>4.7556200000000004</v>
      </c>
      <c r="AI759">
        <f>Table7457[[#This Row],[CFNM]]/Table7457[[#This Row],[CAREA]]</f>
        <v>6.0770580395193681E-2</v>
      </c>
      <c r="AJ759">
        <v>2.5061499999999999</v>
      </c>
      <c r="AK759">
        <f>-(Table8458[[#This Row],[time]]-2)*2</f>
        <v>-1.0122999999999998</v>
      </c>
      <c r="AL759">
        <v>83.096000000000004</v>
      </c>
      <c r="AM759">
        <v>42.898600000000002</v>
      </c>
      <c r="AN759">
        <f>Table8458[[#This Row],[CFNM]]/Table8458[[#This Row],[CAREA]]</f>
        <v>0.51625348993934728</v>
      </c>
    </row>
    <row r="760" spans="1:40" x14ac:dyDescent="0.25">
      <c r="A760">
        <v>2.5507599999999999</v>
      </c>
      <c r="B760">
        <f>-(Table1451[[#This Row],[time]]-2)*2</f>
        <v>-1.1015199999999998</v>
      </c>
      <c r="C760">
        <v>60.970500000000001</v>
      </c>
      <c r="D760">
        <v>2.1641299999999998E-3</v>
      </c>
      <c r="E760">
        <f>Table1451[[#This Row],[CFNM]]/Table1451[[#This Row],[CAREA]]</f>
        <v>3.5494706456401044E-5</v>
      </c>
      <c r="F760">
        <v>2.5507599999999999</v>
      </c>
      <c r="G760">
        <f>-(Table2452[[#This Row],[time]]-2)*2</f>
        <v>-1.1015199999999998</v>
      </c>
      <c r="H760">
        <v>83.276600000000002</v>
      </c>
      <c r="I760">
        <v>32.245699999999999</v>
      </c>
      <c r="J760">
        <f>Table2452[[#This Row],[CFNM]]/Table2452[[#This Row],[CAREA]]</f>
        <v>0.38721201393908972</v>
      </c>
      <c r="K760">
        <v>2.5507599999999999</v>
      </c>
      <c r="L760">
        <f>-(Table3453[[#This Row],[time]]-2)*2</f>
        <v>-1.1015199999999998</v>
      </c>
      <c r="M760">
        <v>56.439700000000002</v>
      </c>
      <c r="N760">
        <v>1.0996300000000001E-3</v>
      </c>
      <c r="O760">
        <f>Table3453[[#This Row],[CFNM]]/Table3453[[#This Row],[CAREA]]</f>
        <v>1.948327152695709E-5</v>
      </c>
      <c r="P760">
        <v>2.5507599999999999</v>
      </c>
      <c r="Q760">
        <f>-(Table4454[[#This Row],[time]]-2)*2</f>
        <v>-1.1015199999999998</v>
      </c>
      <c r="R760">
        <v>75.593199999999996</v>
      </c>
      <c r="S760">
        <v>32.436599999999999</v>
      </c>
      <c r="T760">
        <f>Table4454[[#This Row],[CFNM]]/Table4454[[#This Row],[CAREA]]</f>
        <v>0.4290941513257806</v>
      </c>
      <c r="U760">
        <v>2.5507599999999999</v>
      </c>
      <c r="V760">
        <f>-(Table5455[[#This Row],[time]]-2)*2</f>
        <v>-1.1015199999999998</v>
      </c>
      <c r="W760">
        <v>82.120099999999994</v>
      </c>
      <c r="X760">
        <v>3.33461E-3</v>
      </c>
      <c r="Y760">
        <f>Table5455[[#This Row],[CFNM]]/Table5455[[#This Row],[CAREA]]</f>
        <v>4.0606501940450633E-5</v>
      </c>
      <c r="Z760">
        <v>2.5507599999999999</v>
      </c>
      <c r="AA760">
        <f>-(Table6456[[#This Row],[time]]-2)*2</f>
        <v>-1.1015199999999998</v>
      </c>
      <c r="AB760">
        <v>77.078800000000001</v>
      </c>
      <c r="AC760">
        <v>31.775600000000001</v>
      </c>
      <c r="AD760">
        <f>Table6456[[#This Row],[CFNM]]/Table6456[[#This Row],[CAREA]]</f>
        <v>0.41224824465352339</v>
      </c>
      <c r="AE760">
        <v>2.5507599999999999</v>
      </c>
      <c r="AF760">
        <f>-(Table7457[[#This Row],[time]]-2)*2</f>
        <v>-1.1015199999999998</v>
      </c>
      <c r="AG760">
        <v>77.683899999999994</v>
      </c>
      <c r="AH760">
        <v>4.01593</v>
      </c>
      <c r="AI760">
        <f>Table7457[[#This Row],[CFNM]]/Table7457[[#This Row],[CAREA]]</f>
        <v>5.1695782523791936E-2</v>
      </c>
      <c r="AJ760">
        <v>2.5507599999999999</v>
      </c>
      <c r="AK760">
        <f>-(Table8458[[#This Row],[time]]-2)*2</f>
        <v>-1.1015199999999998</v>
      </c>
      <c r="AL760">
        <v>82.421000000000006</v>
      </c>
      <c r="AM760">
        <v>44.828400000000002</v>
      </c>
      <c r="AN760">
        <f>Table8458[[#This Row],[CFNM]]/Table8458[[#This Row],[CAREA]]</f>
        <v>0.54389536647213699</v>
      </c>
    </row>
    <row r="761" spans="1:40" x14ac:dyDescent="0.25">
      <c r="A761">
        <v>2.60453</v>
      </c>
      <c r="B761">
        <f>-(Table1451[[#This Row],[time]]-2)*2</f>
        <v>-1.20906</v>
      </c>
      <c r="C761">
        <v>58.574399999999997</v>
      </c>
      <c r="D761">
        <v>1.9877100000000002E-3</v>
      </c>
      <c r="E761">
        <f>Table1451[[#This Row],[CFNM]]/Table1451[[#This Row],[CAREA]]</f>
        <v>3.3934790625256091E-5</v>
      </c>
      <c r="F761">
        <v>2.60453</v>
      </c>
      <c r="G761">
        <f>-(Table2452[[#This Row],[time]]-2)*2</f>
        <v>-1.20906</v>
      </c>
      <c r="H761">
        <v>82.366100000000003</v>
      </c>
      <c r="I761">
        <v>34.276299999999999</v>
      </c>
      <c r="J761">
        <f>Table2452[[#This Row],[CFNM]]/Table2452[[#This Row],[CAREA]]</f>
        <v>0.41614572014457402</v>
      </c>
      <c r="K761">
        <v>2.60453</v>
      </c>
      <c r="L761">
        <f>-(Table3453[[#This Row],[time]]-2)*2</f>
        <v>-1.20906</v>
      </c>
      <c r="M761">
        <v>51.8125</v>
      </c>
      <c r="N761">
        <v>9.4729899999999997E-4</v>
      </c>
      <c r="O761">
        <f>Table3453[[#This Row],[CFNM]]/Table3453[[#This Row],[CAREA]]</f>
        <v>1.8283213510253315E-5</v>
      </c>
      <c r="P761">
        <v>2.60453</v>
      </c>
      <c r="Q761">
        <f>-(Table4454[[#This Row],[time]]-2)*2</f>
        <v>-1.20906</v>
      </c>
      <c r="R761">
        <v>74.746899999999997</v>
      </c>
      <c r="S761">
        <v>34.626600000000003</v>
      </c>
      <c r="T761">
        <f>Table4454[[#This Row],[CFNM]]/Table4454[[#This Row],[CAREA]]</f>
        <v>0.46325131878378911</v>
      </c>
      <c r="U761">
        <v>2.60453</v>
      </c>
      <c r="V761">
        <f>-(Table5455[[#This Row],[time]]-2)*2</f>
        <v>-1.20906</v>
      </c>
      <c r="W761">
        <v>81.548199999999994</v>
      </c>
      <c r="X761">
        <v>3.16498E-3</v>
      </c>
      <c r="Y761">
        <f>Table5455[[#This Row],[CFNM]]/Table5455[[#This Row],[CAREA]]</f>
        <v>3.8811157082559767E-5</v>
      </c>
      <c r="Z761">
        <v>2.60453</v>
      </c>
      <c r="AA761">
        <f>-(Table6456[[#This Row],[time]]-2)*2</f>
        <v>-1.20906</v>
      </c>
      <c r="AB761">
        <v>76.355000000000004</v>
      </c>
      <c r="AC761">
        <v>34.164200000000001</v>
      </c>
      <c r="AD761">
        <f>Table6456[[#This Row],[CFNM]]/Table6456[[#This Row],[CAREA]]</f>
        <v>0.44743893654639511</v>
      </c>
      <c r="AE761">
        <v>2.60453</v>
      </c>
      <c r="AF761">
        <f>-(Table7457[[#This Row],[time]]-2)*2</f>
        <v>-1.20906</v>
      </c>
      <c r="AG761">
        <v>76.926599999999993</v>
      </c>
      <c r="AH761">
        <v>3.27956</v>
      </c>
      <c r="AI761">
        <f>Table7457[[#This Row],[CFNM]]/Table7457[[#This Row],[CAREA]]</f>
        <v>4.2632327439403282E-2</v>
      </c>
      <c r="AJ761">
        <v>2.60453</v>
      </c>
      <c r="AK761">
        <f>-(Table8458[[#This Row],[time]]-2)*2</f>
        <v>-1.20906</v>
      </c>
      <c r="AL761">
        <v>82.298100000000005</v>
      </c>
      <c r="AM761">
        <v>47.023800000000001</v>
      </c>
      <c r="AN761">
        <f>Table8458[[#This Row],[CFNM]]/Table8458[[#This Row],[CAREA]]</f>
        <v>0.57138378650296906</v>
      </c>
    </row>
    <row r="762" spans="1:40" x14ac:dyDescent="0.25">
      <c r="A762">
        <v>2.65273</v>
      </c>
      <c r="B762">
        <f>-(Table1451[[#This Row],[time]]-2)*2</f>
        <v>-1.3054600000000001</v>
      </c>
      <c r="C762">
        <v>56.8827</v>
      </c>
      <c r="D762">
        <v>1.8293599999999999E-3</v>
      </c>
      <c r="E762">
        <f>Table1451[[#This Row],[CFNM]]/Table1451[[#This Row],[CAREA]]</f>
        <v>3.2160217429903994E-5</v>
      </c>
      <c r="F762">
        <v>2.65273</v>
      </c>
      <c r="G762">
        <f>-(Table2452[[#This Row],[time]]-2)*2</f>
        <v>-1.3054600000000001</v>
      </c>
      <c r="H762">
        <v>81.537000000000006</v>
      </c>
      <c r="I762">
        <v>36.064500000000002</v>
      </c>
      <c r="J762">
        <f>Table2452[[#This Row],[CFNM]]/Table2452[[#This Row],[CAREA]]</f>
        <v>0.44230839986754478</v>
      </c>
      <c r="K762">
        <v>2.65273</v>
      </c>
      <c r="L762">
        <f>-(Table3453[[#This Row],[time]]-2)*2</f>
        <v>-1.3054600000000001</v>
      </c>
      <c r="M762">
        <v>49.134</v>
      </c>
      <c r="N762">
        <v>8.2097599999999995E-4</v>
      </c>
      <c r="O762">
        <f>Table3453[[#This Row],[CFNM]]/Table3453[[#This Row],[CAREA]]</f>
        <v>1.6708918467863393E-5</v>
      </c>
      <c r="P762">
        <v>2.65273</v>
      </c>
      <c r="Q762">
        <f>-(Table4454[[#This Row],[time]]-2)*2</f>
        <v>-1.3054600000000001</v>
      </c>
      <c r="R762">
        <v>73.839500000000001</v>
      </c>
      <c r="S762">
        <v>36.597900000000003</v>
      </c>
      <c r="T762">
        <f>Table4454[[#This Row],[CFNM]]/Table4454[[#This Row],[CAREA]]</f>
        <v>0.49564122183925952</v>
      </c>
      <c r="U762">
        <v>2.65273</v>
      </c>
      <c r="V762">
        <f>-(Table5455[[#This Row],[time]]-2)*2</f>
        <v>-1.3054600000000001</v>
      </c>
      <c r="W762">
        <v>80.599599999999995</v>
      </c>
      <c r="X762">
        <v>3.0109300000000002E-3</v>
      </c>
      <c r="Y762">
        <f>Table5455[[#This Row],[CFNM]]/Table5455[[#This Row],[CAREA]]</f>
        <v>3.7356637005642712E-5</v>
      </c>
      <c r="Z762">
        <v>2.65273</v>
      </c>
      <c r="AA762">
        <f>-(Table6456[[#This Row],[time]]-2)*2</f>
        <v>-1.3054600000000001</v>
      </c>
      <c r="AB762">
        <v>74.728200000000001</v>
      </c>
      <c r="AC762">
        <v>36.3538</v>
      </c>
      <c r="AD762">
        <f>Table6456[[#This Row],[CFNM]]/Table6456[[#This Row],[CAREA]]</f>
        <v>0.48648033807852992</v>
      </c>
      <c r="AE762">
        <v>2.65273</v>
      </c>
      <c r="AF762">
        <f>-(Table7457[[#This Row],[time]]-2)*2</f>
        <v>-1.3054600000000001</v>
      </c>
      <c r="AG762">
        <v>76.228200000000001</v>
      </c>
      <c r="AH762">
        <v>2.6796000000000002</v>
      </c>
      <c r="AI762">
        <f>Table7457[[#This Row],[CFNM]]/Table7457[[#This Row],[CAREA]]</f>
        <v>3.5152345195085283E-2</v>
      </c>
      <c r="AJ762">
        <v>2.65273</v>
      </c>
      <c r="AK762">
        <f>-(Table8458[[#This Row],[time]]-2)*2</f>
        <v>-1.3054600000000001</v>
      </c>
      <c r="AL762">
        <v>82.051699999999997</v>
      </c>
      <c r="AM762">
        <v>49.066299999999998</v>
      </c>
      <c r="AN762">
        <f>Table8458[[#This Row],[CFNM]]/Table8458[[#This Row],[CAREA]]</f>
        <v>0.59799248522577841</v>
      </c>
    </row>
    <row r="763" spans="1:40" x14ac:dyDescent="0.25">
      <c r="A763">
        <v>2.7006199999999998</v>
      </c>
      <c r="B763">
        <f>-(Table1451[[#This Row],[time]]-2)*2</f>
        <v>-1.4012399999999996</v>
      </c>
      <c r="C763">
        <v>56.316600000000001</v>
      </c>
      <c r="D763">
        <v>1.68513E-3</v>
      </c>
      <c r="E763">
        <f>Table1451[[#This Row],[CFNM]]/Table1451[[#This Row],[CAREA]]</f>
        <v>2.9922438499483278E-5</v>
      </c>
      <c r="F763">
        <v>2.7006199999999998</v>
      </c>
      <c r="G763">
        <f>-(Table2452[[#This Row],[time]]-2)*2</f>
        <v>-1.4012399999999996</v>
      </c>
      <c r="H763">
        <v>80.794499999999999</v>
      </c>
      <c r="I763">
        <v>37.648899999999998</v>
      </c>
      <c r="J763">
        <f>Table2452[[#This Row],[CFNM]]/Table2452[[#This Row],[CAREA]]</f>
        <v>0.46598345184387546</v>
      </c>
      <c r="K763">
        <v>2.7006199999999998</v>
      </c>
      <c r="L763">
        <f>-(Table3453[[#This Row],[time]]-2)*2</f>
        <v>-1.4012399999999996</v>
      </c>
      <c r="M763">
        <v>47.305799999999998</v>
      </c>
      <c r="N763">
        <v>7.20438E-4</v>
      </c>
      <c r="O763">
        <f>Table3453[[#This Row],[CFNM]]/Table3453[[#This Row],[CAREA]]</f>
        <v>1.5229379906903594E-5</v>
      </c>
      <c r="P763">
        <v>2.7006199999999998</v>
      </c>
      <c r="Q763">
        <f>-(Table4454[[#This Row],[time]]-2)*2</f>
        <v>-1.4012399999999996</v>
      </c>
      <c r="R763">
        <v>73.187100000000001</v>
      </c>
      <c r="S763">
        <v>38.3857</v>
      </c>
      <c r="T763">
        <f>Table4454[[#This Row],[CFNM]]/Table4454[[#This Row],[CAREA]]</f>
        <v>0.5244872388713312</v>
      </c>
      <c r="U763">
        <v>2.7006199999999998</v>
      </c>
      <c r="V763">
        <f>-(Table5455[[#This Row],[time]]-2)*2</f>
        <v>-1.4012399999999996</v>
      </c>
      <c r="W763">
        <v>80.201899999999995</v>
      </c>
      <c r="X763">
        <v>2.86491E-3</v>
      </c>
      <c r="Y763">
        <f>Table5455[[#This Row],[CFNM]]/Table5455[[#This Row],[CAREA]]</f>
        <v>3.5721223562035318E-5</v>
      </c>
      <c r="Z763">
        <v>2.7006199999999998</v>
      </c>
      <c r="AA763">
        <f>-(Table6456[[#This Row],[time]]-2)*2</f>
        <v>-1.4012399999999996</v>
      </c>
      <c r="AB763">
        <v>74.040099999999995</v>
      </c>
      <c r="AC763">
        <v>38.348599999999998</v>
      </c>
      <c r="AD763">
        <f>Table6456[[#This Row],[CFNM]]/Table6456[[#This Row],[CAREA]]</f>
        <v>0.51794365485730032</v>
      </c>
      <c r="AE763">
        <v>2.7006199999999998</v>
      </c>
      <c r="AF763">
        <f>-(Table7457[[#This Row],[time]]-2)*2</f>
        <v>-1.4012399999999996</v>
      </c>
      <c r="AG763">
        <v>75.614900000000006</v>
      </c>
      <c r="AH763">
        <v>2.12995</v>
      </c>
      <c r="AI763">
        <f>Table7457[[#This Row],[CFNM]]/Table7457[[#This Row],[CAREA]]</f>
        <v>2.8168390092428872E-2</v>
      </c>
      <c r="AJ763">
        <v>2.7006199999999998</v>
      </c>
      <c r="AK763">
        <f>-(Table8458[[#This Row],[time]]-2)*2</f>
        <v>-1.4012399999999996</v>
      </c>
      <c r="AL763">
        <v>81.997500000000002</v>
      </c>
      <c r="AM763">
        <v>50.918799999999997</v>
      </c>
      <c r="AN763">
        <f>Table8458[[#This Row],[CFNM]]/Table8458[[#This Row],[CAREA]]</f>
        <v>0.62097990792402202</v>
      </c>
    </row>
    <row r="764" spans="1:40" x14ac:dyDescent="0.25">
      <c r="A764">
        <v>2.75176</v>
      </c>
      <c r="B764">
        <f>-(Table1451[[#This Row],[time]]-2)*2</f>
        <v>-1.50352</v>
      </c>
      <c r="C764">
        <v>53.013800000000003</v>
      </c>
      <c r="D764">
        <v>1.53651E-3</v>
      </c>
      <c r="E764">
        <f>Table1451[[#This Row],[CFNM]]/Table1451[[#This Row],[CAREA]]</f>
        <v>2.8983208145803545E-5</v>
      </c>
      <c r="F764">
        <v>2.75176</v>
      </c>
      <c r="G764">
        <f>-(Table2452[[#This Row],[time]]-2)*2</f>
        <v>-1.50352</v>
      </c>
      <c r="H764">
        <v>80.006500000000003</v>
      </c>
      <c r="I764">
        <v>39.280200000000001</v>
      </c>
      <c r="J764">
        <f>Table2452[[#This Row],[CFNM]]/Table2452[[#This Row],[CAREA]]</f>
        <v>0.49096260928799534</v>
      </c>
      <c r="K764">
        <v>2.75176</v>
      </c>
      <c r="L764">
        <f>-(Table3453[[#This Row],[time]]-2)*2</f>
        <v>-1.50352</v>
      </c>
      <c r="M764">
        <v>45.4557</v>
      </c>
      <c r="N764">
        <v>6.2246600000000001E-4</v>
      </c>
      <c r="O764">
        <f>Table3453[[#This Row],[CFNM]]/Table3453[[#This Row],[CAREA]]</f>
        <v>1.369390417483396E-5</v>
      </c>
      <c r="P764">
        <v>2.75176</v>
      </c>
      <c r="Q764">
        <f>-(Table4454[[#This Row],[time]]-2)*2</f>
        <v>-1.50352</v>
      </c>
      <c r="R764">
        <v>72.498500000000007</v>
      </c>
      <c r="S764">
        <v>40.219900000000003</v>
      </c>
      <c r="T764">
        <f>Table4454[[#This Row],[CFNM]]/Table4454[[#This Row],[CAREA]]</f>
        <v>0.55476871935281413</v>
      </c>
      <c r="U764">
        <v>2.75176</v>
      </c>
      <c r="V764">
        <f>-(Table5455[[#This Row],[time]]-2)*2</f>
        <v>-1.50352</v>
      </c>
      <c r="W764">
        <v>79.791200000000003</v>
      </c>
      <c r="X764">
        <v>2.7037200000000002E-3</v>
      </c>
      <c r="Y764">
        <f>Table5455[[#This Row],[CFNM]]/Table5455[[#This Row],[CAREA]]</f>
        <v>3.3884939692597684E-5</v>
      </c>
      <c r="Z764">
        <v>2.75176</v>
      </c>
      <c r="AA764">
        <f>-(Table6456[[#This Row],[time]]-2)*2</f>
        <v>-1.50352</v>
      </c>
      <c r="AB764">
        <v>73.175799999999995</v>
      </c>
      <c r="AC764">
        <v>40.461100000000002</v>
      </c>
      <c r="AD764">
        <f>Table6456[[#This Row],[CFNM]]/Table6456[[#This Row],[CAREA]]</f>
        <v>0.55293006704402281</v>
      </c>
      <c r="AE764">
        <v>2.75176</v>
      </c>
      <c r="AF764">
        <f>-(Table7457[[#This Row],[time]]-2)*2</f>
        <v>-1.50352</v>
      </c>
      <c r="AG764">
        <v>74.985699999999994</v>
      </c>
      <c r="AH764">
        <v>1.6223099999999999</v>
      </c>
      <c r="AI764">
        <f>Table7457[[#This Row],[CFNM]]/Table7457[[#This Row],[CAREA]]</f>
        <v>2.1634925059044591E-2</v>
      </c>
      <c r="AJ764">
        <v>2.75176</v>
      </c>
      <c r="AK764">
        <f>-(Table8458[[#This Row],[time]]-2)*2</f>
        <v>-1.50352</v>
      </c>
      <c r="AL764">
        <v>81.855800000000002</v>
      </c>
      <c r="AM764">
        <v>52.843299999999999</v>
      </c>
      <c r="AN764">
        <f>Table8458[[#This Row],[CFNM]]/Table8458[[#This Row],[CAREA]]</f>
        <v>0.64556573877477219</v>
      </c>
    </row>
    <row r="765" spans="1:40" x14ac:dyDescent="0.25">
      <c r="A765">
        <v>2.80444</v>
      </c>
      <c r="B765">
        <f>-(Table1451[[#This Row],[time]]-2)*2</f>
        <v>-1.6088800000000001</v>
      </c>
      <c r="C765">
        <v>49.384900000000002</v>
      </c>
      <c r="D765">
        <v>1.4043199999999999E-3</v>
      </c>
      <c r="E765">
        <f>Table1451[[#This Row],[CFNM]]/Table1451[[#This Row],[CAREA]]</f>
        <v>2.8436222408064002E-5</v>
      </c>
      <c r="F765">
        <v>2.80444</v>
      </c>
      <c r="G765">
        <f>-(Table2452[[#This Row],[time]]-2)*2</f>
        <v>-1.6088800000000001</v>
      </c>
      <c r="H765">
        <v>79.290999999999997</v>
      </c>
      <c r="I765">
        <v>40.789299999999997</v>
      </c>
      <c r="J765">
        <f>Table2452[[#This Row],[CFNM]]/Table2452[[#This Row],[CAREA]]</f>
        <v>0.51442534461666523</v>
      </c>
      <c r="K765">
        <v>2.80444</v>
      </c>
      <c r="L765">
        <f>-(Table3453[[#This Row],[time]]-2)*2</f>
        <v>-1.6088800000000001</v>
      </c>
      <c r="M765">
        <v>41.590400000000002</v>
      </c>
      <c r="N765">
        <v>5.3348800000000004E-4</v>
      </c>
      <c r="O765">
        <f>Table3453[[#This Row],[CFNM]]/Table3453[[#This Row],[CAREA]]</f>
        <v>1.2827190890205433E-5</v>
      </c>
      <c r="P765">
        <v>2.80444</v>
      </c>
      <c r="Q765">
        <f>-(Table4454[[#This Row],[time]]-2)*2</f>
        <v>-1.6088800000000001</v>
      </c>
      <c r="R765">
        <v>71.886600000000001</v>
      </c>
      <c r="S765">
        <v>41.873399999999997</v>
      </c>
      <c r="T765">
        <f>Table4454[[#This Row],[CFNM]]/Table4454[[#This Row],[CAREA]]</f>
        <v>0.58249242557027314</v>
      </c>
      <c r="U765">
        <v>2.80444</v>
      </c>
      <c r="V765">
        <f>-(Table5455[[#This Row],[time]]-2)*2</f>
        <v>-1.6088800000000001</v>
      </c>
      <c r="W765">
        <v>79.317899999999995</v>
      </c>
      <c r="X765">
        <v>2.5450199999999998E-3</v>
      </c>
      <c r="Y765">
        <f>Table5455[[#This Row],[CFNM]]/Table5455[[#This Row],[CAREA]]</f>
        <v>3.2086326037376178E-5</v>
      </c>
      <c r="Z765">
        <v>2.80444</v>
      </c>
      <c r="AA765">
        <f>-(Table6456[[#This Row],[time]]-2)*2</f>
        <v>-1.6088800000000001</v>
      </c>
      <c r="AB765">
        <v>72.345500000000001</v>
      </c>
      <c r="AC765">
        <v>42.492899999999999</v>
      </c>
      <c r="AD765">
        <f>Table6456[[#This Row],[CFNM]]/Table6456[[#This Row],[CAREA]]</f>
        <v>0.58736065131901771</v>
      </c>
      <c r="AE765">
        <v>2.80444</v>
      </c>
      <c r="AF765">
        <f>-(Table7457[[#This Row],[time]]-2)*2</f>
        <v>-1.6088800000000001</v>
      </c>
      <c r="AG765">
        <v>74.292699999999996</v>
      </c>
      <c r="AH765">
        <v>1.22844</v>
      </c>
      <c r="AI765">
        <f>Table7457[[#This Row],[CFNM]]/Table7457[[#This Row],[CAREA]]</f>
        <v>1.6535137368812819E-2</v>
      </c>
      <c r="AJ765">
        <v>2.80444</v>
      </c>
      <c r="AK765">
        <f>-(Table8458[[#This Row],[time]]-2)*2</f>
        <v>-1.6088800000000001</v>
      </c>
      <c r="AL765">
        <v>81.874799999999993</v>
      </c>
      <c r="AM765">
        <v>54.614199999999997</v>
      </c>
      <c r="AN765">
        <f>Table8458[[#This Row],[CFNM]]/Table8458[[#This Row],[CAREA]]</f>
        <v>0.66704529354575526</v>
      </c>
    </row>
    <row r="766" spans="1:40" x14ac:dyDescent="0.25">
      <c r="A766">
        <v>2.8583699999999999</v>
      </c>
      <c r="B766">
        <f>-(Table1451[[#This Row],[time]]-2)*2</f>
        <v>-1.7167399999999997</v>
      </c>
      <c r="C766">
        <v>44.687199999999997</v>
      </c>
      <c r="D766">
        <v>1.2611E-3</v>
      </c>
      <c r="E766">
        <f>Table1451[[#This Row],[CFNM]]/Table1451[[#This Row],[CAREA]]</f>
        <v>2.8220609033459248E-5</v>
      </c>
      <c r="F766">
        <v>2.8583699999999999</v>
      </c>
      <c r="G766">
        <f>-(Table2452[[#This Row],[time]]-2)*2</f>
        <v>-1.7167399999999997</v>
      </c>
      <c r="H766">
        <v>78.430000000000007</v>
      </c>
      <c r="I766">
        <v>42.563000000000002</v>
      </c>
      <c r="J766">
        <f>Table2452[[#This Row],[CFNM]]/Table2452[[#This Row],[CAREA]]</f>
        <v>0.5426877470355731</v>
      </c>
      <c r="K766">
        <v>2.8583699999999999</v>
      </c>
      <c r="L766">
        <f>-(Table3453[[#This Row],[time]]-2)*2</f>
        <v>-1.7167399999999997</v>
      </c>
      <c r="M766">
        <v>38.023899999999998</v>
      </c>
      <c r="N766">
        <v>4.3519099999999997E-4</v>
      </c>
      <c r="O766">
        <f>Table3453[[#This Row],[CFNM]]/Table3453[[#This Row],[CAREA]]</f>
        <v>1.1445196310741402E-5</v>
      </c>
      <c r="P766">
        <v>2.8583699999999999</v>
      </c>
      <c r="Q766">
        <f>-(Table4454[[#This Row],[time]]-2)*2</f>
        <v>-1.7167399999999997</v>
      </c>
      <c r="R766">
        <v>71.126400000000004</v>
      </c>
      <c r="S766">
        <v>43.787700000000001</v>
      </c>
      <c r="T766">
        <f>Table4454[[#This Row],[CFNM]]/Table4454[[#This Row],[CAREA]]</f>
        <v>0.61563217033337836</v>
      </c>
      <c r="U766">
        <v>2.8583699999999999</v>
      </c>
      <c r="V766">
        <f>-(Table5455[[#This Row],[time]]-2)*2</f>
        <v>-1.7167399999999997</v>
      </c>
      <c r="W766">
        <v>77.095200000000006</v>
      </c>
      <c r="X766">
        <v>2.35293E-3</v>
      </c>
      <c r="Y766">
        <f>Table5455[[#This Row],[CFNM]]/Table5455[[#This Row],[CAREA]]</f>
        <v>3.0519798897985862E-5</v>
      </c>
      <c r="Z766">
        <v>2.8583699999999999</v>
      </c>
      <c r="AA766">
        <f>-(Table6456[[#This Row],[time]]-2)*2</f>
        <v>-1.7167399999999997</v>
      </c>
      <c r="AB766">
        <v>71.122</v>
      </c>
      <c r="AC766">
        <v>44.871099999999998</v>
      </c>
      <c r="AD766">
        <f>Table6456[[#This Row],[CFNM]]/Table6456[[#This Row],[CAREA]]</f>
        <v>0.63090323669188153</v>
      </c>
      <c r="AE766">
        <v>2.8583699999999999</v>
      </c>
      <c r="AF766">
        <f>-(Table7457[[#This Row],[time]]-2)*2</f>
        <v>-1.7167399999999997</v>
      </c>
      <c r="AG766">
        <v>73.631299999999996</v>
      </c>
      <c r="AH766">
        <v>0.879297</v>
      </c>
      <c r="AI766">
        <f>Table7457[[#This Row],[CFNM]]/Table7457[[#This Row],[CAREA]]</f>
        <v>1.194189155970355E-2</v>
      </c>
      <c r="AJ766">
        <v>2.8583699999999999</v>
      </c>
      <c r="AK766">
        <f>-(Table8458[[#This Row],[time]]-2)*2</f>
        <v>-1.7167399999999997</v>
      </c>
      <c r="AL766">
        <v>81.838999999999999</v>
      </c>
      <c r="AM766">
        <v>56.678800000000003</v>
      </c>
      <c r="AN766">
        <f>Table8458[[#This Row],[CFNM]]/Table8458[[#This Row],[CAREA]]</f>
        <v>0.69256466965627639</v>
      </c>
    </row>
    <row r="767" spans="1:40" x14ac:dyDescent="0.25">
      <c r="A767">
        <v>2.9134199999999999</v>
      </c>
      <c r="B767">
        <f>-(Table1451[[#This Row],[time]]-2)*2</f>
        <v>-1.8268399999999998</v>
      </c>
      <c r="C767">
        <v>40.524000000000001</v>
      </c>
      <c r="D767">
        <v>1.1506800000000001E-3</v>
      </c>
      <c r="E767">
        <f>Table1451[[#This Row],[CFNM]]/Table1451[[#This Row],[CAREA]]</f>
        <v>2.8395025170269472E-5</v>
      </c>
      <c r="F767">
        <v>2.9134199999999999</v>
      </c>
      <c r="G767">
        <f>-(Table2452[[#This Row],[time]]-2)*2</f>
        <v>-1.8268399999999998</v>
      </c>
      <c r="H767">
        <v>77.690399999999997</v>
      </c>
      <c r="I767">
        <v>44.051900000000003</v>
      </c>
      <c r="J767">
        <f>Table2452[[#This Row],[CFNM]]/Table2452[[#This Row],[CAREA]]</f>
        <v>0.56701857629771513</v>
      </c>
      <c r="K767">
        <v>2.9134199999999999</v>
      </c>
      <c r="L767">
        <f>-(Table3453[[#This Row],[time]]-2)*2</f>
        <v>-1.8268399999999998</v>
      </c>
      <c r="M767">
        <v>35.9373</v>
      </c>
      <c r="N767">
        <v>3.6143900000000002E-4</v>
      </c>
      <c r="O767">
        <f>Table3453[[#This Row],[CFNM]]/Table3453[[#This Row],[CAREA]]</f>
        <v>1.0057489015591044E-5</v>
      </c>
      <c r="P767">
        <v>2.9134199999999999</v>
      </c>
      <c r="Q767">
        <f>-(Table4454[[#This Row],[time]]-2)*2</f>
        <v>-1.8268399999999998</v>
      </c>
      <c r="R767">
        <v>70.526300000000006</v>
      </c>
      <c r="S767">
        <v>45.333399999999997</v>
      </c>
      <c r="T767">
        <f>Table4454[[#This Row],[CFNM]]/Table4454[[#This Row],[CAREA]]</f>
        <v>0.6427871588329459</v>
      </c>
      <c r="U767">
        <v>2.9134199999999999</v>
      </c>
      <c r="V767">
        <f>-(Table5455[[#This Row],[time]]-2)*2</f>
        <v>-1.8268399999999998</v>
      </c>
      <c r="W767">
        <v>75.383600000000001</v>
      </c>
      <c r="X767">
        <v>2.1930700000000001E-3</v>
      </c>
      <c r="Y767">
        <f>Table5455[[#This Row],[CFNM]]/Table5455[[#This Row],[CAREA]]</f>
        <v>2.909213675122971E-5</v>
      </c>
      <c r="Z767">
        <v>2.9134199999999999</v>
      </c>
      <c r="AA767">
        <f>-(Table6456[[#This Row],[time]]-2)*2</f>
        <v>-1.8268399999999998</v>
      </c>
      <c r="AB767">
        <v>70.422300000000007</v>
      </c>
      <c r="AC767">
        <v>46.856400000000001</v>
      </c>
      <c r="AD767">
        <f>Table6456[[#This Row],[CFNM]]/Table6456[[#This Row],[CAREA]]</f>
        <v>0.66536310231276163</v>
      </c>
      <c r="AE767">
        <v>2.9134199999999999</v>
      </c>
      <c r="AF767">
        <f>-(Table7457[[#This Row],[time]]-2)*2</f>
        <v>-1.8268399999999998</v>
      </c>
      <c r="AG767">
        <v>73.0351</v>
      </c>
      <c r="AH767">
        <v>0.603572</v>
      </c>
      <c r="AI767">
        <f>Table7457[[#This Row],[CFNM]]/Table7457[[#This Row],[CAREA]]</f>
        <v>8.2641360113151069E-3</v>
      </c>
      <c r="AJ767">
        <v>2.9134199999999999</v>
      </c>
      <c r="AK767">
        <f>-(Table8458[[#This Row],[time]]-2)*2</f>
        <v>-1.8268399999999998</v>
      </c>
      <c r="AL767">
        <v>81.863100000000003</v>
      </c>
      <c r="AM767">
        <v>58.385399999999997</v>
      </c>
      <c r="AN767">
        <f>Table8458[[#This Row],[CFNM]]/Table8458[[#This Row],[CAREA]]</f>
        <v>0.713207782260872</v>
      </c>
    </row>
    <row r="768" spans="1:40" x14ac:dyDescent="0.25">
      <c r="A768">
        <v>2.9619599999999999</v>
      </c>
      <c r="B768">
        <f>-(Table1451[[#This Row],[time]]-2)*2</f>
        <v>-1.9239199999999999</v>
      </c>
      <c r="C768">
        <v>36.886200000000002</v>
      </c>
      <c r="D768">
        <v>1.01869E-3</v>
      </c>
      <c r="E768">
        <f>Table1451[[#This Row],[CFNM]]/Table1451[[#This Row],[CAREA]]</f>
        <v>2.7617103415369435E-5</v>
      </c>
      <c r="F768">
        <v>2.9619599999999999</v>
      </c>
      <c r="G768">
        <f>-(Table2452[[#This Row],[time]]-2)*2</f>
        <v>-1.9239199999999999</v>
      </c>
      <c r="H768">
        <v>76.684200000000004</v>
      </c>
      <c r="I768">
        <v>45.918799999999997</v>
      </c>
      <c r="J768">
        <f>Table2452[[#This Row],[CFNM]]/Table2452[[#This Row],[CAREA]]</f>
        <v>0.59880392571090257</v>
      </c>
      <c r="K768">
        <v>2.9619599999999999</v>
      </c>
      <c r="L768">
        <f>-(Table3453[[#This Row],[time]]-2)*2</f>
        <v>-1.9239199999999999</v>
      </c>
      <c r="M768">
        <v>28.3432</v>
      </c>
      <c r="N768">
        <v>2.7312099999999998E-4</v>
      </c>
      <c r="O768">
        <f>Table3453[[#This Row],[CFNM]]/Table3453[[#This Row],[CAREA]]</f>
        <v>9.6362090377938975E-6</v>
      </c>
      <c r="P768">
        <v>2.9619599999999999</v>
      </c>
      <c r="Q768">
        <f>-(Table4454[[#This Row],[time]]-2)*2</f>
        <v>-1.9239199999999999</v>
      </c>
      <c r="R768">
        <v>69.741100000000003</v>
      </c>
      <c r="S768">
        <v>47.253300000000003</v>
      </c>
      <c r="T768">
        <f>Table4454[[#This Row],[CFNM]]/Table4454[[#This Row],[CAREA]]</f>
        <v>0.67755312147356439</v>
      </c>
      <c r="U768">
        <v>2.9619599999999999</v>
      </c>
      <c r="V768">
        <f>-(Table5455[[#This Row],[time]]-2)*2</f>
        <v>-1.9239199999999999</v>
      </c>
      <c r="W768">
        <v>74.489000000000004</v>
      </c>
      <c r="X768">
        <v>1.9883100000000001E-3</v>
      </c>
      <c r="Y768">
        <f>Table5455[[#This Row],[CFNM]]/Table5455[[#This Row],[CAREA]]</f>
        <v>2.6692666031226086E-5</v>
      </c>
      <c r="Z768">
        <v>2.9619599999999999</v>
      </c>
      <c r="AA768">
        <f>-(Table6456[[#This Row],[time]]-2)*2</f>
        <v>-1.9239199999999999</v>
      </c>
      <c r="AB768">
        <v>69.456800000000001</v>
      </c>
      <c r="AC768">
        <v>49.457500000000003</v>
      </c>
      <c r="AD768">
        <f>Table6456[[#This Row],[CFNM]]/Table6456[[#This Row],[CAREA]]</f>
        <v>0.71206131005171558</v>
      </c>
      <c r="AE768">
        <v>2.9619599999999999</v>
      </c>
      <c r="AF768">
        <f>-(Table7457[[#This Row],[time]]-2)*2</f>
        <v>-1.9239199999999999</v>
      </c>
      <c r="AG768">
        <v>72.304699999999997</v>
      </c>
      <c r="AH768">
        <v>0.289522</v>
      </c>
      <c r="AI768">
        <f>Table7457[[#This Row],[CFNM]]/Table7457[[#This Row],[CAREA]]</f>
        <v>4.0041933650232977E-3</v>
      </c>
      <c r="AJ768">
        <v>2.9619599999999999</v>
      </c>
      <c r="AK768">
        <f>-(Table8458[[#This Row],[time]]-2)*2</f>
        <v>-1.9239199999999999</v>
      </c>
      <c r="AL768">
        <v>81.914100000000005</v>
      </c>
      <c r="AM768">
        <v>60.598500000000001</v>
      </c>
      <c r="AN768">
        <f>Table8458[[#This Row],[CFNM]]/Table8458[[#This Row],[CAREA]]</f>
        <v>0.73978106333341875</v>
      </c>
    </row>
    <row r="769" spans="1:40" x14ac:dyDescent="0.25">
      <c r="A769">
        <v>3</v>
      </c>
      <c r="B769">
        <f>-(Table1451[[#This Row],[time]]-2)*2</f>
        <v>-2</v>
      </c>
      <c r="C769">
        <v>34.398299999999999</v>
      </c>
      <c r="D769">
        <v>9.6364699999999998E-4</v>
      </c>
      <c r="E769">
        <f>Table1451[[#This Row],[CFNM]]/Table1451[[#This Row],[CAREA]]</f>
        <v>2.8014378617547961E-5</v>
      </c>
      <c r="F769">
        <v>3</v>
      </c>
      <c r="G769">
        <f>-(Table2452[[#This Row],[time]]-2)*2</f>
        <v>-2</v>
      </c>
      <c r="H769">
        <v>76.246099999999998</v>
      </c>
      <c r="I769">
        <v>46.776600000000002</v>
      </c>
      <c r="J769">
        <f>Table2452[[#This Row],[CFNM]]/Table2452[[#This Row],[CAREA]]</f>
        <v>0.61349498531728186</v>
      </c>
      <c r="K769">
        <v>3</v>
      </c>
      <c r="L769">
        <f>-(Table3453[[#This Row],[time]]-2)*2</f>
        <v>-2</v>
      </c>
      <c r="M769">
        <v>24.909700000000001</v>
      </c>
      <c r="N769">
        <v>2.3778699999999999E-4</v>
      </c>
      <c r="O769">
        <f>Table3453[[#This Row],[CFNM]]/Table3453[[#This Row],[CAREA]]</f>
        <v>9.5459600075472604E-6</v>
      </c>
      <c r="P769">
        <v>3</v>
      </c>
      <c r="Q769">
        <f>-(Table4454[[#This Row],[time]]-2)*2</f>
        <v>-2</v>
      </c>
      <c r="R769">
        <v>69.3977</v>
      </c>
      <c r="S769">
        <v>48.122399999999999</v>
      </c>
      <c r="T769">
        <f>Table4454[[#This Row],[CFNM]]/Table4454[[#This Row],[CAREA]]</f>
        <v>0.69342932114464884</v>
      </c>
      <c r="U769">
        <v>3</v>
      </c>
      <c r="V769">
        <f>-(Table5455[[#This Row],[time]]-2)*2</f>
        <v>-2</v>
      </c>
      <c r="W769">
        <v>73.902799999999999</v>
      </c>
      <c r="X769">
        <v>1.8941400000000001E-3</v>
      </c>
      <c r="Y769">
        <f>Table5455[[#This Row],[CFNM]]/Table5455[[#This Row],[CAREA]]</f>
        <v>2.5630152037541204E-5</v>
      </c>
      <c r="Z769">
        <v>3</v>
      </c>
      <c r="AA769">
        <f>-(Table6456[[#This Row],[time]]-2)*2</f>
        <v>-2</v>
      </c>
      <c r="AB769">
        <v>68.491500000000002</v>
      </c>
      <c r="AC769">
        <v>50.6785</v>
      </c>
      <c r="AD769">
        <f>Table6456[[#This Row],[CFNM]]/Table6456[[#This Row],[CAREA]]</f>
        <v>0.73992393216676522</v>
      </c>
      <c r="AE769">
        <v>3</v>
      </c>
      <c r="AF769">
        <f>-(Table7457[[#This Row],[time]]-2)*2</f>
        <v>-2</v>
      </c>
      <c r="AG769">
        <v>71.947699999999998</v>
      </c>
      <c r="AH769">
        <v>0.20564299999999999</v>
      </c>
      <c r="AI769">
        <f>Table7457[[#This Row],[CFNM]]/Table7457[[#This Row],[CAREA]]</f>
        <v>2.8582289635387926E-3</v>
      </c>
      <c r="AJ769">
        <v>3</v>
      </c>
      <c r="AK769">
        <f>-(Table8458[[#This Row],[time]]-2)*2</f>
        <v>-2</v>
      </c>
      <c r="AL769">
        <v>81.886899999999997</v>
      </c>
      <c r="AM769">
        <v>61.639499999999998</v>
      </c>
      <c r="AN769">
        <f>Table8458[[#This Row],[CFNM]]/Table8458[[#This Row],[CAREA]]</f>
        <v>0.75273944916708291</v>
      </c>
    </row>
    <row r="771" spans="1:40" x14ac:dyDescent="0.25">
      <c r="A771" t="s">
        <v>74</v>
      </c>
      <c r="E771" t="s">
        <v>1</v>
      </c>
    </row>
    <row r="772" spans="1:40" x14ac:dyDescent="0.25">
      <c r="A772" t="s">
        <v>75</v>
      </c>
      <c r="E772" t="s">
        <v>2</v>
      </c>
      <c r="F772" t="s">
        <v>3</v>
      </c>
    </row>
    <row r="774" spans="1:40" x14ac:dyDescent="0.25">
      <c r="A774" t="s">
        <v>4</v>
      </c>
      <c r="F774" t="s">
        <v>5</v>
      </c>
      <c r="K774" t="s">
        <v>6</v>
      </c>
      <c r="P774" t="s">
        <v>7</v>
      </c>
      <c r="U774" t="s">
        <v>8</v>
      </c>
      <c r="Z774" t="s">
        <v>9</v>
      </c>
      <c r="AE774" t="s">
        <v>10</v>
      </c>
      <c r="AJ774" t="s">
        <v>11</v>
      </c>
    </row>
    <row r="775" spans="1:40" x14ac:dyDescent="0.25">
      <c r="A775" t="s">
        <v>12</v>
      </c>
      <c r="B775" t="s">
        <v>13</v>
      </c>
      <c r="C775" t="s">
        <v>14</v>
      </c>
      <c r="D775" t="s">
        <v>15</v>
      </c>
      <c r="E775" t="s">
        <v>16</v>
      </c>
      <c r="F775" t="s">
        <v>12</v>
      </c>
      <c r="G775" t="s">
        <v>13</v>
      </c>
      <c r="H775" t="s">
        <v>14</v>
      </c>
      <c r="I775" t="s">
        <v>15</v>
      </c>
      <c r="J775" t="s">
        <v>16</v>
      </c>
      <c r="K775" t="s">
        <v>12</v>
      </c>
      <c r="L775" t="s">
        <v>13</v>
      </c>
      <c r="M775" t="s">
        <v>14</v>
      </c>
      <c r="N775" t="s">
        <v>15</v>
      </c>
      <c r="O775" t="s">
        <v>16</v>
      </c>
      <c r="P775" t="s">
        <v>12</v>
      </c>
      <c r="Q775" t="s">
        <v>13</v>
      </c>
      <c r="R775" t="s">
        <v>14</v>
      </c>
      <c r="S775" t="s">
        <v>15</v>
      </c>
      <c r="T775" t="s">
        <v>16</v>
      </c>
      <c r="U775" t="s">
        <v>12</v>
      </c>
      <c r="V775" t="s">
        <v>13</v>
      </c>
      <c r="W775" t="s">
        <v>14</v>
      </c>
      <c r="X775" t="s">
        <v>15</v>
      </c>
      <c r="Y775" t="s">
        <v>16</v>
      </c>
      <c r="Z775" t="s">
        <v>12</v>
      </c>
      <c r="AA775" t="s">
        <v>13</v>
      </c>
      <c r="AB775" t="s">
        <v>14</v>
      </c>
      <c r="AC775" t="s">
        <v>15</v>
      </c>
      <c r="AD775" t="s">
        <v>16</v>
      </c>
      <c r="AE775" t="s">
        <v>12</v>
      </c>
      <c r="AF775" t="s">
        <v>13</v>
      </c>
      <c r="AG775" t="s">
        <v>14</v>
      </c>
      <c r="AH775" t="s">
        <v>15</v>
      </c>
      <c r="AI775" t="s">
        <v>16</v>
      </c>
      <c r="AJ775" t="s">
        <v>12</v>
      </c>
      <c r="AK775" t="s">
        <v>13</v>
      </c>
      <c r="AL775" t="s">
        <v>14</v>
      </c>
      <c r="AM775" t="s">
        <v>15</v>
      </c>
      <c r="AN775" t="s">
        <v>16</v>
      </c>
    </row>
    <row r="776" spans="1:40" x14ac:dyDescent="0.25">
      <c r="A776">
        <v>2</v>
      </c>
      <c r="B776">
        <f>(Table110459[[#This Row],[time]]-2)*2</f>
        <v>0</v>
      </c>
      <c r="C776">
        <v>89.597300000000004</v>
      </c>
      <c r="D776">
        <v>7.6775399999999996</v>
      </c>
      <c r="E776" s="2">
        <f>Table110459[[#This Row],[CFNM]]/Table110459[[#This Row],[CAREA]]</f>
        <v>8.5689412515778926E-2</v>
      </c>
      <c r="F776">
        <v>2</v>
      </c>
      <c r="G776">
        <f>(Table211460[[#This Row],[time]]-2)*2</f>
        <v>0</v>
      </c>
      <c r="H776">
        <v>92.131299999999996</v>
      </c>
      <c r="I776">
        <v>0.23485200000000001</v>
      </c>
      <c r="J776" s="2">
        <f>Table211460[[#This Row],[CFNM]]/Table211460[[#This Row],[CAREA]]</f>
        <v>2.5491011198148731E-3</v>
      </c>
      <c r="K776">
        <v>2</v>
      </c>
      <c r="L776">
        <f>(Table312461[[#This Row],[time]]-2)*2</f>
        <v>0</v>
      </c>
      <c r="M776">
        <v>87.840900000000005</v>
      </c>
      <c r="N776">
        <v>1.0432900000000001</v>
      </c>
      <c r="O776">
        <f>Table312461[[#This Row],[CFNM]]/Table312461[[#This Row],[CAREA]]</f>
        <v>1.1877041332682156E-2</v>
      </c>
      <c r="P776">
        <v>2</v>
      </c>
      <c r="Q776">
        <f>(Table413462[[#This Row],[time]]-2)*2</f>
        <v>0</v>
      </c>
      <c r="R776">
        <v>82.212800000000001</v>
      </c>
      <c r="S776">
        <v>1.2537100000000001</v>
      </c>
      <c r="T776">
        <f>Table413462[[#This Row],[CFNM]]/Table413462[[#This Row],[CAREA]]</f>
        <v>1.5249571842827395E-2</v>
      </c>
      <c r="U776">
        <v>2</v>
      </c>
      <c r="V776">
        <f>(Table514463[[#This Row],[time]]-2)*2</f>
        <v>0</v>
      </c>
      <c r="W776">
        <v>83.035700000000006</v>
      </c>
      <c r="X776">
        <v>4.7089100000000004</v>
      </c>
      <c r="Y776">
        <f>Table514463[[#This Row],[CFNM]]/Table514463[[#This Row],[CAREA]]</f>
        <v>5.6709463519907702E-2</v>
      </c>
      <c r="Z776">
        <v>2</v>
      </c>
      <c r="AA776">
        <f>(Table615464[[#This Row],[time]]-2)*2</f>
        <v>0</v>
      </c>
      <c r="AB776">
        <v>86.564499999999995</v>
      </c>
      <c r="AC776">
        <v>7.2600199999999999</v>
      </c>
      <c r="AD776">
        <f>Table615464[[#This Row],[CFNM]]/Table615464[[#This Row],[CAREA]]</f>
        <v>8.3868329395999516E-2</v>
      </c>
      <c r="AE776">
        <v>2</v>
      </c>
      <c r="AF776">
        <f>(Table716465[[#This Row],[time]]-2)*2</f>
        <v>0</v>
      </c>
      <c r="AG776">
        <v>77.847899999999996</v>
      </c>
      <c r="AH776">
        <v>20.320699999999999</v>
      </c>
      <c r="AI776">
        <f>Table716465[[#This Row],[CFNM]]/Table716465[[#This Row],[CAREA]]</f>
        <v>0.26103080494143066</v>
      </c>
      <c r="AJ776">
        <v>2</v>
      </c>
      <c r="AK776">
        <f>(Table817466[[#This Row],[time]]-2)*2</f>
        <v>0</v>
      </c>
      <c r="AL776">
        <v>83.372500000000002</v>
      </c>
      <c r="AM776">
        <v>19.753900000000002</v>
      </c>
      <c r="AN776">
        <f>Table817466[[#This Row],[CFNM]]/Table817466[[#This Row],[CAREA]]</f>
        <v>0.23693544034303879</v>
      </c>
    </row>
    <row r="777" spans="1:40" x14ac:dyDescent="0.25">
      <c r="A777">
        <v>2.0512600000000001</v>
      </c>
      <c r="B777">
        <f>(Table110459[[#This Row],[time]]-2)*2</f>
        <v>0.10252000000000017</v>
      </c>
      <c r="C777">
        <v>91.398899999999998</v>
      </c>
      <c r="D777">
        <v>9.4517500000000005</v>
      </c>
      <c r="E777">
        <f>Table110459[[#This Row],[CFNM]]/Table110459[[#This Row],[CAREA]]</f>
        <v>0.10341207607531383</v>
      </c>
      <c r="F777">
        <v>2.0512600000000001</v>
      </c>
      <c r="G777">
        <f>(Table211460[[#This Row],[time]]-2)*2</f>
        <v>0.10252000000000017</v>
      </c>
      <c r="H777">
        <v>93.205799999999996</v>
      </c>
      <c r="I777">
        <v>0.65815800000000002</v>
      </c>
      <c r="J777">
        <f>Table211460[[#This Row],[CFNM]]/Table211460[[#This Row],[CAREA]]</f>
        <v>7.0613416761617842E-3</v>
      </c>
      <c r="K777">
        <v>2.0512600000000001</v>
      </c>
      <c r="L777">
        <f>(Table312461[[#This Row],[time]]-2)*2</f>
        <v>0.10252000000000017</v>
      </c>
      <c r="M777">
        <v>88.841499999999996</v>
      </c>
      <c r="N777">
        <v>2.7269800000000002</v>
      </c>
      <c r="O777">
        <f>Table312461[[#This Row],[CFNM]]/Table312461[[#This Row],[CAREA]]</f>
        <v>3.0694889212811584E-2</v>
      </c>
      <c r="P777">
        <v>2.0512600000000001</v>
      </c>
      <c r="Q777">
        <f>(Table413462[[#This Row],[time]]-2)*2</f>
        <v>0.10252000000000017</v>
      </c>
      <c r="R777">
        <v>83.203599999999994</v>
      </c>
      <c r="S777">
        <v>2.30863</v>
      </c>
      <c r="T777">
        <f>Table413462[[#This Row],[CFNM]]/Table413462[[#This Row],[CAREA]]</f>
        <v>2.774675614997428E-2</v>
      </c>
      <c r="U777">
        <v>2.0512600000000001</v>
      </c>
      <c r="V777">
        <f>(Table514463[[#This Row],[time]]-2)*2</f>
        <v>0.10252000000000017</v>
      </c>
      <c r="W777">
        <v>82.920199999999994</v>
      </c>
      <c r="X777">
        <v>6.6825799999999997</v>
      </c>
      <c r="Y777">
        <f>Table514463[[#This Row],[CFNM]]/Table514463[[#This Row],[CAREA]]</f>
        <v>8.059049544019431E-2</v>
      </c>
      <c r="Z777">
        <v>2.0512600000000001</v>
      </c>
      <c r="AA777">
        <f>(Table615464[[#This Row],[time]]-2)*2</f>
        <v>0.10252000000000017</v>
      </c>
      <c r="AB777">
        <v>88.627700000000004</v>
      </c>
      <c r="AC777">
        <v>8.4830299999999994</v>
      </c>
      <c r="AD777">
        <f>Table615464[[#This Row],[CFNM]]/Table615464[[#This Row],[CAREA]]</f>
        <v>9.5715335047620545E-2</v>
      </c>
      <c r="AE777">
        <v>2.0512600000000001</v>
      </c>
      <c r="AF777">
        <f>(Table716465[[#This Row],[time]]-2)*2</f>
        <v>0.10252000000000017</v>
      </c>
      <c r="AG777">
        <v>77.8005</v>
      </c>
      <c r="AH777">
        <v>22.667400000000001</v>
      </c>
      <c r="AI777">
        <f>Table716465[[#This Row],[CFNM]]/Table716465[[#This Row],[CAREA]]</f>
        <v>0.29135288333622533</v>
      </c>
      <c r="AJ777">
        <v>2.0512600000000001</v>
      </c>
      <c r="AK777">
        <f>(Table817466[[#This Row],[time]]-2)*2</f>
        <v>0.10252000000000017</v>
      </c>
      <c r="AL777">
        <v>83.410399999999996</v>
      </c>
      <c r="AM777">
        <v>19.0717</v>
      </c>
      <c r="AN777">
        <f>Table817466[[#This Row],[CFNM]]/Table817466[[#This Row],[CAREA]]</f>
        <v>0.228648945455243</v>
      </c>
    </row>
    <row r="778" spans="1:40" x14ac:dyDescent="0.25">
      <c r="A778">
        <v>2.1153300000000002</v>
      </c>
      <c r="B778">
        <f>(Table110459[[#This Row],[time]]-2)*2</f>
        <v>0.23066000000000031</v>
      </c>
      <c r="C778">
        <v>91.4529</v>
      </c>
      <c r="D778">
        <v>11.948600000000001</v>
      </c>
      <c r="E778">
        <f>Table110459[[#This Row],[CFNM]]/Table110459[[#This Row],[CAREA]]</f>
        <v>0.13065304654089702</v>
      </c>
      <c r="F778">
        <v>2.1153300000000002</v>
      </c>
      <c r="G778">
        <f>(Table211460[[#This Row],[time]]-2)*2</f>
        <v>0.23066000000000031</v>
      </c>
      <c r="H778">
        <v>93.269099999999995</v>
      </c>
      <c r="I778">
        <v>0.232071</v>
      </c>
      <c r="J778">
        <f>Table211460[[#This Row],[CFNM]]/Table211460[[#This Row],[CAREA]]</f>
        <v>2.4881874061184251E-3</v>
      </c>
      <c r="K778">
        <v>2.1153300000000002</v>
      </c>
      <c r="L778">
        <f>(Table312461[[#This Row],[time]]-2)*2</f>
        <v>0.23066000000000031</v>
      </c>
      <c r="M778">
        <v>88.883399999999995</v>
      </c>
      <c r="N778">
        <v>5.66798</v>
      </c>
      <c r="O778">
        <f>Table312461[[#This Row],[CFNM]]/Table312461[[#This Row],[CAREA]]</f>
        <v>6.3768712718010337E-2</v>
      </c>
      <c r="P778">
        <v>2.1153300000000002</v>
      </c>
      <c r="Q778">
        <f>(Table413462[[#This Row],[time]]-2)*2</f>
        <v>0.23066000000000031</v>
      </c>
      <c r="R778">
        <v>83.987099999999998</v>
      </c>
      <c r="S778">
        <v>1.67584</v>
      </c>
      <c r="T778">
        <f>Table413462[[#This Row],[CFNM]]/Table413462[[#This Row],[CAREA]]</f>
        <v>1.9953540484193406E-2</v>
      </c>
      <c r="U778">
        <v>2.1153300000000002</v>
      </c>
      <c r="V778">
        <f>(Table514463[[#This Row],[time]]-2)*2</f>
        <v>0.23066000000000031</v>
      </c>
      <c r="W778">
        <v>83.245099999999994</v>
      </c>
      <c r="X778">
        <v>10.299200000000001</v>
      </c>
      <c r="Y778">
        <f>Table514463[[#This Row],[CFNM]]/Table514463[[#This Row],[CAREA]]</f>
        <v>0.12372139621431173</v>
      </c>
      <c r="Z778">
        <v>2.1153300000000002</v>
      </c>
      <c r="AA778">
        <f>(Table615464[[#This Row],[time]]-2)*2</f>
        <v>0.23066000000000031</v>
      </c>
      <c r="AB778">
        <v>88.554900000000004</v>
      </c>
      <c r="AC778">
        <v>9.7705400000000004</v>
      </c>
      <c r="AD778">
        <f>Table615464[[#This Row],[CFNM]]/Table615464[[#This Row],[CAREA]]</f>
        <v>0.11033313797429617</v>
      </c>
      <c r="AE778">
        <v>2.1153300000000002</v>
      </c>
      <c r="AF778">
        <f>(Table716465[[#This Row],[time]]-2)*2</f>
        <v>0.23066000000000031</v>
      </c>
      <c r="AG778">
        <v>77.705399999999997</v>
      </c>
      <c r="AH778">
        <v>25.757400000000001</v>
      </c>
      <c r="AI778">
        <f>Table716465[[#This Row],[CFNM]]/Table716465[[#This Row],[CAREA]]</f>
        <v>0.33147503262321537</v>
      </c>
      <c r="AJ778">
        <v>2.1153300000000002</v>
      </c>
      <c r="AK778">
        <f>(Table817466[[#This Row],[time]]-2)*2</f>
        <v>0.23066000000000031</v>
      </c>
      <c r="AL778">
        <v>83.398200000000003</v>
      </c>
      <c r="AM778">
        <v>17.3064</v>
      </c>
      <c r="AN778">
        <f>Table817466[[#This Row],[CFNM]]/Table817466[[#This Row],[CAREA]]</f>
        <v>0.20751527011374346</v>
      </c>
    </row>
    <row r="779" spans="1:40" x14ac:dyDescent="0.25">
      <c r="A779">
        <v>2.16533</v>
      </c>
      <c r="B779">
        <f>(Table110459[[#This Row],[time]]-2)*2</f>
        <v>0.33065999999999995</v>
      </c>
      <c r="C779">
        <v>91.371399999999994</v>
      </c>
      <c r="D779">
        <v>13.8767</v>
      </c>
      <c r="E779">
        <f>Table110459[[#This Row],[CFNM]]/Table110459[[#This Row],[CAREA]]</f>
        <v>0.151871373318128</v>
      </c>
      <c r="F779">
        <v>2.16533</v>
      </c>
      <c r="G779">
        <f>(Table211460[[#This Row],[time]]-2)*2</f>
        <v>0.33065999999999995</v>
      </c>
      <c r="H779">
        <v>92.732299999999995</v>
      </c>
      <c r="I779">
        <v>4.9681700000000001E-3</v>
      </c>
      <c r="J779">
        <f>Table211460[[#This Row],[CFNM]]/Table211460[[#This Row],[CAREA]]</f>
        <v>5.3575399294528446E-5</v>
      </c>
      <c r="K779">
        <v>2.16533</v>
      </c>
      <c r="L779">
        <f>(Table312461[[#This Row],[time]]-2)*2</f>
        <v>0.33065999999999995</v>
      </c>
      <c r="M779">
        <v>88.441199999999995</v>
      </c>
      <c r="N779">
        <v>8.2936499999999995</v>
      </c>
      <c r="O779">
        <f>Table312461[[#This Row],[CFNM]]/Table312461[[#This Row],[CAREA]]</f>
        <v>9.3775864642270793E-2</v>
      </c>
      <c r="P779">
        <v>2.16533</v>
      </c>
      <c r="Q779">
        <f>(Table413462[[#This Row],[time]]-2)*2</f>
        <v>0.33065999999999995</v>
      </c>
      <c r="R779">
        <v>84.2453</v>
      </c>
      <c r="S779">
        <v>0.84456399999999998</v>
      </c>
      <c r="T779">
        <f>Table413462[[#This Row],[CFNM]]/Table413462[[#This Row],[CAREA]]</f>
        <v>1.0025057777703919E-2</v>
      </c>
      <c r="U779">
        <v>2.16533</v>
      </c>
      <c r="V779">
        <f>(Table514463[[#This Row],[time]]-2)*2</f>
        <v>0.33065999999999995</v>
      </c>
      <c r="W779">
        <v>83.367099999999994</v>
      </c>
      <c r="X779">
        <v>13.1882</v>
      </c>
      <c r="Y779">
        <f>Table514463[[#This Row],[CFNM]]/Table514463[[#This Row],[CAREA]]</f>
        <v>0.15819429966977383</v>
      </c>
      <c r="Z779">
        <v>2.16533</v>
      </c>
      <c r="AA779">
        <f>(Table615464[[#This Row],[time]]-2)*2</f>
        <v>0.33065999999999995</v>
      </c>
      <c r="AB779">
        <v>88.942300000000003</v>
      </c>
      <c r="AC779">
        <v>10.617699999999999</v>
      </c>
      <c r="AD779">
        <f>Table615464[[#This Row],[CFNM]]/Table615464[[#This Row],[CAREA]]</f>
        <v>0.11937739410831516</v>
      </c>
      <c r="AE779">
        <v>2.16533</v>
      </c>
      <c r="AF779">
        <f>(Table716465[[#This Row],[time]]-2)*2</f>
        <v>0.33065999999999995</v>
      </c>
      <c r="AG779">
        <v>77.604399999999998</v>
      </c>
      <c r="AH779">
        <v>28.307700000000001</v>
      </c>
      <c r="AI779">
        <f>Table716465[[#This Row],[CFNM]]/Table716465[[#This Row],[CAREA]]</f>
        <v>0.36476926566019452</v>
      </c>
      <c r="AJ779">
        <v>2.16533</v>
      </c>
      <c r="AK779">
        <f>(Table817466[[#This Row],[time]]-2)*2</f>
        <v>0.33065999999999995</v>
      </c>
      <c r="AL779">
        <v>83.282300000000006</v>
      </c>
      <c r="AM779">
        <v>15.976000000000001</v>
      </c>
      <c r="AN779">
        <f>Table817466[[#This Row],[CFNM]]/Table817466[[#This Row],[CAREA]]</f>
        <v>0.1918294763713298</v>
      </c>
    </row>
    <row r="780" spans="1:40" x14ac:dyDescent="0.25">
      <c r="A780">
        <v>2.2246999999999999</v>
      </c>
      <c r="B780">
        <f>(Table110459[[#This Row],[time]]-2)*2</f>
        <v>0.4493999999999998</v>
      </c>
      <c r="C780">
        <v>91.211299999999994</v>
      </c>
      <c r="D780">
        <v>16.440200000000001</v>
      </c>
      <c r="E780">
        <f>Table110459[[#This Row],[CFNM]]/Table110459[[#This Row],[CAREA]]</f>
        <v>0.18024301813481447</v>
      </c>
      <c r="F780">
        <v>2.2246999999999999</v>
      </c>
      <c r="G780">
        <f>(Table211460[[#This Row],[time]]-2)*2</f>
        <v>0.4493999999999998</v>
      </c>
      <c r="H780">
        <v>92.155900000000003</v>
      </c>
      <c r="I780">
        <v>4.4326299999999999E-3</v>
      </c>
      <c r="J780">
        <f>Table211460[[#This Row],[CFNM]]/Table211460[[#This Row],[CAREA]]</f>
        <v>4.8099253547521101E-5</v>
      </c>
      <c r="K780">
        <v>2.2246999999999999</v>
      </c>
      <c r="L780">
        <f>(Table312461[[#This Row],[time]]-2)*2</f>
        <v>0.4493999999999998</v>
      </c>
      <c r="M780">
        <v>87.954499999999996</v>
      </c>
      <c r="N780">
        <v>11.738799999999999</v>
      </c>
      <c r="O780">
        <f>Table312461[[#This Row],[CFNM]]/Table312461[[#This Row],[CAREA]]</f>
        <v>0.13346446173873991</v>
      </c>
      <c r="P780">
        <v>2.2246999999999999</v>
      </c>
      <c r="Q780">
        <f>(Table413462[[#This Row],[time]]-2)*2</f>
        <v>0.4493999999999998</v>
      </c>
      <c r="R780">
        <v>84.918999999999997</v>
      </c>
      <c r="S780">
        <v>8.5944199999999998E-2</v>
      </c>
      <c r="T780">
        <f>Table413462[[#This Row],[CFNM]]/Table413462[[#This Row],[CAREA]]</f>
        <v>1.0120726810254478E-3</v>
      </c>
      <c r="U780">
        <v>2.2246999999999999</v>
      </c>
      <c r="V780">
        <f>(Table514463[[#This Row],[time]]-2)*2</f>
        <v>0.4493999999999998</v>
      </c>
      <c r="W780">
        <v>81.547799999999995</v>
      </c>
      <c r="X780">
        <v>16.700299999999999</v>
      </c>
      <c r="Y780">
        <f>Table514463[[#This Row],[CFNM]]/Table514463[[#This Row],[CAREA]]</f>
        <v>0.20479154557204485</v>
      </c>
      <c r="Z780">
        <v>2.2246999999999999</v>
      </c>
      <c r="AA780">
        <f>(Table615464[[#This Row],[time]]-2)*2</f>
        <v>0.4493999999999998</v>
      </c>
      <c r="AB780">
        <v>88.612799999999993</v>
      </c>
      <c r="AC780">
        <v>11.277100000000001</v>
      </c>
      <c r="AD780">
        <f>Table615464[[#This Row],[CFNM]]/Table615464[[#This Row],[CAREA]]</f>
        <v>0.12726265279959556</v>
      </c>
      <c r="AE780">
        <v>2.2246999999999999</v>
      </c>
      <c r="AF780">
        <f>(Table716465[[#This Row],[time]]-2)*2</f>
        <v>0.4493999999999998</v>
      </c>
      <c r="AG780">
        <v>77.684700000000007</v>
      </c>
      <c r="AH780">
        <v>31.395399999999999</v>
      </c>
      <c r="AI780">
        <f>Table716465[[#This Row],[CFNM]]/Table716465[[#This Row],[CAREA]]</f>
        <v>0.40413878151038746</v>
      </c>
      <c r="AJ780">
        <v>2.2246999999999999</v>
      </c>
      <c r="AK780">
        <f>(Table817466[[#This Row],[time]]-2)*2</f>
        <v>0.4493999999999998</v>
      </c>
      <c r="AL780">
        <v>83.411799999999999</v>
      </c>
      <c r="AM780">
        <v>14.7074</v>
      </c>
      <c r="AN780">
        <f>Table817466[[#This Row],[CFNM]]/Table817466[[#This Row],[CAREA]]</f>
        <v>0.17632277447555381</v>
      </c>
    </row>
    <row r="781" spans="1:40" x14ac:dyDescent="0.25">
      <c r="A781">
        <v>2.2668900000000001</v>
      </c>
      <c r="B781">
        <f>(Table110459[[#This Row],[time]]-2)*2</f>
        <v>0.53378000000000014</v>
      </c>
      <c r="C781">
        <v>91.116600000000005</v>
      </c>
      <c r="D781">
        <v>17.658000000000001</v>
      </c>
      <c r="E781">
        <f>Table110459[[#This Row],[CFNM]]/Table110459[[#This Row],[CAREA]]</f>
        <v>0.19379564206741692</v>
      </c>
      <c r="F781">
        <v>2.2668900000000001</v>
      </c>
      <c r="G781">
        <f>(Table211460[[#This Row],[time]]-2)*2</f>
        <v>0.53378000000000014</v>
      </c>
      <c r="H781">
        <v>91.2256</v>
      </c>
      <c r="I781">
        <v>4.1862699999999997E-3</v>
      </c>
      <c r="J781">
        <f>Table211460[[#This Row],[CFNM]]/Table211460[[#This Row],[CAREA]]</f>
        <v>4.5889202153781393E-5</v>
      </c>
      <c r="K781">
        <v>2.2668900000000001</v>
      </c>
      <c r="L781">
        <f>(Table312461[[#This Row],[time]]-2)*2</f>
        <v>0.53378000000000014</v>
      </c>
      <c r="M781">
        <v>87.845100000000002</v>
      </c>
      <c r="N781">
        <v>13.3489</v>
      </c>
      <c r="O781">
        <f>Table312461[[#This Row],[CFNM]]/Table312461[[#This Row],[CAREA]]</f>
        <v>0.1519595287614221</v>
      </c>
      <c r="P781">
        <v>2.2668900000000001</v>
      </c>
      <c r="Q781">
        <f>(Table413462[[#This Row],[time]]-2)*2</f>
        <v>0.53378000000000014</v>
      </c>
      <c r="R781">
        <v>84.885199999999998</v>
      </c>
      <c r="S781">
        <v>4.8849100000000001E-3</v>
      </c>
      <c r="T781">
        <f>Table413462[[#This Row],[CFNM]]/Table413462[[#This Row],[CAREA]]</f>
        <v>5.7547252053361482E-5</v>
      </c>
      <c r="U781">
        <v>2.2668900000000001</v>
      </c>
      <c r="V781">
        <f>(Table514463[[#This Row],[time]]-2)*2</f>
        <v>0.53378000000000014</v>
      </c>
      <c r="W781">
        <v>81.660700000000006</v>
      </c>
      <c r="X781">
        <v>18.252300000000002</v>
      </c>
      <c r="Y781">
        <f>Table514463[[#This Row],[CFNM]]/Table514463[[#This Row],[CAREA]]</f>
        <v>0.22351388121826044</v>
      </c>
      <c r="Z781">
        <v>2.2668900000000001</v>
      </c>
      <c r="AA781">
        <f>(Table615464[[#This Row],[time]]-2)*2</f>
        <v>0.53378000000000014</v>
      </c>
      <c r="AB781">
        <v>88.405699999999996</v>
      </c>
      <c r="AC781">
        <v>11.459899999999999</v>
      </c>
      <c r="AD781">
        <f>Table615464[[#This Row],[CFNM]]/Table615464[[#This Row],[CAREA]]</f>
        <v>0.12962851942804593</v>
      </c>
      <c r="AE781">
        <v>2.2668900000000001</v>
      </c>
      <c r="AF781">
        <f>(Table716465[[#This Row],[time]]-2)*2</f>
        <v>0.53378000000000014</v>
      </c>
      <c r="AG781">
        <v>77.697000000000003</v>
      </c>
      <c r="AH781">
        <v>32.786700000000003</v>
      </c>
      <c r="AI781">
        <f>Table716465[[#This Row],[CFNM]]/Table716465[[#This Row],[CAREA]]</f>
        <v>0.42198154368894553</v>
      </c>
      <c r="AJ781">
        <v>2.2668900000000001</v>
      </c>
      <c r="AK781">
        <f>(Table817466[[#This Row],[time]]-2)*2</f>
        <v>0.53378000000000014</v>
      </c>
      <c r="AL781">
        <v>83.299099999999996</v>
      </c>
      <c r="AM781">
        <v>14.244</v>
      </c>
      <c r="AN781">
        <f>Table817466[[#This Row],[CFNM]]/Table817466[[#This Row],[CAREA]]</f>
        <v>0.17099824607948946</v>
      </c>
    </row>
    <row r="782" spans="1:40" x14ac:dyDescent="0.25">
      <c r="A782">
        <v>2.3262700000000001</v>
      </c>
      <c r="B782">
        <f>(Table110459[[#This Row],[time]]-2)*2</f>
        <v>0.65254000000000012</v>
      </c>
      <c r="C782">
        <v>90.906999999999996</v>
      </c>
      <c r="D782">
        <v>20.1099</v>
      </c>
      <c r="E782">
        <f>Table110459[[#This Row],[CFNM]]/Table110459[[#This Row],[CAREA]]</f>
        <v>0.2212139879217222</v>
      </c>
      <c r="F782">
        <v>2.3262700000000001</v>
      </c>
      <c r="G782">
        <f>(Table211460[[#This Row],[time]]-2)*2</f>
        <v>0.65254000000000012</v>
      </c>
      <c r="H782">
        <v>89.377700000000004</v>
      </c>
      <c r="I782">
        <v>3.6824100000000001E-3</v>
      </c>
      <c r="J782">
        <f>Table211460[[#This Row],[CFNM]]/Table211460[[#This Row],[CAREA]]</f>
        <v>4.1200545549952617E-5</v>
      </c>
      <c r="K782">
        <v>2.3262700000000001</v>
      </c>
      <c r="L782">
        <f>(Table312461[[#This Row],[time]]-2)*2</f>
        <v>0.65254000000000012</v>
      </c>
      <c r="M782">
        <v>87.375900000000001</v>
      </c>
      <c r="N782">
        <v>16.5243</v>
      </c>
      <c r="O782">
        <f>Table312461[[#This Row],[CFNM]]/Table312461[[#This Row],[CAREA]]</f>
        <v>0.18911736531469203</v>
      </c>
      <c r="P782">
        <v>2.3262700000000001</v>
      </c>
      <c r="Q782">
        <f>(Table413462[[#This Row],[time]]-2)*2</f>
        <v>0.65254000000000012</v>
      </c>
      <c r="R782">
        <v>85.630700000000004</v>
      </c>
      <c r="S782">
        <v>4.1998000000000001E-3</v>
      </c>
      <c r="T782">
        <f>Table413462[[#This Row],[CFNM]]/Table413462[[#This Row],[CAREA]]</f>
        <v>4.904549419775851E-5</v>
      </c>
      <c r="U782">
        <v>2.3262700000000001</v>
      </c>
      <c r="V782">
        <f>(Table514463[[#This Row],[time]]-2)*2</f>
        <v>0.65254000000000012</v>
      </c>
      <c r="W782">
        <v>80.7637</v>
      </c>
      <c r="X782">
        <v>21.292300000000001</v>
      </c>
      <c r="Y782">
        <f>Table514463[[#This Row],[CFNM]]/Table514463[[#This Row],[CAREA]]</f>
        <v>0.26363700523873967</v>
      </c>
      <c r="Z782">
        <v>2.3262700000000001</v>
      </c>
      <c r="AA782">
        <f>(Table615464[[#This Row],[time]]-2)*2</f>
        <v>0.65254000000000012</v>
      </c>
      <c r="AB782">
        <v>90.725800000000007</v>
      </c>
      <c r="AC782">
        <v>11.1784</v>
      </c>
      <c r="AD782">
        <f>Table615464[[#This Row],[CFNM]]/Table615464[[#This Row],[CAREA]]</f>
        <v>0.12321081765054702</v>
      </c>
      <c r="AE782">
        <v>2.3262700000000001</v>
      </c>
      <c r="AF782">
        <f>(Table716465[[#This Row],[time]]-2)*2</f>
        <v>0.65254000000000012</v>
      </c>
      <c r="AG782">
        <v>77.639200000000002</v>
      </c>
      <c r="AH782">
        <v>35.5242</v>
      </c>
      <c r="AI782">
        <f>Table716465[[#This Row],[CFNM]]/Table716465[[#This Row],[CAREA]]</f>
        <v>0.45755494647033973</v>
      </c>
      <c r="AJ782">
        <v>2.3262700000000001</v>
      </c>
      <c r="AK782">
        <f>(Table817466[[#This Row],[time]]-2)*2</f>
        <v>0.65254000000000012</v>
      </c>
      <c r="AL782">
        <v>83.190600000000003</v>
      </c>
      <c r="AM782">
        <v>13.3657</v>
      </c>
      <c r="AN782">
        <f>Table817466[[#This Row],[CFNM]]/Table817466[[#This Row],[CAREA]]</f>
        <v>0.16066358458768179</v>
      </c>
    </row>
    <row r="783" spans="1:40" x14ac:dyDescent="0.25">
      <c r="A783">
        <v>2.3684599999999998</v>
      </c>
      <c r="B783">
        <f>(Table110459[[#This Row],[time]]-2)*2</f>
        <v>0.73691999999999958</v>
      </c>
      <c r="C783">
        <v>90.755200000000002</v>
      </c>
      <c r="D783">
        <v>22.577999999999999</v>
      </c>
      <c r="E783">
        <f>Table110459[[#This Row],[CFNM]]/Table110459[[#This Row],[CAREA]]</f>
        <v>0.24877913331687879</v>
      </c>
      <c r="F783">
        <v>2.3684599999999998</v>
      </c>
      <c r="G783">
        <f>(Table211460[[#This Row],[time]]-2)*2</f>
        <v>0.73691999999999958</v>
      </c>
      <c r="H783">
        <v>86.560299999999998</v>
      </c>
      <c r="I783">
        <v>3.13919E-3</v>
      </c>
      <c r="J783">
        <f>Table211460[[#This Row],[CFNM]]/Table211460[[#This Row],[CAREA]]</f>
        <v>3.6265932534891862E-5</v>
      </c>
      <c r="K783">
        <v>2.3684599999999998</v>
      </c>
      <c r="L783">
        <f>(Table312461[[#This Row],[time]]-2)*2</f>
        <v>0.73691999999999958</v>
      </c>
      <c r="M783">
        <v>86.400499999999994</v>
      </c>
      <c r="N783">
        <v>19.881</v>
      </c>
      <c r="O783">
        <f>Table312461[[#This Row],[CFNM]]/Table312461[[#This Row],[CAREA]]</f>
        <v>0.23010283505303791</v>
      </c>
      <c r="P783">
        <v>2.3684599999999998</v>
      </c>
      <c r="Q783">
        <f>(Table413462[[#This Row],[time]]-2)*2</f>
        <v>0.73691999999999958</v>
      </c>
      <c r="R783">
        <v>84.639700000000005</v>
      </c>
      <c r="S783">
        <v>3.46357E-3</v>
      </c>
      <c r="T783">
        <f>Table413462[[#This Row],[CFNM]]/Table413462[[#This Row],[CAREA]]</f>
        <v>4.0921340694733083E-5</v>
      </c>
      <c r="U783">
        <v>2.3684599999999998</v>
      </c>
      <c r="V783">
        <f>(Table514463[[#This Row],[time]]-2)*2</f>
        <v>0.73691999999999958</v>
      </c>
      <c r="W783">
        <v>77.610900000000001</v>
      </c>
      <c r="X783">
        <v>24.2075</v>
      </c>
      <c r="Y783">
        <f>Table514463[[#This Row],[CFNM]]/Table514463[[#This Row],[CAREA]]</f>
        <v>0.31190850769672818</v>
      </c>
      <c r="Z783">
        <v>2.3684599999999998</v>
      </c>
      <c r="AA783">
        <f>(Table615464[[#This Row],[time]]-2)*2</f>
        <v>0.73691999999999958</v>
      </c>
      <c r="AB783">
        <v>91.306700000000006</v>
      </c>
      <c r="AC783">
        <v>10.3407</v>
      </c>
      <c r="AD783">
        <f>Table615464[[#This Row],[CFNM]]/Table615464[[#This Row],[CAREA]]</f>
        <v>0.1132523681175642</v>
      </c>
      <c r="AE783">
        <v>2.3684599999999998</v>
      </c>
      <c r="AF783">
        <f>(Table716465[[#This Row],[time]]-2)*2</f>
        <v>0.73691999999999958</v>
      </c>
      <c r="AG783">
        <v>77.641499999999994</v>
      </c>
      <c r="AH783">
        <v>38.283000000000001</v>
      </c>
      <c r="AI783">
        <f>Table716465[[#This Row],[CFNM]]/Table716465[[#This Row],[CAREA]]</f>
        <v>0.49307393597496191</v>
      </c>
      <c r="AJ783">
        <v>2.3684599999999998</v>
      </c>
      <c r="AK783">
        <f>(Table817466[[#This Row],[time]]-2)*2</f>
        <v>0.73691999999999958</v>
      </c>
      <c r="AL783">
        <v>82.733699999999999</v>
      </c>
      <c r="AM783">
        <v>12.569699999999999</v>
      </c>
      <c r="AN783">
        <f>Table817466[[#This Row],[CFNM]]/Table817466[[#This Row],[CAREA]]</f>
        <v>0.15192962480827038</v>
      </c>
    </row>
    <row r="784" spans="1:40" x14ac:dyDescent="0.25">
      <c r="A784">
        <v>2.4278300000000002</v>
      </c>
      <c r="B784">
        <f>(Table110459[[#This Row],[time]]-2)*2</f>
        <v>0.85566000000000031</v>
      </c>
      <c r="C784">
        <v>90.419700000000006</v>
      </c>
      <c r="D784">
        <v>25.355599999999999</v>
      </c>
      <c r="E784">
        <f>Table110459[[#This Row],[CFNM]]/Table110459[[#This Row],[CAREA]]</f>
        <v>0.28042119139966176</v>
      </c>
      <c r="F784">
        <v>2.4278300000000002</v>
      </c>
      <c r="G784">
        <f>(Table211460[[#This Row],[time]]-2)*2</f>
        <v>0.85566000000000031</v>
      </c>
      <c r="H784">
        <v>76.417900000000003</v>
      </c>
      <c r="I784">
        <v>2.4960500000000001E-3</v>
      </c>
      <c r="J784">
        <f>Table211460[[#This Row],[CFNM]]/Table211460[[#This Row],[CAREA]]</f>
        <v>3.2663158762541236E-5</v>
      </c>
      <c r="K784">
        <v>2.4278300000000002</v>
      </c>
      <c r="L784">
        <f>(Table312461[[#This Row],[time]]-2)*2</f>
        <v>0.85566000000000031</v>
      </c>
      <c r="M784">
        <v>85.530900000000003</v>
      </c>
      <c r="N784">
        <v>23.707799999999999</v>
      </c>
      <c r="O784">
        <f>Table312461[[#This Row],[CFNM]]/Table312461[[#This Row],[CAREA]]</f>
        <v>0.27718403524340324</v>
      </c>
      <c r="P784">
        <v>2.4278300000000002</v>
      </c>
      <c r="Q784">
        <f>(Table413462[[#This Row],[time]]-2)*2</f>
        <v>0.85566000000000031</v>
      </c>
      <c r="R784">
        <v>84.406700000000001</v>
      </c>
      <c r="S784">
        <v>2.8935900000000001E-3</v>
      </c>
      <c r="T784">
        <f>Table413462[[#This Row],[CFNM]]/Table413462[[#This Row],[CAREA]]</f>
        <v>3.4281520305852499E-5</v>
      </c>
      <c r="U784">
        <v>2.4278300000000002</v>
      </c>
      <c r="V784">
        <f>(Table514463[[#This Row],[time]]-2)*2</f>
        <v>0.85566000000000031</v>
      </c>
      <c r="W784">
        <v>75.472499999999997</v>
      </c>
      <c r="X784">
        <v>27.312100000000001</v>
      </c>
      <c r="Y784">
        <f>Table514463[[#This Row],[CFNM]]/Table514463[[#This Row],[CAREA]]</f>
        <v>0.36188148000927495</v>
      </c>
      <c r="Z784">
        <v>2.4278300000000002</v>
      </c>
      <c r="AA784">
        <f>(Table615464[[#This Row],[time]]-2)*2</f>
        <v>0.85566000000000031</v>
      </c>
      <c r="AB784">
        <v>90.856499999999997</v>
      </c>
      <c r="AC784">
        <v>8.8392700000000008</v>
      </c>
      <c r="AD784">
        <f>Table615464[[#This Row],[CFNM]]/Table615464[[#This Row],[CAREA]]</f>
        <v>9.7288251253350069E-2</v>
      </c>
      <c r="AE784">
        <v>2.4278300000000002</v>
      </c>
      <c r="AF784">
        <f>(Table716465[[#This Row],[time]]-2)*2</f>
        <v>0.85566000000000031</v>
      </c>
      <c r="AG784">
        <v>77.4392</v>
      </c>
      <c r="AH784">
        <v>41.274999999999999</v>
      </c>
      <c r="AI784">
        <f>Table716465[[#This Row],[CFNM]]/Table716465[[#This Row],[CAREA]]</f>
        <v>0.53299879130982752</v>
      </c>
      <c r="AJ784">
        <v>2.4278300000000002</v>
      </c>
      <c r="AK784">
        <f>(Table817466[[#This Row],[time]]-2)*2</f>
        <v>0.85566000000000031</v>
      </c>
      <c r="AL784">
        <v>82.124099999999999</v>
      </c>
      <c r="AM784">
        <v>11.7811</v>
      </c>
      <c r="AN784">
        <f>Table817466[[#This Row],[CFNM]]/Table817466[[#This Row],[CAREA]]</f>
        <v>0.14345484455841831</v>
      </c>
    </row>
    <row r="785" spans="1:40" x14ac:dyDescent="0.25">
      <c r="A785">
        <v>2.4542000000000002</v>
      </c>
      <c r="B785">
        <f>(Table110459[[#This Row],[time]]-2)*2</f>
        <v>0.90840000000000032</v>
      </c>
      <c r="C785">
        <v>89.954099999999997</v>
      </c>
      <c r="D785">
        <v>28.104099999999999</v>
      </c>
      <c r="E785">
        <f>Table110459[[#This Row],[CFNM]]/Table110459[[#This Row],[CAREA]]</f>
        <v>0.31242711560673719</v>
      </c>
      <c r="F785">
        <v>2.4542000000000002</v>
      </c>
      <c r="G785">
        <f>(Table211460[[#This Row],[time]]-2)*2</f>
        <v>0.90840000000000032</v>
      </c>
      <c r="H785">
        <v>64.272099999999995</v>
      </c>
      <c r="I785">
        <v>1.9571599999999999E-3</v>
      </c>
      <c r="J785">
        <f>Table211460[[#This Row],[CFNM]]/Table211460[[#This Row],[CAREA]]</f>
        <v>3.0451159990104573E-5</v>
      </c>
      <c r="K785">
        <v>2.4542000000000002</v>
      </c>
      <c r="L785">
        <f>(Table312461[[#This Row],[time]]-2)*2</f>
        <v>0.90840000000000032</v>
      </c>
      <c r="M785">
        <v>84.492099999999994</v>
      </c>
      <c r="N785">
        <v>27.067599999999999</v>
      </c>
      <c r="O785">
        <f>Table312461[[#This Row],[CFNM]]/Table312461[[#This Row],[CAREA]]</f>
        <v>0.32035657771554976</v>
      </c>
      <c r="P785">
        <v>2.4542000000000002</v>
      </c>
      <c r="Q785">
        <f>(Table413462[[#This Row],[time]]-2)*2</f>
        <v>0.90840000000000032</v>
      </c>
      <c r="R785">
        <v>82.573499999999996</v>
      </c>
      <c r="S785">
        <v>2.41487E-3</v>
      </c>
      <c r="T785">
        <f>Table413462[[#This Row],[CFNM]]/Table413462[[#This Row],[CAREA]]</f>
        <v>2.9245096792554513E-5</v>
      </c>
      <c r="U785">
        <v>2.4542000000000002</v>
      </c>
      <c r="V785">
        <f>(Table514463[[#This Row],[time]]-2)*2</f>
        <v>0.90840000000000032</v>
      </c>
      <c r="W785">
        <v>74.134500000000003</v>
      </c>
      <c r="X785">
        <v>30.378900000000002</v>
      </c>
      <c r="Y785">
        <f>Table514463[[#This Row],[CFNM]]/Table514463[[#This Row],[CAREA]]</f>
        <v>0.40978087125427431</v>
      </c>
      <c r="Z785">
        <v>2.4542000000000002</v>
      </c>
      <c r="AA785">
        <f>(Table615464[[#This Row],[time]]-2)*2</f>
        <v>0.90840000000000032</v>
      </c>
      <c r="AB785">
        <v>91.806700000000006</v>
      </c>
      <c r="AC785">
        <v>7.4021299999999997</v>
      </c>
      <c r="AD785">
        <f>Table615464[[#This Row],[CFNM]]/Table615464[[#This Row],[CAREA]]</f>
        <v>8.0627339834674364E-2</v>
      </c>
      <c r="AE785">
        <v>2.4542000000000002</v>
      </c>
      <c r="AF785">
        <f>(Table716465[[#This Row],[time]]-2)*2</f>
        <v>0.90840000000000032</v>
      </c>
      <c r="AG785">
        <v>77.516499999999994</v>
      </c>
      <c r="AH785">
        <v>44.204099999999997</v>
      </c>
      <c r="AI785">
        <f>Table716465[[#This Row],[CFNM]]/Table716465[[#This Row],[CAREA]]</f>
        <v>0.57025407493888403</v>
      </c>
      <c r="AJ785">
        <v>2.4542000000000002</v>
      </c>
      <c r="AK785">
        <f>(Table817466[[#This Row],[time]]-2)*2</f>
        <v>0.90840000000000032</v>
      </c>
      <c r="AL785">
        <v>81.420500000000004</v>
      </c>
      <c r="AM785">
        <v>11.0312</v>
      </c>
      <c r="AN785">
        <f>Table817466[[#This Row],[CFNM]]/Table817466[[#This Row],[CAREA]]</f>
        <v>0.13548430677777709</v>
      </c>
    </row>
    <row r="786" spans="1:40" x14ac:dyDescent="0.25">
      <c r="A786">
        <v>2.5061499999999999</v>
      </c>
      <c r="B786">
        <f>(Table110459[[#This Row],[time]]-2)*2</f>
        <v>1.0122999999999998</v>
      </c>
      <c r="C786">
        <v>88.910700000000006</v>
      </c>
      <c r="D786">
        <v>32.316800000000001</v>
      </c>
      <c r="E786">
        <f>Table110459[[#This Row],[CFNM]]/Table110459[[#This Row],[CAREA]]</f>
        <v>0.36347481236791523</v>
      </c>
      <c r="F786">
        <v>2.5061499999999999</v>
      </c>
      <c r="G786">
        <f>(Table211460[[#This Row],[time]]-2)*2</f>
        <v>1.0122999999999998</v>
      </c>
      <c r="H786">
        <v>54.178600000000003</v>
      </c>
      <c r="I786">
        <v>1.3557599999999999E-3</v>
      </c>
      <c r="J786">
        <f>Table211460[[#This Row],[CFNM]]/Table211460[[#This Row],[CAREA]]</f>
        <v>2.5023902426419284E-5</v>
      </c>
      <c r="K786">
        <v>2.5061499999999999</v>
      </c>
      <c r="L786">
        <f>(Table312461[[#This Row],[time]]-2)*2</f>
        <v>1.0122999999999998</v>
      </c>
      <c r="M786">
        <v>83.5642</v>
      </c>
      <c r="N786">
        <v>31.557400000000001</v>
      </c>
      <c r="O786">
        <f>Table312461[[#This Row],[CFNM]]/Table312461[[#This Row],[CAREA]]</f>
        <v>0.37764257899914078</v>
      </c>
      <c r="P786">
        <v>2.5061499999999999</v>
      </c>
      <c r="Q786">
        <f>(Table413462[[#This Row],[time]]-2)*2</f>
        <v>1.0122999999999998</v>
      </c>
      <c r="R786">
        <v>72.4666</v>
      </c>
      <c r="S786">
        <v>1.77052E-3</v>
      </c>
      <c r="T786">
        <f>Table413462[[#This Row],[CFNM]]/Table413462[[#This Row],[CAREA]]</f>
        <v>2.4432221188795943E-5</v>
      </c>
      <c r="U786">
        <v>2.5061499999999999</v>
      </c>
      <c r="V786">
        <f>(Table514463[[#This Row],[time]]-2)*2</f>
        <v>1.0122999999999998</v>
      </c>
      <c r="W786">
        <v>71.124899999999997</v>
      </c>
      <c r="X786">
        <v>34.991300000000003</v>
      </c>
      <c r="Y786">
        <f>Table514463[[#This Row],[CFNM]]/Table514463[[#This Row],[CAREA]]</f>
        <v>0.49196976023867878</v>
      </c>
      <c r="Z786">
        <v>2.5061499999999999</v>
      </c>
      <c r="AA786">
        <f>(Table615464[[#This Row],[time]]-2)*2</f>
        <v>1.0122999999999998</v>
      </c>
      <c r="AB786">
        <v>91.609099999999998</v>
      </c>
      <c r="AC786">
        <v>5.6404800000000002</v>
      </c>
      <c r="AD786">
        <f>Table615464[[#This Row],[CFNM]]/Table615464[[#This Row],[CAREA]]</f>
        <v>6.157117578930478E-2</v>
      </c>
      <c r="AE786">
        <v>2.5061499999999999</v>
      </c>
      <c r="AF786">
        <f>(Table716465[[#This Row],[time]]-2)*2</f>
        <v>1.0122999999999998</v>
      </c>
      <c r="AG786">
        <v>77.080500000000001</v>
      </c>
      <c r="AH786">
        <v>48.4146</v>
      </c>
      <c r="AI786">
        <f>Table716465[[#This Row],[CFNM]]/Table716465[[#This Row],[CAREA]]</f>
        <v>0.62810438437737171</v>
      </c>
      <c r="AJ786">
        <v>2.5061499999999999</v>
      </c>
      <c r="AK786">
        <f>(Table817466[[#This Row],[time]]-2)*2</f>
        <v>1.0122999999999998</v>
      </c>
      <c r="AL786">
        <v>81.082899999999995</v>
      </c>
      <c r="AM786">
        <v>10.008100000000001</v>
      </c>
      <c r="AN786">
        <f>Table817466[[#This Row],[CFNM]]/Table817466[[#This Row],[CAREA]]</f>
        <v>0.1234304643765825</v>
      </c>
    </row>
    <row r="787" spans="1:40" x14ac:dyDescent="0.25">
      <c r="A787">
        <v>2.5507599999999999</v>
      </c>
      <c r="B787">
        <f>(Table110459[[#This Row],[time]]-2)*2</f>
        <v>1.1015199999999998</v>
      </c>
      <c r="C787">
        <v>88.471599999999995</v>
      </c>
      <c r="D787">
        <v>33.655999999999999</v>
      </c>
      <c r="E787">
        <f>Table110459[[#This Row],[CFNM]]/Table110459[[#This Row],[CAREA]]</f>
        <v>0.38041586226540497</v>
      </c>
      <c r="F787">
        <v>2.5507599999999999</v>
      </c>
      <c r="G787">
        <f>(Table211460[[#This Row],[time]]-2)*2</f>
        <v>1.1015199999999998</v>
      </c>
      <c r="H787">
        <v>50.552700000000002</v>
      </c>
      <c r="I787">
        <v>1.2076999999999999E-3</v>
      </c>
      <c r="J787">
        <f>Table211460[[#This Row],[CFNM]]/Table211460[[#This Row],[CAREA]]</f>
        <v>2.3889920815307587E-5</v>
      </c>
      <c r="K787">
        <v>2.5507599999999999</v>
      </c>
      <c r="L787">
        <f>(Table312461[[#This Row],[time]]-2)*2</f>
        <v>1.1015199999999998</v>
      </c>
      <c r="M787">
        <v>83.268699999999995</v>
      </c>
      <c r="N787">
        <v>32.884599999999999</v>
      </c>
      <c r="O787">
        <f>Table312461[[#This Row],[CFNM]]/Table312461[[#This Row],[CAREA]]</f>
        <v>0.39492150111626578</v>
      </c>
      <c r="P787">
        <v>2.5507599999999999</v>
      </c>
      <c r="Q787">
        <f>(Table413462[[#This Row],[time]]-2)*2</f>
        <v>1.1015199999999998</v>
      </c>
      <c r="R787">
        <v>70.090199999999996</v>
      </c>
      <c r="S787">
        <v>1.5961300000000001E-3</v>
      </c>
      <c r="T787">
        <f>Table413462[[#This Row],[CFNM]]/Table413462[[#This Row],[CAREA]]</f>
        <v>2.2772513133077094E-5</v>
      </c>
      <c r="U787">
        <v>2.5507599999999999</v>
      </c>
      <c r="V787">
        <f>(Table514463[[#This Row],[time]]-2)*2</f>
        <v>1.1015199999999998</v>
      </c>
      <c r="W787">
        <v>70.715000000000003</v>
      </c>
      <c r="X787">
        <v>36.419600000000003</v>
      </c>
      <c r="Y787">
        <f>Table514463[[#This Row],[CFNM]]/Table514463[[#This Row],[CAREA]]</f>
        <v>0.51501944424803792</v>
      </c>
      <c r="Z787">
        <v>2.5507599999999999</v>
      </c>
      <c r="AA787">
        <f>(Table615464[[#This Row],[time]]-2)*2</f>
        <v>1.1015199999999998</v>
      </c>
      <c r="AB787">
        <v>91.400899999999993</v>
      </c>
      <c r="AC787">
        <v>5.1702000000000004</v>
      </c>
      <c r="AD787">
        <f>Table615464[[#This Row],[CFNM]]/Table615464[[#This Row],[CAREA]]</f>
        <v>5.6566182608705176E-2</v>
      </c>
      <c r="AE787">
        <v>2.5507599999999999</v>
      </c>
      <c r="AF787">
        <f>(Table716465[[#This Row],[time]]-2)*2</f>
        <v>1.1015199999999998</v>
      </c>
      <c r="AG787">
        <v>76.994600000000005</v>
      </c>
      <c r="AH787">
        <v>49.7089</v>
      </c>
      <c r="AI787">
        <f>Table716465[[#This Row],[CFNM]]/Table716465[[#This Row],[CAREA]]</f>
        <v>0.64561540679476215</v>
      </c>
      <c r="AJ787">
        <v>2.5507599999999999</v>
      </c>
      <c r="AK787">
        <f>(Table817466[[#This Row],[time]]-2)*2</f>
        <v>1.1015199999999998</v>
      </c>
      <c r="AL787">
        <v>80.890900000000002</v>
      </c>
      <c r="AM787">
        <v>9.6694099999999992</v>
      </c>
      <c r="AN787">
        <f>Table817466[[#This Row],[CFNM]]/Table817466[[#This Row],[CAREA]]</f>
        <v>0.11953643734956589</v>
      </c>
    </row>
    <row r="788" spans="1:40" x14ac:dyDescent="0.25">
      <c r="A788">
        <v>2.60453</v>
      </c>
      <c r="B788">
        <f>(Table110459[[#This Row],[time]]-2)*2</f>
        <v>1.20906</v>
      </c>
      <c r="C788">
        <v>86.881299999999996</v>
      </c>
      <c r="D788">
        <v>38.688000000000002</v>
      </c>
      <c r="E788">
        <f>Table110459[[#This Row],[CFNM]]/Table110459[[#This Row],[CAREA]]</f>
        <v>0.44529720434662007</v>
      </c>
      <c r="F788">
        <v>2.60453</v>
      </c>
      <c r="G788">
        <f>(Table211460[[#This Row],[time]]-2)*2</f>
        <v>1.20906</v>
      </c>
      <c r="H788">
        <v>42.1252</v>
      </c>
      <c r="I788">
        <v>8.1267299999999998E-4</v>
      </c>
      <c r="J788">
        <f>Table211460[[#This Row],[CFNM]]/Table211460[[#This Row],[CAREA]]</f>
        <v>1.929184905947034E-5</v>
      </c>
      <c r="K788">
        <v>2.60453</v>
      </c>
      <c r="L788">
        <f>(Table312461[[#This Row],[time]]-2)*2</f>
        <v>1.20906</v>
      </c>
      <c r="M788">
        <v>82.349599999999995</v>
      </c>
      <c r="N788">
        <v>36.902000000000001</v>
      </c>
      <c r="O788">
        <f>Table312461[[#This Row],[CFNM]]/Table312461[[#This Row],[CAREA]]</f>
        <v>0.44811389490659337</v>
      </c>
      <c r="P788">
        <v>2.60453</v>
      </c>
      <c r="Q788">
        <f>(Table413462[[#This Row],[time]]-2)*2</f>
        <v>1.20906</v>
      </c>
      <c r="R788">
        <v>61.054499999999997</v>
      </c>
      <c r="S788">
        <v>1.1764900000000001E-3</v>
      </c>
      <c r="T788">
        <f>Table413462[[#This Row],[CFNM]]/Table413462[[#This Row],[CAREA]]</f>
        <v>1.9269505114283142E-5</v>
      </c>
      <c r="U788">
        <v>2.60453</v>
      </c>
      <c r="V788">
        <f>(Table514463[[#This Row],[time]]-2)*2</f>
        <v>1.20906</v>
      </c>
      <c r="W788">
        <v>69.028099999999995</v>
      </c>
      <c r="X788">
        <v>40.986400000000003</v>
      </c>
      <c r="Y788">
        <f>Table514463[[#This Row],[CFNM]]/Table514463[[#This Row],[CAREA]]</f>
        <v>0.59376398886830151</v>
      </c>
      <c r="Z788">
        <v>2.60453</v>
      </c>
      <c r="AA788">
        <f>(Table615464[[#This Row],[time]]-2)*2</f>
        <v>1.20906</v>
      </c>
      <c r="AB788">
        <v>91.126599999999996</v>
      </c>
      <c r="AC788">
        <v>4.0755400000000002</v>
      </c>
      <c r="AD788">
        <f>Table615464[[#This Row],[CFNM]]/Table615464[[#This Row],[CAREA]]</f>
        <v>4.4723933516668021E-2</v>
      </c>
      <c r="AE788">
        <v>2.60453</v>
      </c>
      <c r="AF788">
        <f>(Table716465[[#This Row],[time]]-2)*2</f>
        <v>1.20906</v>
      </c>
      <c r="AG788">
        <v>76.9251</v>
      </c>
      <c r="AH788">
        <v>53.739199999999997</v>
      </c>
      <c r="AI788">
        <f>Table716465[[#This Row],[CFNM]]/Table716465[[#This Row],[CAREA]]</f>
        <v>0.69859122705072851</v>
      </c>
      <c r="AJ788">
        <v>2.60453</v>
      </c>
      <c r="AK788">
        <f>(Table817466[[#This Row],[time]]-2)*2</f>
        <v>1.20906</v>
      </c>
      <c r="AL788">
        <v>80.015900000000002</v>
      </c>
      <c r="AM788">
        <v>8.7330400000000008</v>
      </c>
      <c r="AN788">
        <f>Table817466[[#This Row],[CFNM]]/Table817466[[#This Row],[CAREA]]</f>
        <v>0.10914130816500221</v>
      </c>
    </row>
    <row r="789" spans="1:40" x14ac:dyDescent="0.25">
      <c r="A789">
        <v>2.65273</v>
      </c>
      <c r="B789">
        <f>(Table110459[[#This Row],[time]]-2)*2</f>
        <v>1.3054600000000001</v>
      </c>
      <c r="C789">
        <v>85.942800000000005</v>
      </c>
      <c r="D789">
        <v>40.415199999999999</v>
      </c>
      <c r="E789">
        <f>Table110459[[#This Row],[CFNM]]/Table110459[[#This Row],[CAREA]]</f>
        <v>0.47025696160702229</v>
      </c>
      <c r="F789">
        <v>2.65273</v>
      </c>
      <c r="G789">
        <f>(Table211460[[#This Row],[time]]-2)*2</f>
        <v>1.3054600000000001</v>
      </c>
      <c r="H789">
        <v>39.114699999999999</v>
      </c>
      <c r="I789">
        <v>7.0455699999999997E-4</v>
      </c>
      <c r="J789">
        <f>Table211460[[#This Row],[CFNM]]/Table211460[[#This Row],[CAREA]]</f>
        <v>1.8012588617578557E-5</v>
      </c>
      <c r="K789">
        <v>2.65273</v>
      </c>
      <c r="L789">
        <f>(Table312461[[#This Row],[time]]-2)*2</f>
        <v>1.3054600000000001</v>
      </c>
      <c r="M789">
        <v>82.081900000000005</v>
      </c>
      <c r="N789">
        <v>38.264699999999998</v>
      </c>
      <c r="O789">
        <f>Table312461[[#This Row],[CFNM]]/Table312461[[#This Row],[CAREA]]</f>
        <v>0.4661770743610954</v>
      </c>
      <c r="P789">
        <v>2.65273</v>
      </c>
      <c r="Q789">
        <f>(Table413462[[#This Row],[time]]-2)*2</f>
        <v>1.3054600000000001</v>
      </c>
      <c r="R789">
        <v>56.210700000000003</v>
      </c>
      <c r="S789">
        <v>1.07128E-3</v>
      </c>
      <c r="T789">
        <f>Table413462[[#This Row],[CFNM]]/Table413462[[#This Row],[CAREA]]</f>
        <v>1.9058293171940571E-5</v>
      </c>
      <c r="U789">
        <v>2.65273</v>
      </c>
      <c r="V789">
        <f>(Table514463[[#This Row],[time]]-2)*2</f>
        <v>1.3054600000000001</v>
      </c>
      <c r="W789">
        <v>68.643600000000006</v>
      </c>
      <c r="X789">
        <v>42.505499999999998</v>
      </c>
      <c r="Y789">
        <f>Table514463[[#This Row],[CFNM]]/Table514463[[#This Row],[CAREA]]</f>
        <v>0.61922014579654905</v>
      </c>
      <c r="Z789">
        <v>2.65273</v>
      </c>
      <c r="AA789">
        <f>(Table615464[[#This Row],[time]]-2)*2</f>
        <v>1.3054600000000001</v>
      </c>
      <c r="AB789">
        <v>90.905100000000004</v>
      </c>
      <c r="AC789">
        <v>3.75109</v>
      </c>
      <c r="AD789">
        <f>Table615464[[#This Row],[CFNM]]/Table615464[[#This Row],[CAREA]]</f>
        <v>4.1263801480885008E-2</v>
      </c>
      <c r="AE789">
        <v>2.65273</v>
      </c>
      <c r="AF789">
        <f>(Table716465[[#This Row],[time]]-2)*2</f>
        <v>1.3054600000000001</v>
      </c>
      <c r="AG789">
        <v>76.847700000000003</v>
      </c>
      <c r="AH789">
        <v>55.066800000000001</v>
      </c>
      <c r="AI789">
        <f>Table716465[[#This Row],[CFNM]]/Table716465[[#This Row],[CAREA]]</f>
        <v>0.71657056749909231</v>
      </c>
      <c r="AJ789">
        <v>2.65273</v>
      </c>
      <c r="AK789">
        <f>(Table817466[[#This Row],[time]]-2)*2</f>
        <v>1.3054600000000001</v>
      </c>
      <c r="AL789">
        <v>79.697400000000002</v>
      </c>
      <c r="AM789">
        <v>8.4438600000000008</v>
      </c>
      <c r="AN789">
        <f>Table817466[[#This Row],[CFNM]]/Table817466[[#This Row],[CAREA]]</f>
        <v>0.10594900210044494</v>
      </c>
    </row>
    <row r="790" spans="1:40" x14ac:dyDescent="0.25">
      <c r="A790">
        <v>2.7006199999999998</v>
      </c>
      <c r="B790">
        <f>(Table110459[[#This Row],[time]]-2)*2</f>
        <v>1.4012399999999996</v>
      </c>
      <c r="C790">
        <v>84.097099999999998</v>
      </c>
      <c r="D790">
        <v>44.429299999999998</v>
      </c>
      <c r="E790">
        <f>Table110459[[#This Row],[CFNM]]/Table110459[[#This Row],[CAREA]]</f>
        <v>0.52830953742756881</v>
      </c>
      <c r="F790">
        <v>2.7006199999999998</v>
      </c>
      <c r="G790">
        <f>(Table211460[[#This Row],[time]]-2)*2</f>
        <v>1.4012399999999996</v>
      </c>
      <c r="H790">
        <v>31.437899999999999</v>
      </c>
      <c r="I790">
        <v>4.95716E-4</v>
      </c>
      <c r="J790">
        <f>Table211460[[#This Row],[CFNM]]/Table211460[[#This Row],[CAREA]]</f>
        <v>1.5768101558946368E-5</v>
      </c>
      <c r="K790">
        <v>2.7006199999999998</v>
      </c>
      <c r="L790">
        <f>(Table312461[[#This Row],[time]]-2)*2</f>
        <v>1.4012399999999996</v>
      </c>
      <c r="M790">
        <v>81.361500000000007</v>
      </c>
      <c r="N790">
        <v>41.304900000000004</v>
      </c>
      <c r="O790">
        <f>Table312461[[#This Row],[CFNM]]/Table312461[[#This Row],[CAREA]]</f>
        <v>0.50767131874412341</v>
      </c>
      <c r="P790">
        <v>2.7006199999999998</v>
      </c>
      <c r="Q790">
        <f>(Table413462[[#This Row],[time]]-2)*2</f>
        <v>1.4012399999999996</v>
      </c>
      <c r="R790">
        <v>48.812800000000003</v>
      </c>
      <c r="S790">
        <v>8.5825199999999999E-4</v>
      </c>
      <c r="T790">
        <f>Table413462[[#This Row],[CFNM]]/Table413462[[#This Row],[CAREA]]</f>
        <v>1.7582519339189721E-5</v>
      </c>
      <c r="U790">
        <v>2.7006199999999998</v>
      </c>
      <c r="V790">
        <f>(Table514463[[#This Row],[time]]-2)*2</f>
        <v>1.4012399999999996</v>
      </c>
      <c r="W790">
        <v>67.518299999999996</v>
      </c>
      <c r="X790">
        <v>46.017499999999998</v>
      </c>
      <c r="Y790">
        <f>Table514463[[#This Row],[CFNM]]/Table514463[[#This Row],[CAREA]]</f>
        <v>0.68155596334623358</v>
      </c>
      <c r="Z790">
        <v>2.7006199999999998</v>
      </c>
      <c r="AA790">
        <f>(Table615464[[#This Row],[time]]-2)*2</f>
        <v>1.4012399999999996</v>
      </c>
      <c r="AB790">
        <v>90.274000000000001</v>
      </c>
      <c r="AC790">
        <v>3.0782500000000002</v>
      </c>
      <c r="AD790">
        <f>Table615464[[#This Row],[CFNM]]/Table615464[[#This Row],[CAREA]]</f>
        <v>3.4098965372089417E-2</v>
      </c>
      <c r="AE790">
        <v>2.7006199999999998</v>
      </c>
      <c r="AF790">
        <f>(Table716465[[#This Row],[time]]-2)*2</f>
        <v>1.4012399999999996</v>
      </c>
      <c r="AG790">
        <v>76.622600000000006</v>
      </c>
      <c r="AH790">
        <v>58.268300000000004</v>
      </c>
      <c r="AI790">
        <f>Table716465[[#This Row],[CFNM]]/Table716465[[#This Row],[CAREA]]</f>
        <v>0.76045840261228415</v>
      </c>
      <c r="AJ790">
        <v>2.7006199999999998</v>
      </c>
      <c r="AK790">
        <f>(Table817466[[#This Row],[time]]-2)*2</f>
        <v>1.4012399999999996</v>
      </c>
      <c r="AL790">
        <v>79.095699999999994</v>
      </c>
      <c r="AM790">
        <v>7.7262500000000003</v>
      </c>
      <c r="AN790">
        <f>Table817466[[#This Row],[CFNM]]/Table817466[[#This Row],[CAREA]]</f>
        <v>9.7682301313472178E-2</v>
      </c>
    </row>
    <row r="791" spans="1:40" x14ac:dyDescent="0.25">
      <c r="A791">
        <v>2.75176</v>
      </c>
      <c r="B791">
        <f>(Table110459[[#This Row],[time]]-2)*2</f>
        <v>1.50352</v>
      </c>
      <c r="C791">
        <v>83.271699999999996</v>
      </c>
      <c r="D791">
        <v>46.461199999999998</v>
      </c>
      <c r="E791">
        <f>Table110459[[#This Row],[CFNM]]/Table110459[[#This Row],[CAREA]]</f>
        <v>0.55794705764383334</v>
      </c>
      <c r="F791">
        <v>2.75176</v>
      </c>
      <c r="G791">
        <f>(Table211460[[#This Row],[time]]-2)*2</f>
        <v>1.50352</v>
      </c>
      <c r="H791">
        <v>28.605</v>
      </c>
      <c r="I791">
        <v>4.12132E-4</v>
      </c>
      <c r="J791">
        <f>Table211460[[#This Row],[CFNM]]/Table211460[[#This Row],[CAREA]]</f>
        <v>1.4407690963118335E-5</v>
      </c>
      <c r="K791">
        <v>2.75176</v>
      </c>
      <c r="L791">
        <f>(Table312461[[#This Row],[time]]-2)*2</f>
        <v>1.50352</v>
      </c>
      <c r="M791">
        <v>80.911799999999999</v>
      </c>
      <c r="N791">
        <v>42.766800000000003</v>
      </c>
      <c r="O791">
        <f>Table312461[[#This Row],[CFNM]]/Table312461[[#This Row],[CAREA]]</f>
        <v>0.52856072909019458</v>
      </c>
      <c r="P791">
        <v>2.75176</v>
      </c>
      <c r="Q791">
        <f>(Table413462[[#This Row],[time]]-2)*2</f>
        <v>1.50352</v>
      </c>
      <c r="R791">
        <v>46.389400000000002</v>
      </c>
      <c r="S791">
        <v>7.6225800000000003E-4</v>
      </c>
      <c r="T791">
        <f>Table413462[[#This Row],[CFNM]]/Table413462[[#This Row],[CAREA]]</f>
        <v>1.643172793784787E-5</v>
      </c>
      <c r="U791">
        <v>2.75176</v>
      </c>
      <c r="V791">
        <f>(Table514463[[#This Row],[time]]-2)*2</f>
        <v>1.50352</v>
      </c>
      <c r="W791">
        <v>66.847899999999996</v>
      </c>
      <c r="X791">
        <v>47.791200000000003</v>
      </c>
      <c r="Y791">
        <f>Table514463[[#This Row],[CFNM]]/Table514463[[#This Row],[CAREA]]</f>
        <v>0.71492447780708157</v>
      </c>
      <c r="Z791">
        <v>2.75176</v>
      </c>
      <c r="AA791">
        <f>(Table615464[[#This Row],[time]]-2)*2</f>
        <v>1.50352</v>
      </c>
      <c r="AB791">
        <v>90.093400000000003</v>
      </c>
      <c r="AC791">
        <v>2.7506699999999999</v>
      </c>
      <c r="AD791">
        <f>Table615464[[#This Row],[CFNM]]/Table615464[[#This Row],[CAREA]]</f>
        <v>3.0531315279476629E-2</v>
      </c>
      <c r="AE791">
        <v>2.75176</v>
      </c>
      <c r="AF791">
        <f>(Table716465[[#This Row],[time]]-2)*2</f>
        <v>1.50352</v>
      </c>
      <c r="AG791">
        <v>75.900800000000004</v>
      </c>
      <c r="AH791">
        <v>59.9285</v>
      </c>
      <c r="AI791">
        <f>Table716465[[#This Row],[CFNM]]/Table716465[[#This Row],[CAREA]]</f>
        <v>0.78956348286184064</v>
      </c>
      <c r="AJ791">
        <v>2.75176</v>
      </c>
      <c r="AK791">
        <f>(Table817466[[#This Row],[time]]-2)*2</f>
        <v>1.50352</v>
      </c>
      <c r="AL791">
        <v>78.614999999999995</v>
      </c>
      <c r="AM791">
        <v>7.32761</v>
      </c>
      <c r="AN791">
        <f>Table817466[[#This Row],[CFNM]]/Table817466[[#This Row],[CAREA]]</f>
        <v>9.3208802391401141E-2</v>
      </c>
    </row>
    <row r="792" spans="1:40" x14ac:dyDescent="0.25">
      <c r="A792">
        <v>2.80444</v>
      </c>
      <c r="B792">
        <f>(Table110459[[#This Row],[time]]-2)*2</f>
        <v>1.6088800000000001</v>
      </c>
      <c r="C792">
        <v>81.83</v>
      </c>
      <c r="D792">
        <v>49.806600000000003</v>
      </c>
      <c r="E792">
        <f>Table110459[[#This Row],[CFNM]]/Table110459[[#This Row],[CAREA]]</f>
        <v>0.60865941586215333</v>
      </c>
      <c r="F792">
        <v>2.80444</v>
      </c>
      <c r="G792">
        <f>(Table211460[[#This Row],[time]]-2)*2</f>
        <v>1.6088800000000001</v>
      </c>
      <c r="H792">
        <v>22.662700000000001</v>
      </c>
      <c r="I792">
        <v>2.98604E-4</v>
      </c>
      <c r="J792">
        <f>Table211460[[#This Row],[CFNM]]/Table211460[[#This Row],[CAREA]]</f>
        <v>1.3176011684397711E-5</v>
      </c>
      <c r="K792">
        <v>2.80444</v>
      </c>
      <c r="L792">
        <f>(Table312461[[#This Row],[time]]-2)*2</f>
        <v>1.6088800000000001</v>
      </c>
      <c r="M792">
        <v>80.344899999999996</v>
      </c>
      <c r="N792">
        <v>44.953800000000001</v>
      </c>
      <c r="O792">
        <f>Table312461[[#This Row],[CFNM]]/Table312461[[#This Row],[CAREA]]</f>
        <v>0.55951031117096428</v>
      </c>
      <c r="P792">
        <v>2.80444</v>
      </c>
      <c r="Q792">
        <f>(Table413462[[#This Row],[time]]-2)*2</f>
        <v>1.6088800000000001</v>
      </c>
      <c r="R792">
        <v>36.610199999999999</v>
      </c>
      <c r="S792">
        <v>6.3156799999999999E-4</v>
      </c>
      <c r="T792">
        <f>Table413462[[#This Row],[CFNM]]/Table413462[[#This Row],[CAREA]]</f>
        <v>1.7251148587005809E-5</v>
      </c>
      <c r="U792">
        <v>2.80444</v>
      </c>
      <c r="V792">
        <f>(Table514463[[#This Row],[time]]-2)*2</f>
        <v>1.6088800000000001</v>
      </c>
      <c r="W792">
        <v>65.819900000000004</v>
      </c>
      <c r="X792">
        <v>50.732199999999999</v>
      </c>
      <c r="Y792">
        <f>Table514463[[#This Row],[CFNM]]/Table514463[[#This Row],[CAREA]]</f>
        <v>0.77077297291548597</v>
      </c>
      <c r="Z792">
        <v>2.80444</v>
      </c>
      <c r="AA792">
        <f>(Table615464[[#This Row],[time]]-2)*2</f>
        <v>1.6088800000000001</v>
      </c>
      <c r="AB792">
        <v>89.740700000000004</v>
      </c>
      <c r="AC792">
        <v>2.2847</v>
      </c>
      <c r="AD792">
        <f>Table615464[[#This Row],[CFNM]]/Table615464[[#This Row],[CAREA]]</f>
        <v>2.5458905491042523E-2</v>
      </c>
      <c r="AE792">
        <v>2.80444</v>
      </c>
      <c r="AF792">
        <f>(Table716465[[#This Row],[time]]-2)*2</f>
        <v>1.6088800000000001</v>
      </c>
      <c r="AG792">
        <v>75.5381</v>
      </c>
      <c r="AH792">
        <v>62.735900000000001</v>
      </c>
      <c r="AI792">
        <f>Table716465[[#This Row],[CFNM]]/Table716465[[#This Row],[CAREA]]</f>
        <v>0.83051996277375262</v>
      </c>
      <c r="AJ792">
        <v>2.80444</v>
      </c>
      <c r="AK792">
        <f>(Table817466[[#This Row],[time]]-2)*2</f>
        <v>1.6088800000000001</v>
      </c>
      <c r="AL792">
        <v>77.909499999999994</v>
      </c>
      <c r="AM792">
        <v>6.6469500000000004</v>
      </c>
      <c r="AN792">
        <f>Table817466[[#This Row],[CFNM]]/Table817466[[#This Row],[CAREA]]</f>
        <v>8.5316296472188899E-2</v>
      </c>
    </row>
    <row r="793" spans="1:40" x14ac:dyDescent="0.25">
      <c r="A793">
        <v>2.8583699999999999</v>
      </c>
      <c r="B793">
        <f>(Table110459[[#This Row],[time]]-2)*2</f>
        <v>1.7167399999999997</v>
      </c>
      <c r="C793">
        <v>81.115799999999993</v>
      </c>
      <c r="D793">
        <v>51.576300000000003</v>
      </c>
      <c r="E793">
        <f>Table110459[[#This Row],[CFNM]]/Table110459[[#This Row],[CAREA]]</f>
        <v>0.6358354352666189</v>
      </c>
      <c r="F793">
        <v>2.8583699999999999</v>
      </c>
      <c r="G793">
        <f>(Table211460[[#This Row],[time]]-2)*2</f>
        <v>1.7167399999999997</v>
      </c>
      <c r="H793">
        <v>19.61</v>
      </c>
      <c r="I793">
        <v>2.5429899999999999E-4</v>
      </c>
      <c r="J793">
        <f>Table211460[[#This Row],[CFNM]]/Table211460[[#This Row],[CAREA]]</f>
        <v>1.2967822539520653E-5</v>
      </c>
      <c r="K793">
        <v>2.8583699999999999</v>
      </c>
      <c r="L793">
        <f>(Table312461[[#This Row],[time]]-2)*2</f>
        <v>1.7167399999999997</v>
      </c>
      <c r="M793">
        <v>80.020300000000006</v>
      </c>
      <c r="N793">
        <v>46.052799999999998</v>
      </c>
      <c r="O793">
        <f>Table312461[[#This Row],[CFNM]]/Table312461[[#This Row],[CAREA]]</f>
        <v>0.57551396333180449</v>
      </c>
      <c r="P793">
        <v>2.8583699999999999</v>
      </c>
      <c r="Q793">
        <f>(Table413462[[#This Row],[time]]-2)*2</f>
        <v>1.7167399999999997</v>
      </c>
      <c r="R793">
        <v>36.659399999999998</v>
      </c>
      <c r="S793">
        <v>5.7287600000000005E-4</v>
      </c>
      <c r="T793">
        <f>Table413462[[#This Row],[CFNM]]/Table413462[[#This Row],[CAREA]]</f>
        <v>1.5626987893964443E-5</v>
      </c>
      <c r="U793">
        <v>2.8583699999999999</v>
      </c>
      <c r="V793">
        <f>(Table514463[[#This Row],[time]]-2)*2</f>
        <v>1.7167399999999997</v>
      </c>
      <c r="W793">
        <v>64.199399999999997</v>
      </c>
      <c r="X793">
        <v>52.300899999999999</v>
      </c>
      <c r="Y793">
        <f>Table514463[[#This Row],[CFNM]]/Table514463[[#This Row],[CAREA]]</f>
        <v>0.8146633769162952</v>
      </c>
      <c r="Z793">
        <v>2.8583699999999999</v>
      </c>
      <c r="AA793">
        <f>(Table615464[[#This Row],[time]]-2)*2</f>
        <v>1.7167399999999997</v>
      </c>
      <c r="AB793">
        <v>89.521600000000007</v>
      </c>
      <c r="AC793">
        <v>2.0377800000000001</v>
      </c>
      <c r="AD793">
        <f>Table615464[[#This Row],[CFNM]]/Table615464[[#This Row],[CAREA]]</f>
        <v>2.2762997980375687E-2</v>
      </c>
      <c r="AE793">
        <v>2.8583699999999999</v>
      </c>
      <c r="AF793">
        <f>(Table716465[[#This Row],[time]]-2)*2</f>
        <v>1.7167399999999997</v>
      </c>
      <c r="AG793">
        <v>74.949799999999996</v>
      </c>
      <c r="AH793">
        <v>64.248500000000007</v>
      </c>
      <c r="AI793">
        <f>Table716465[[#This Row],[CFNM]]/Table716465[[#This Row],[CAREA]]</f>
        <v>0.85722043287640537</v>
      </c>
      <c r="AJ793">
        <v>2.8583699999999999</v>
      </c>
      <c r="AK793">
        <f>(Table817466[[#This Row],[time]]-2)*2</f>
        <v>1.7167399999999997</v>
      </c>
      <c r="AL793">
        <v>77.450100000000006</v>
      </c>
      <c r="AM793">
        <v>6.2941900000000004</v>
      </c>
      <c r="AN793">
        <f>Table817466[[#This Row],[CFNM]]/Table817466[[#This Row],[CAREA]]</f>
        <v>8.1267680738953213E-2</v>
      </c>
    </row>
    <row r="794" spans="1:40" x14ac:dyDescent="0.25">
      <c r="A794">
        <v>2.9134199999999999</v>
      </c>
      <c r="B794">
        <f>(Table110459[[#This Row],[time]]-2)*2</f>
        <v>1.8268399999999998</v>
      </c>
      <c r="C794">
        <v>79.259100000000004</v>
      </c>
      <c r="D794">
        <v>54.152200000000001</v>
      </c>
      <c r="E794">
        <f>Table110459[[#This Row],[CFNM]]/Table110459[[#This Row],[CAREA]]</f>
        <v>0.68323006443424161</v>
      </c>
      <c r="F794">
        <v>2.9134199999999999</v>
      </c>
      <c r="G794">
        <f>(Table211460[[#This Row],[time]]-2)*2</f>
        <v>1.8268399999999998</v>
      </c>
      <c r="H794">
        <v>16.266999999999999</v>
      </c>
      <c r="I794">
        <v>1.9682400000000001E-4</v>
      </c>
      <c r="J794">
        <f>Table211460[[#This Row],[CFNM]]/Table211460[[#This Row],[CAREA]]</f>
        <v>1.2099588123194199E-5</v>
      </c>
      <c r="K794">
        <v>2.9134199999999999</v>
      </c>
      <c r="L794">
        <f>(Table312461[[#This Row],[time]]-2)*2</f>
        <v>1.8268399999999998</v>
      </c>
      <c r="M794">
        <v>79.652199999999993</v>
      </c>
      <c r="N794">
        <v>47.659399999999998</v>
      </c>
      <c r="O794">
        <f>Table312461[[#This Row],[CFNM]]/Table312461[[#This Row],[CAREA]]</f>
        <v>0.59834379966906126</v>
      </c>
      <c r="P794">
        <v>2.9134199999999999</v>
      </c>
      <c r="Q794">
        <f>(Table413462[[#This Row],[time]]-2)*2</f>
        <v>1.8268399999999998</v>
      </c>
      <c r="R794">
        <v>32.233199999999997</v>
      </c>
      <c r="S794">
        <v>4.9141500000000004E-4</v>
      </c>
      <c r="T794">
        <f>Table413462[[#This Row],[CFNM]]/Table413462[[#This Row],[CAREA]]</f>
        <v>1.5245616321060275E-5</v>
      </c>
      <c r="U794">
        <v>2.9134199999999999</v>
      </c>
      <c r="V794">
        <f>(Table514463[[#This Row],[time]]-2)*2</f>
        <v>1.8268399999999998</v>
      </c>
      <c r="W794">
        <v>63.330500000000001</v>
      </c>
      <c r="X794">
        <v>54.684100000000001</v>
      </c>
      <c r="Y794">
        <f>Table514463[[#This Row],[CFNM]]/Table514463[[#This Row],[CAREA]]</f>
        <v>0.86347178689572957</v>
      </c>
      <c r="Z794">
        <v>2.9134199999999999</v>
      </c>
      <c r="AA794">
        <f>(Table615464[[#This Row],[time]]-2)*2</f>
        <v>1.8268399999999998</v>
      </c>
      <c r="AB794">
        <v>88.816599999999994</v>
      </c>
      <c r="AC794">
        <v>1.6801999999999999</v>
      </c>
      <c r="AD794">
        <f>Table615464[[#This Row],[CFNM]]/Table615464[[#This Row],[CAREA]]</f>
        <v>1.8917634766473835E-2</v>
      </c>
      <c r="AE794">
        <v>2.9134199999999999</v>
      </c>
      <c r="AF794">
        <f>(Table716465[[#This Row],[time]]-2)*2</f>
        <v>1.8268399999999998</v>
      </c>
      <c r="AG794">
        <v>74.624300000000005</v>
      </c>
      <c r="AH794">
        <v>66.659599999999998</v>
      </c>
      <c r="AI794">
        <f>Table716465[[#This Row],[CFNM]]/Table716465[[#This Row],[CAREA]]</f>
        <v>0.89326935060027357</v>
      </c>
      <c r="AJ794">
        <v>2.9134199999999999</v>
      </c>
      <c r="AK794">
        <f>(Table817466[[#This Row],[time]]-2)*2</f>
        <v>1.8268399999999998</v>
      </c>
      <c r="AL794">
        <v>76.902500000000003</v>
      </c>
      <c r="AM794">
        <v>5.8089399999999998</v>
      </c>
      <c r="AN794">
        <f>Table817466[[#This Row],[CFNM]]/Table817466[[#This Row],[CAREA]]</f>
        <v>7.5536425993953382E-2</v>
      </c>
    </row>
    <row r="795" spans="1:40" x14ac:dyDescent="0.25">
      <c r="A795">
        <v>2.9619599999999999</v>
      </c>
      <c r="B795">
        <f>(Table110459[[#This Row],[time]]-2)*2</f>
        <v>1.9239199999999999</v>
      </c>
      <c r="C795">
        <v>77.700100000000006</v>
      </c>
      <c r="D795">
        <v>56.046900000000001</v>
      </c>
      <c r="E795">
        <f>Table110459[[#This Row],[CFNM]]/Table110459[[#This Row],[CAREA]]</f>
        <v>0.72132339598018536</v>
      </c>
      <c r="F795">
        <v>2.9619599999999999</v>
      </c>
      <c r="G795">
        <f>(Table211460[[#This Row],[time]]-2)*2</f>
        <v>1.9239199999999999</v>
      </c>
      <c r="H795">
        <v>13.733700000000001</v>
      </c>
      <c r="I795">
        <v>1.5880199999999999E-4</v>
      </c>
      <c r="J795">
        <f>Table211460[[#This Row],[CFNM]]/Table211460[[#This Row],[CAREA]]</f>
        <v>1.1562943707813624E-5</v>
      </c>
      <c r="K795">
        <v>2.9619599999999999</v>
      </c>
      <c r="L795">
        <f>(Table312461[[#This Row],[time]]-2)*2</f>
        <v>1.9239199999999999</v>
      </c>
      <c r="M795">
        <v>79.247799999999998</v>
      </c>
      <c r="N795">
        <v>48.792099999999998</v>
      </c>
      <c r="O795">
        <f>Table312461[[#This Row],[CFNM]]/Table312461[[#This Row],[CAREA]]</f>
        <v>0.61569027783736585</v>
      </c>
      <c r="P795">
        <v>2.9619599999999999</v>
      </c>
      <c r="Q795">
        <f>(Table413462[[#This Row],[time]]-2)*2</f>
        <v>1.9239199999999999</v>
      </c>
      <c r="R795">
        <v>30.415299999999998</v>
      </c>
      <c r="S795">
        <v>4.3209900000000002E-4</v>
      </c>
      <c r="T795">
        <f>Table413462[[#This Row],[CFNM]]/Table413462[[#This Row],[CAREA]]</f>
        <v>1.4206632845968972E-5</v>
      </c>
      <c r="U795">
        <v>2.9619599999999999</v>
      </c>
      <c r="V795">
        <f>(Table514463[[#This Row],[time]]-2)*2</f>
        <v>1.9239199999999999</v>
      </c>
      <c r="W795">
        <v>62.357199999999999</v>
      </c>
      <c r="X795">
        <v>56.572800000000001</v>
      </c>
      <c r="Y795">
        <f>Table514463[[#This Row],[CFNM]]/Table514463[[#This Row],[CAREA]]</f>
        <v>0.90723765659779465</v>
      </c>
      <c r="Z795">
        <v>2.9619599999999999</v>
      </c>
      <c r="AA795">
        <f>(Table615464[[#This Row],[time]]-2)*2</f>
        <v>1.9239199999999999</v>
      </c>
      <c r="AB795">
        <v>88.479299999999995</v>
      </c>
      <c r="AC795">
        <v>1.39209</v>
      </c>
      <c r="AD795">
        <f>Table615464[[#This Row],[CFNM]]/Table615464[[#This Row],[CAREA]]</f>
        <v>1.573351054992524E-2</v>
      </c>
      <c r="AE795">
        <v>2.9619599999999999</v>
      </c>
      <c r="AF795">
        <f>(Table716465[[#This Row],[time]]-2)*2</f>
        <v>1.9239199999999999</v>
      </c>
      <c r="AG795">
        <v>74.2577</v>
      </c>
      <c r="AH795">
        <v>68.635900000000007</v>
      </c>
      <c r="AI795">
        <f>Table716465[[#This Row],[CFNM]]/Table716465[[#This Row],[CAREA]]</f>
        <v>0.92429337294314273</v>
      </c>
      <c r="AJ795">
        <v>2.9619599999999999</v>
      </c>
      <c r="AK795">
        <f>(Table817466[[#This Row],[time]]-2)*2</f>
        <v>1.9239199999999999</v>
      </c>
      <c r="AL795">
        <v>76.360299999999995</v>
      </c>
      <c r="AM795">
        <v>5.4133899999999997</v>
      </c>
      <c r="AN795">
        <f>Table817466[[#This Row],[CFNM]]/Table817466[[#This Row],[CAREA]]</f>
        <v>7.0892728289438364E-2</v>
      </c>
    </row>
    <row r="796" spans="1:40" x14ac:dyDescent="0.25">
      <c r="A796">
        <v>3</v>
      </c>
      <c r="B796">
        <f>(Table110459[[#This Row],[time]]-2)*2</f>
        <v>2</v>
      </c>
      <c r="C796">
        <v>76.552800000000005</v>
      </c>
      <c r="D796">
        <v>57.636899999999997</v>
      </c>
      <c r="E796">
        <f>Table110459[[#This Row],[CFNM]]/Table110459[[#This Row],[CAREA]]</f>
        <v>0.75290387810765891</v>
      </c>
      <c r="F796">
        <v>3</v>
      </c>
      <c r="G796">
        <f>(Table211460[[#This Row],[time]]-2)*2</f>
        <v>2</v>
      </c>
      <c r="H796">
        <v>11.137499999999999</v>
      </c>
      <c r="I796">
        <v>1.31085E-4</v>
      </c>
      <c r="J796">
        <f>Table211460[[#This Row],[CFNM]]/Table211460[[#This Row],[CAREA]]</f>
        <v>1.176969696969697E-5</v>
      </c>
      <c r="K796">
        <v>3</v>
      </c>
      <c r="L796">
        <f>(Table312461[[#This Row],[time]]-2)*2</f>
        <v>2</v>
      </c>
      <c r="M796">
        <v>78.764600000000002</v>
      </c>
      <c r="N796">
        <v>49.730499999999999</v>
      </c>
      <c r="O796">
        <f>Table312461[[#This Row],[CFNM]]/Table312461[[#This Row],[CAREA]]</f>
        <v>0.6313813565992844</v>
      </c>
      <c r="P796">
        <v>3</v>
      </c>
      <c r="Q796">
        <f>(Table413462[[#This Row],[time]]-2)*2</f>
        <v>2</v>
      </c>
      <c r="R796">
        <v>29.302499999999998</v>
      </c>
      <c r="S796">
        <v>3.8112999999999998E-4</v>
      </c>
      <c r="T796">
        <f>Table413462[[#This Row],[CFNM]]/Table413462[[#This Row],[CAREA]]</f>
        <v>1.3006740039245798E-5</v>
      </c>
      <c r="U796">
        <v>3</v>
      </c>
      <c r="V796">
        <f>(Table514463[[#This Row],[time]]-2)*2</f>
        <v>2</v>
      </c>
      <c r="W796">
        <v>61.6524</v>
      </c>
      <c r="X796">
        <v>58.339100000000002</v>
      </c>
      <c r="Y796">
        <f>Table514463[[#This Row],[CFNM]]/Table514463[[#This Row],[CAREA]]</f>
        <v>0.94625837761384801</v>
      </c>
      <c r="Z796">
        <v>3</v>
      </c>
      <c r="AA796">
        <f>(Table615464[[#This Row],[time]]-2)*2</f>
        <v>2</v>
      </c>
      <c r="AB796">
        <v>88.126499999999993</v>
      </c>
      <c r="AC796">
        <v>1.1890099999999999</v>
      </c>
      <c r="AD796">
        <f>Table615464[[#This Row],[CFNM]]/Table615464[[#This Row],[CAREA]]</f>
        <v>1.3492082404271133E-2</v>
      </c>
      <c r="AE796">
        <v>3</v>
      </c>
      <c r="AF796">
        <f>(Table716465[[#This Row],[time]]-2)*2</f>
        <v>2</v>
      </c>
      <c r="AG796">
        <v>73.603899999999996</v>
      </c>
      <c r="AH796">
        <v>70.500699999999995</v>
      </c>
      <c r="AI796">
        <f>Table716465[[#This Row],[CFNM]]/Table716465[[#This Row],[CAREA]]</f>
        <v>0.95783919058636835</v>
      </c>
      <c r="AJ796">
        <v>3</v>
      </c>
      <c r="AK796">
        <f>(Table817466[[#This Row],[time]]-2)*2</f>
        <v>2</v>
      </c>
      <c r="AL796">
        <v>75.816599999999994</v>
      </c>
      <c r="AM796">
        <v>5.0004600000000003</v>
      </c>
      <c r="AN796">
        <f>Table817466[[#This Row],[CFNM]]/Table817466[[#This Row],[CAREA]]</f>
        <v>6.5954685385522446E-2</v>
      </c>
    </row>
    <row r="799" spans="1:40" x14ac:dyDescent="0.25">
      <c r="A799" s="1" t="s">
        <v>32</v>
      </c>
    </row>
    <row r="800" spans="1:40" x14ac:dyDescent="0.25">
      <c r="A800" t="s">
        <v>76</v>
      </c>
      <c r="D800" t="s">
        <v>1</v>
      </c>
    </row>
    <row r="801" spans="1:40" x14ac:dyDescent="0.25">
      <c r="A801" t="s">
        <v>77</v>
      </c>
      <c r="D801" t="s">
        <v>2</v>
      </c>
      <c r="E801" t="s">
        <v>3</v>
      </c>
    </row>
    <row r="803" spans="1:40" x14ac:dyDescent="0.25">
      <c r="A803" t="s">
        <v>4</v>
      </c>
      <c r="F803" t="s">
        <v>5</v>
      </c>
      <c r="K803" t="s">
        <v>6</v>
      </c>
      <c r="P803" t="s">
        <v>7</v>
      </c>
      <c r="U803" t="s">
        <v>8</v>
      </c>
      <c r="Z803" t="s">
        <v>9</v>
      </c>
      <c r="AE803" t="s">
        <v>10</v>
      </c>
      <c r="AJ803" t="s">
        <v>11</v>
      </c>
    </row>
    <row r="804" spans="1:40" x14ac:dyDescent="0.25">
      <c r="A804" t="s">
        <v>12</v>
      </c>
      <c r="B804" t="s">
        <v>13</v>
      </c>
      <c r="C804" t="s">
        <v>14</v>
      </c>
      <c r="D804" t="s">
        <v>15</v>
      </c>
      <c r="E804" t="s">
        <v>16</v>
      </c>
      <c r="F804" t="s">
        <v>12</v>
      </c>
      <c r="G804" t="s">
        <v>13</v>
      </c>
      <c r="H804" t="s">
        <v>14</v>
      </c>
      <c r="I804" t="s">
        <v>15</v>
      </c>
      <c r="J804" t="s">
        <v>16</v>
      </c>
      <c r="K804" t="s">
        <v>12</v>
      </c>
      <c r="L804" t="s">
        <v>13</v>
      </c>
      <c r="M804" t="s">
        <v>14</v>
      </c>
      <c r="N804" t="s">
        <v>15</v>
      </c>
      <c r="O804" t="s">
        <v>16</v>
      </c>
      <c r="P804" t="s">
        <v>12</v>
      </c>
      <c r="Q804" t="s">
        <v>13</v>
      </c>
      <c r="R804" t="s">
        <v>14</v>
      </c>
      <c r="S804" t="s">
        <v>15</v>
      </c>
      <c r="T804" t="s">
        <v>16</v>
      </c>
      <c r="U804" t="s">
        <v>12</v>
      </c>
      <c r="V804" t="s">
        <v>13</v>
      </c>
      <c r="W804" t="s">
        <v>14</v>
      </c>
      <c r="X804" t="s">
        <v>15</v>
      </c>
      <c r="Y804" t="s">
        <v>16</v>
      </c>
      <c r="Z804" t="s">
        <v>12</v>
      </c>
      <c r="AA804" t="s">
        <v>13</v>
      </c>
      <c r="AB804" t="s">
        <v>14</v>
      </c>
      <c r="AC804" t="s">
        <v>15</v>
      </c>
      <c r="AD804" t="s">
        <v>16</v>
      </c>
      <c r="AE804" t="s">
        <v>12</v>
      </c>
      <c r="AF804" t="s">
        <v>13</v>
      </c>
      <c r="AG804" t="s">
        <v>14</v>
      </c>
      <c r="AH804" t="s">
        <v>15</v>
      </c>
      <c r="AI804" t="s">
        <v>16</v>
      </c>
      <c r="AJ804" t="s">
        <v>12</v>
      </c>
      <c r="AK804" t="s">
        <v>13</v>
      </c>
      <c r="AL804" t="s">
        <v>14</v>
      </c>
      <c r="AM804" t="s">
        <v>15</v>
      </c>
      <c r="AN804" t="s">
        <v>16</v>
      </c>
    </row>
    <row r="805" spans="1:40" x14ac:dyDescent="0.25">
      <c r="A805">
        <v>2</v>
      </c>
      <c r="B805">
        <f>-(Table1467[[#This Row],[time]]-2)*2</f>
        <v>0</v>
      </c>
      <c r="C805">
        <v>88.6922</v>
      </c>
      <c r="D805">
        <v>9.7512600000000003</v>
      </c>
      <c r="E805" s="2">
        <f>Table1467[[#This Row],[CFNM]]/Table1467[[#This Row],[CAREA]]</f>
        <v>0.10994495570072679</v>
      </c>
      <c r="F805">
        <v>2</v>
      </c>
      <c r="G805">
        <f>-(Table2468[[#This Row],[time]]-2)*2</f>
        <v>0</v>
      </c>
      <c r="H805">
        <v>94.576599999999999</v>
      </c>
      <c r="I805">
        <v>2.6341000000000001</v>
      </c>
      <c r="J805" s="2">
        <f>Table2468[[#This Row],[CFNM]]/Table2468[[#This Row],[CAREA]]</f>
        <v>2.7851498150705357E-2</v>
      </c>
      <c r="K805">
        <v>2</v>
      </c>
      <c r="L805">
        <f>-(Table3469[[#This Row],[time]]-2)*2</f>
        <v>0</v>
      </c>
      <c r="M805">
        <v>87.261099999999999</v>
      </c>
      <c r="N805">
        <v>2.43161</v>
      </c>
      <c r="O805">
        <f>Table3469[[#This Row],[CFNM]]/Table3469[[#This Row],[CAREA]]</f>
        <v>2.7865910468696822E-2</v>
      </c>
      <c r="P805">
        <v>2</v>
      </c>
      <c r="Q805">
        <f>-(Table4470[[#This Row],[time]]-2)*2</f>
        <v>0</v>
      </c>
      <c r="R805">
        <v>85.187899999999999</v>
      </c>
      <c r="S805">
        <v>5.1691200000000004</v>
      </c>
      <c r="T805">
        <f>Table4470[[#This Row],[CFNM]]/Table4470[[#This Row],[CAREA]]</f>
        <v>6.0679040098417736E-2</v>
      </c>
      <c r="U805">
        <v>2</v>
      </c>
      <c r="V805">
        <f>-(Table5471[[#This Row],[time]]-2)*2</f>
        <v>0</v>
      </c>
      <c r="W805">
        <v>83.090100000000007</v>
      </c>
      <c r="X805">
        <v>4.71889</v>
      </c>
      <c r="Y805">
        <f>Table5471[[#This Row],[CFNM]]/Table5471[[#This Row],[CAREA]]</f>
        <v>5.679244579077411E-2</v>
      </c>
      <c r="Z805">
        <v>2</v>
      </c>
      <c r="AA805">
        <f>-(Table6472[[#This Row],[time]]-2)*2</f>
        <v>0</v>
      </c>
      <c r="AB805">
        <v>85.801400000000001</v>
      </c>
      <c r="AC805">
        <v>12.0952</v>
      </c>
      <c r="AD805">
        <f>Table6472[[#This Row],[CFNM]]/Table6472[[#This Row],[CAREA]]</f>
        <v>0.14096739680238318</v>
      </c>
      <c r="AE805">
        <v>2</v>
      </c>
      <c r="AF805">
        <f>-(Table7473[[#This Row],[time]]-2)*2</f>
        <v>0</v>
      </c>
      <c r="AG805">
        <v>77.901899999999998</v>
      </c>
      <c r="AH805">
        <v>21.17</v>
      </c>
      <c r="AI805">
        <f>Table7473[[#This Row],[CFNM]]/Table7473[[#This Row],[CAREA]]</f>
        <v>0.2717520368566107</v>
      </c>
      <c r="AJ805">
        <v>2</v>
      </c>
      <c r="AK805">
        <f>-(Table8474[[#This Row],[time]]-2)*2</f>
        <v>0</v>
      </c>
      <c r="AL805">
        <v>83.325999999999993</v>
      </c>
      <c r="AM805">
        <v>21.1831</v>
      </c>
      <c r="AN805">
        <f>Table8474[[#This Row],[CFNM]]/Table8474[[#This Row],[CAREA]]</f>
        <v>0.25421957132227635</v>
      </c>
    </row>
    <row r="806" spans="1:40" x14ac:dyDescent="0.25">
      <c r="A806">
        <v>2.0575000000000001</v>
      </c>
      <c r="B806">
        <f>-(Table1467[[#This Row],[time]]-2)*2</f>
        <v>-0.11500000000000021</v>
      </c>
      <c r="C806">
        <v>85.226500000000001</v>
      </c>
      <c r="D806">
        <v>7.6686899999999998</v>
      </c>
      <c r="E806">
        <f>Table1467[[#This Row],[CFNM]]/Table1467[[#This Row],[CAREA]]</f>
        <v>8.9980111819680492E-2</v>
      </c>
      <c r="F806">
        <v>2.0575000000000001</v>
      </c>
      <c r="G806">
        <f>-(Table2468[[#This Row],[time]]-2)*2</f>
        <v>-0.11500000000000021</v>
      </c>
      <c r="H806">
        <v>93.827200000000005</v>
      </c>
      <c r="I806">
        <v>5.5194099999999997</v>
      </c>
      <c r="J806">
        <f>Table2468[[#This Row],[CFNM]]/Table2468[[#This Row],[CAREA]]</f>
        <v>5.8825266020940618E-2</v>
      </c>
      <c r="K806">
        <v>2.0575000000000001</v>
      </c>
      <c r="L806">
        <f>-(Table3469[[#This Row],[time]]-2)*2</f>
        <v>-0.11500000000000021</v>
      </c>
      <c r="M806">
        <v>87.088899999999995</v>
      </c>
      <c r="N806">
        <v>7.0443900000000004E-2</v>
      </c>
      <c r="O806">
        <f>Table3469[[#This Row],[CFNM]]/Table3469[[#This Row],[CAREA]]</f>
        <v>8.0887346148590699E-4</v>
      </c>
      <c r="P806">
        <v>2.0575000000000001</v>
      </c>
      <c r="Q806">
        <f>-(Table4470[[#This Row],[time]]-2)*2</f>
        <v>-0.11500000000000021</v>
      </c>
      <c r="R806">
        <v>84.039299999999997</v>
      </c>
      <c r="S806">
        <v>7.9014699999999998</v>
      </c>
      <c r="T806">
        <f>Table4470[[#This Row],[CFNM]]/Table4470[[#This Row],[CAREA]]</f>
        <v>9.4021130590092969E-2</v>
      </c>
      <c r="U806">
        <v>2.0575000000000001</v>
      </c>
      <c r="V806">
        <f>-(Table5471[[#This Row],[time]]-2)*2</f>
        <v>-0.11500000000000021</v>
      </c>
      <c r="W806">
        <v>82.695400000000006</v>
      </c>
      <c r="X806">
        <v>2.9906199999999998</v>
      </c>
      <c r="Y806">
        <f>Table5471[[#This Row],[CFNM]]/Table5471[[#This Row],[CAREA]]</f>
        <v>3.6164284833255532E-2</v>
      </c>
      <c r="Z806">
        <v>2.0575000000000001</v>
      </c>
      <c r="AA806">
        <f>-(Table6472[[#This Row],[time]]-2)*2</f>
        <v>-0.11500000000000021</v>
      </c>
      <c r="AB806">
        <v>85.401300000000006</v>
      </c>
      <c r="AC806">
        <v>13.4346</v>
      </c>
      <c r="AD806">
        <f>Table6472[[#This Row],[CFNM]]/Table6472[[#This Row],[CAREA]]</f>
        <v>0.15731142265984241</v>
      </c>
      <c r="AE806">
        <v>2.0575000000000001</v>
      </c>
      <c r="AF806">
        <f>-(Table7473[[#This Row],[time]]-2)*2</f>
        <v>-0.11500000000000021</v>
      </c>
      <c r="AG806">
        <v>78.520399999999995</v>
      </c>
      <c r="AH806">
        <v>18.503299999999999</v>
      </c>
      <c r="AI806">
        <f>Table7473[[#This Row],[CFNM]]/Table7473[[#This Row],[CAREA]]</f>
        <v>0.23564958915135431</v>
      </c>
      <c r="AJ806">
        <v>2.0575000000000001</v>
      </c>
      <c r="AK806">
        <f>-(Table8474[[#This Row],[time]]-2)*2</f>
        <v>-0.11500000000000021</v>
      </c>
      <c r="AL806">
        <v>83.091999999999999</v>
      </c>
      <c r="AM806">
        <v>23.6876</v>
      </c>
      <c r="AN806">
        <f>Table8474[[#This Row],[CFNM]]/Table8474[[#This Row],[CAREA]]</f>
        <v>0.28507678236171952</v>
      </c>
    </row>
    <row r="807" spans="1:40" x14ac:dyDescent="0.25">
      <c r="A807">
        <v>2.1046999999999998</v>
      </c>
      <c r="B807">
        <f>-(Table1467[[#This Row],[time]]-2)*2</f>
        <v>-0.20939999999999959</v>
      </c>
      <c r="C807">
        <v>84.4619</v>
      </c>
      <c r="D807">
        <v>5.9694000000000003</v>
      </c>
      <c r="E807">
        <f>Table1467[[#This Row],[CFNM]]/Table1467[[#This Row],[CAREA]]</f>
        <v>7.0675653756309062E-2</v>
      </c>
      <c r="F807">
        <v>2.1046999999999998</v>
      </c>
      <c r="G807">
        <f>-(Table2468[[#This Row],[time]]-2)*2</f>
        <v>-0.20939999999999959</v>
      </c>
      <c r="H807">
        <v>92.625399999999999</v>
      </c>
      <c r="I807">
        <v>8.1633700000000005</v>
      </c>
      <c r="J807">
        <f>Table2468[[#This Row],[CFNM]]/Table2468[[#This Row],[CAREA]]</f>
        <v>8.8133168655681923E-2</v>
      </c>
      <c r="K807">
        <v>2.1046999999999998</v>
      </c>
      <c r="L807">
        <f>-(Table3469[[#This Row],[time]]-2)*2</f>
        <v>-0.20939999999999959</v>
      </c>
      <c r="M807">
        <v>86.609399999999994</v>
      </c>
      <c r="N807">
        <v>3.7077999999999998E-3</v>
      </c>
      <c r="O807">
        <f>Table3469[[#This Row],[CFNM]]/Table3469[[#This Row],[CAREA]]</f>
        <v>4.2810595616642072E-5</v>
      </c>
      <c r="P807">
        <v>2.1046999999999998</v>
      </c>
      <c r="Q807">
        <f>-(Table4470[[#This Row],[time]]-2)*2</f>
        <v>-0.20939999999999959</v>
      </c>
      <c r="R807">
        <v>81.8934</v>
      </c>
      <c r="S807">
        <v>10.163</v>
      </c>
      <c r="T807">
        <f>Table4470[[#This Row],[CFNM]]/Table4470[[#This Row],[CAREA]]</f>
        <v>0.12410035485155092</v>
      </c>
      <c r="U807">
        <v>2.1046999999999998</v>
      </c>
      <c r="V807">
        <f>-(Table5471[[#This Row],[time]]-2)*2</f>
        <v>-0.20939999999999959</v>
      </c>
      <c r="W807">
        <v>82.234499999999997</v>
      </c>
      <c r="X807">
        <v>2.0670199999999999</v>
      </c>
      <c r="Y807">
        <f>Table5471[[#This Row],[CFNM]]/Table5471[[#This Row],[CAREA]]</f>
        <v>2.5135679064139747E-2</v>
      </c>
      <c r="Z807">
        <v>2.1046999999999998</v>
      </c>
      <c r="AA807">
        <f>-(Table6472[[#This Row],[time]]-2)*2</f>
        <v>-0.20939999999999959</v>
      </c>
      <c r="AB807">
        <v>84.871499999999997</v>
      </c>
      <c r="AC807">
        <v>14.689399999999999</v>
      </c>
      <c r="AD807">
        <f>Table6472[[#This Row],[CFNM]]/Table6472[[#This Row],[CAREA]]</f>
        <v>0.17307812398743982</v>
      </c>
      <c r="AE807">
        <v>2.1046999999999998</v>
      </c>
      <c r="AF807">
        <f>-(Table7473[[#This Row],[time]]-2)*2</f>
        <v>-0.20939999999999959</v>
      </c>
      <c r="AG807">
        <v>78.873500000000007</v>
      </c>
      <c r="AH807">
        <v>16.412700000000001</v>
      </c>
      <c r="AI807">
        <f>Table7473[[#This Row],[CFNM]]/Table7473[[#This Row],[CAREA]]</f>
        <v>0.20808890184916354</v>
      </c>
      <c r="AJ807">
        <v>2.1046999999999998</v>
      </c>
      <c r="AK807">
        <f>-(Table8474[[#This Row],[time]]-2)*2</f>
        <v>-0.20939999999999959</v>
      </c>
      <c r="AL807">
        <v>82.960599999999999</v>
      </c>
      <c r="AM807">
        <v>25.8096</v>
      </c>
      <c r="AN807">
        <f>Table8474[[#This Row],[CFNM]]/Table8474[[#This Row],[CAREA]]</f>
        <v>0.31110671812884672</v>
      </c>
    </row>
    <row r="808" spans="1:40" x14ac:dyDescent="0.25">
      <c r="A808">
        <v>2.1554199999999999</v>
      </c>
      <c r="B808">
        <f>-(Table1467[[#This Row],[time]]-2)*2</f>
        <v>-0.31083999999999978</v>
      </c>
      <c r="C808">
        <v>80.038700000000006</v>
      </c>
      <c r="D808">
        <v>4.5038</v>
      </c>
      <c r="E808">
        <f>Table1467[[#This Row],[CFNM]]/Table1467[[#This Row],[CAREA]]</f>
        <v>5.627027925241164E-2</v>
      </c>
      <c r="F808">
        <v>2.1554199999999999</v>
      </c>
      <c r="G808">
        <f>-(Table2468[[#This Row],[time]]-2)*2</f>
        <v>-0.31083999999999978</v>
      </c>
      <c r="H808">
        <v>91.023899999999998</v>
      </c>
      <c r="I808">
        <v>11.615600000000001</v>
      </c>
      <c r="J808">
        <f>Table2468[[#This Row],[CFNM]]/Table2468[[#This Row],[CAREA]]</f>
        <v>0.12761044077434608</v>
      </c>
      <c r="K808">
        <v>2.1554199999999999</v>
      </c>
      <c r="L808">
        <f>-(Table3469[[#This Row],[time]]-2)*2</f>
        <v>-0.31083999999999978</v>
      </c>
      <c r="M808">
        <v>83.418099999999995</v>
      </c>
      <c r="N808">
        <v>3.0897699999999999E-3</v>
      </c>
      <c r="O808">
        <f>Table3469[[#This Row],[CFNM]]/Table3469[[#This Row],[CAREA]]</f>
        <v>3.7039563356154121E-5</v>
      </c>
      <c r="P808">
        <v>2.1554199999999999</v>
      </c>
      <c r="Q808">
        <f>-(Table4470[[#This Row],[time]]-2)*2</f>
        <v>-0.31083999999999978</v>
      </c>
      <c r="R808">
        <v>81.007800000000003</v>
      </c>
      <c r="S808">
        <v>13.1922</v>
      </c>
      <c r="T808">
        <f>Table4470[[#This Row],[CFNM]]/Table4470[[#This Row],[CAREA]]</f>
        <v>0.16285098471998991</v>
      </c>
      <c r="U808">
        <v>2.1554199999999999</v>
      </c>
      <c r="V808">
        <f>-(Table5471[[#This Row],[time]]-2)*2</f>
        <v>-0.31083999999999978</v>
      </c>
      <c r="W808">
        <v>83.045599999999993</v>
      </c>
      <c r="X808">
        <v>1.36778</v>
      </c>
      <c r="Y808">
        <f>Table5471[[#This Row],[CFNM]]/Table5471[[#This Row],[CAREA]]</f>
        <v>1.6470228404635526E-2</v>
      </c>
      <c r="Z808">
        <v>2.1554199999999999</v>
      </c>
      <c r="AA808">
        <f>-(Table6472[[#This Row],[time]]-2)*2</f>
        <v>-0.31083999999999978</v>
      </c>
      <c r="AB808">
        <v>84.113299999999995</v>
      </c>
      <c r="AC808">
        <v>16.188099999999999</v>
      </c>
      <c r="AD808">
        <f>Table6472[[#This Row],[CFNM]]/Table6472[[#This Row],[CAREA]]</f>
        <v>0.19245588985332879</v>
      </c>
      <c r="AE808">
        <v>2.1554199999999999</v>
      </c>
      <c r="AF808">
        <f>-(Table7473[[#This Row],[time]]-2)*2</f>
        <v>-0.31083999999999978</v>
      </c>
      <c r="AG808">
        <v>79.2453</v>
      </c>
      <c r="AH808">
        <v>14.405099999999999</v>
      </c>
      <c r="AI808">
        <f>Table7473[[#This Row],[CFNM]]/Table7473[[#This Row],[CAREA]]</f>
        <v>0.18177860390458486</v>
      </c>
      <c r="AJ808">
        <v>2.1554199999999999</v>
      </c>
      <c r="AK808">
        <f>-(Table8474[[#This Row],[time]]-2)*2</f>
        <v>-0.31083999999999978</v>
      </c>
      <c r="AL808">
        <v>82.870199999999997</v>
      </c>
      <c r="AM808">
        <v>28.016300000000001</v>
      </c>
      <c r="AN808">
        <f>Table8474[[#This Row],[CFNM]]/Table8474[[#This Row],[CAREA]]</f>
        <v>0.33807448274530533</v>
      </c>
    </row>
    <row r="809" spans="1:40" x14ac:dyDescent="0.25">
      <c r="A809">
        <v>2.2286299999999999</v>
      </c>
      <c r="B809">
        <f>-(Table1467[[#This Row],[time]]-2)*2</f>
        <v>-0.45725999999999978</v>
      </c>
      <c r="C809">
        <v>74.255499999999998</v>
      </c>
      <c r="D809">
        <v>2.8352200000000001</v>
      </c>
      <c r="E809">
        <f>Table1467[[#This Row],[CFNM]]/Table1467[[#This Row],[CAREA]]</f>
        <v>3.8181952851977299E-2</v>
      </c>
      <c r="F809">
        <v>2.2286299999999999</v>
      </c>
      <c r="G809">
        <f>-(Table2468[[#This Row],[time]]-2)*2</f>
        <v>-0.45725999999999978</v>
      </c>
      <c r="H809">
        <v>89.197500000000005</v>
      </c>
      <c r="I809">
        <v>16.302700000000002</v>
      </c>
      <c r="J809">
        <f>Table2468[[#This Row],[CFNM]]/Table2468[[#This Row],[CAREA]]</f>
        <v>0.18277081756775695</v>
      </c>
      <c r="K809">
        <v>2.2286299999999999</v>
      </c>
      <c r="L809">
        <f>-(Table3469[[#This Row],[time]]-2)*2</f>
        <v>-0.45725999999999978</v>
      </c>
      <c r="M809">
        <v>76.549499999999995</v>
      </c>
      <c r="N809">
        <v>2.55127E-3</v>
      </c>
      <c r="O809">
        <f>Table3469[[#This Row],[CFNM]]/Table3469[[#This Row],[CAREA]]</f>
        <v>3.3328369225141906E-5</v>
      </c>
      <c r="P809">
        <v>2.2286299999999999</v>
      </c>
      <c r="Q809">
        <f>-(Table4470[[#This Row],[time]]-2)*2</f>
        <v>-0.45725999999999978</v>
      </c>
      <c r="R809">
        <v>79.683199999999999</v>
      </c>
      <c r="S809">
        <v>17.354900000000001</v>
      </c>
      <c r="T809">
        <f>Table4470[[#This Row],[CFNM]]/Table4470[[#This Row],[CAREA]]</f>
        <v>0.21779873298261115</v>
      </c>
      <c r="U809">
        <v>2.2286299999999999</v>
      </c>
      <c r="V809">
        <f>-(Table5471[[#This Row],[time]]-2)*2</f>
        <v>-0.45725999999999978</v>
      </c>
      <c r="W809">
        <v>82.818700000000007</v>
      </c>
      <c r="X809">
        <v>0.69939600000000002</v>
      </c>
      <c r="Y809">
        <f>Table5471[[#This Row],[CFNM]]/Table5471[[#This Row],[CAREA]]</f>
        <v>8.4449043513119618E-3</v>
      </c>
      <c r="Z809">
        <v>2.2286299999999999</v>
      </c>
      <c r="AA809">
        <f>-(Table6472[[#This Row],[time]]-2)*2</f>
        <v>-0.45725999999999978</v>
      </c>
      <c r="AB809">
        <v>83.880799999999994</v>
      </c>
      <c r="AC809">
        <v>18.5258</v>
      </c>
      <c r="AD809">
        <f>Table6472[[#This Row],[CFNM]]/Table6472[[#This Row],[CAREA]]</f>
        <v>0.22085864703245561</v>
      </c>
      <c r="AE809">
        <v>2.2286299999999999</v>
      </c>
      <c r="AF809">
        <f>-(Table7473[[#This Row],[time]]-2)*2</f>
        <v>-0.45725999999999978</v>
      </c>
      <c r="AG809">
        <v>79.683800000000005</v>
      </c>
      <c r="AH809">
        <v>11.678599999999999</v>
      </c>
      <c r="AI809">
        <f>Table7473[[#This Row],[CFNM]]/Table7473[[#This Row],[CAREA]]</f>
        <v>0.14656178545701884</v>
      </c>
      <c r="AJ809">
        <v>2.2286299999999999</v>
      </c>
      <c r="AK809">
        <f>-(Table8474[[#This Row],[time]]-2)*2</f>
        <v>-0.45725999999999978</v>
      </c>
      <c r="AL809">
        <v>82.849199999999996</v>
      </c>
      <c r="AM809">
        <v>31.140799999999999</v>
      </c>
      <c r="AN809">
        <f>Table8474[[#This Row],[CFNM]]/Table8474[[#This Row],[CAREA]]</f>
        <v>0.37587327336896431</v>
      </c>
    </row>
    <row r="810" spans="1:40" x14ac:dyDescent="0.25">
      <c r="A810">
        <v>2.2571400000000001</v>
      </c>
      <c r="B810">
        <f>-(Table1467[[#This Row],[time]]-2)*2</f>
        <v>-0.51428000000000029</v>
      </c>
      <c r="C810">
        <v>73.710700000000003</v>
      </c>
      <c r="D810">
        <v>2.2795800000000002</v>
      </c>
      <c r="E810">
        <f>Table1467[[#This Row],[CFNM]]/Table1467[[#This Row],[CAREA]]</f>
        <v>3.0926039231753327E-2</v>
      </c>
      <c r="F810">
        <v>2.2571400000000001</v>
      </c>
      <c r="G810">
        <f>-(Table2468[[#This Row],[time]]-2)*2</f>
        <v>-0.51428000000000029</v>
      </c>
      <c r="H810">
        <v>88.486500000000007</v>
      </c>
      <c r="I810">
        <v>17.992599999999999</v>
      </c>
      <c r="J810">
        <f>Table2468[[#This Row],[CFNM]]/Table2468[[#This Row],[CAREA]]</f>
        <v>0.20333723223316549</v>
      </c>
      <c r="K810">
        <v>2.2571400000000001</v>
      </c>
      <c r="L810">
        <f>-(Table3469[[#This Row],[time]]-2)*2</f>
        <v>-0.51428000000000029</v>
      </c>
      <c r="M810">
        <v>73.259500000000003</v>
      </c>
      <c r="N810">
        <v>2.3859300000000001E-3</v>
      </c>
      <c r="O810">
        <f>Table3469[[#This Row],[CFNM]]/Table3469[[#This Row],[CAREA]]</f>
        <v>3.2568199346159884E-5</v>
      </c>
      <c r="P810">
        <v>2.2571400000000001</v>
      </c>
      <c r="Q810">
        <f>-(Table4470[[#This Row],[time]]-2)*2</f>
        <v>-0.51428000000000029</v>
      </c>
      <c r="R810">
        <v>79.077200000000005</v>
      </c>
      <c r="S810">
        <v>18.854700000000001</v>
      </c>
      <c r="T810">
        <f>Table4470[[#This Row],[CFNM]]/Table4470[[#This Row],[CAREA]]</f>
        <v>0.23843408719580358</v>
      </c>
      <c r="U810">
        <v>2.2571400000000001</v>
      </c>
      <c r="V810">
        <f>-(Table5471[[#This Row],[time]]-2)*2</f>
        <v>-0.51428000000000029</v>
      </c>
      <c r="W810">
        <v>82.808999999999997</v>
      </c>
      <c r="X810">
        <v>0.57849700000000004</v>
      </c>
      <c r="Y810">
        <f>Table5471[[#This Row],[CFNM]]/Table5471[[#This Row],[CAREA]]</f>
        <v>6.9859194048956042E-3</v>
      </c>
      <c r="Z810">
        <v>2.2571400000000001</v>
      </c>
      <c r="AA810">
        <f>-(Table6472[[#This Row],[time]]-2)*2</f>
        <v>-0.51428000000000029</v>
      </c>
      <c r="AB810">
        <v>83.860200000000006</v>
      </c>
      <c r="AC810">
        <v>19.4314</v>
      </c>
      <c r="AD810">
        <f>Table6472[[#This Row],[CFNM]]/Table6472[[#This Row],[CAREA]]</f>
        <v>0.23171182515662972</v>
      </c>
      <c r="AE810">
        <v>2.2571400000000001</v>
      </c>
      <c r="AF810">
        <f>-(Table7473[[#This Row],[time]]-2)*2</f>
        <v>-0.51428000000000029</v>
      </c>
      <c r="AG810">
        <v>79.842399999999998</v>
      </c>
      <c r="AH810">
        <v>10.6922</v>
      </c>
      <c r="AI810">
        <f>Table7473[[#This Row],[CFNM]]/Table7473[[#This Row],[CAREA]]</f>
        <v>0.13391631514082744</v>
      </c>
      <c r="AJ810">
        <v>2.2571400000000001</v>
      </c>
      <c r="AK810">
        <f>-(Table8474[[#This Row],[time]]-2)*2</f>
        <v>-0.51428000000000029</v>
      </c>
      <c r="AL810">
        <v>82.897800000000004</v>
      </c>
      <c r="AM810">
        <v>32.404400000000003</v>
      </c>
      <c r="AN810">
        <f>Table8474[[#This Row],[CFNM]]/Table8474[[#This Row],[CAREA]]</f>
        <v>0.39089577769253225</v>
      </c>
    </row>
    <row r="811" spans="1:40" x14ac:dyDescent="0.25">
      <c r="A811">
        <v>2.3014399999999999</v>
      </c>
      <c r="B811">
        <f>-(Table1467[[#This Row],[time]]-2)*2</f>
        <v>-0.60287999999999986</v>
      </c>
      <c r="C811">
        <v>72.042699999999996</v>
      </c>
      <c r="D811">
        <v>1.5297499999999999</v>
      </c>
      <c r="E811">
        <f>Table1467[[#This Row],[CFNM]]/Table1467[[#This Row],[CAREA]]</f>
        <v>2.1233934874734014E-2</v>
      </c>
      <c r="F811">
        <v>2.3014399999999999</v>
      </c>
      <c r="G811">
        <f>-(Table2468[[#This Row],[time]]-2)*2</f>
        <v>-0.60287999999999986</v>
      </c>
      <c r="H811">
        <v>87.437799999999996</v>
      </c>
      <c r="I811">
        <v>20.514500000000002</v>
      </c>
      <c r="J811">
        <f>Table2468[[#This Row],[CFNM]]/Table2468[[#This Row],[CAREA]]</f>
        <v>0.23461820860085686</v>
      </c>
      <c r="K811">
        <v>2.3014399999999999</v>
      </c>
      <c r="L811">
        <f>-(Table3469[[#This Row],[time]]-2)*2</f>
        <v>-0.60287999999999986</v>
      </c>
      <c r="M811">
        <v>70.850800000000007</v>
      </c>
      <c r="N811">
        <v>2.1501200000000002E-3</v>
      </c>
      <c r="O811">
        <f>Table3469[[#This Row],[CFNM]]/Table3469[[#This Row],[CAREA]]</f>
        <v>3.0347152043449051E-5</v>
      </c>
      <c r="P811">
        <v>2.3014399999999999</v>
      </c>
      <c r="Q811">
        <f>-(Table4470[[#This Row],[time]]-2)*2</f>
        <v>-0.60287999999999986</v>
      </c>
      <c r="R811">
        <v>78.705399999999997</v>
      </c>
      <c r="S811">
        <v>21.164300000000001</v>
      </c>
      <c r="T811">
        <f>Table4470[[#This Row],[CFNM]]/Table4470[[#This Row],[CAREA]]</f>
        <v>0.26890531018202057</v>
      </c>
      <c r="U811">
        <v>2.3014399999999999</v>
      </c>
      <c r="V811">
        <f>-(Table5471[[#This Row],[time]]-2)*2</f>
        <v>-0.60287999999999986</v>
      </c>
      <c r="W811">
        <v>82.871099999999998</v>
      </c>
      <c r="X811">
        <v>0.394733</v>
      </c>
      <c r="Y811">
        <f>Table5471[[#This Row],[CFNM]]/Table5471[[#This Row],[CAREA]]</f>
        <v>4.763216609891748E-3</v>
      </c>
      <c r="Z811">
        <v>2.3014399999999999</v>
      </c>
      <c r="AA811">
        <f>-(Table6472[[#This Row],[time]]-2)*2</f>
        <v>-0.60287999999999986</v>
      </c>
      <c r="AB811">
        <v>83.770700000000005</v>
      </c>
      <c r="AC811">
        <v>20.8262</v>
      </c>
      <c r="AD811">
        <f>Table6472[[#This Row],[CFNM]]/Table6472[[#This Row],[CAREA]]</f>
        <v>0.24860959738906321</v>
      </c>
      <c r="AE811">
        <v>2.3014399999999999</v>
      </c>
      <c r="AF811">
        <f>-(Table7473[[#This Row],[time]]-2)*2</f>
        <v>-0.60287999999999986</v>
      </c>
      <c r="AG811">
        <v>79.882000000000005</v>
      </c>
      <c r="AH811">
        <v>9.3066300000000002</v>
      </c>
      <c r="AI811">
        <f>Table7473[[#This Row],[CFNM]]/Table7473[[#This Row],[CAREA]]</f>
        <v>0.11650471946120527</v>
      </c>
      <c r="AJ811">
        <v>2.3014399999999999</v>
      </c>
      <c r="AK811">
        <f>-(Table8474[[#This Row],[time]]-2)*2</f>
        <v>-0.60287999999999986</v>
      </c>
      <c r="AL811">
        <v>83.042100000000005</v>
      </c>
      <c r="AM811">
        <v>34.3461</v>
      </c>
      <c r="AN811">
        <f>Table8474[[#This Row],[CFNM]]/Table8474[[#This Row],[CAREA]]</f>
        <v>0.41359864454294865</v>
      </c>
    </row>
    <row r="812" spans="1:40" x14ac:dyDescent="0.25">
      <c r="A812">
        <v>2.3673999999999999</v>
      </c>
      <c r="B812">
        <f>-(Table1467[[#This Row],[time]]-2)*2</f>
        <v>-0.7347999999999999</v>
      </c>
      <c r="C812">
        <v>69.274500000000003</v>
      </c>
      <c r="D812">
        <v>0.68386400000000003</v>
      </c>
      <c r="E812">
        <f>Table1467[[#This Row],[CFNM]]/Table1467[[#This Row],[CAREA]]</f>
        <v>9.8717998686385314E-3</v>
      </c>
      <c r="F812">
        <v>2.3673999999999999</v>
      </c>
      <c r="G812">
        <f>-(Table2468[[#This Row],[time]]-2)*2</f>
        <v>-0.7347999999999999</v>
      </c>
      <c r="H812">
        <v>85.894099999999995</v>
      </c>
      <c r="I812">
        <v>23.9925</v>
      </c>
      <c r="J812">
        <f>Table2468[[#This Row],[CFNM]]/Table2468[[#This Row],[CAREA]]</f>
        <v>0.27932651951647436</v>
      </c>
      <c r="K812">
        <v>2.3673999999999999</v>
      </c>
      <c r="L812">
        <f>-(Table3469[[#This Row],[time]]-2)*2</f>
        <v>-0.7347999999999999</v>
      </c>
      <c r="M812">
        <v>66.4358</v>
      </c>
      <c r="N812">
        <v>1.8222500000000001E-3</v>
      </c>
      <c r="O812">
        <f>Table3469[[#This Row],[CFNM]]/Table3469[[#This Row],[CAREA]]</f>
        <v>2.7428735711769859E-5</v>
      </c>
      <c r="P812">
        <v>2.3673999999999999</v>
      </c>
      <c r="Q812">
        <f>-(Table4470[[#This Row],[time]]-2)*2</f>
        <v>-0.7347999999999999</v>
      </c>
      <c r="R812">
        <v>77.908699999999996</v>
      </c>
      <c r="S812">
        <v>24.430399999999999</v>
      </c>
      <c r="T812">
        <f>Table4470[[#This Row],[CFNM]]/Table4470[[#This Row],[CAREA]]</f>
        <v>0.31357730266324557</v>
      </c>
      <c r="U812">
        <v>2.3673999999999999</v>
      </c>
      <c r="V812">
        <f>-(Table5471[[#This Row],[time]]-2)*2</f>
        <v>-0.7347999999999999</v>
      </c>
      <c r="W812">
        <v>83.424099999999996</v>
      </c>
      <c r="X812">
        <v>0.10675</v>
      </c>
      <c r="Y812">
        <f>Table5471[[#This Row],[CFNM]]/Table5471[[#This Row],[CAREA]]</f>
        <v>1.2796062528693747E-3</v>
      </c>
      <c r="Z812">
        <v>2.3673999999999999</v>
      </c>
      <c r="AA812">
        <f>-(Table6472[[#This Row],[time]]-2)*2</f>
        <v>-0.7347999999999999</v>
      </c>
      <c r="AB812">
        <v>83.552199999999999</v>
      </c>
      <c r="AC812">
        <v>22.878</v>
      </c>
      <c r="AD812">
        <f>Table6472[[#This Row],[CFNM]]/Table6472[[#This Row],[CAREA]]</f>
        <v>0.27381684743190488</v>
      </c>
      <c r="AE812">
        <v>2.3673999999999999</v>
      </c>
      <c r="AF812">
        <f>-(Table7473[[#This Row],[time]]-2)*2</f>
        <v>-0.7347999999999999</v>
      </c>
      <c r="AG812">
        <v>79.617500000000007</v>
      </c>
      <c r="AH812">
        <v>7.5928699999999996</v>
      </c>
      <c r="AI812">
        <f>Table7473[[#This Row],[CFNM]]/Table7473[[#This Row],[CAREA]]</f>
        <v>9.5366847740760499E-2</v>
      </c>
      <c r="AJ812">
        <v>2.3673999999999999</v>
      </c>
      <c r="AK812">
        <f>-(Table8474[[#This Row],[time]]-2)*2</f>
        <v>-0.7347999999999999</v>
      </c>
      <c r="AL812">
        <v>82.916499999999999</v>
      </c>
      <c r="AM812">
        <v>37.146599999999999</v>
      </c>
      <c r="AN812">
        <f>Table8474[[#This Row],[CFNM]]/Table8474[[#This Row],[CAREA]]</f>
        <v>0.44800009648260597</v>
      </c>
    </row>
    <row r="813" spans="1:40" x14ac:dyDescent="0.25">
      <c r="A813">
        <v>2.4089800000000001</v>
      </c>
      <c r="B813">
        <f>-(Table1467[[#This Row],[time]]-2)*2</f>
        <v>-0.81796000000000024</v>
      </c>
      <c r="C813">
        <v>68.507800000000003</v>
      </c>
      <c r="D813">
        <v>0.230986</v>
      </c>
      <c r="E813">
        <f>Table1467[[#This Row],[CFNM]]/Table1467[[#This Row],[CAREA]]</f>
        <v>3.3716744662651548E-3</v>
      </c>
      <c r="F813">
        <v>2.4089800000000001</v>
      </c>
      <c r="G813">
        <f>-(Table2468[[#This Row],[time]]-2)*2</f>
        <v>-0.81796000000000024</v>
      </c>
      <c r="H813">
        <v>84.967200000000005</v>
      </c>
      <c r="I813">
        <v>25.984300000000001</v>
      </c>
      <c r="J813">
        <f>Table2468[[#This Row],[CFNM]]/Table2468[[#This Row],[CAREA]]</f>
        <v>0.30581565592369758</v>
      </c>
      <c r="K813">
        <v>2.4089800000000001</v>
      </c>
      <c r="L813">
        <f>-(Table3469[[#This Row],[time]]-2)*2</f>
        <v>-0.81796000000000024</v>
      </c>
      <c r="M813">
        <v>63.092199999999998</v>
      </c>
      <c r="N813">
        <v>1.6291400000000001E-3</v>
      </c>
      <c r="O813">
        <f>Table3469[[#This Row],[CFNM]]/Table3469[[#This Row],[CAREA]]</f>
        <v>2.5821575408687605E-5</v>
      </c>
      <c r="P813">
        <v>2.4089800000000001</v>
      </c>
      <c r="Q813">
        <f>-(Table4470[[#This Row],[time]]-2)*2</f>
        <v>-0.81796000000000024</v>
      </c>
      <c r="R813">
        <v>77.352400000000003</v>
      </c>
      <c r="S813">
        <v>26.403099999999998</v>
      </c>
      <c r="T813">
        <f>Table4470[[#This Row],[CFNM]]/Table4470[[#This Row],[CAREA]]</f>
        <v>0.3413352397598523</v>
      </c>
      <c r="U813">
        <v>2.4089800000000001</v>
      </c>
      <c r="V813">
        <f>-(Table5471[[#This Row],[time]]-2)*2</f>
        <v>-0.81796000000000024</v>
      </c>
      <c r="W813">
        <v>83.412400000000005</v>
      </c>
      <c r="X813">
        <v>5.1325800000000003E-3</v>
      </c>
      <c r="Y813">
        <f>Table5471[[#This Row],[CFNM]]/Table5471[[#This Row],[CAREA]]</f>
        <v>6.1532577890097869E-5</v>
      </c>
      <c r="Z813">
        <v>2.4089800000000001</v>
      </c>
      <c r="AA813">
        <f>-(Table6472[[#This Row],[time]]-2)*2</f>
        <v>-0.81796000000000024</v>
      </c>
      <c r="AB813">
        <v>83.092200000000005</v>
      </c>
      <c r="AC813">
        <v>24.158999999999999</v>
      </c>
      <c r="AD813">
        <f>Table6472[[#This Row],[CFNM]]/Table6472[[#This Row],[CAREA]]</f>
        <v>0.29074931220981026</v>
      </c>
      <c r="AE813">
        <v>2.4089800000000001</v>
      </c>
      <c r="AF813">
        <f>-(Table7473[[#This Row],[time]]-2)*2</f>
        <v>-0.81796000000000024</v>
      </c>
      <c r="AG813">
        <v>79.296899999999994</v>
      </c>
      <c r="AH813">
        <v>6.6062900000000004</v>
      </c>
      <c r="AI813">
        <f>Table7473[[#This Row],[CFNM]]/Table7473[[#This Row],[CAREA]]</f>
        <v>8.3310822995602621E-2</v>
      </c>
      <c r="AJ813">
        <v>2.4089800000000001</v>
      </c>
      <c r="AK813">
        <f>-(Table8474[[#This Row],[time]]-2)*2</f>
        <v>-0.81796000000000024</v>
      </c>
      <c r="AL813">
        <v>83.018299999999996</v>
      </c>
      <c r="AM813">
        <v>38.8703</v>
      </c>
      <c r="AN813">
        <f>Table8474[[#This Row],[CFNM]]/Table8474[[#This Row],[CAREA]]</f>
        <v>0.46821363482509282</v>
      </c>
    </row>
    <row r="814" spans="1:40" x14ac:dyDescent="0.25">
      <c r="A814">
        <v>2.4632299999999998</v>
      </c>
      <c r="B814">
        <f>-(Table1467[[#This Row],[time]]-2)*2</f>
        <v>-0.92645999999999962</v>
      </c>
      <c r="C814">
        <v>67.061700000000002</v>
      </c>
      <c r="D814">
        <v>2.8562100000000001E-3</v>
      </c>
      <c r="E814">
        <f>Table1467[[#This Row],[CFNM]]/Table1467[[#This Row],[CAREA]]</f>
        <v>4.2590778342928972E-5</v>
      </c>
      <c r="F814">
        <v>2.4632299999999998</v>
      </c>
      <c r="G814">
        <f>-(Table2468[[#This Row],[time]]-2)*2</f>
        <v>-0.92645999999999962</v>
      </c>
      <c r="H814">
        <v>83.9863</v>
      </c>
      <c r="I814">
        <v>28.349699999999999</v>
      </c>
      <c r="J814">
        <f>Table2468[[#This Row],[CFNM]]/Table2468[[#This Row],[CAREA]]</f>
        <v>0.33755148161069126</v>
      </c>
      <c r="K814">
        <v>2.4632299999999998</v>
      </c>
      <c r="L814">
        <f>-(Table3469[[#This Row],[time]]-2)*2</f>
        <v>-0.92645999999999962</v>
      </c>
      <c r="M814">
        <v>61.180799999999998</v>
      </c>
      <c r="N814">
        <v>1.41814E-3</v>
      </c>
      <c r="O814">
        <f>Table3469[[#This Row],[CFNM]]/Table3469[[#This Row],[CAREA]]</f>
        <v>2.3179494220409019E-5</v>
      </c>
      <c r="P814">
        <v>2.4632299999999998</v>
      </c>
      <c r="Q814">
        <f>-(Table4470[[#This Row],[time]]-2)*2</f>
        <v>-0.92645999999999962</v>
      </c>
      <c r="R814">
        <v>76.547899999999998</v>
      </c>
      <c r="S814">
        <v>28.807500000000001</v>
      </c>
      <c r="T814">
        <f>Table4470[[#This Row],[CFNM]]/Table4470[[#This Row],[CAREA]]</f>
        <v>0.37633298888669708</v>
      </c>
      <c r="U814">
        <v>2.4632299999999998</v>
      </c>
      <c r="V814">
        <f>-(Table5471[[#This Row],[time]]-2)*2</f>
        <v>-0.92645999999999962</v>
      </c>
      <c r="W814">
        <v>83.326800000000006</v>
      </c>
      <c r="X814">
        <v>4.6891499999999996E-3</v>
      </c>
      <c r="Y814">
        <f>Table5471[[#This Row],[CFNM]]/Table5471[[#This Row],[CAREA]]</f>
        <v>5.6274211898212813E-5</v>
      </c>
      <c r="Z814">
        <v>2.4632299999999998</v>
      </c>
      <c r="AA814">
        <f>-(Table6472[[#This Row],[time]]-2)*2</f>
        <v>-0.92645999999999962</v>
      </c>
      <c r="AB814">
        <v>82.829599999999999</v>
      </c>
      <c r="AC814">
        <v>25.900700000000001</v>
      </c>
      <c r="AD814">
        <f>Table6472[[#This Row],[CFNM]]/Table6472[[#This Row],[CAREA]]</f>
        <v>0.31269860050030424</v>
      </c>
      <c r="AE814">
        <v>2.4632299999999998</v>
      </c>
      <c r="AF814">
        <f>-(Table7473[[#This Row],[time]]-2)*2</f>
        <v>-0.92645999999999962</v>
      </c>
      <c r="AG814">
        <v>78.772099999999995</v>
      </c>
      <c r="AH814">
        <v>5.4689800000000002</v>
      </c>
      <c r="AI814">
        <f>Table7473[[#This Row],[CFNM]]/Table7473[[#This Row],[CAREA]]</f>
        <v>6.9427881191437071E-2</v>
      </c>
      <c r="AJ814">
        <v>2.4632299999999998</v>
      </c>
      <c r="AK814">
        <f>-(Table8474[[#This Row],[time]]-2)*2</f>
        <v>-0.92645999999999962</v>
      </c>
      <c r="AL814">
        <v>83.096500000000006</v>
      </c>
      <c r="AM814">
        <v>41.123800000000003</v>
      </c>
      <c r="AN814">
        <f>Table8474[[#This Row],[CFNM]]/Table8474[[#This Row],[CAREA]]</f>
        <v>0.49489208330074069</v>
      </c>
    </row>
    <row r="815" spans="1:40" x14ac:dyDescent="0.25">
      <c r="A815">
        <v>2.5133800000000002</v>
      </c>
      <c r="B815">
        <f>-(Table1467[[#This Row],[time]]-2)*2</f>
        <v>-1.0267600000000003</v>
      </c>
      <c r="C815">
        <v>65.165000000000006</v>
      </c>
      <c r="D815">
        <v>2.36652E-3</v>
      </c>
      <c r="E815">
        <f>Table1467[[#This Row],[CFNM]]/Table1467[[#This Row],[CAREA]]</f>
        <v>3.6315813703675282E-5</v>
      </c>
      <c r="F815">
        <v>2.5133800000000002</v>
      </c>
      <c r="G815">
        <f>-(Table2468[[#This Row],[time]]-2)*2</f>
        <v>-1.0267600000000003</v>
      </c>
      <c r="H815">
        <v>83.129499999999993</v>
      </c>
      <c r="I815">
        <v>30.424600000000002</v>
      </c>
      <c r="J815">
        <f>Table2468[[#This Row],[CFNM]]/Table2468[[#This Row],[CAREA]]</f>
        <v>0.36599041254909515</v>
      </c>
      <c r="K815">
        <v>2.5133800000000002</v>
      </c>
      <c r="L815">
        <f>-(Table3469[[#This Row],[time]]-2)*2</f>
        <v>-1.0267600000000003</v>
      </c>
      <c r="M815">
        <v>58.889499999999998</v>
      </c>
      <c r="N815">
        <v>1.2514099999999999E-3</v>
      </c>
      <c r="O815">
        <f>Table3469[[#This Row],[CFNM]]/Table3469[[#This Row],[CAREA]]</f>
        <v>2.1250137970266344E-5</v>
      </c>
      <c r="P815">
        <v>2.5133800000000002</v>
      </c>
      <c r="Q815">
        <f>-(Table4470[[#This Row],[time]]-2)*2</f>
        <v>-1.0267600000000003</v>
      </c>
      <c r="R815">
        <v>75.805999999999997</v>
      </c>
      <c r="S815">
        <v>30.9405</v>
      </c>
      <c r="T815">
        <f>Table4470[[#This Row],[CFNM]]/Table4470[[#This Row],[CAREA]]</f>
        <v>0.40815370814975072</v>
      </c>
      <c r="U815">
        <v>2.5133800000000002</v>
      </c>
      <c r="V815">
        <f>-(Table5471[[#This Row],[time]]-2)*2</f>
        <v>-1.0267600000000003</v>
      </c>
      <c r="W815">
        <v>83.094499999999996</v>
      </c>
      <c r="X815">
        <v>4.5104999999999998E-3</v>
      </c>
      <c r="Y815">
        <f>Table5471[[#This Row],[CFNM]]/Table5471[[#This Row],[CAREA]]</f>
        <v>5.428157098243566E-5</v>
      </c>
      <c r="Z815">
        <v>2.5133800000000002</v>
      </c>
      <c r="AA815">
        <f>-(Table6472[[#This Row],[time]]-2)*2</f>
        <v>-1.0267600000000003</v>
      </c>
      <c r="AB815">
        <v>82.693899999999999</v>
      </c>
      <c r="AC815">
        <v>27.567399999999999</v>
      </c>
      <c r="AD815">
        <f>Table6472[[#This Row],[CFNM]]/Table6472[[#This Row],[CAREA]]</f>
        <v>0.33336679005343806</v>
      </c>
      <c r="AE815">
        <v>2.5133800000000002</v>
      </c>
      <c r="AF815">
        <f>-(Table7473[[#This Row],[time]]-2)*2</f>
        <v>-1.0267600000000003</v>
      </c>
      <c r="AG815">
        <v>78.135099999999994</v>
      </c>
      <c r="AH815">
        <v>4.5802199999999997</v>
      </c>
      <c r="AI815">
        <f>Table7473[[#This Row],[CFNM]]/Table7473[[#This Row],[CAREA]]</f>
        <v>5.8619237704949506E-2</v>
      </c>
      <c r="AJ815">
        <v>2.5133800000000002</v>
      </c>
      <c r="AK815">
        <f>-(Table8474[[#This Row],[time]]-2)*2</f>
        <v>-1.0267600000000003</v>
      </c>
      <c r="AL815">
        <v>83.081599999999995</v>
      </c>
      <c r="AM815">
        <v>43.209499999999998</v>
      </c>
      <c r="AN815">
        <f>Table8474[[#This Row],[CFNM]]/Table8474[[#This Row],[CAREA]]</f>
        <v>0.52008507298848361</v>
      </c>
    </row>
    <row r="816" spans="1:40" x14ac:dyDescent="0.25">
      <c r="A816">
        <v>2.55396</v>
      </c>
      <c r="B816">
        <f>-(Table1467[[#This Row],[time]]-2)*2</f>
        <v>-1.10792</v>
      </c>
      <c r="C816">
        <v>62.886800000000001</v>
      </c>
      <c r="D816">
        <v>2.2298600000000002E-3</v>
      </c>
      <c r="E816">
        <f>Table1467[[#This Row],[CFNM]]/Table1467[[#This Row],[CAREA]]</f>
        <v>3.5458315576559789E-5</v>
      </c>
      <c r="F816">
        <v>2.55396</v>
      </c>
      <c r="G816">
        <f>-(Table2468[[#This Row],[time]]-2)*2</f>
        <v>-1.10792</v>
      </c>
      <c r="H816">
        <v>82.485200000000006</v>
      </c>
      <c r="I816">
        <v>32.012</v>
      </c>
      <c r="J816">
        <f>Table2468[[#This Row],[CFNM]]/Table2468[[#This Row],[CAREA]]</f>
        <v>0.38809386411137997</v>
      </c>
      <c r="K816">
        <v>2.55396</v>
      </c>
      <c r="L816">
        <f>-(Table3469[[#This Row],[time]]-2)*2</f>
        <v>-1.10792</v>
      </c>
      <c r="M816">
        <v>58.780999999999999</v>
      </c>
      <c r="N816">
        <v>1.13266E-3</v>
      </c>
      <c r="O816">
        <f>Table3469[[#This Row],[CFNM]]/Table3469[[#This Row],[CAREA]]</f>
        <v>1.9269151596604344E-5</v>
      </c>
      <c r="P816">
        <v>2.55396</v>
      </c>
      <c r="Q816">
        <f>-(Table4470[[#This Row],[time]]-2)*2</f>
        <v>-1.10792</v>
      </c>
      <c r="R816">
        <v>75.181100000000001</v>
      </c>
      <c r="S816">
        <v>32.699100000000001</v>
      </c>
      <c r="T816">
        <f>Table4470[[#This Row],[CFNM]]/Table4470[[#This Row],[CAREA]]</f>
        <v>0.43493777026406905</v>
      </c>
      <c r="U816">
        <v>2.55396</v>
      </c>
      <c r="V816">
        <f>-(Table5471[[#This Row],[time]]-2)*2</f>
        <v>-1.10792</v>
      </c>
      <c r="W816">
        <v>83.100399999999993</v>
      </c>
      <c r="X816">
        <v>4.3723900000000003E-3</v>
      </c>
      <c r="Y816">
        <f>Table5471[[#This Row],[CFNM]]/Table5471[[#This Row],[CAREA]]</f>
        <v>5.2615751548729015E-5</v>
      </c>
      <c r="Z816">
        <v>2.55396</v>
      </c>
      <c r="AA816">
        <f>-(Table6472[[#This Row],[time]]-2)*2</f>
        <v>-1.10792</v>
      </c>
      <c r="AB816">
        <v>82.445300000000003</v>
      </c>
      <c r="AC816">
        <v>28.993200000000002</v>
      </c>
      <c r="AD816">
        <f>Table6472[[#This Row],[CFNM]]/Table6472[[#This Row],[CAREA]]</f>
        <v>0.35166589241594126</v>
      </c>
      <c r="AE816">
        <v>2.55396</v>
      </c>
      <c r="AF816">
        <f>-(Table7473[[#This Row],[time]]-2)*2</f>
        <v>-1.10792</v>
      </c>
      <c r="AG816">
        <v>77.607299999999995</v>
      </c>
      <c r="AH816">
        <v>3.9233899999999999</v>
      </c>
      <c r="AI816">
        <f>Table7473[[#This Row],[CFNM]]/Table7473[[#This Row],[CAREA]]</f>
        <v>5.0554393723270877E-2</v>
      </c>
      <c r="AJ816">
        <v>2.55396</v>
      </c>
      <c r="AK816">
        <f>-(Table8474[[#This Row],[time]]-2)*2</f>
        <v>-1.10792</v>
      </c>
      <c r="AL816">
        <v>82.416300000000007</v>
      </c>
      <c r="AM816">
        <v>44.862000000000002</v>
      </c>
      <c r="AN816">
        <f>Table8474[[#This Row],[CFNM]]/Table8474[[#This Row],[CAREA]]</f>
        <v>0.54433406983812671</v>
      </c>
    </row>
    <row r="817" spans="1:40" x14ac:dyDescent="0.25">
      <c r="A817">
        <v>2.6026600000000002</v>
      </c>
      <c r="B817">
        <f>-(Table1467[[#This Row],[time]]-2)*2</f>
        <v>-1.2053200000000004</v>
      </c>
      <c r="C817">
        <v>60.070599999999999</v>
      </c>
      <c r="D817">
        <v>2.0712999999999999E-3</v>
      </c>
      <c r="E817">
        <f>Table1467[[#This Row],[CFNM]]/Table1467[[#This Row],[CAREA]]</f>
        <v>3.4481093912829239E-5</v>
      </c>
      <c r="F817">
        <v>2.6026600000000002</v>
      </c>
      <c r="G817">
        <f>-(Table2468[[#This Row],[time]]-2)*2</f>
        <v>-1.2053200000000004</v>
      </c>
      <c r="H817">
        <v>81.699700000000007</v>
      </c>
      <c r="I817">
        <v>33.811500000000002</v>
      </c>
      <c r="J817">
        <f>Table2468[[#This Row],[CFNM]]/Table2468[[#This Row],[CAREA]]</f>
        <v>0.41385096885300682</v>
      </c>
      <c r="K817">
        <v>2.6026600000000002</v>
      </c>
      <c r="L817">
        <f>-(Table3469[[#This Row],[time]]-2)*2</f>
        <v>-1.2053200000000004</v>
      </c>
      <c r="M817">
        <v>54.738799999999998</v>
      </c>
      <c r="N817">
        <v>1.0005700000000001E-3</v>
      </c>
      <c r="O817">
        <f>Table3469[[#This Row],[CFNM]]/Table3469[[#This Row],[CAREA]]</f>
        <v>1.8278990405343197E-5</v>
      </c>
      <c r="P817">
        <v>2.6026600000000002</v>
      </c>
      <c r="Q817">
        <f>-(Table4470[[#This Row],[time]]-2)*2</f>
        <v>-1.2053200000000004</v>
      </c>
      <c r="R817">
        <v>74.287000000000006</v>
      </c>
      <c r="S817">
        <v>34.746600000000001</v>
      </c>
      <c r="T817">
        <f>Table4470[[#This Row],[CFNM]]/Table4470[[#This Row],[CAREA]]</f>
        <v>0.46773459690120744</v>
      </c>
      <c r="U817">
        <v>2.6026600000000002</v>
      </c>
      <c r="V817">
        <f>-(Table5471[[#This Row],[time]]-2)*2</f>
        <v>-1.2053200000000004</v>
      </c>
      <c r="W817">
        <v>83.041799999999995</v>
      </c>
      <c r="X817">
        <v>4.1934499999999996E-3</v>
      </c>
      <c r="Y817">
        <f>Table5471[[#This Row],[CFNM]]/Table5471[[#This Row],[CAREA]]</f>
        <v>5.0498062421575636E-5</v>
      </c>
      <c r="Z817">
        <v>2.6026600000000002</v>
      </c>
      <c r="AA817">
        <f>-(Table6472[[#This Row],[time]]-2)*2</f>
        <v>-1.2053200000000004</v>
      </c>
      <c r="AB817">
        <v>82.0261</v>
      </c>
      <c r="AC817">
        <v>30.694500000000001</v>
      </c>
      <c r="AD817">
        <f>Table6472[[#This Row],[CFNM]]/Table6472[[#This Row],[CAREA]]</f>
        <v>0.37420406431611403</v>
      </c>
      <c r="AE817">
        <v>2.6026600000000002</v>
      </c>
      <c r="AF817">
        <f>-(Table7473[[#This Row],[time]]-2)*2</f>
        <v>-1.2053200000000004</v>
      </c>
      <c r="AG817">
        <v>76.924599999999998</v>
      </c>
      <c r="AH817">
        <v>3.2391299999999998</v>
      </c>
      <c r="AI817">
        <f>Table7473[[#This Row],[CFNM]]/Table7473[[#This Row],[CAREA]]</f>
        <v>4.2107856264445964E-2</v>
      </c>
      <c r="AJ817">
        <v>2.6026600000000002</v>
      </c>
      <c r="AK817">
        <f>-(Table8474[[#This Row],[time]]-2)*2</f>
        <v>-1.2053200000000004</v>
      </c>
      <c r="AL817">
        <v>82.299400000000006</v>
      </c>
      <c r="AM817">
        <v>46.842500000000001</v>
      </c>
      <c r="AN817">
        <f>Table8474[[#This Row],[CFNM]]/Table8474[[#This Row],[CAREA]]</f>
        <v>0.56917182871321048</v>
      </c>
    </row>
    <row r="818" spans="1:40" x14ac:dyDescent="0.25">
      <c r="A818">
        <v>2.6548699999999998</v>
      </c>
      <c r="B818">
        <f>-(Table1467[[#This Row],[time]]-2)*2</f>
        <v>-1.3097399999999997</v>
      </c>
      <c r="C818">
        <v>58.8142</v>
      </c>
      <c r="D818">
        <v>1.90665E-3</v>
      </c>
      <c r="E818">
        <f>Table1467[[#This Row],[CFNM]]/Table1467[[#This Row],[CAREA]]</f>
        <v>3.2418191525175894E-5</v>
      </c>
      <c r="F818">
        <v>2.6548699999999998</v>
      </c>
      <c r="G818">
        <f>-(Table2468[[#This Row],[time]]-2)*2</f>
        <v>-1.3097399999999997</v>
      </c>
      <c r="H818">
        <v>80.902299999999997</v>
      </c>
      <c r="I818">
        <v>35.641100000000002</v>
      </c>
      <c r="J818">
        <f>Table2468[[#This Row],[CFNM]]/Table2468[[#This Row],[CAREA]]</f>
        <v>0.44054495360453289</v>
      </c>
      <c r="K818">
        <v>2.6548699999999998</v>
      </c>
      <c r="L818">
        <f>-(Table3469[[#This Row],[time]]-2)*2</f>
        <v>-1.3097399999999997</v>
      </c>
      <c r="M818">
        <v>50.101999999999997</v>
      </c>
      <c r="N818">
        <v>8.7003500000000001E-4</v>
      </c>
      <c r="O818">
        <f>Table3469[[#This Row],[CFNM]]/Table3469[[#This Row],[CAREA]]</f>
        <v>1.7365274839327773E-5</v>
      </c>
      <c r="P818">
        <v>2.6548699999999998</v>
      </c>
      <c r="Q818">
        <f>-(Table4470[[#This Row],[time]]-2)*2</f>
        <v>-1.3097399999999997</v>
      </c>
      <c r="R818">
        <v>73.533500000000004</v>
      </c>
      <c r="S818">
        <v>36.836300000000001</v>
      </c>
      <c r="T818">
        <f>Table4470[[#This Row],[CFNM]]/Table4470[[#This Row],[CAREA]]</f>
        <v>0.50094582741199589</v>
      </c>
      <c r="U818">
        <v>2.6548699999999998</v>
      </c>
      <c r="V818">
        <f>-(Table5471[[#This Row],[time]]-2)*2</f>
        <v>-1.3097399999999997</v>
      </c>
      <c r="W818">
        <v>82.805400000000006</v>
      </c>
      <c r="X818">
        <v>3.9958499999999996E-3</v>
      </c>
      <c r="Y818">
        <f>Table5471[[#This Row],[CFNM]]/Table5471[[#This Row],[CAREA]]</f>
        <v>4.8255910846394068E-5</v>
      </c>
      <c r="Z818">
        <v>2.6548699999999998</v>
      </c>
      <c r="AA818">
        <f>-(Table6472[[#This Row],[time]]-2)*2</f>
        <v>-1.3097399999999997</v>
      </c>
      <c r="AB818">
        <v>81.656899999999993</v>
      </c>
      <c r="AC818">
        <v>32.4664</v>
      </c>
      <c r="AD818">
        <f>Table6472[[#This Row],[CFNM]]/Table6472[[#This Row],[CAREA]]</f>
        <v>0.39759530425475376</v>
      </c>
      <c r="AE818">
        <v>2.6548699999999998</v>
      </c>
      <c r="AF818">
        <f>-(Table7473[[#This Row],[time]]-2)*2</f>
        <v>-1.3097399999999997</v>
      </c>
      <c r="AG818">
        <v>76.1999</v>
      </c>
      <c r="AH818">
        <v>2.6131600000000001</v>
      </c>
      <c r="AI818">
        <f>Table7473[[#This Row],[CFNM]]/Table7473[[#This Row],[CAREA]]</f>
        <v>3.4293483324781271E-2</v>
      </c>
      <c r="AJ818">
        <v>2.6548699999999998</v>
      </c>
      <c r="AK818">
        <f>-(Table8474[[#This Row],[time]]-2)*2</f>
        <v>-1.3097399999999997</v>
      </c>
      <c r="AL818">
        <v>82.057100000000005</v>
      </c>
      <c r="AM818">
        <v>48.936999999999998</v>
      </c>
      <c r="AN818">
        <f>Table8474[[#This Row],[CFNM]]/Table8474[[#This Row],[CAREA]]</f>
        <v>0.5963774006149376</v>
      </c>
    </row>
    <row r="819" spans="1:40" x14ac:dyDescent="0.25">
      <c r="A819">
        <v>2.7080000000000002</v>
      </c>
      <c r="B819">
        <f>-(Table1467[[#This Row],[time]]-2)*2</f>
        <v>-1.4160000000000004</v>
      </c>
      <c r="C819">
        <v>57.416200000000003</v>
      </c>
      <c r="D819">
        <v>1.73687E-3</v>
      </c>
      <c r="E819">
        <f>Table1467[[#This Row],[CFNM]]/Table1467[[#This Row],[CAREA]]</f>
        <v>3.0250521629783926E-5</v>
      </c>
      <c r="F819">
        <v>2.7080000000000002</v>
      </c>
      <c r="G819">
        <f>-(Table2468[[#This Row],[time]]-2)*2</f>
        <v>-1.4160000000000004</v>
      </c>
      <c r="H819">
        <v>80.113900000000001</v>
      </c>
      <c r="I819">
        <v>37.441699999999997</v>
      </c>
      <c r="J819">
        <f>Table2468[[#This Row],[CFNM]]/Table2468[[#This Row],[CAREA]]</f>
        <v>0.46735585210556468</v>
      </c>
      <c r="K819">
        <v>2.7080000000000002</v>
      </c>
      <c r="L819">
        <f>-(Table3469[[#This Row],[time]]-2)*2</f>
        <v>-1.4160000000000004</v>
      </c>
      <c r="M819">
        <v>48.1768</v>
      </c>
      <c r="N819">
        <v>7.4745400000000004E-4</v>
      </c>
      <c r="O819">
        <f>Table3469[[#This Row],[CFNM]]/Table3469[[#This Row],[CAREA]]</f>
        <v>1.5514812108732836E-5</v>
      </c>
      <c r="P819">
        <v>2.7080000000000002</v>
      </c>
      <c r="Q819">
        <f>-(Table4470[[#This Row],[time]]-2)*2</f>
        <v>-1.4160000000000004</v>
      </c>
      <c r="R819">
        <v>72.7911</v>
      </c>
      <c r="S819">
        <v>38.872599999999998</v>
      </c>
      <c r="T819">
        <f>Table4470[[#This Row],[CFNM]]/Table4470[[#This Row],[CAREA]]</f>
        <v>0.53402957229661319</v>
      </c>
      <c r="U819">
        <v>2.7080000000000002</v>
      </c>
      <c r="V819">
        <f>-(Table5471[[#This Row],[time]]-2)*2</f>
        <v>-1.4160000000000004</v>
      </c>
      <c r="W819">
        <v>82.506600000000006</v>
      </c>
      <c r="X819">
        <v>3.7835500000000001E-3</v>
      </c>
      <c r="Y819">
        <f>Table5471[[#This Row],[CFNM]]/Table5471[[#This Row],[CAREA]]</f>
        <v>4.5857543517730698E-5</v>
      </c>
      <c r="Z819">
        <v>2.7080000000000002</v>
      </c>
      <c r="AA819">
        <f>-(Table6472[[#This Row],[time]]-2)*2</f>
        <v>-1.4160000000000004</v>
      </c>
      <c r="AB819">
        <v>81.203400000000002</v>
      </c>
      <c r="AC819">
        <v>34.218600000000002</v>
      </c>
      <c r="AD819">
        <f>Table6472[[#This Row],[CFNM]]/Table6472[[#This Row],[CAREA]]</f>
        <v>0.4213936854860757</v>
      </c>
      <c r="AE819">
        <v>2.7080000000000002</v>
      </c>
      <c r="AF819">
        <f>-(Table7473[[#This Row],[time]]-2)*2</f>
        <v>-1.4160000000000004</v>
      </c>
      <c r="AG819">
        <v>75.521000000000001</v>
      </c>
      <c r="AH819">
        <v>1.9835400000000001</v>
      </c>
      <c r="AI819">
        <f>Table7473[[#This Row],[CFNM]]/Table7473[[#This Row],[CAREA]]</f>
        <v>2.6264747553660574E-2</v>
      </c>
      <c r="AJ819">
        <v>2.7080000000000002</v>
      </c>
      <c r="AK819">
        <f>-(Table8474[[#This Row],[time]]-2)*2</f>
        <v>-1.4160000000000004</v>
      </c>
      <c r="AL819">
        <v>82.004199999999997</v>
      </c>
      <c r="AM819">
        <v>51.028599999999997</v>
      </c>
      <c r="AN819">
        <f>Table8474[[#This Row],[CFNM]]/Table8474[[#This Row],[CAREA]]</f>
        <v>0.62226812773004303</v>
      </c>
    </row>
    <row r="820" spans="1:40" x14ac:dyDescent="0.25">
      <c r="A820">
        <v>2.7675299999999998</v>
      </c>
      <c r="B820">
        <f>-(Table1467[[#This Row],[time]]-2)*2</f>
        <v>-1.5350599999999996</v>
      </c>
      <c r="C820">
        <v>53.976599999999998</v>
      </c>
      <c r="D820">
        <v>1.55376E-3</v>
      </c>
      <c r="E820">
        <f>Table1467[[#This Row],[CFNM]]/Table1467[[#This Row],[CAREA]]</f>
        <v>2.8785807183112681E-5</v>
      </c>
      <c r="F820">
        <v>2.7675299999999998</v>
      </c>
      <c r="G820">
        <f>-(Table2468[[#This Row],[time]]-2)*2</f>
        <v>-1.5350599999999996</v>
      </c>
      <c r="H820">
        <v>79.260099999999994</v>
      </c>
      <c r="I820">
        <v>39.392400000000002</v>
      </c>
      <c r="J820">
        <f>Table2468[[#This Row],[CFNM]]/Table2468[[#This Row],[CAREA]]</f>
        <v>0.49700164395452445</v>
      </c>
      <c r="K820">
        <v>2.7675299999999998</v>
      </c>
      <c r="L820">
        <f>-(Table3469[[#This Row],[time]]-2)*2</f>
        <v>-1.5350599999999996</v>
      </c>
      <c r="M820">
        <v>46.822400000000002</v>
      </c>
      <c r="N820">
        <v>6.2723900000000003E-4</v>
      </c>
      <c r="O820">
        <f>Table3469[[#This Row],[CFNM]]/Table3469[[#This Row],[CAREA]]</f>
        <v>1.3396130911700383E-5</v>
      </c>
      <c r="P820">
        <v>2.7675299999999998</v>
      </c>
      <c r="Q820">
        <f>-(Table4470[[#This Row],[time]]-2)*2</f>
        <v>-1.5350599999999996</v>
      </c>
      <c r="R820">
        <v>72.034999999999997</v>
      </c>
      <c r="S820">
        <v>41.061100000000003</v>
      </c>
      <c r="T820">
        <f>Table4470[[#This Row],[CFNM]]/Table4470[[#This Row],[CAREA]]</f>
        <v>0.57001596446172009</v>
      </c>
      <c r="U820">
        <v>2.7675299999999998</v>
      </c>
      <c r="V820">
        <f>-(Table5471[[#This Row],[time]]-2)*2</f>
        <v>-1.5350599999999996</v>
      </c>
      <c r="W820">
        <v>82.056899999999999</v>
      </c>
      <c r="X820">
        <v>3.53368E-3</v>
      </c>
      <c r="Y820">
        <f>Table5471[[#This Row],[CFNM]]/Table5471[[#This Row],[CAREA]]</f>
        <v>4.3063776477054337E-5</v>
      </c>
      <c r="Z820">
        <v>2.7675299999999998</v>
      </c>
      <c r="AA820">
        <f>-(Table6472[[#This Row],[time]]-2)*2</f>
        <v>-1.5350599999999996</v>
      </c>
      <c r="AB820">
        <v>80.615300000000005</v>
      </c>
      <c r="AC820">
        <v>36.116700000000002</v>
      </c>
      <c r="AD820">
        <f>Table6472[[#This Row],[CFNM]]/Table6472[[#This Row],[CAREA]]</f>
        <v>0.44801297024262143</v>
      </c>
      <c r="AE820">
        <v>2.7675299999999998</v>
      </c>
      <c r="AF820">
        <f>-(Table7473[[#This Row],[time]]-2)*2</f>
        <v>-1.5350599999999996</v>
      </c>
      <c r="AG820">
        <v>74.722300000000004</v>
      </c>
      <c r="AH820">
        <v>1.4242699999999999</v>
      </c>
      <c r="AI820">
        <f>Table7473[[#This Row],[CFNM]]/Table7473[[#This Row],[CAREA]]</f>
        <v>1.9060842613249321E-2</v>
      </c>
      <c r="AJ820">
        <v>2.7675299999999998</v>
      </c>
      <c r="AK820">
        <f>-(Table8474[[#This Row],[time]]-2)*2</f>
        <v>-1.5350599999999996</v>
      </c>
      <c r="AL820">
        <v>81.883700000000005</v>
      </c>
      <c r="AM820">
        <v>53.271599999999999</v>
      </c>
      <c r="AN820">
        <f>Table8474[[#This Row],[CFNM]]/Table8474[[#This Row],[CAREA]]</f>
        <v>0.65057636623650372</v>
      </c>
    </row>
    <row r="821" spans="1:40" x14ac:dyDescent="0.25">
      <c r="A821">
        <v>2.8225500000000001</v>
      </c>
      <c r="B821">
        <f>-(Table1467[[#This Row],[time]]-2)*2</f>
        <v>-1.6451000000000002</v>
      </c>
      <c r="C821">
        <v>50.001399999999997</v>
      </c>
      <c r="D821">
        <v>1.3987400000000001E-3</v>
      </c>
      <c r="E821">
        <f>Table1467[[#This Row],[CFNM]]/Table1467[[#This Row],[CAREA]]</f>
        <v>2.7974016727531632E-5</v>
      </c>
      <c r="F821">
        <v>2.8225500000000001</v>
      </c>
      <c r="G821">
        <f>-(Table2468[[#This Row],[time]]-2)*2</f>
        <v>-1.6451000000000002</v>
      </c>
      <c r="H821">
        <v>78.481899999999996</v>
      </c>
      <c r="I821">
        <v>41.15</v>
      </c>
      <c r="J821">
        <f>Table2468[[#This Row],[CFNM]]/Table2468[[#This Row],[CAREA]]</f>
        <v>0.5243247169092492</v>
      </c>
      <c r="K821">
        <v>2.8225500000000001</v>
      </c>
      <c r="L821">
        <f>-(Table3469[[#This Row],[time]]-2)*2</f>
        <v>-1.6451000000000002</v>
      </c>
      <c r="M821">
        <v>42.352699999999999</v>
      </c>
      <c r="N821">
        <v>5.2347400000000001E-4</v>
      </c>
      <c r="O821">
        <f>Table3469[[#This Row],[CFNM]]/Table3469[[#This Row],[CAREA]]</f>
        <v>1.2359873160388831E-5</v>
      </c>
      <c r="P821">
        <v>2.8225500000000001</v>
      </c>
      <c r="Q821">
        <f>-(Table4470[[#This Row],[time]]-2)*2</f>
        <v>-1.6451000000000002</v>
      </c>
      <c r="R821">
        <v>71.338300000000004</v>
      </c>
      <c r="S821">
        <v>43.0214</v>
      </c>
      <c r="T821">
        <f>Table4470[[#This Row],[CFNM]]/Table4470[[#This Row],[CAREA]]</f>
        <v>0.60306174943894086</v>
      </c>
      <c r="U821">
        <v>2.8225500000000001</v>
      </c>
      <c r="V821">
        <f>-(Table5471[[#This Row],[time]]-2)*2</f>
        <v>-1.6451000000000002</v>
      </c>
      <c r="W821">
        <v>81.637699999999995</v>
      </c>
      <c r="X821">
        <v>3.3050100000000002E-3</v>
      </c>
      <c r="Y821">
        <f>Table5471[[#This Row],[CFNM]]/Table5471[[#This Row],[CAREA]]</f>
        <v>4.0483869584762926E-5</v>
      </c>
      <c r="Z821">
        <v>2.8225500000000001</v>
      </c>
      <c r="AA821">
        <f>-(Table6472[[#This Row],[time]]-2)*2</f>
        <v>-1.6451000000000002</v>
      </c>
      <c r="AB821">
        <v>80.055999999999997</v>
      </c>
      <c r="AC821">
        <v>37.837800000000001</v>
      </c>
      <c r="AD821">
        <f>Table6472[[#This Row],[CFNM]]/Table6472[[#This Row],[CAREA]]</f>
        <v>0.47264165084440896</v>
      </c>
      <c r="AE821">
        <v>2.8225500000000001</v>
      </c>
      <c r="AF821">
        <f>-(Table7473[[#This Row],[time]]-2)*2</f>
        <v>-1.6451000000000002</v>
      </c>
      <c r="AG821">
        <v>74.014300000000006</v>
      </c>
      <c r="AH821">
        <v>1.0391999999999999</v>
      </c>
      <c r="AI821">
        <f>Table7473[[#This Row],[CFNM]]/Table7473[[#This Row],[CAREA]]</f>
        <v>1.4040530005688088E-2</v>
      </c>
      <c r="AJ821">
        <v>2.8225500000000001</v>
      </c>
      <c r="AK821">
        <f>-(Table8474[[#This Row],[time]]-2)*2</f>
        <v>-1.6451000000000002</v>
      </c>
      <c r="AL821">
        <v>81.856700000000004</v>
      </c>
      <c r="AM821">
        <v>55.277799999999999</v>
      </c>
      <c r="AN821">
        <f>Table8474[[#This Row],[CFNM]]/Table8474[[#This Row],[CAREA]]</f>
        <v>0.67529963949194138</v>
      </c>
    </row>
    <row r="822" spans="1:40" x14ac:dyDescent="0.25">
      <c r="A822">
        <v>2.85683</v>
      </c>
      <c r="B822">
        <f>-(Table1467[[#This Row],[time]]-2)*2</f>
        <v>-1.71366</v>
      </c>
      <c r="C822">
        <v>46.944600000000001</v>
      </c>
      <c r="D822">
        <v>1.3074600000000001E-3</v>
      </c>
      <c r="E822">
        <f>Table1467[[#This Row],[CFNM]]/Table1467[[#This Row],[CAREA]]</f>
        <v>2.7851126647154306E-5</v>
      </c>
      <c r="F822">
        <v>2.85683</v>
      </c>
      <c r="G822">
        <f>-(Table2468[[#This Row],[time]]-2)*2</f>
        <v>-1.71366</v>
      </c>
      <c r="H822">
        <v>77.975800000000007</v>
      </c>
      <c r="I822">
        <v>42.239199999999997</v>
      </c>
      <c r="J822">
        <f>Table2468[[#This Row],[CFNM]]/Table2468[[#This Row],[CAREA]]</f>
        <v>0.54169626986834363</v>
      </c>
      <c r="K822">
        <v>2.85683</v>
      </c>
      <c r="L822">
        <f>-(Table3469[[#This Row],[time]]-2)*2</f>
        <v>-1.71366</v>
      </c>
      <c r="M822">
        <v>39.233800000000002</v>
      </c>
      <c r="N822">
        <v>4.6313700000000002E-4</v>
      </c>
      <c r="O822">
        <f>Table3469[[#This Row],[CFNM]]/Table3469[[#This Row],[CAREA]]</f>
        <v>1.1804540982520173E-5</v>
      </c>
      <c r="P822">
        <v>2.85683</v>
      </c>
      <c r="Q822">
        <f>-(Table4470[[#This Row],[time]]-2)*2</f>
        <v>-1.71366</v>
      </c>
      <c r="R822">
        <v>70.910499999999999</v>
      </c>
      <c r="S822">
        <v>44.219700000000003</v>
      </c>
      <c r="T822">
        <f>Table4470[[#This Row],[CFNM]]/Table4470[[#This Row],[CAREA]]</f>
        <v>0.62359876181947671</v>
      </c>
      <c r="U822">
        <v>2.85683</v>
      </c>
      <c r="V822">
        <f>-(Table5471[[#This Row],[time]]-2)*2</f>
        <v>-1.71366</v>
      </c>
      <c r="W822">
        <v>81.376900000000006</v>
      </c>
      <c r="X822">
        <v>3.1629200000000001E-3</v>
      </c>
      <c r="Y822">
        <f>Table5471[[#This Row],[CFNM]]/Table5471[[#This Row],[CAREA]]</f>
        <v>3.8867541034372162E-5</v>
      </c>
      <c r="Z822">
        <v>2.85683</v>
      </c>
      <c r="AA822">
        <f>-(Table6472[[#This Row],[time]]-2)*2</f>
        <v>-1.71366</v>
      </c>
      <c r="AB822">
        <v>79.811199999999999</v>
      </c>
      <c r="AC822">
        <v>38.874699999999997</v>
      </c>
      <c r="AD822">
        <f>Table6472[[#This Row],[CFNM]]/Table6472[[#This Row],[CAREA]]</f>
        <v>0.48708326650896111</v>
      </c>
      <c r="AE822">
        <v>2.85683</v>
      </c>
      <c r="AF822">
        <f>-(Table7473[[#This Row],[time]]-2)*2</f>
        <v>-1.71366</v>
      </c>
      <c r="AG822">
        <v>73.625399999999999</v>
      </c>
      <c r="AH822">
        <v>0.83512500000000001</v>
      </c>
      <c r="AI822">
        <f>Table7473[[#This Row],[CFNM]]/Table7473[[#This Row],[CAREA]]</f>
        <v>1.1342892534369932E-2</v>
      </c>
      <c r="AJ822">
        <v>2.85683</v>
      </c>
      <c r="AK822">
        <f>-(Table8474[[#This Row],[time]]-2)*2</f>
        <v>-1.71366</v>
      </c>
      <c r="AL822">
        <v>81.843599999999995</v>
      </c>
      <c r="AM822">
        <v>56.504100000000001</v>
      </c>
      <c r="AN822">
        <f>Table8474[[#This Row],[CFNM]]/Table8474[[#This Row],[CAREA]]</f>
        <v>0.69039118513848374</v>
      </c>
    </row>
    <row r="823" spans="1:40" x14ac:dyDescent="0.25">
      <c r="A823">
        <v>2.9056600000000001</v>
      </c>
      <c r="B823">
        <f>-(Table1467[[#This Row],[time]]-2)*2</f>
        <v>-1.8113200000000003</v>
      </c>
      <c r="C823">
        <v>43.156599999999997</v>
      </c>
      <c r="D823">
        <v>1.1872199999999999E-3</v>
      </c>
      <c r="E823">
        <f>Table1467[[#This Row],[CFNM]]/Table1467[[#This Row],[CAREA]]</f>
        <v>2.7509581385002526E-5</v>
      </c>
      <c r="F823">
        <v>2.9056600000000001</v>
      </c>
      <c r="G823">
        <f>-(Table2468[[#This Row],[time]]-2)*2</f>
        <v>-1.8113200000000003</v>
      </c>
      <c r="H823">
        <v>77.237300000000005</v>
      </c>
      <c r="I823">
        <v>43.764000000000003</v>
      </c>
      <c r="J823">
        <f>Table2468[[#This Row],[CFNM]]/Table2468[[#This Row],[CAREA]]</f>
        <v>0.56661742448273045</v>
      </c>
      <c r="K823">
        <v>2.9056600000000001</v>
      </c>
      <c r="L823">
        <f>-(Table3469[[#This Row],[time]]-2)*2</f>
        <v>-1.8113200000000003</v>
      </c>
      <c r="M823">
        <v>37.680700000000002</v>
      </c>
      <c r="N823">
        <v>3.8566799999999998E-4</v>
      </c>
      <c r="O823">
        <f>Table3469[[#This Row],[CFNM]]/Table3469[[#This Row],[CAREA]]</f>
        <v>1.0235160174837516E-5</v>
      </c>
      <c r="P823">
        <v>2.9056600000000001</v>
      </c>
      <c r="Q823">
        <f>-(Table4470[[#This Row],[time]]-2)*2</f>
        <v>-1.8113200000000003</v>
      </c>
      <c r="R823">
        <v>70.321200000000005</v>
      </c>
      <c r="S823">
        <v>45.856699999999996</v>
      </c>
      <c r="T823">
        <f>Table4470[[#This Row],[CFNM]]/Table4470[[#This Row],[CAREA]]</f>
        <v>0.65210349083917785</v>
      </c>
      <c r="U823">
        <v>2.9056600000000001</v>
      </c>
      <c r="V823">
        <f>-(Table5471[[#This Row],[time]]-2)*2</f>
        <v>-1.8113200000000003</v>
      </c>
      <c r="W823">
        <v>80.565200000000004</v>
      </c>
      <c r="X823">
        <v>2.9575000000000001E-3</v>
      </c>
      <c r="Y823">
        <f>Table5471[[#This Row],[CFNM]]/Table5471[[#This Row],[CAREA]]</f>
        <v>3.6709398102406499E-5</v>
      </c>
      <c r="Z823">
        <v>2.9056600000000001</v>
      </c>
      <c r="AA823">
        <f>-(Table6472[[#This Row],[time]]-2)*2</f>
        <v>-1.8113200000000003</v>
      </c>
      <c r="AB823">
        <v>79.4315</v>
      </c>
      <c r="AC823">
        <v>40.323999999999998</v>
      </c>
      <c r="AD823">
        <f>Table6472[[#This Row],[CFNM]]/Table6472[[#This Row],[CAREA]]</f>
        <v>0.50765754140359931</v>
      </c>
      <c r="AE823">
        <v>2.9056600000000001</v>
      </c>
      <c r="AF823">
        <f>-(Table7473[[#This Row],[time]]-2)*2</f>
        <v>-1.8113200000000003</v>
      </c>
      <c r="AG823">
        <v>73.025199999999998</v>
      </c>
      <c r="AH823">
        <v>0.55720800000000004</v>
      </c>
      <c r="AI823">
        <f>Table7473[[#This Row],[CFNM]]/Table7473[[#This Row],[CAREA]]</f>
        <v>7.630352261958886E-3</v>
      </c>
      <c r="AJ823">
        <v>2.9056600000000001</v>
      </c>
      <c r="AK823">
        <f>-(Table8474[[#This Row],[time]]-2)*2</f>
        <v>-1.8113200000000003</v>
      </c>
      <c r="AL823">
        <v>81.858900000000006</v>
      </c>
      <c r="AM823">
        <v>58.218299999999999</v>
      </c>
      <c r="AN823">
        <f>Table8474[[#This Row],[CFNM]]/Table8474[[#This Row],[CAREA]]</f>
        <v>0.71120305794482941</v>
      </c>
    </row>
    <row r="824" spans="1:40" x14ac:dyDescent="0.25">
      <c r="A824">
        <v>2.95411</v>
      </c>
      <c r="B824">
        <f>-(Table1467[[#This Row],[time]]-2)*2</f>
        <v>-1.90822</v>
      </c>
      <c r="C824">
        <v>38.355800000000002</v>
      </c>
      <c r="D824">
        <v>1.07668E-3</v>
      </c>
      <c r="E824">
        <f>Table1467[[#This Row],[CFNM]]/Table1467[[#This Row],[CAREA]]</f>
        <v>2.8070852387383394E-5</v>
      </c>
      <c r="F824">
        <v>2.95411</v>
      </c>
      <c r="G824">
        <f>-(Table2468[[#This Row],[time]]-2)*2</f>
        <v>-1.90822</v>
      </c>
      <c r="H824">
        <v>76.497500000000002</v>
      </c>
      <c r="I824">
        <v>45.257300000000001</v>
      </c>
      <c r="J824">
        <f>Table2468[[#This Row],[CFNM]]/Table2468[[#This Row],[CAREA]]</f>
        <v>0.59161802673289976</v>
      </c>
      <c r="K824">
        <v>2.95411</v>
      </c>
      <c r="L824">
        <f>-(Table3469[[#This Row],[time]]-2)*2</f>
        <v>-1.90822</v>
      </c>
      <c r="M824">
        <v>31.694199999999999</v>
      </c>
      <c r="N824">
        <v>3.1089699999999997E-4</v>
      </c>
      <c r="O824">
        <f>Table3469[[#This Row],[CFNM]]/Table3469[[#This Row],[CAREA]]</f>
        <v>9.8092710969199409E-6</v>
      </c>
      <c r="P824">
        <v>2.95411</v>
      </c>
      <c r="Q824">
        <f>-(Table4470[[#This Row],[time]]-2)*2</f>
        <v>-1.90822</v>
      </c>
      <c r="R824">
        <v>69.745500000000007</v>
      </c>
      <c r="S824">
        <v>47.433100000000003</v>
      </c>
      <c r="T824">
        <f>Table4470[[#This Row],[CFNM]]/Table4470[[#This Row],[CAREA]]</f>
        <v>0.68008832111032247</v>
      </c>
      <c r="U824">
        <v>2.95411</v>
      </c>
      <c r="V824">
        <f>-(Table5471[[#This Row],[time]]-2)*2</f>
        <v>-1.90822</v>
      </c>
      <c r="W824">
        <v>79.198099999999997</v>
      </c>
      <c r="X824">
        <v>2.75633E-3</v>
      </c>
      <c r="Y824">
        <f>Table5471[[#This Row],[CFNM]]/Table5471[[#This Row],[CAREA]]</f>
        <v>3.4802981384654433E-5</v>
      </c>
      <c r="Z824">
        <v>2.95411</v>
      </c>
      <c r="AA824">
        <f>-(Table6472[[#This Row],[time]]-2)*2</f>
        <v>-1.90822</v>
      </c>
      <c r="AB824">
        <v>78.953000000000003</v>
      </c>
      <c r="AC824">
        <v>41.752699999999997</v>
      </c>
      <c r="AD824">
        <f>Table6472[[#This Row],[CFNM]]/Table6472[[#This Row],[CAREA]]</f>
        <v>0.52882981014020991</v>
      </c>
      <c r="AE824">
        <v>2.95411</v>
      </c>
      <c r="AF824">
        <f>-(Table7473[[#This Row],[time]]-2)*2</f>
        <v>-1.90822</v>
      </c>
      <c r="AG824">
        <v>72.4499</v>
      </c>
      <c r="AH824">
        <v>0.30487700000000001</v>
      </c>
      <c r="AI824">
        <f>Table7473[[#This Row],[CFNM]]/Table7473[[#This Row],[CAREA]]</f>
        <v>4.2081079476990312E-3</v>
      </c>
      <c r="AJ824">
        <v>2.95411</v>
      </c>
      <c r="AK824">
        <f>-(Table8474[[#This Row],[time]]-2)*2</f>
        <v>-1.90822</v>
      </c>
      <c r="AL824">
        <v>81.914400000000001</v>
      </c>
      <c r="AM824">
        <v>59.913200000000003</v>
      </c>
      <c r="AN824">
        <f>Table8474[[#This Row],[CFNM]]/Table8474[[#This Row],[CAREA]]</f>
        <v>0.73141230357543974</v>
      </c>
    </row>
    <row r="825" spans="1:40" x14ac:dyDescent="0.25">
      <c r="A825">
        <v>3</v>
      </c>
      <c r="B825">
        <f>-(Table1467[[#This Row],[time]]-2)*2</f>
        <v>-2</v>
      </c>
      <c r="C825">
        <v>34.9497</v>
      </c>
      <c r="D825">
        <v>9.855109999999999E-4</v>
      </c>
      <c r="E825">
        <f>Table1467[[#This Row],[CFNM]]/Table1467[[#This Row],[CAREA]]</f>
        <v>2.8197981670801178E-5</v>
      </c>
      <c r="F825">
        <v>3</v>
      </c>
      <c r="G825">
        <f>-(Table2468[[#This Row],[time]]-2)*2</f>
        <v>-2</v>
      </c>
      <c r="H825">
        <v>75.850800000000007</v>
      </c>
      <c r="I825">
        <v>46.646500000000003</v>
      </c>
      <c r="J825">
        <f>Table2468[[#This Row],[CFNM]]/Table2468[[#This Row],[CAREA]]</f>
        <v>0.61497703386121172</v>
      </c>
      <c r="K825">
        <v>3</v>
      </c>
      <c r="L825">
        <f>-(Table3469[[#This Row],[time]]-2)*2</f>
        <v>-2</v>
      </c>
      <c r="M825">
        <v>27.436399999999999</v>
      </c>
      <c r="N825">
        <v>2.50148E-4</v>
      </c>
      <c r="O825">
        <f>Table3469[[#This Row],[CFNM]]/Table3469[[#This Row],[CAREA]]</f>
        <v>9.1173769153387475E-6</v>
      </c>
      <c r="P825">
        <v>3</v>
      </c>
      <c r="Q825">
        <f>-(Table4470[[#This Row],[time]]-2)*2</f>
        <v>-2</v>
      </c>
      <c r="R825">
        <v>69.218100000000007</v>
      </c>
      <c r="S825">
        <v>48.890999999999998</v>
      </c>
      <c r="T825">
        <f>Table4470[[#This Row],[CFNM]]/Table4470[[#This Row],[CAREA]]</f>
        <v>0.70633259219770539</v>
      </c>
      <c r="U825">
        <v>3</v>
      </c>
      <c r="V825">
        <f>-(Table5471[[#This Row],[time]]-2)*2</f>
        <v>-2</v>
      </c>
      <c r="W825">
        <v>78.703699999999998</v>
      </c>
      <c r="X825">
        <v>2.5682700000000001E-3</v>
      </c>
      <c r="Y825">
        <f>Table5471[[#This Row],[CFNM]]/Table5471[[#This Row],[CAREA]]</f>
        <v>3.2632138006218258E-5</v>
      </c>
      <c r="Z825">
        <v>3</v>
      </c>
      <c r="AA825">
        <f>-(Table6472[[#This Row],[time]]-2)*2</f>
        <v>-2</v>
      </c>
      <c r="AB825">
        <v>78.293000000000006</v>
      </c>
      <c r="AC825">
        <v>43.113199999999999</v>
      </c>
      <c r="AD825">
        <f>Table6472[[#This Row],[CFNM]]/Table6472[[#This Row],[CAREA]]</f>
        <v>0.55066481039173354</v>
      </c>
      <c r="AE825">
        <v>3</v>
      </c>
      <c r="AF825">
        <f>-(Table7473[[#This Row],[time]]-2)*2</f>
        <v>-2</v>
      </c>
      <c r="AG825">
        <v>71.936099999999996</v>
      </c>
      <c r="AH825">
        <v>0.17721600000000001</v>
      </c>
      <c r="AI825">
        <f>Table7473[[#This Row],[CFNM]]/Table7473[[#This Row],[CAREA]]</f>
        <v>2.4635197070733612E-3</v>
      </c>
      <c r="AJ825">
        <v>3</v>
      </c>
      <c r="AK825">
        <f>-(Table8474[[#This Row],[time]]-2)*2</f>
        <v>-2</v>
      </c>
      <c r="AL825">
        <v>81.888099999999994</v>
      </c>
      <c r="AM825">
        <v>61.5458</v>
      </c>
      <c r="AN825">
        <f>Table8474[[#This Row],[CFNM]]/Table8474[[#This Row],[CAREA]]</f>
        <v>0.75158417401307398</v>
      </c>
    </row>
    <row r="827" spans="1:40" x14ac:dyDescent="0.25">
      <c r="A827" t="s">
        <v>78</v>
      </c>
      <c r="D827" t="s">
        <v>1</v>
      </c>
    </row>
    <row r="828" spans="1:40" x14ac:dyDescent="0.25">
      <c r="A828" t="s">
        <v>79</v>
      </c>
      <c r="D828" t="s">
        <v>2</v>
      </c>
      <c r="E828" t="s">
        <v>3</v>
      </c>
    </row>
    <row r="830" spans="1:40" x14ac:dyDescent="0.25">
      <c r="A830" t="s">
        <v>4</v>
      </c>
      <c r="F830" t="s">
        <v>5</v>
      </c>
      <c r="K830" t="s">
        <v>6</v>
      </c>
      <c r="P830" t="s">
        <v>7</v>
      </c>
      <c r="U830" t="s">
        <v>8</v>
      </c>
      <c r="Z830" t="s">
        <v>9</v>
      </c>
      <c r="AE830" t="s">
        <v>10</v>
      </c>
      <c r="AJ830" t="s">
        <v>11</v>
      </c>
    </row>
    <row r="831" spans="1:40" x14ac:dyDescent="0.25">
      <c r="A831" t="s">
        <v>12</v>
      </c>
      <c r="B831" t="s">
        <v>13</v>
      </c>
      <c r="C831" t="s">
        <v>14</v>
      </c>
      <c r="D831" t="s">
        <v>15</v>
      </c>
      <c r="E831" t="s">
        <v>16</v>
      </c>
      <c r="F831" t="s">
        <v>12</v>
      </c>
      <c r="G831" t="s">
        <v>13</v>
      </c>
      <c r="H831" t="s">
        <v>14</v>
      </c>
      <c r="I831" t="s">
        <v>15</v>
      </c>
      <c r="J831" t="s">
        <v>16</v>
      </c>
      <c r="K831" t="s">
        <v>12</v>
      </c>
      <c r="L831" t="s">
        <v>13</v>
      </c>
      <c r="M831" t="s">
        <v>14</v>
      </c>
      <c r="N831" t="s">
        <v>15</v>
      </c>
      <c r="O831" t="s">
        <v>16</v>
      </c>
      <c r="P831" t="s">
        <v>12</v>
      </c>
      <c r="Q831" t="s">
        <v>13</v>
      </c>
      <c r="R831" t="s">
        <v>14</v>
      </c>
      <c r="S831" t="s">
        <v>15</v>
      </c>
      <c r="T831" t="s">
        <v>16</v>
      </c>
      <c r="U831" t="s">
        <v>12</v>
      </c>
      <c r="V831" t="s">
        <v>13</v>
      </c>
      <c r="W831" t="s">
        <v>14</v>
      </c>
      <c r="X831" t="s">
        <v>15</v>
      </c>
      <c r="Y831" t="s">
        <v>16</v>
      </c>
      <c r="Z831" t="s">
        <v>12</v>
      </c>
      <c r="AA831" t="s">
        <v>13</v>
      </c>
      <c r="AB831" t="s">
        <v>14</v>
      </c>
      <c r="AC831" t="s">
        <v>15</v>
      </c>
      <c r="AD831" t="s">
        <v>16</v>
      </c>
      <c r="AE831" t="s">
        <v>12</v>
      </c>
      <c r="AF831" t="s">
        <v>13</v>
      </c>
      <c r="AG831" t="s">
        <v>14</v>
      </c>
      <c r="AH831" t="s">
        <v>15</v>
      </c>
      <c r="AI831" t="s">
        <v>16</v>
      </c>
      <c r="AJ831" t="s">
        <v>12</v>
      </c>
      <c r="AK831" t="s">
        <v>13</v>
      </c>
      <c r="AL831" t="s">
        <v>14</v>
      </c>
      <c r="AM831" t="s">
        <v>15</v>
      </c>
      <c r="AN831" t="s">
        <v>16</v>
      </c>
    </row>
    <row r="832" spans="1:40" x14ac:dyDescent="0.25">
      <c r="A832">
        <v>2</v>
      </c>
      <c r="B832">
        <f>(Table110475[[#This Row],[time]]-2)*2</f>
        <v>0</v>
      </c>
      <c r="C832">
        <v>88.6922</v>
      </c>
      <c r="D832">
        <v>9.7512600000000003</v>
      </c>
      <c r="E832" s="2">
        <f>Table110475[[#This Row],[CFNM]]/Table110475[[#This Row],[CAREA]]</f>
        <v>0.10994495570072679</v>
      </c>
      <c r="F832">
        <v>2</v>
      </c>
      <c r="G832">
        <f>(Table211476[[#This Row],[time]]-2)*2</f>
        <v>0</v>
      </c>
      <c r="H832">
        <v>94.576599999999999</v>
      </c>
      <c r="I832">
        <v>2.6341000000000001</v>
      </c>
      <c r="J832" s="2">
        <f>Table211476[[#This Row],[CFNM]]/Table211476[[#This Row],[CAREA]]</f>
        <v>2.7851498150705357E-2</v>
      </c>
      <c r="K832">
        <v>2</v>
      </c>
      <c r="L832">
        <f>(Table312477[[#This Row],[time]]-2)*2</f>
        <v>0</v>
      </c>
      <c r="M832">
        <v>87.261099999999999</v>
      </c>
      <c r="N832">
        <v>2.43161</v>
      </c>
      <c r="O832">
        <f>Table312477[[#This Row],[CFNM]]/Table312477[[#This Row],[CAREA]]</f>
        <v>2.7865910468696822E-2</v>
      </c>
      <c r="P832">
        <v>2</v>
      </c>
      <c r="Q832">
        <f>(Table413478[[#This Row],[time]]-2)*2</f>
        <v>0</v>
      </c>
      <c r="R832">
        <v>85.187899999999999</v>
      </c>
      <c r="S832">
        <v>5.1691200000000004</v>
      </c>
      <c r="T832">
        <f>Table413478[[#This Row],[CFNM]]/Table413478[[#This Row],[CAREA]]</f>
        <v>6.0679040098417736E-2</v>
      </c>
      <c r="U832">
        <v>2</v>
      </c>
      <c r="V832">
        <f>(Table514479[[#This Row],[time]]-2)*2</f>
        <v>0</v>
      </c>
      <c r="W832">
        <v>83.090100000000007</v>
      </c>
      <c r="X832">
        <v>4.71889</v>
      </c>
      <c r="Y832">
        <f>Table514479[[#This Row],[CFNM]]/Table514479[[#This Row],[CAREA]]</f>
        <v>5.679244579077411E-2</v>
      </c>
      <c r="Z832">
        <v>2</v>
      </c>
      <c r="AA832">
        <f>(Table615480[[#This Row],[time]]-2)*2</f>
        <v>0</v>
      </c>
      <c r="AB832">
        <v>85.801400000000001</v>
      </c>
      <c r="AC832">
        <v>12.0952</v>
      </c>
      <c r="AD832">
        <f>Table615480[[#This Row],[CFNM]]/Table615480[[#This Row],[CAREA]]</f>
        <v>0.14096739680238318</v>
      </c>
      <c r="AE832">
        <v>2</v>
      </c>
      <c r="AF832">
        <f>(Table716481[[#This Row],[time]]-2)*2</f>
        <v>0</v>
      </c>
      <c r="AG832">
        <v>77.901899999999998</v>
      </c>
      <c r="AH832">
        <v>21.17</v>
      </c>
      <c r="AI832">
        <f>Table716481[[#This Row],[CFNM]]/Table716481[[#This Row],[CAREA]]</f>
        <v>0.2717520368566107</v>
      </c>
      <c r="AJ832">
        <v>2</v>
      </c>
      <c r="AK832">
        <f>(Table817482[[#This Row],[time]]-2)*2</f>
        <v>0</v>
      </c>
      <c r="AL832">
        <v>83.325999999999993</v>
      </c>
      <c r="AM832">
        <v>21.1831</v>
      </c>
      <c r="AN832">
        <f>Table817482[[#This Row],[CFNM]]/Table817482[[#This Row],[CAREA]]</f>
        <v>0.25421957132227635</v>
      </c>
    </row>
    <row r="833" spans="1:40" x14ac:dyDescent="0.25">
      <c r="A833">
        <v>2.0575000000000001</v>
      </c>
      <c r="B833">
        <f>(Table110475[[#This Row],[time]]-2)*2</f>
        <v>0.11500000000000021</v>
      </c>
      <c r="C833">
        <v>87.232799999999997</v>
      </c>
      <c r="D833">
        <v>12.428699999999999</v>
      </c>
      <c r="E833">
        <f>Table110475[[#This Row],[CFNM]]/Table110475[[#This Row],[CAREA]]</f>
        <v>0.14247737089718546</v>
      </c>
      <c r="F833">
        <v>2.0575000000000001</v>
      </c>
      <c r="G833">
        <f>(Table211476[[#This Row],[time]]-2)*2</f>
        <v>0.11500000000000021</v>
      </c>
      <c r="H833">
        <v>95.281899999999993</v>
      </c>
      <c r="I833">
        <v>5.9366799999999997E-2</v>
      </c>
      <c r="J833">
        <f>Table211476[[#This Row],[CFNM]]/Table211476[[#This Row],[CAREA]]</f>
        <v>6.2306482133542675E-4</v>
      </c>
      <c r="K833">
        <v>2.0575000000000001</v>
      </c>
      <c r="L833">
        <f>(Table312477[[#This Row],[time]]-2)*2</f>
        <v>0.11500000000000021</v>
      </c>
      <c r="M833">
        <v>86.115700000000004</v>
      </c>
      <c r="N833">
        <v>4.8014999999999999</v>
      </c>
      <c r="O833">
        <f>Table312477[[#This Row],[CFNM]]/Table312477[[#This Row],[CAREA]]</f>
        <v>5.5756383563043667E-2</v>
      </c>
      <c r="P833">
        <v>2.0575000000000001</v>
      </c>
      <c r="Q833">
        <f>(Table413478[[#This Row],[time]]-2)*2</f>
        <v>0.11500000000000021</v>
      </c>
      <c r="R833">
        <v>86.849000000000004</v>
      </c>
      <c r="S833">
        <v>2.6763400000000002</v>
      </c>
      <c r="T833">
        <f>Table413478[[#This Row],[CFNM]]/Table413478[[#This Row],[CAREA]]</f>
        <v>3.0816014001312623E-2</v>
      </c>
      <c r="U833">
        <v>2.0575000000000001</v>
      </c>
      <c r="V833">
        <f>(Table514479[[#This Row],[time]]-2)*2</f>
        <v>0.11500000000000021</v>
      </c>
      <c r="W833">
        <v>83.532200000000003</v>
      </c>
      <c r="X833">
        <v>6.0492999999999997</v>
      </c>
      <c r="Y833">
        <f>Table514479[[#This Row],[CFNM]]/Table514479[[#This Row],[CAREA]]</f>
        <v>7.2418779823828411E-2</v>
      </c>
      <c r="Z833">
        <v>2.0575000000000001</v>
      </c>
      <c r="AA833">
        <f>(Table615480[[#This Row],[time]]-2)*2</f>
        <v>0.11500000000000021</v>
      </c>
      <c r="AB833">
        <v>87.992900000000006</v>
      </c>
      <c r="AC833">
        <v>11.000500000000001</v>
      </c>
      <c r="AD833">
        <f>Table615480[[#This Row],[CFNM]]/Table615480[[#This Row],[CAREA]]</f>
        <v>0.12501576831767108</v>
      </c>
      <c r="AE833">
        <v>2.0575000000000001</v>
      </c>
      <c r="AF833">
        <f>(Table716481[[#This Row],[time]]-2)*2</f>
        <v>0.11500000000000021</v>
      </c>
      <c r="AG833">
        <v>77.687899999999999</v>
      </c>
      <c r="AH833">
        <v>24.2392</v>
      </c>
      <c r="AI833">
        <f>Table716481[[#This Row],[CFNM]]/Table716481[[#This Row],[CAREA]]</f>
        <v>0.3120074039844043</v>
      </c>
      <c r="AJ833">
        <v>2.0575000000000001</v>
      </c>
      <c r="AK833">
        <f>(Table817482[[#This Row],[time]]-2)*2</f>
        <v>0.11500000000000021</v>
      </c>
      <c r="AL833">
        <v>83.362899999999996</v>
      </c>
      <c r="AM833">
        <v>19.218</v>
      </c>
      <c r="AN833">
        <f>Table817482[[#This Row],[CFNM]]/Table817482[[#This Row],[CAREA]]</f>
        <v>0.23053420646354675</v>
      </c>
    </row>
    <row r="834" spans="1:40" x14ac:dyDescent="0.25">
      <c r="A834">
        <v>2.1017100000000002</v>
      </c>
      <c r="B834">
        <f>(Table110475[[#This Row],[time]]-2)*2</f>
        <v>0.20342000000000038</v>
      </c>
      <c r="C834">
        <v>85.655500000000004</v>
      </c>
      <c r="D834">
        <v>14.411099999999999</v>
      </c>
      <c r="E834">
        <f>Table110475[[#This Row],[CFNM]]/Table110475[[#This Row],[CAREA]]</f>
        <v>0.16824488795232062</v>
      </c>
      <c r="F834">
        <v>2.1017100000000002</v>
      </c>
      <c r="G834">
        <f>(Table211476[[#This Row],[time]]-2)*2</f>
        <v>0.20342000000000038</v>
      </c>
      <c r="H834">
        <v>94.171400000000006</v>
      </c>
      <c r="I834">
        <v>5.00045E-3</v>
      </c>
      <c r="J834">
        <f>Table211476[[#This Row],[CFNM]]/Table211476[[#This Row],[CAREA]]</f>
        <v>5.3099454823863719E-5</v>
      </c>
      <c r="K834">
        <v>2.1017100000000002</v>
      </c>
      <c r="L834">
        <f>(Table312477[[#This Row],[time]]-2)*2</f>
        <v>0.20342000000000038</v>
      </c>
      <c r="M834">
        <v>84.971599999999995</v>
      </c>
      <c r="N834">
        <v>7.7873400000000004</v>
      </c>
      <c r="O834">
        <f>Table312477[[#This Row],[CFNM]]/Table312477[[#This Row],[CAREA]]</f>
        <v>9.1646385380527148E-2</v>
      </c>
      <c r="P834">
        <v>2.1017100000000002</v>
      </c>
      <c r="Q834">
        <f>(Table413478[[#This Row],[time]]-2)*2</f>
        <v>0.20342000000000038</v>
      </c>
      <c r="R834">
        <v>87.303100000000001</v>
      </c>
      <c r="S834">
        <v>1.2130799999999999</v>
      </c>
      <c r="T834">
        <f>Table413478[[#This Row],[CFNM]]/Table413478[[#This Row],[CAREA]]</f>
        <v>1.3895039236865586E-2</v>
      </c>
      <c r="U834">
        <v>2.1017100000000002</v>
      </c>
      <c r="V834">
        <f>(Table514479[[#This Row],[time]]-2)*2</f>
        <v>0.20342000000000038</v>
      </c>
      <c r="W834">
        <v>82.788700000000006</v>
      </c>
      <c r="X834">
        <v>7.7027099999999997</v>
      </c>
      <c r="Y834">
        <f>Table514479[[#This Row],[CFNM]]/Table514479[[#This Row],[CAREA]]</f>
        <v>9.3040596120001873E-2</v>
      </c>
      <c r="Z834">
        <v>2.1017100000000002</v>
      </c>
      <c r="AA834">
        <f>(Table615480[[#This Row],[time]]-2)*2</f>
        <v>0.20342000000000038</v>
      </c>
      <c r="AB834">
        <v>89.049700000000001</v>
      </c>
      <c r="AC834">
        <v>10.6455</v>
      </c>
      <c r="AD834">
        <f>Table615480[[#This Row],[CFNM]]/Table615480[[#This Row],[CAREA]]</f>
        <v>0.11954560206266837</v>
      </c>
      <c r="AE834">
        <v>2.1017100000000002</v>
      </c>
      <c r="AF834">
        <f>(Table716481[[#This Row],[time]]-2)*2</f>
        <v>0.20342000000000038</v>
      </c>
      <c r="AG834">
        <v>77.571100000000001</v>
      </c>
      <c r="AH834">
        <v>26.680499999999999</v>
      </c>
      <c r="AI834">
        <f>Table716481[[#This Row],[CFNM]]/Table716481[[#This Row],[CAREA]]</f>
        <v>0.3439489706862478</v>
      </c>
      <c r="AJ834">
        <v>2.1017100000000002</v>
      </c>
      <c r="AK834">
        <f>(Table817482[[#This Row],[time]]-2)*2</f>
        <v>0.20342000000000038</v>
      </c>
      <c r="AL834">
        <v>83.481200000000001</v>
      </c>
      <c r="AM834">
        <v>17.821100000000001</v>
      </c>
      <c r="AN834">
        <f>Table817482[[#This Row],[CFNM]]/Table817482[[#This Row],[CAREA]]</f>
        <v>0.21347441100511255</v>
      </c>
    </row>
    <row r="835" spans="1:40" x14ac:dyDescent="0.25">
      <c r="A835">
        <v>2.1524299999999998</v>
      </c>
      <c r="B835">
        <f>(Table110475[[#This Row],[time]]-2)*2</f>
        <v>0.30485999999999969</v>
      </c>
      <c r="C835">
        <v>84.497900000000001</v>
      </c>
      <c r="D835">
        <v>16.896599999999999</v>
      </c>
      <c r="E835">
        <f>Table110475[[#This Row],[CFNM]]/Table110475[[#This Row],[CAREA]]</f>
        <v>0.19996473285134897</v>
      </c>
      <c r="F835">
        <v>2.1524299999999998</v>
      </c>
      <c r="G835">
        <f>(Table211476[[#This Row],[time]]-2)*2</f>
        <v>0.30485999999999969</v>
      </c>
      <c r="H835">
        <v>93.244799999999998</v>
      </c>
      <c r="I835">
        <v>4.2147E-3</v>
      </c>
      <c r="J835">
        <f>Table211476[[#This Row],[CFNM]]/Table211476[[#This Row],[CAREA]]</f>
        <v>4.5200375785030373E-5</v>
      </c>
      <c r="K835">
        <v>2.1524299999999998</v>
      </c>
      <c r="L835">
        <f>(Table312477[[#This Row],[time]]-2)*2</f>
        <v>0.30485999999999969</v>
      </c>
      <c r="M835">
        <v>84.133399999999995</v>
      </c>
      <c r="N835">
        <v>11.301299999999999</v>
      </c>
      <c r="O835">
        <f>Table312477[[#This Row],[CFNM]]/Table312477[[#This Row],[CAREA]]</f>
        <v>0.13432596329162971</v>
      </c>
      <c r="P835">
        <v>2.1524299999999998</v>
      </c>
      <c r="Q835">
        <f>(Table413478[[#This Row],[time]]-2)*2</f>
        <v>0.30485999999999969</v>
      </c>
      <c r="R835">
        <v>87.552599999999998</v>
      </c>
      <c r="S835">
        <v>5.5168700000000001E-3</v>
      </c>
      <c r="T835">
        <f>Table413478[[#This Row],[CFNM]]/Table413478[[#This Row],[CAREA]]</f>
        <v>6.3012063605192767E-5</v>
      </c>
      <c r="U835">
        <v>2.1524299999999998</v>
      </c>
      <c r="V835">
        <f>(Table514479[[#This Row],[time]]-2)*2</f>
        <v>0.30485999999999969</v>
      </c>
      <c r="W835">
        <v>81.026399999999995</v>
      </c>
      <c r="X835">
        <v>9.8552999999999997</v>
      </c>
      <c r="Y835">
        <f>Table514479[[#This Row],[CFNM]]/Table514479[[#This Row],[CAREA]]</f>
        <v>0.12163072776280323</v>
      </c>
      <c r="Z835">
        <v>2.1524299999999998</v>
      </c>
      <c r="AA835">
        <f>(Table615480[[#This Row],[time]]-2)*2</f>
        <v>0.30485999999999969</v>
      </c>
      <c r="AB835">
        <v>88.948800000000006</v>
      </c>
      <c r="AC835">
        <v>10.6648</v>
      </c>
      <c r="AD835">
        <f>Table615480[[#This Row],[CFNM]]/Table615480[[#This Row],[CAREA]]</f>
        <v>0.11989818862086953</v>
      </c>
      <c r="AE835">
        <v>2.1524299999999998</v>
      </c>
      <c r="AF835">
        <f>(Table716481[[#This Row],[time]]-2)*2</f>
        <v>0.30485999999999969</v>
      </c>
      <c r="AG835">
        <v>77.689300000000003</v>
      </c>
      <c r="AH835">
        <v>29.512799999999999</v>
      </c>
      <c r="AI835">
        <f>Table716481[[#This Row],[CFNM]]/Table716481[[#This Row],[CAREA]]</f>
        <v>0.37988242911185965</v>
      </c>
      <c r="AJ835">
        <v>2.1524299999999998</v>
      </c>
      <c r="AK835">
        <f>(Table817482[[#This Row],[time]]-2)*2</f>
        <v>0.30485999999999969</v>
      </c>
      <c r="AL835">
        <v>83.387699999999995</v>
      </c>
      <c r="AM835">
        <v>16.491199999999999</v>
      </c>
      <c r="AN835">
        <f>Table817482[[#This Row],[CFNM]]/Table817482[[#This Row],[CAREA]]</f>
        <v>0.19776537786747925</v>
      </c>
    </row>
    <row r="836" spans="1:40" x14ac:dyDescent="0.25">
      <c r="A836">
        <v>2.2161400000000002</v>
      </c>
      <c r="B836">
        <f>(Table110475[[#This Row],[time]]-2)*2</f>
        <v>0.43228000000000044</v>
      </c>
      <c r="C836">
        <v>82.871499999999997</v>
      </c>
      <c r="D836">
        <v>20.219899999999999</v>
      </c>
      <c r="E836">
        <f>Table110475[[#This Row],[CFNM]]/Table110475[[#This Row],[CAREA]]</f>
        <v>0.24399099811153413</v>
      </c>
      <c r="F836">
        <v>2.2161400000000002</v>
      </c>
      <c r="G836">
        <f>(Table211476[[#This Row],[time]]-2)*2</f>
        <v>0.43228000000000044</v>
      </c>
      <c r="H836">
        <v>92.169300000000007</v>
      </c>
      <c r="I836">
        <v>3.40333E-3</v>
      </c>
      <c r="J836">
        <f>Table211476[[#This Row],[CFNM]]/Table211476[[#This Row],[CAREA]]</f>
        <v>3.6924767791444654E-5</v>
      </c>
      <c r="K836">
        <v>2.2161400000000002</v>
      </c>
      <c r="L836">
        <f>(Table312477[[#This Row],[time]]-2)*2</f>
        <v>0.43228000000000044</v>
      </c>
      <c r="M836">
        <v>82.991</v>
      </c>
      <c r="N836">
        <v>15.041700000000001</v>
      </c>
      <c r="O836">
        <f>Table312477[[#This Row],[CFNM]]/Table312477[[#This Row],[CAREA]]</f>
        <v>0.18124495427215001</v>
      </c>
      <c r="P836">
        <v>2.2161400000000002</v>
      </c>
      <c r="Q836">
        <f>(Table413478[[#This Row],[time]]-2)*2</f>
        <v>0.43228000000000044</v>
      </c>
      <c r="R836">
        <v>87.624499999999998</v>
      </c>
      <c r="S836">
        <v>4.2521099999999999E-3</v>
      </c>
      <c r="T836">
        <f>Table413478[[#This Row],[CFNM]]/Table413478[[#This Row],[CAREA]]</f>
        <v>4.8526496584859255E-5</v>
      </c>
      <c r="U836">
        <v>2.2161400000000002</v>
      </c>
      <c r="V836">
        <f>(Table514479[[#This Row],[time]]-2)*2</f>
        <v>0.43228000000000044</v>
      </c>
      <c r="W836">
        <v>80.236099999999993</v>
      </c>
      <c r="X836">
        <v>12.5205</v>
      </c>
      <c r="Y836">
        <f>Table514479[[#This Row],[CFNM]]/Table514479[[#This Row],[CAREA]]</f>
        <v>0.15604572006864742</v>
      </c>
      <c r="Z836">
        <v>2.2161400000000002</v>
      </c>
      <c r="AA836">
        <f>(Table615480[[#This Row],[time]]-2)*2</f>
        <v>0.43228000000000044</v>
      </c>
      <c r="AB836">
        <v>88.606099999999998</v>
      </c>
      <c r="AC836">
        <v>10.649100000000001</v>
      </c>
      <c r="AD836">
        <f>Table615480[[#This Row],[CFNM]]/Table615480[[#This Row],[CAREA]]</f>
        <v>0.12018472768804858</v>
      </c>
      <c r="AE836">
        <v>2.2161400000000002</v>
      </c>
      <c r="AF836">
        <f>(Table716481[[#This Row],[time]]-2)*2</f>
        <v>0.43228000000000044</v>
      </c>
      <c r="AG836">
        <v>77.728899999999996</v>
      </c>
      <c r="AH836">
        <v>33.043700000000001</v>
      </c>
      <c r="AI836">
        <f>Table716481[[#This Row],[CFNM]]/Table716481[[#This Row],[CAREA]]</f>
        <v>0.42511472566831643</v>
      </c>
      <c r="AJ836">
        <v>2.2161400000000002</v>
      </c>
      <c r="AK836">
        <f>(Table817482[[#This Row],[time]]-2)*2</f>
        <v>0.43228000000000044</v>
      </c>
      <c r="AL836">
        <v>83.370999999999995</v>
      </c>
      <c r="AM836">
        <v>15.147399999999999</v>
      </c>
      <c r="AN836">
        <f>Table817482[[#This Row],[CFNM]]/Table817482[[#This Row],[CAREA]]</f>
        <v>0.18168667762171498</v>
      </c>
    </row>
    <row r="837" spans="1:40" x14ac:dyDescent="0.25">
      <c r="A837">
        <v>2.2520199999999999</v>
      </c>
      <c r="B837">
        <f>(Table110475[[#This Row],[time]]-2)*2</f>
        <v>0.50403999999999982</v>
      </c>
      <c r="C837">
        <v>82.1554</v>
      </c>
      <c r="D837">
        <v>22.124400000000001</v>
      </c>
      <c r="E837">
        <f>Table110475[[#This Row],[CFNM]]/Table110475[[#This Row],[CAREA]]</f>
        <v>0.2692994008914813</v>
      </c>
      <c r="F837">
        <v>2.2520199999999999</v>
      </c>
      <c r="G837">
        <f>(Table211476[[#This Row],[time]]-2)*2</f>
        <v>0.50403999999999982</v>
      </c>
      <c r="H837">
        <v>92.098299999999995</v>
      </c>
      <c r="I837">
        <v>2.9930999999999998E-3</v>
      </c>
      <c r="J837">
        <f>Table211476[[#This Row],[CFNM]]/Table211476[[#This Row],[CAREA]]</f>
        <v>3.2498971207937606E-5</v>
      </c>
      <c r="K837">
        <v>2.2520199999999999</v>
      </c>
      <c r="L837">
        <f>(Table312477[[#This Row],[time]]-2)*2</f>
        <v>0.50403999999999982</v>
      </c>
      <c r="M837">
        <v>82.305199999999999</v>
      </c>
      <c r="N837">
        <v>16.994599999999998</v>
      </c>
      <c r="O837">
        <f>Table312477[[#This Row],[CFNM]]/Table312477[[#This Row],[CAREA]]</f>
        <v>0.20648270097150603</v>
      </c>
      <c r="P837">
        <v>2.2520199999999999</v>
      </c>
      <c r="Q837">
        <f>(Table413478[[#This Row],[time]]-2)*2</f>
        <v>0.50403999999999982</v>
      </c>
      <c r="R837">
        <v>87.138499999999993</v>
      </c>
      <c r="S837">
        <v>3.7505500000000001E-3</v>
      </c>
      <c r="T837">
        <f>Table413478[[#This Row],[CFNM]]/Table413478[[#This Row],[CAREA]]</f>
        <v>4.3041250423176902E-5</v>
      </c>
      <c r="U837">
        <v>2.2520199999999999</v>
      </c>
      <c r="V837">
        <f>(Table514479[[#This Row],[time]]-2)*2</f>
        <v>0.50403999999999982</v>
      </c>
      <c r="W837">
        <v>79.680099999999996</v>
      </c>
      <c r="X837">
        <v>13.9535</v>
      </c>
      <c r="Y837">
        <f>Table514479[[#This Row],[CFNM]]/Table514479[[#This Row],[CAREA]]</f>
        <v>0.17511900712976014</v>
      </c>
      <c r="Z837">
        <v>2.2520199999999999</v>
      </c>
      <c r="AA837">
        <f>(Table615480[[#This Row],[time]]-2)*2</f>
        <v>0.50403999999999982</v>
      </c>
      <c r="AB837">
        <v>88.166600000000003</v>
      </c>
      <c r="AC837">
        <v>10.589600000000001</v>
      </c>
      <c r="AD837">
        <f>Table615480[[#This Row],[CFNM]]/Table615480[[#This Row],[CAREA]]</f>
        <v>0.12010897550773196</v>
      </c>
      <c r="AE837">
        <v>2.2520199999999999</v>
      </c>
      <c r="AF837">
        <f>(Table716481[[#This Row],[time]]-2)*2</f>
        <v>0.50403999999999982</v>
      </c>
      <c r="AG837">
        <v>77.674000000000007</v>
      </c>
      <c r="AH837">
        <v>35.033299999999997</v>
      </c>
      <c r="AI837">
        <f>Table716481[[#This Row],[CFNM]]/Table716481[[#This Row],[CAREA]]</f>
        <v>0.45102994567036581</v>
      </c>
      <c r="AJ837">
        <v>2.2520199999999999</v>
      </c>
      <c r="AK837">
        <f>(Table817482[[#This Row],[time]]-2)*2</f>
        <v>0.50403999999999982</v>
      </c>
      <c r="AL837">
        <v>83.089699999999993</v>
      </c>
      <c r="AM837">
        <v>14.478300000000001</v>
      </c>
      <c r="AN837">
        <f>Table817482[[#This Row],[CFNM]]/Table817482[[#This Row],[CAREA]]</f>
        <v>0.17424903447719756</v>
      </c>
    </row>
    <row r="838" spans="1:40" x14ac:dyDescent="0.25">
      <c r="A838">
        <v>2.3077000000000001</v>
      </c>
      <c r="B838">
        <f>(Table110475[[#This Row],[time]]-2)*2</f>
        <v>0.61540000000000017</v>
      </c>
      <c r="C838">
        <v>79.913700000000006</v>
      </c>
      <c r="D838">
        <v>25.029699999999998</v>
      </c>
      <c r="E838">
        <f>Table110475[[#This Row],[CFNM]]/Table110475[[#This Row],[CAREA]]</f>
        <v>0.31320912434288484</v>
      </c>
      <c r="F838">
        <v>2.3077000000000001</v>
      </c>
      <c r="G838">
        <f>(Table211476[[#This Row],[time]]-2)*2</f>
        <v>0.61540000000000017</v>
      </c>
      <c r="H838">
        <v>89.155299999999997</v>
      </c>
      <c r="I838">
        <v>2.5855499999999998E-3</v>
      </c>
      <c r="J838">
        <f>Table211476[[#This Row],[CFNM]]/Table211476[[#This Row],[CAREA]]</f>
        <v>2.9000519318537429E-5</v>
      </c>
      <c r="K838">
        <v>2.3077000000000001</v>
      </c>
      <c r="L838">
        <f>(Table312477[[#This Row],[time]]-2)*2</f>
        <v>0.61540000000000017</v>
      </c>
      <c r="M838">
        <v>81.682400000000001</v>
      </c>
      <c r="N838">
        <v>19.705500000000001</v>
      </c>
      <c r="O838">
        <f>Table312477[[#This Row],[CFNM]]/Table312477[[#This Row],[CAREA]]</f>
        <v>0.24124536007756872</v>
      </c>
      <c r="P838">
        <v>2.3077000000000001</v>
      </c>
      <c r="Q838">
        <f>(Table413478[[#This Row],[time]]-2)*2</f>
        <v>0.61540000000000017</v>
      </c>
      <c r="R838">
        <v>86.784400000000005</v>
      </c>
      <c r="S838">
        <v>3.1249099999999998E-3</v>
      </c>
      <c r="T838">
        <f>Table413478[[#This Row],[CFNM]]/Table413478[[#This Row],[CAREA]]</f>
        <v>3.600773871801844E-5</v>
      </c>
      <c r="U838">
        <v>2.3077000000000001</v>
      </c>
      <c r="V838">
        <f>(Table514479[[#This Row],[time]]-2)*2</f>
        <v>0.61540000000000017</v>
      </c>
      <c r="W838">
        <v>78.793000000000006</v>
      </c>
      <c r="X838">
        <v>15.9848</v>
      </c>
      <c r="Y838">
        <f>Table514479[[#This Row],[CFNM]]/Table514479[[#This Row],[CAREA]]</f>
        <v>0.20287081339712917</v>
      </c>
      <c r="Z838">
        <v>2.3077000000000001</v>
      </c>
      <c r="AA838">
        <f>(Table615480[[#This Row],[time]]-2)*2</f>
        <v>0.61540000000000017</v>
      </c>
      <c r="AB838">
        <v>89.468699999999998</v>
      </c>
      <c r="AC838">
        <v>10.4429</v>
      </c>
      <c r="AD838">
        <f>Table615480[[#This Row],[CFNM]]/Table615480[[#This Row],[CAREA]]</f>
        <v>0.11672126676703697</v>
      </c>
      <c r="AE838">
        <v>2.3077000000000001</v>
      </c>
      <c r="AF838">
        <f>(Table716481[[#This Row],[time]]-2)*2</f>
        <v>0.61540000000000017</v>
      </c>
      <c r="AG838">
        <v>77.540700000000001</v>
      </c>
      <c r="AH838">
        <v>38.107500000000002</v>
      </c>
      <c r="AI838">
        <f>Table716481[[#This Row],[CFNM]]/Table716481[[#This Row],[CAREA]]</f>
        <v>0.49145158607028311</v>
      </c>
      <c r="AJ838">
        <v>2.3077000000000001</v>
      </c>
      <c r="AK838">
        <f>(Table817482[[#This Row],[time]]-2)*2</f>
        <v>0.61540000000000017</v>
      </c>
      <c r="AL838">
        <v>82.556200000000004</v>
      </c>
      <c r="AM838">
        <v>13.5793</v>
      </c>
      <c r="AN838">
        <f>Table817482[[#This Row],[CFNM]]/Table817482[[#This Row],[CAREA]]</f>
        <v>0.16448552622334844</v>
      </c>
    </row>
    <row r="839" spans="1:40" x14ac:dyDescent="0.25">
      <c r="A839">
        <v>2.3530099999999998</v>
      </c>
      <c r="B839">
        <f>(Table110475[[#This Row],[time]]-2)*2</f>
        <v>0.70601999999999965</v>
      </c>
      <c r="C839">
        <v>79.131799999999998</v>
      </c>
      <c r="D839">
        <v>27.247599999999998</v>
      </c>
      <c r="E839">
        <f>Table110475[[#This Row],[CFNM]]/Table110475[[#This Row],[CAREA]]</f>
        <v>0.34433186152722417</v>
      </c>
      <c r="F839">
        <v>2.3530099999999998</v>
      </c>
      <c r="G839">
        <f>(Table211476[[#This Row],[time]]-2)*2</f>
        <v>0.70601999999999965</v>
      </c>
      <c r="H839">
        <v>84.002200000000002</v>
      </c>
      <c r="I839">
        <v>2.3022899999999998E-3</v>
      </c>
      <c r="J839">
        <f>Table211476[[#This Row],[CFNM]]/Table211476[[#This Row],[CAREA]]</f>
        <v>2.7407496470330535E-5</v>
      </c>
      <c r="K839">
        <v>2.3530099999999998</v>
      </c>
      <c r="L839">
        <f>(Table312477[[#This Row],[time]]-2)*2</f>
        <v>0.70601999999999965</v>
      </c>
      <c r="M839">
        <v>81.131399999999999</v>
      </c>
      <c r="N839">
        <v>21.602799999999998</v>
      </c>
      <c r="O839">
        <f>Table312477[[#This Row],[CFNM]]/Table312477[[#This Row],[CAREA]]</f>
        <v>0.26626928661406063</v>
      </c>
      <c r="P839">
        <v>2.3530099999999998</v>
      </c>
      <c r="Q839">
        <f>(Table413478[[#This Row],[time]]-2)*2</f>
        <v>0.70601999999999965</v>
      </c>
      <c r="R839">
        <v>85.966399999999993</v>
      </c>
      <c r="S839">
        <v>2.88492E-3</v>
      </c>
      <c r="T839">
        <f>Table413478[[#This Row],[CFNM]]/Table413478[[#This Row],[CAREA]]</f>
        <v>3.355869269854269E-5</v>
      </c>
      <c r="U839">
        <v>2.3530099999999998</v>
      </c>
      <c r="V839">
        <f>(Table514479[[#This Row],[time]]-2)*2</f>
        <v>0.70601999999999965</v>
      </c>
      <c r="W839">
        <v>78.007300000000001</v>
      </c>
      <c r="X839">
        <v>17.5105</v>
      </c>
      <c r="Y839">
        <f>Table514479[[#This Row],[CFNM]]/Table514479[[#This Row],[CAREA]]</f>
        <v>0.22447258141225246</v>
      </c>
      <c r="Z839">
        <v>2.3530099999999998</v>
      </c>
      <c r="AA839">
        <f>(Table615480[[#This Row],[time]]-2)*2</f>
        <v>0.70601999999999965</v>
      </c>
      <c r="AB839">
        <v>89.487399999999994</v>
      </c>
      <c r="AC839">
        <v>10.2608</v>
      </c>
      <c r="AD839">
        <f>Table615480[[#This Row],[CFNM]]/Table615480[[#This Row],[CAREA]]</f>
        <v>0.11466195240894249</v>
      </c>
      <c r="AE839">
        <v>2.3530099999999998</v>
      </c>
      <c r="AF839">
        <f>(Table716481[[#This Row],[time]]-2)*2</f>
        <v>0.70601999999999965</v>
      </c>
      <c r="AG839">
        <v>77.215500000000006</v>
      </c>
      <c r="AH839">
        <v>40.624600000000001</v>
      </c>
      <c r="AI839">
        <f>Table716481[[#This Row],[CFNM]]/Table716481[[#This Row],[CAREA]]</f>
        <v>0.52611975574852199</v>
      </c>
      <c r="AJ839">
        <v>2.3530099999999998</v>
      </c>
      <c r="AK839">
        <f>(Table817482[[#This Row],[time]]-2)*2</f>
        <v>0.70601999999999965</v>
      </c>
      <c r="AL839">
        <v>82.045400000000001</v>
      </c>
      <c r="AM839">
        <v>12.9495</v>
      </c>
      <c r="AN839">
        <f>Table817482[[#This Row],[CFNM]]/Table817482[[#This Row],[CAREA]]</f>
        <v>0.15783334592798623</v>
      </c>
    </row>
    <row r="840" spans="1:40" x14ac:dyDescent="0.25">
      <c r="A840">
        <v>2.4097499999999998</v>
      </c>
      <c r="B840">
        <f>(Table110475[[#This Row],[time]]-2)*2</f>
        <v>0.81949999999999967</v>
      </c>
      <c r="C840">
        <v>77.796899999999994</v>
      </c>
      <c r="D840">
        <v>29.824400000000001</v>
      </c>
      <c r="E840">
        <f>Table110475[[#This Row],[CFNM]]/Table110475[[#This Row],[CAREA]]</f>
        <v>0.38336231906412727</v>
      </c>
      <c r="F840">
        <v>2.4097499999999998</v>
      </c>
      <c r="G840">
        <f>(Table211476[[#This Row],[time]]-2)*2</f>
        <v>0.81949999999999967</v>
      </c>
      <c r="H840">
        <v>78.953800000000001</v>
      </c>
      <c r="I840">
        <v>1.99584E-3</v>
      </c>
      <c r="J840">
        <f>Table211476[[#This Row],[CFNM]]/Table211476[[#This Row],[CAREA]]</f>
        <v>2.5278580638297335E-5</v>
      </c>
      <c r="K840">
        <v>2.4097499999999998</v>
      </c>
      <c r="L840">
        <f>(Table312477[[#This Row],[time]]-2)*2</f>
        <v>0.81949999999999967</v>
      </c>
      <c r="M840">
        <v>80.242099999999994</v>
      </c>
      <c r="N840">
        <v>23.7105</v>
      </c>
      <c r="O840">
        <f>Table312477[[#This Row],[CFNM]]/Table312477[[#This Row],[CAREA]]</f>
        <v>0.29548703236829549</v>
      </c>
      <c r="P840">
        <v>2.4097499999999998</v>
      </c>
      <c r="Q840">
        <f>(Table413478[[#This Row],[time]]-2)*2</f>
        <v>0.81949999999999967</v>
      </c>
      <c r="R840">
        <v>84.885499999999993</v>
      </c>
      <c r="S840">
        <v>2.5941499999999999E-3</v>
      </c>
      <c r="T840">
        <f>Table413478[[#This Row],[CFNM]]/Table413478[[#This Row],[CAREA]]</f>
        <v>3.0560578661844487E-5</v>
      </c>
      <c r="U840">
        <v>2.4097499999999998</v>
      </c>
      <c r="V840">
        <f>(Table514479[[#This Row],[time]]-2)*2</f>
        <v>0.81949999999999967</v>
      </c>
      <c r="W840">
        <v>76.889399999999995</v>
      </c>
      <c r="X840">
        <v>19.400099999999998</v>
      </c>
      <c r="Y840">
        <f>Table514479[[#This Row],[CFNM]]/Table514479[[#This Row],[CAREA]]</f>
        <v>0.25231176208944273</v>
      </c>
      <c r="Z840">
        <v>2.4097499999999998</v>
      </c>
      <c r="AA840">
        <f>(Table615480[[#This Row],[time]]-2)*2</f>
        <v>0.81949999999999967</v>
      </c>
      <c r="AB840">
        <v>91.518000000000001</v>
      </c>
      <c r="AC840">
        <v>10.0213</v>
      </c>
      <c r="AD840">
        <f>Table615480[[#This Row],[CFNM]]/Table615480[[#This Row],[CAREA]]</f>
        <v>0.10950086321816473</v>
      </c>
      <c r="AE840">
        <v>2.4097499999999998</v>
      </c>
      <c r="AF840">
        <f>(Table716481[[#This Row],[time]]-2)*2</f>
        <v>0.81949999999999967</v>
      </c>
      <c r="AG840">
        <v>77.259</v>
      </c>
      <c r="AH840">
        <v>43.685499999999998</v>
      </c>
      <c r="AI840">
        <f>Table716481[[#This Row],[CFNM]]/Table716481[[#This Row],[CAREA]]</f>
        <v>0.5654422138521078</v>
      </c>
      <c r="AJ840">
        <v>2.4097499999999998</v>
      </c>
      <c r="AK840">
        <f>(Table817482[[#This Row],[time]]-2)*2</f>
        <v>0.81949999999999967</v>
      </c>
      <c r="AL840">
        <v>81.478999999999999</v>
      </c>
      <c r="AM840">
        <v>12.2614</v>
      </c>
      <c r="AN840">
        <f>Table817482[[#This Row],[CFNM]]/Table817482[[#This Row],[CAREA]]</f>
        <v>0.15048540114630765</v>
      </c>
    </row>
    <row r="841" spans="1:40" x14ac:dyDescent="0.25">
      <c r="A841">
        <v>2.4520599999999999</v>
      </c>
      <c r="B841">
        <f>(Table110475[[#This Row],[time]]-2)*2</f>
        <v>0.90411999999999981</v>
      </c>
      <c r="C841">
        <v>77.145799999999994</v>
      </c>
      <c r="D841">
        <v>31.596499999999999</v>
      </c>
      <c r="E841">
        <f>Table110475[[#This Row],[CFNM]]/Table110475[[#This Row],[CAREA]]</f>
        <v>0.40956863497429546</v>
      </c>
      <c r="F841">
        <v>2.4520599999999999</v>
      </c>
      <c r="G841">
        <f>(Table211476[[#This Row],[time]]-2)*2</f>
        <v>0.90411999999999981</v>
      </c>
      <c r="H841">
        <v>74.474400000000003</v>
      </c>
      <c r="I841">
        <v>1.7852899999999999E-3</v>
      </c>
      <c r="J841">
        <f>Table211476[[#This Row],[CFNM]]/Table211476[[#This Row],[CAREA]]</f>
        <v>2.3971861471861469E-5</v>
      </c>
      <c r="K841">
        <v>2.4520599999999999</v>
      </c>
      <c r="L841">
        <f>(Table312477[[#This Row],[time]]-2)*2</f>
        <v>0.90411999999999981</v>
      </c>
      <c r="M841">
        <v>79.799599999999998</v>
      </c>
      <c r="N841">
        <v>25.171399999999998</v>
      </c>
      <c r="O841">
        <f>Table312477[[#This Row],[CFNM]]/Table312477[[#This Row],[CAREA]]</f>
        <v>0.31543265881031984</v>
      </c>
      <c r="P841">
        <v>2.4520599999999999</v>
      </c>
      <c r="Q841">
        <f>(Table413478[[#This Row],[time]]-2)*2</f>
        <v>0.90411999999999981</v>
      </c>
      <c r="R841">
        <v>84.411299999999997</v>
      </c>
      <c r="S841">
        <v>2.3802099999999998E-3</v>
      </c>
      <c r="T841">
        <f>Table413478[[#This Row],[CFNM]]/Table413478[[#This Row],[CAREA]]</f>
        <v>2.819776499118009E-5</v>
      </c>
      <c r="U841">
        <v>2.4520599999999999</v>
      </c>
      <c r="V841">
        <f>(Table514479[[#This Row],[time]]-2)*2</f>
        <v>0.90411999999999981</v>
      </c>
      <c r="W841">
        <v>75.932100000000005</v>
      </c>
      <c r="X841">
        <v>20.7622</v>
      </c>
      <c r="Y841">
        <f>Table514479[[#This Row],[CFNM]]/Table514479[[#This Row],[CAREA]]</f>
        <v>0.27343113123435275</v>
      </c>
      <c r="Z841">
        <v>2.4520599999999999</v>
      </c>
      <c r="AA841">
        <f>(Table615480[[#This Row],[time]]-2)*2</f>
        <v>0.90411999999999981</v>
      </c>
      <c r="AB841">
        <v>91.555300000000003</v>
      </c>
      <c r="AC841">
        <v>9.8643699999999992</v>
      </c>
      <c r="AD841">
        <f>Table615480[[#This Row],[CFNM]]/Table615480[[#This Row],[CAREA]]</f>
        <v>0.10774220607654608</v>
      </c>
      <c r="AE841">
        <v>2.4520599999999999</v>
      </c>
      <c r="AF841">
        <f>(Table716481[[#This Row],[time]]-2)*2</f>
        <v>0.90411999999999981</v>
      </c>
      <c r="AG841">
        <v>77.144099999999995</v>
      </c>
      <c r="AH841">
        <v>45.871000000000002</v>
      </c>
      <c r="AI841">
        <f>Table716481[[#This Row],[CFNM]]/Table716481[[#This Row],[CAREA]]</f>
        <v>0.59461449417389023</v>
      </c>
      <c r="AJ841">
        <v>2.4520599999999999</v>
      </c>
      <c r="AK841">
        <f>(Table817482[[#This Row],[time]]-2)*2</f>
        <v>0.90411999999999981</v>
      </c>
      <c r="AL841">
        <v>81.113299999999995</v>
      </c>
      <c r="AM841">
        <v>11.766299999999999</v>
      </c>
      <c r="AN841">
        <f>Table817482[[#This Row],[CFNM]]/Table817482[[#This Row],[CAREA]]</f>
        <v>0.14506005796829866</v>
      </c>
    </row>
    <row r="842" spans="1:40" x14ac:dyDescent="0.25">
      <c r="A842">
        <v>2.5031699999999999</v>
      </c>
      <c r="B842">
        <f>(Table110475[[#This Row],[time]]-2)*2</f>
        <v>1.0063399999999998</v>
      </c>
      <c r="C842">
        <v>76.004400000000004</v>
      </c>
      <c r="D842">
        <v>33.589399999999998</v>
      </c>
      <c r="E842">
        <f>Table110475[[#This Row],[CFNM]]/Table110475[[#This Row],[CAREA]]</f>
        <v>0.44194020346190477</v>
      </c>
      <c r="F842">
        <v>2.5031699999999999</v>
      </c>
      <c r="G842">
        <f>(Table211476[[#This Row],[time]]-2)*2</f>
        <v>1.0063399999999998</v>
      </c>
      <c r="H842">
        <v>68.850499999999997</v>
      </c>
      <c r="I842">
        <v>1.5528E-3</v>
      </c>
      <c r="J842">
        <f>Table211476[[#This Row],[CFNM]]/Table211476[[#This Row],[CAREA]]</f>
        <v>2.2553213121182854E-5</v>
      </c>
      <c r="K842">
        <v>2.5031699999999999</v>
      </c>
      <c r="L842">
        <f>(Table312477[[#This Row],[time]]-2)*2</f>
        <v>1.0063399999999998</v>
      </c>
      <c r="M842">
        <v>79.490799999999993</v>
      </c>
      <c r="N842">
        <v>26.881499999999999</v>
      </c>
      <c r="O842">
        <f>Table312477[[#This Row],[CFNM]]/Table312477[[#This Row],[CAREA]]</f>
        <v>0.33817120975005915</v>
      </c>
      <c r="P842">
        <v>2.5031699999999999</v>
      </c>
      <c r="Q842">
        <f>(Table413478[[#This Row],[time]]-2)*2</f>
        <v>1.0063399999999998</v>
      </c>
      <c r="R842">
        <v>81.452299999999994</v>
      </c>
      <c r="S842">
        <v>2.1296000000000002E-3</v>
      </c>
      <c r="T842">
        <f>Table413478[[#This Row],[CFNM]]/Table413478[[#This Row],[CAREA]]</f>
        <v>2.6145363605447608E-5</v>
      </c>
      <c r="U842">
        <v>2.5031699999999999</v>
      </c>
      <c r="V842">
        <f>(Table514479[[#This Row],[time]]-2)*2</f>
        <v>1.0063399999999998</v>
      </c>
      <c r="W842">
        <v>75.572000000000003</v>
      </c>
      <c r="X842">
        <v>22.3338</v>
      </c>
      <c r="Y842">
        <f>Table514479[[#This Row],[CFNM]]/Table514479[[#This Row],[CAREA]]</f>
        <v>0.29553009050971257</v>
      </c>
      <c r="Z842">
        <v>2.5031699999999999</v>
      </c>
      <c r="AA842">
        <f>(Table615480[[#This Row],[time]]-2)*2</f>
        <v>1.0063399999999998</v>
      </c>
      <c r="AB842">
        <v>91.413300000000007</v>
      </c>
      <c r="AC842">
        <v>9.5584799999999994</v>
      </c>
      <c r="AD842">
        <f>Table615480[[#This Row],[CFNM]]/Table615480[[#This Row],[CAREA]]</f>
        <v>0.10456334034544205</v>
      </c>
      <c r="AE842">
        <v>2.5031699999999999</v>
      </c>
      <c r="AF842">
        <f>(Table716481[[#This Row],[time]]-2)*2</f>
        <v>1.0063399999999998</v>
      </c>
      <c r="AG842">
        <v>77.092100000000002</v>
      </c>
      <c r="AH842">
        <v>48.456800000000001</v>
      </c>
      <c r="AI842">
        <f>Table716481[[#This Row],[CFNM]]/Table716481[[#This Row],[CAREA]]</f>
        <v>0.62855727110819393</v>
      </c>
      <c r="AJ842">
        <v>2.5031699999999999</v>
      </c>
      <c r="AK842">
        <f>(Table817482[[#This Row],[time]]-2)*2</f>
        <v>1.0063399999999998</v>
      </c>
      <c r="AL842">
        <v>80.685299999999998</v>
      </c>
      <c r="AM842">
        <v>11.165800000000001</v>
      </c>
      <c r="AN842">
        <f>Table817482[[#This Row],[CFNM]]/Table817482[[#This Row],[CAREA]]</f>
        <v>0.13838704200145505</v>
      </c>
    </row>
    <row r="843" spans="1:40" x14ac:dyDescent="0.25">
      <c r="A843">
        <v>2.5551699999999999</v>
      </c>
      <c r="B843">
        <f>(Table110475[[#This Row],[time]]-2)*2</f>
        <v>1.1103399999999999</v>
      </c>
      <c r="C843">
        <v>74.385099999999994</v>
      </c>
      <c r="D843">
        <v>35.510899999999999</v>
      </c>
      <c r="E843">
        <f>Table110475[[#This Row],[CFNM]]/Table110475[[#This Row],[CAREA]]</f>
        <v>0.47739264987208463</v>
      </c>
      <c r="F843">
        <v>2.5551699999999999</v>
      </c>
      <c r="G843">
        <f>(Table211476[[#This Row],[time]]-2)*2</f>
        <v>1.1103399999999999</v>
      </c>
      <c r="H843">
        <v>62.716200000000001</v>
      </c>
      <c r="I843">
        <v>1.3507599999999999E-3</v>
      </c>
      <c r="J843">
        <f>Table211476[[#This Row],[CFNM]]/Table211476[[#This Row],[CAREA]]</f>
        <v>2.1537656937123102E-5</v>
      </c>
      <c r="K843">
        <v>2.5551699999999999</v>
      </c>
      <c r="L843">
        <f>(Table312477[[#This Row],[time]]-2)*2</f>
        <v>1.1103399999999999</v>
      </c>
      <c r="M843">
        <v>79.180999999999997</v>
      </c>
      <c r="N843">
        <v>28.639199999999999</v>
      </c>
      <c r="O843">
        <f>Table312477[[#This Row],[CFNM]]/Table312477[[#This Row],[CAREA]]</f>
        <v>0.36169283035071542</v>
      </c>
      <c r="P843">
        <v>2.5551699999999999</v>
      </c>
      <c r="Q843">
        <f>(Table413478[[#This Row],[time]]-2)*2</f>
        <v>1.1103399999999999</v>
      </c>
      <c r="R843">
        <v>80.045699999999997</v>
      </c>
      <c r="S843">
        <v>1.8966199999999999E-3</v>
      </c>
      <c r="T843">
        <f>Table413478[[#This Row],[CFNM]]/Table413478[[#This Row],[CAREA]]</f>
        <v>2.3694214679864127E-5</v>
      </c>
      <c r="U843">
        <v>2.5551699999999999</v>
      </c>
      <c r="V843">
        <f>(Table514479[[#This Row],[time]]-2)*2</f>
        <v>1.1103399999999999</v>
      </c>
      <c r="W843">
        <v>75.153700000000001</v>
      </c>
      <c r="X843">
        <v>23.904499999999999</v>
      </c>
      <c r="Y843">
        <f>Table514479[[#This Row],[CFNM]]/Table514479[[#This Row],[CAREA]]</f>
        <v>0.31807482532463471</v>
      </c>
      <c r="Z843">
        <v>2.5551699999999999</v>
      </c>
      <c r="AA843">
        <f>(Table615480[[#This Row],[time]]-2)*2</f>
        <v>1.1103399999999999</v>
      </c>
      <c r="AB843">
        <v>91.290999999999997</v>
      </c>
      <c r="AC843">
        <v>9.1533999999999995</v>
      </c>
      <c r="AD843">
        <f>Table615480[[#This Row],[CFNM]]/Table615480[[#This Row],[CAREA]]</f>
        <v>0.10026618177038261</v>
      </c>
      <c r="AE843">
        <v>2.5551699999999999</v>
      </c>
      <c r="AF843">
        <f>(Table716481[[#This Row],[time]]-2)*2</f>
        <v>1.1103399999999999</v>
      </c>
      <c r="AG843">
        <v>76.940399999999997</v>
      </c>
      <c r="AH843">
        <v>50.986400000000003</v>
      </c>
      <c r="AI843">
        <f>Table716481[[#This Row],[CFNM]]/Table716481[[#This Row],[CAREA]]</f>
        <v>0.66267396582289673</v>
      </c>
      <c r="AJ843">
        <v>2.5551699999999999</v>
      </c>
      <c r="AK843">
        <f>(Table817482[[#This Row],[time]]-2)*2</f>
        <v>1.1103399999999999</v>
      </c>
      <c r="AL843">
        <v>80.2102</v>
      </c>
      <c r="AM843">
        <v>10.675000000000001</v>
      </c>
      <c r="AN843">
        <f>Table817482[[#This Row],[CFNM]]/Table817482[[#This Row],[CAREA]]</f>
        <v>0.13308781177456236</v>
      </c>
    </row>
    <row r="844" spans="1:40" x14ac:dyDescent="0.25">
      <c r="A844">
        <v>2.6029</v>
      </c>
      <c r="B844">
        <f>(Table110475[[#This Row],[time]]-2)*2</f>
        <v>1.2058</v>
      </c>
      <c r="C844">
        <v>73.836200000000005</v>
      </c>
      <c r="D844">
        <v>37.228099999999998</v>
      </c>
      <c r="E844">
        <f>Table110475[[#This Row],[CFNM]]/Table110475[[#This Row],[CAREA]]</f>
        <v>0.50419848258713196</v>
      </c>
      <c r="F844">
        <v>2.6029</v>
      </c>
      <c r="G844">
        <f>(Table211476[[#This Row],[time]]-2)*2</f>
        <v>1.2058</v>
      </c>
      <c r="H844">
        <v>59.8996</v>
      </c>
      <c r="I844">
        <v>1.1856499999999999E-3</v>
      </c>
      <c r="J844">
        <f>Table211476[[#This Row],[CFNM]]/Table211476[[#This Row],[CAREA]]</f>
        <v>1.9793955218398786E-5</v>
      </c>
      <c r="K844">
        <v>2.6029</v>
      </c>
      <c r="L844">
        <f>(Table312477[[#This Row],[time]]-2)*2</f>
        <v>1.2058</v>
      </c>
      <c r="M844">
        <v>78.908299999999997</v>
      </c>
      <c r="N844">
        <v>30.1646</v>
      </c>
      <c r="O844">
        <f>Table312477[[#This Row],[CFNM]]/Table312477[[#This Row],[CAREA]]</f>
        <v>0.38227410804693551</v>
      </c>
      <c r="P844">
        <v>2.6029</v>
      </c>
      <c r="Q844">
        <f>(Table413478[[#This Row],[time]]-2)*2</f>
        <v>1.2058</v>
      </c>
      <c r="R844">
        <v>77.334000000000003</v>
      </c>
      <c r="S844">
        <v>1.70896E-3</v>
      </c>
      <c r="T844">
        <f>Table413478[[#This Row],[CFNM]]/Table413478[[#This Row],[CAREA]]</f>
        <v>2.2098430185946673E-5</v>
      </c>
      <c r="U844">
        <v>2.6029</v>
      </c>
      <c r="V844">
        <f>(Table514479[[#This Row],[time]]-2)*2</f>
        <v>1.2058</v>
      </c>
      <c r="W844">
        <v>74.407799999999995</v>
      </c>
      <c r="X844">
        <v>25.358599999999999</v>
      </c>
      <c r="Y844">
        <f>Table514479[[#This Row],[CFNM]]/Table514479[[#This Row],[CAREA]]</f>
        <v>0.34080566822295516</v>
      </c>
      <c r="Z844">
        <v>2.6029</v>
      </c>
      <c r="AA844">
        <f>(Table615480[[#This Row],[time]]-2)*2</f>
        <v>1.2058</v>
      </c>
      <c r="AB844">
        <v>91.166499999999999</v>
      </c>
      <c r="AC844">
        <v>8.74648</v>
      </c>
      <c r="AD844">
        <f>Table615480[[#This Row],[CFNM]]/Table615480[[#This Row],[CAREA]]</f>
        <v>9.5939626946301551E-2</v>
      </c>
      <c r="AE844">
        <v>2.6029</v>
      </c>
      <c r="AF844">
        <f>(Table716481[[#This Row],[time]]-2)*2</f>
        <v>1.2058</v>
      </c>
      <c r="AG844">
        <v>76.697800000000001</v>
      </c>
      <c r="AH844">
        <v>53.219099999999997</v>
      </c>
      <c r="AI844">
        <f>Table716481[[#This Row],[CFNM]]/Table716481[[#This Row],[CAREA]]</f>
        <v>0.69388039813397506</v>
      </c>
      <c r="AJ844">
        <v>2.6029</v>
      </c>
      <c r="AK844">
        <f>(Table817482[[#This Row],[time]]-2)*2</f>
        <v>1.2058</v>
      </c>
      <c r="AL844">
        <v>79.703599999999994</v>
      </c>
      <c r="AM844">
        <v>10.1828</v>
      </c>
      <c r="AN844">
        <f>Table817482[[#This Row],[CFNM]]/Table817482[[#This Row],[CAREA]]</f>
        <v>0.12775834466699121</v>
      </c>
    </row>
    <row r="845" spans="1:40" x14ac:dyDescent="0.25">
      <c r="A845">
        <v>2.6568700000000001</v>
      </c>
      <c r="B845">
        <f>(Table110475[[#This Row],[time]]-2)*2</f>
        <v>1.3137400000000001</v>
      </c>
      <c r="C845">
        <v>72.499300000000005</v>
      </c>
      <c r="D845">
        <v>39.082599999999999</v>
      </c>
      <c r="E845">
        <f>Table110475[[#This Row],[CFNM]]/Table110475[[#This Row],[CAREA]]</f>
        <v>0.53907554969496252</v>
      </c>
      <c r="F845">
        <v>2.6568700000000001</v>
      </c>
      <c r="G845">
        <f>(Table211476[[#This Row],[time]]-2)*2</f>
        <v>1.3137400000000001</v>
      </c>
      <c r="H845">
        <v>54.017299999999999</v>
      </c>
      <c r="I845">
        <v>1.0199899999999999E-3</v>
      </c>
      <c r="J845">
        <f>Table211476[[#This Row],[CFNM]]/Table211476[[#This Row],[CAREA]]</f>
        <v>1.8882654260764604E-5</v>
      </c>
      <c r="K845">
        <v>2.6568700000000001</v>
      </c>
      <c r="L845">
        <f>(Table312477[[#This Row],[time]]-2)*2</f>
        <v>1.3137400000000001</v>
      </c>
      <c r="M845">
        <v>78.548599999999993</v>
      </c>
      <c r="N845">
        <v>31.784700000000001</v>
      </c>
      <c r="O845">
        <f>Table312477[[#This Row],[CFNM]]/Table312477[[#This Row],[CAREA]]</f>
        <v>0.40465011470605466</v>
      </c>
      <c r="P845">
        <v>2.6568700000000001</v>
      </c>
      <c r="Q845">
        <f>(Table413478[[#This Row],[time]]-2)*2</f>
        <v>1.3137400000000001</v>
      </c>
      <c r="R845">
        <v>72.764200000000002</v>
      </c>
      <c r="S845">
        <v>1.5017800000000001E-3</v>
      </c>
      <c r="T845">
        <f>Table413478[[#This Row],[CFNM]]/Table413478[[#This Row],[CAREA]]</f>
        <v>2.0638995550009484E-5</v>
      </c>
      <c r="U845">
        <v>2.6568700000000001</v>
      </c>
      <c r="V845">
        <f>(Table514479[[#This Row],[time]]-2)*2</f>
        <v>1.3137400000000001</v>
      </c>
      <c r="W845">
        <v>73.572000000000003</v>
      </c>
      <c r="X845">
        <v>27.025500000000001</v>
      </c>
      <c r="Y845">
        <f>Table514479[[#This Row],[CFNM]]/Table514479[[#This Row],[CAREA]]</f>
        <v>0.3673340401239602</v>
      </c>
      <c r="Z845">
        <v>2.6568700000000001</v>
      </c>
      <c r="AA845">
        <f>(Table615480[[#This Row],[time]]-2)*2</f>
        <v>1.3137400000000001</v>
      </c>
      <c r="AB845">
        <v>91.177899999999994</v>
      </c>
      <c r="AC845">
        <v>8.2208699999999997</v>
      </c>
      <c r="AD845">
        <f>Table615480[[#This Row],[CFNM]]/Table615480[[#This Row],[CAREA]]</f>
        <v>9.0162967122515439E-2</v>
      </c>
      <c r="AE845">
        <v>2.6568700000000001</v>
      </c>
      <c r="AF845">
        <f>(Table716481[[#This Row],[time]]-2)*2</f>
        <v>1.3137400000000001</v>
      </c>
      <c r="AG845">
        <v>75.956699999999998</v>
      </c>
      <c r="AH845">
        <v>55.648400000000002</v>
      </c>
      <c r="AI845">
        <f>Table716481[[#This Row],[CFNM]]/Table716481[[#This Row],[CAREA]]</f>
        <v>0.7326331975981053</v>
      </c>
      <c r="AJ845">
        <v>2.6568700000000001</v>
      </c>
      <c r="AK845">
        <f>(Table817482[[#This Row],[time]]-2)*2</f>
        <v>1.3137400000000001</v>
      </c>
      <c r="AL845">
        <v>79.212800000000001</v>
      </c>
      <c r="AM845">
        <v>9.5706000000000007</v>
      </c>
      <c r="AN845">
        <f>Table817482[[#This Row],[CFNM]]/Table817482[[#This Row],[CAREA]]</f>
        <v>0.12082138240284399</v>
      </c>
    </row>
    <row r="846" spans="1:40" x14ac:dyDescent="0.25">
      <c r="A846">
        <v>2.71794</v>
      </c>
      <c r="B846">
        <f>(Table110475[[#This Row],[time]]-2)*2</f>
        <v>1.43588</v>
      </c>
      <c r="C846">
        <v>71.675299999999993</v>
      </c>
      <c r="D846">
        <v>41.078800000000001</v>
      </c>
      <c r="E846">
        <f>Table110475[[#This Row],[CFNM]]/Table110475[[#This Row],[CAREA]]</f>
        <v>0.57312351674844764</v>
      </c>
      <c r="F846">
        <v>2.71794</v>
      </c>
      <c r="G846">
        <f>(Table211476[[#This Row],[time]]-2)*2</f>
        <v>1.43588</v>
      </c>
      <c r="H846">
        <v>49.615699999999997</v>
      </c>
      <c r="I846">
        <v>8.4302699999999999E-4</v>
      </c>
      <c r="J846">
        <f>Table211476[[#This Row],[CFNM]]/Table211476[[#This Row],[CAREA]]</f>
        <v>1.6991133854808057E-5</v>
      </c>
      <c r="K846">
        <v>2.71794</v>
      </c>
      <c r="L846">
        <f>(Table312477[[#This Row],[time]]-2)*2</f>
        <v>1.43588</v>
      </c>
      <c r="M846">
        <v>78.097399999999993</v>
      </c>
      <c r="N846">
        <v>33.557899999999997</v>
      </c>
      <c r="O846">
        <f>Table312477[[#This Row],[CFNM]]/Table312477[[#This Row],[CAREA]]</f>
        <v>0.42969292191545427</v>
      </c>
      <c r="P846">
        <v>2.71794</v>
      </c>
      <c r="Q846">
        <f>(Table413478[[#This Row],[time]]-2)*2</f>
        <v>1.43588</v>
      </c>
      <c r="R846">
        <v>66.151700000000005</v>
      </c>
      <c r="S846">
        <v>1.2897900000000001E-3</v>
      </c>
      <c r="T846">
        <f>Table413478[[#This Row],[CFNM]]/Table413478[[#This Row],[CAREA]]</f>
        <v>1.9497458115210948E-5</v>
      </c>
      <c r="U846">
        <v>2.71794</v>
      </c>
      <c r="V846">
        <f>(Table514479[[#This Row],[time]]-2)*2</f>
        <v>1.43588</v>
      </c>
      <c r="W846">
        <v>73.054299999999998</v>
      </c>
      <c r="X846">
        <v>28.889299999999999</v>
      </c>
      <c r="Y846">
        <f>Table514479[[#This Row],[CFNM]]/Table514479[[#This Row],[CAREA]]</f>
        <v>0.39544968605544095</v>
      </c>
      <c r="Z846">
        <v>2.71794</v>
      </c>
      <c r="AA846">
        <f>(Table615480[[#This Row],[time]]-2)*2</f>
        <v>1.43588</v>
      </c>
      <c r="AB846">
        <v>91.8553</v>
      </c>
      <c r="AC846">
        <v>7.5895599999999996</v>
      </c>
      <c r="AD846">
        <f>Table615480[[#This Row],[CFNM]]/Table615480[[#This Row],[CAREA]]</f>
        <v>8.2625172417922527E-2</v>
      </c>
      <c r="AE846">
        <v>2.71794</v>
      </c>
      <c r="AF846">
        <f>(Table716481[[#This Row],[time]]-2)*2</f>
        <v>1.43588</v>
      </c>
      <c r="AG846">
        <v>75.565700000000007</v>
      </c>
      <c r="AH846">
        <v>58.3626</v>
      </c>
      <c r="AI846">
        <f>Table716481[[#This Row],[CFNM]]/Table716481[[#This Row],[CAREA]]</f>
        <v>0.77234247813492096</v>
      </c>
      <c r="AJ846">
        <v>2.71794</v>
      </c>
      <c r="AK846">
        <f>(Table817482[[#This Row],[time]]-2)*2</f>
        <v>1.43588</v>
      </c>
      <c r="AL846">
        <v>78.425899999999999</v>
      </c>
      <c r="AM846">
        <v>8.8209</v>
      </c>
      <c r="AN846">
        <f>Table817482[[#This Row],[CFNM]]/Table817482[[#This Row],[CAREA]]</f>
        <v>0.11247432289588007</v>
      </c>
    </row>
    <row r="847" spans="1:40" x14ac:dyDescent="0.25">
      <c r="A847">
        <v>2.7618299999999998</v>
      </c>
      <c r="B847">
        <f>(Table110475[[#This Row],[time]]-2)*2</f>
        <v>1.5236599999999996</v>
      </c>
      <c r="C847">
        <v>70.996300000000005</v>
      </c>
      <c r="D847">
        <v>42.502299999999998</v>
      </c>
      <c r="E847">
        <f>Table110475[[#This Row],[CFNM]]/Table110475[[#This Row],[CAREA]]</f>
        <v>0.59865514118341367</v>
      </c>
      <c r="F847">
        <v>2.7618299999999998</v>
      </c>
      <c r="G847">
        <f>(Table211476[[#This Row],[time]]-2)*2</f>
        <v>1.5236599999999996</v>
      </c>
      <c r="H847">
        <v>45.732300000000002</v>
      </c>
      <c r="I847">
        <v>7.2592200000000005E-4</v>
      </c>
      <c r="J847">
        <f>Table211476[[#This Row],[CFNM]]/Table211476[[#This Row],[CAREA]]</f>
        <v>1.5873288682178679E-5</v>
      </c>
      <c r="K847">
        <v>2.7618299999999998</v>
      </c>
      <c r="L847">
        <f>(Table312477[[#This Row],[time]]-2)*2</f>
        <v>1.5236599999999996</v>
      </c>
      <c r="M847">
        <v>77.783000000000001</v>
      </c>
      <c r="N847">
        <v>34.820900000000002</v>
      </c>
      <c r="O847">
        <f>Table312477[[#This Row],[CFNM]]/Table312477[[#This Row],[CAREA]]</f>
        <v>0.44766722805754472</v>
      </c>
      <c r="P847">
        <v>2.7618299999999998</v>
      </c>
      <c r="Q847">
        <f>(Table413478[[#This Row],[time]]-2)*2</f>
        <v>1.5236599999999996</v>
      </c>
      <c r="R847">
        <v>61.918799999999997</v>
      </c>
      <c r="S847">
        <v>1.15142E-3</v>
      </c>
      <c r="T847">
        <f>Table413478[[#This Row],[CFNM]]/Table413478[[#This Row],[CAREA]]</f>
        <v>1.8595644618435759E-5</v>
      </c>
      <c r="U847">
        <v>2.7618299999999998</v>
      </c>
      <c r="V847">
        <f>(Table514479[[#This Row],[time]]-2)*2</f>
        <v>1.5236599999999996</v>
      </c>
      <c r="W847">
        <v>72.704700000000003</v>
      </c>
      <c r="X847">
        <v>30.247</v>
      </c>
      <c r="Y847">
        <f>Table514479[[#This Row],[CFNM]]/Table514479[[#This Row],[CAREA]]</f>
        <v>0.41602537387541655</v>
      </c>
      <c r="Z847">
        <v>2.7618299999999998</v>
      </c>
      <c r="AA847">
        <f>(Table615480[[#This Row],[time]]-2)*2</f>
        <v>1.5236599999999996</v>
      </c>
      <c r="AB847">
        <v>91.7</v>
      </c>
      <c r="AC847">
        <v>7.1698700000000004</v>
      </c>
      <c r="AD847">
        <f>Table615480[[#This Row],[CFNM]]/Table615480[[#This Row],[CAREA]]</f>
        <v>7.8188331515812434E-2</v>
      </c>
      <c r="AE847">
        <v>2.7618299999999998</v>
      </c>
      <c r="AF847">
        <f>(Table716481[[#This Row],[time]]-2)*2</f>
        <v>1.5236599999999996</v>
      </c>
      <c r="AG847">
        <v>74.918000000000006</v>
      </c>
      <c r="AH847">
        <v>60.267299999999999</v>
      </c>
      <c r="AI847">
        <f>Table716481[[#This Row],[CFNM]]/Table716481[[#This Row],[CAREA]]</f>
        <v>0.8044435249205798</v>
      </c>
      <c r="AJ847">
        <v>2.7618299999999998</v>
      </c>
      <c r="AK847">
        <f>(Table817482[[#This Row],[time]]-2)*2</f>
        <v>1.5236599999999996</v>
      </c>
      <c r="AL847">
        <v>77.951499999999996</v>
      </c>
      <c r="AM847">
        <v>8.2688199999999998</v>
      </c>
      <c r="AN847">
        <f>Table817482[[#This Row],[CFNM]]/Table817482[[#This Row],[CAREA]]</f>
        <v>0.10607647062596615</v>
      </c>
    </row>
    <row r="848" spans="1:40" x14ac:dyDescent="0.25">
      <c r="A848">
        <v>2.8017300000000001</v>
      </c>
      <c r="B848">
        <f>(Table110475[[#This Row],[time]]-2)*2</f>
        <v>1.6034600000000001</v>
      </c>
      <c r="C848">
        <v>70.382099999999994</v>
      </c>
      <c r="D848">
        <v>43.847900000000003</v>
      </c>
      <c r="E848">
        <f>Table110475[[#This Row],[CFNM]]/Table110475[[#This Row],[CAREA]]</f>
        <v>0.62299789293016272</v>
      </c>
      <c r="F848">
        <v>2.8017300000000001</v>
      </c>
      <c r="G848">
        <f>(Table211476[[#This Row],[time]]-2)*2</f>
        <v>1.6034600000000001</v>
      </c>
      <c r="H848">
        <v>42.194899999999997</v>
      </c>
      <c r="I848">
        <v>6.3048100000000001E-4</v>
      </c>
      <c r="J848">
        <f>Table211476[[#This Row],[CFNM]]/Table211476[[#This Row],[CAREA]]</f>
        <v>1.494211385736191E-5</v>
      </c>
      <c r="K848">
        <v>2.8017300000000001</v>
      </c>
      <c r="L848">
        <f>(Table312477[[#This Row],[time]]-2)*2</f>
        <v>1.6034600000000001</v>
      </c>
      <c r="M848">
        <v>77.487799999999993</v>
      </c>
      <c r="N848">
        <v>35.981999999999999</v>
      </c>
      <c r="O848">
        <f>Table312477[[#This Row],[CFNM]]/Table312477[[#This Row],[CAREA]]</f>
        <v>0.46435696974233365</v>
      </c>
      <c r="P848">
        <v>2.8017300000000001</v>
      </c>
      <c r="Q848">
        <f>(Table413478[[#This Row],[time]]-2)*2</f>
        <v>1.6034600000000001</v>
      </c>
      <c r="R848">
        <v>54.661000000000001</v>
      </c>
      <c r="S848">
        <v>1.0390499999999999E-3</v>
      </c>
      <c r="T848">
        <f>Table413478[[#This Row],[CFNM]]/Table413478[[#This Row],[CAREA]]</f>
        <v>1.9008982638444228E-5</v>
      </c>
      <c r="U848">
        <v>2.8017300000000001</v>
      </c>
      <c r="V848">
        <f>(Table514479[[#This Row],[time]]-2)*2</f>
        <v>1.6034600000000001</v>
      </c>
      <c r="W848">
        <v>72.4251</v>
      </c>
      <c r="X848">
        <v>31.503699999999998</v>
      </c>
      <c r="Y848">
        <f>Table514479[[#This Row],[CFNM]]/Table514479[[#This Row],[CAREA]]</f>
        <v>0.43498317572222889</v>
      </c>
      <c r="Z848">
        <v>2.8017300000000001</v>
      </c>
      <c r="AA848">
        <f>(Table615480[[#This Row],[time]]-2)*2</f>
        <v>1.6034600000000001</v>
      </c>
      <c r="AB848">
        <v>91.189400000000006</v>
      </c>
      <c r="AC848">
        <v>6.82653</v>
      </c>
      <c r="AD848">
        <f>Table615480[[#This Row],[CFNM]]/Table615480[[#This Row],[CAREA]]</f>
        <v>7.4861003581556618E-2</v>
      </c>
      <c r="AE848">
        <v>2.8017300000000001</v>
      </c>
      <c r="AF848">
        <f>(Table716481[[#This Row],[time]]-2)*2</f>
        <v>1.6034600000000001</v>
      </c>
      <c r="AG848">
        <v>74.674700000000001</v>
      </c>
      <c r="AH848">
        <v>61.955500000000001</v>
      </c>
      <c r="AI848">
        <f>Table716481[[#This Row],[CFNM]]/Table716481[[#This Row],[CAREA]]</f>
        <v>0.82967189690752019</v>
      </c>
      <c r="AJ848">
        <v>2.8017300000000001</v>
      </c>
      <c r="AK848">
        <f>(Table817482[[#This Row],[time]]-2)*2</f>
        <v>1.6034600000000001</v>
      </c>
      <c r="AL848">
        <v>77.534999999999997</v>
      </c>
      <c r="AM848">
        <v>7.7873400000000004</v>
      </c>
      <c r="AN848">
        <f>Table817482[[#This Row],[CFNM]]/Table817482[[#This Row],[CAREA]]</f>
        <v>0.10043644805571678</v>
      </c>
    </row>
    <row r="849" spans="1:40" x14ac:dyDescent="0.25">
      <c r="A849">
        <v>2.85494</v>
      </c>
      <c r="B849">
        <f>(Table110475[[#This Row],[time]]-2)*2</f>
        <v>1.7098800000000001</v>
      </c>
      <c r="C849">
        <v>69.72</v>
      </c>
      <c r="D849">
        <v>45.610300000000002</v>
      </c>
      <c r="E849">
        <f>Table110475[[#This Row],[CFNM]]/Table110475[[#This Row],[CAREA]]</f>
        <v>0.65419248422260479</v>
      </c>
      <c r="F849">
        <v>2.85494</v>
      </c>
      <c r="G849">
        <f>(Table211476[[#This Row],[time]]-2)*2</f>
        <v>1.7098800000000001</v>
      </c>
      <c r="H849">
        <v>36.576500000000003</v>
      </c>
      <c r="I849">
        <v>5.1240900000000002E-4</v>
      </c>
      <c r="J849">
        <f>Table211476[[#This Row],[CFNM]]/Table211476[[#This Row],[CAREA]]</f>
        <v>1.4009240906046231E-5</v>
      </c>
      <c r="K849">
        <v>2.85494</v>
      </c>
      <c r="L849">
        <f>(Table312477[[#This Row],[time]]-2)*2</f>
        <v>1.7098800000000001</v>
      </c>
      <c r="M849">
        <v>77.1053</v>
      </c>
      <c r="N849">
        <v>37.515000000000001</v>
      </c>
      <c r="O849">
        <f>Table312477[[#This Row],[CFNM]]/Table312477[[#This Row],[CAREA]]</f>
        <v>0.48654242963842953</v>
      </c>
      <c r="P849">
        <v>2.85494</v>
      </c>
      <c r="Q849">
        <f>(Table413478[[#This Row],[time]]-2)*2</f>
        <v>1.7098800000000001</v>
      </c>
      <c r="R849">
        <v>47.611199999999997</v>
      </c>
      <c r="S849">
        <v>9.1207799999999998E-4</v>
      </c>
      <c r="T849">
        <f>Table413478[[#This Row],[CFNM]]/Table413478[[#This Row],[CAREA]]</f>
        <v>1.9156795039822565E-5</v>
      </c>
      <c r="U849">
        <v>2.85494</v>
      </c>
      <c r="V849">
        <f>(Table514479[[#This Row],[time]]-2)*2</f>
        <v>1.7098800000000001</v>
      </c>
      <c r="W849">
        <v>71.999700000000004</v>
      </c>
      <c r="X849">
        <v>33.197800000000001</v>
      </c>
      <c r="Y849">
        <f>Table514479[[#This Row],[CFNM]]/Table514479[[#This Row],[CAREA]]</f>
        <v>0.46108247673254193</v>
      </c>
      <c r="Z849">
        <v>2.85494</v>
      </c>
      <c r="AA849">
        <f>(Table615480[[#This Row],[time]]-2)*2</f>
        <v>1.7098800000000001</v>
      </c>
      <c r="AB849">
        <v>92.286199999999994</v>
      </c>
      <c r="AC849">
        <v>6.3866300000000003</v>
      </c>
      <c r="AD849">
        <f>Table615480[[#This Row],[CFNM]]/Table615480[[#This Row],[CAREA]]</f>
        <v>6.9204604805485556E-2</v>
      </c>
      <c r="AE849">
        <v>2.85494</v>
      </c>
      <c r="AF849">
        <f>(Table716481[[#This Row],[time]]-2)*2</f>
        <v>1.7098800000000001</v>
      </c>
      <c r="AG849">
        <v>74.273899999999998</v>
      </c>
      <c r="AH849">
        <v>64.149799999999999</v>
      </c>
      <c r="AI849">
        <f>Table716481[[#This Row],[CFNM]]/Table716481[[#This Row],[CAREA]]</f>
        <v>0.86369236030422536</v>
      </c>
      <c r="AJ849">
        <v>2.85494</v>
      </c>
      <c r="AK849">
        <f>(Table817482[[#This Row],[time]]-2)*2</f>
        <v>1.7098800000000001</v>
      </c>
      <c r="AL849">
        <v>77.0501</v>
      </c>
      <c r="AM849">
        <v>7.1455799999999998</v>
      </c>
      <c r="AN849">
        <f>Table817482[[#This Row],[CFNM]]/Table817482[[#This Row],[CAREA]]</f>
        <v>9.2739399429721703E-2</v>
      </c>
    </row>
    <row r="850" spans="1:40" x14ac:dyDescent="0.25">
      <c r="A850">
        <v>2.90035</v>
      </c>
      <c r="B850">
        <f>(Table110475[[#This Row],[time]]-2)*2</f>
        <v>1.8007</v>
      </c>
      <c r="C850">
        <v>69.183400000000006</v>
      </c>
      <c r="D850">
        <v>47.126399999999997</v>
      </c>
      <c r="E850">
        <f>Table110475[[#This Row],[CFNM]]/Table110475[[#This Row],[CAREA]]</f>
        <v>0.68118074567020404</v>
      </c>
      <c r="F850">
        <v>2.90035</v>
      </c>
      <c r="G850">
        <f>(Table211476[[#This Row],[time]]-2)*2</f>
        <v>1.8007</v>
      </c>
      <c r="H850">
        <v>31.841200000000001</v>
      </c>
      <c r="I850">
        <v>4.2509200000000002E-4</v>
      </c>
      <c r="J850">
        <f>Table211476[[#This Row],[CFNM]]/Table211476[[#This Row],[CAREA]]</f>
        <v>1.3350376242101428E-5</v>
      </c>
      <c r="K850">
        <v>2.90035</v>
      </c>
      <c r="L850">
        <f>(Table312477[[#This Row],[time]]-2)*2</f>
        <v>1.8007</v>
      </c>
      <c r="M850">
        <v>76.706000000000003</v>
      </c>
      <c r="N850">
        <v>38.820300000000003</v>
      </c>
      <c r="O850">
        <f>Table312477[[#This Row],[CFNM]]/Table312477[[#This Row],[CAREA]]</f>
        <v>0.50609209188329463</v>
      </c>
      <c r="P850">
        <v>2.90035</v>
      </c>
      <c r="Q850">
        <f>(Table413478[[#This Row],[time]]-2)*2</f>
        <v>1.8007</v>
      </c>
      <c r="R850">
        <v>41.210599999999999</v>
      </c>
      <c r="S850">
        <v>8.1749800000000005E-4</v>
      </c>
      <c r="T850">
        <f>Table413478[[#This Row],[CFNM]]/Table413478[[#This Row],[CAREA]]</f>
        <v>1.9837080751068901E-5</v>
      </c>
      <c r="U850">
        <v>2.90035</v>
      </c>
      <c r="V850">
        <f>(Table514479[[#This Row],[time]]-2)*2</f>
        <v>1.8007</v>
      </c>
      <c r="W850">
        <v>70.864999999999995</v>
      </c>
      <c r="X850">
        <v>34.718600000000002</v>
      </c>
      <c r="Y850">
        <f>Table514479[[#This Row],[CFNM]]/Table514479[[#This Row],[CAREA]]</f>
        <v>0.48992591547308267</v>
      </c>
      <c r="Z850">
        <v>2.90035</v>
      </c>
      <c r="AA850">
        <f>(Table615480[[#This Row],[time]]-2)*2</f>
        <v>1.8007</v>
      </c>
      <c r="AB850">
        <v>92.0886</v>
      </c>
      <c r="AC850">
        <v>5.9991000000000003</v>
      </c>
      <c r="AD850">
        <f>Table615480[[#This Row],[CFNM]]/Table615480[[#This Row],[CAREA]]</f>
        <v>6.514487135215434E-2</v>
      </c>
      <c r="AE850">
        <v>2.90035</v>
      </c>
      <c r="AF850">
        <f>(Table716481[[#This Row],[time]]-2)*2</f>
        <v>1.8007</v>
      </c>
      <c r="AG850">
        <v>73.625200000000007</v>
      </c>
      <c r="AH850">
        <v>66.039400000000001</v>
      </c>
      <c r="AI850">
        <f>Table716481[[#This Row],[CFNM]]/Table716481[[#This Row],[CAREA]]</f>
        <v>0.89696734270331346</v>
      </c>
      <c r="AJ850">
        <v>2.90035</v>
      </c>
      <c r="AK850">
        <f>(Table817482[[#This Row],[time]]-2)*2</f>
        <v>1.8007</v>
      </c>
      <c r="AL850">
        <v>76.581599999999995</v>
      </c>
      <c r="AM850">
        <v>6.65808</v>
      </c>
      <c r="AN850">
        <f>Table817482[[#This Row],[CFNM]]/Table817482[[#This Row],[CAREA]]</f>
        <v>8.6940988435864494E-2</v>
      </c>
    </row>
    <row r="851" spans="1:40" x14ac:dyDescent="0.25">
      <c r="A851">
        <v>2.9513799999999999</v>
      </c>
      <c r="B851">
        <f>(Table110475[[#This Row],[time]]-2)*2</f>
        <v>1.9027599999999998</v>
      </c>
      <c r="C851">
        <v>68.529300000000006</v>
      </c>
      <c r="D851">
        <v>48.844700000000003</v>
      </c>
      <c r="E851">
        <f>Table110475[[#This Row],[CFNM]]/Table110475[[#This Row],[CAREA]]</f>
        <v>0.7127564414053551</v>
      </c>
      <c r="F851">
        <v>2.9513799999999999</v>
      </c>
      <c r="G851">
        <f>(Table211476[[#This Row],[time]]-2)*2</f>
        <v>1.9027599999999998</v>
      </c>
      <c r="H851">
        <v>27.32</v>
      </c>
      <c r="I851">
        <v>3.4443400000000002E-4</v>
      </c>
      <c r="J851">
        <f>Table211476[[#This Row],[CFNM]]/Table211476[[#This Row],[CAREA]]</f>
        <v>1.2607393850658858E-5</v>
      </c>
      <c r="K851">
        <v>2.9513799999999999</v>
      </c>
      <c r="L851">
        <f>(Table312477[[#This Row],[time]]-2)*2</f>
        <v>1.9027599999999998</v>
      </c>
      <c r="M851">
        <v>76.321100000000001</v>
      </c>
      <c r="N851">
        <v>40.270099999999999</v>
      </c>
      <c r="O851">
        <f>Table312477[[#This Row],[CFNM]]/Table312477[[#This Row],[CAREA]]</f>
        <v>0.52764045591586073</v>
      </c>
      <c r="P851">
        <v>2.9513799999999999</v>
      </c>
      <c r="Q851">
        <f>(Table413478[[#This Row],[time]]-2)*2</f>
        <v>1.9027599999999998</v>
      </c>
      <c r="R851">
        <v>38.976900000000001</v>
      </c>
      <c r="S851">
        <v>7.2336999999999998E-4</v>
      </c>
      <c r="T851">
        <f>Table413478[[#This Row],[CFNM]]/Table413478[[#This Row],[CAREA]]</f>
        <v>1.8558941321654621E-5</v>
      </c>
      <c r="U851">
        <v>2.9513799999999999</v>
      </c>
      <c r="V851">
        <f>(Table514479[[#This Row],[time]]-2)*2</f>
        <v>1.9027599999999998</v>
      </c>
      <c r="W851">
        <v>70.471599999999995</v>
      </c>
      <c r="X851">
        <v>36.448</v>
      </c>
      <c r="Y851">
        <f>Table514479[[#This Row],[CFNM]]/Table514479[[#This Row],[CAREA]]</f>
        <v>0.5172012555412393</v>
      </c>
      <c r="Z851">
        <v>2.9513799999999999</v>
      </c>
      <c r="AA851">
        <f>(Table615480[[#This Row],[time]]-2)*2</f>
        <v>1.9027599999999998</v>
      </c>
      <c r="AB851">
        <v>91.312600000000003</v>
      </c>
      <c r="AC851">
        <v>5.5504499999999997</v>
      </c>
      <c r="AD851">
        <f>Table615480[[#This Row],[CFNM]]/Table615480[[#This Row],[CAREA]]</f>
        <v>6.0785149037482222E-2</v>
      </c>
      <c r="AE851">
        <v>2.9513799999999999</v>
      </c>
      <c r="AF851">
        <f>(Table716481[[#This Row],[time]]-2)*2</f>
        <v>1.9027599999999998</v>
      </c>
      <c r="AG851">
        <v>73.197800000000001</v>
      </c>
      <c r="AH851">
        <v>68.152699999999996</v>
      </c>
      <c r="AI851">
        <f>Table716481[[#This Row],[CFNM]]/Table716481[[#This Row],[CAREA]]</f>
        <v>0.93107579736002988</v>
      </c>
      <c r="AJ851">
        <v>2.9513799999999999</v>
      </c>
      <c r="AK851">
        <f>(Table817482[[#This Row],[time]]-2)*2</f>
        <v>1.9027599999999998</v>
      </c>
      <c r="AL851">
        <v>75.937799999999996</v>
      </c>
      <c r="AM851">
        <v>6.0914400000000004</v>
      </c>
      <c r="AN851">
        <f>Table817482[[#This Row],[CFNM]]/Table817482[[#This Row],[CAREA]]</f>
        <v>8.0216176923745497E-2</v>
      </c>
    </row>
    <row r="852" spans="1:40" x14ac:dyDescent="0.25">
      <c r="A852">
        <v>3</v>
      </c>
      <c r="B852">
        <f>(Table110475[[#This Row],[time]]-2)*2</f>
        <v>2</v>
      </c>
      <c r="C852">
        <v>67.676000000000002</v>
      </c>
      <c r="D852">
        <v>50.456800000000001</v>
      </c>
      <c r="E852">
        <f>Table110475[[#This Row],[CFNM]]/Table110475[[#This Row],[CAREA]]</f>
        <v>0.74556415863821734</v>
      </c>
      <c r="F852">
        <v>3</v>
      </c>
      <c r="G852">
        <f>(Table211476[[#This Row],[time]]-2)*2</f>
        <v>2</v>
      </c>
      <c r="H852">
        <v>23.410599999999999</v>
      </c>
      <c r="I852">
        <v>2.8202799999999998E-4</v>
      </c>
      <c r="J852">
        <f>Table211476[[#This Row],[CFNM]]/Table211476[[#This Row],[CAREA]]</f>
        <v>1.2047021434734692E-5</v>
      </c>
      <c r="K852">
        <v>3</v>
      </c>
      <c r="L852">
        <f>(Table312477[[#This Row],[time]]-2)*2</f>
        <v>2</v>
      </c>
      <c r="M852">
        <v>76.045699999999997</v>
      </c>
      <c r="N852">
        <v>41.641500000000001</v>
      </c>
      <c r="O852">
        <f>Table312477[[#This Row],[CFNM]]/Table312477[[#This Row],[CAREA]]</f>
        <v>0.54758520205613204</v>
      </c>
      <c r="P852">
        <v>3</v>
      </c>
      <c r="Q852">
        <f>(Table413478[[#This Row],[time]]-2)*2</f>
        <v>2</v>
      </c>
      <c r="R852">
        <v>35.8765</v>
      </c>
      <c r="S852">
        <v>6.3845500000000001E-4</v>
      </c>
      <c r="T852">
        <f>Table413478[[#This Row],[CFNM]]/Table413478[[#This Row],[CAREA]]</f>
        <v>1.7795910972363524E-5</v>
      </c>
      <c r="U852">
        <v>3</v>
      </c>
      <c r="V852">
        <f>(Table514479[[#This Row],[time]]-2)*2</f>
        <v>2</v>
      </c>
      <c r="W852">
        <v>70.008899999999997</v>
      </c>
      <c r="X852">
        <v>38.113599999999998</v>
      </c>
      <c r="Y852">
        <f>Table514479[[#This Row],[CFNM]]/Table514479[[#This Row],[CAREA]]</f>
        <v>0.54441078205770976</v>
      </c>
      <c r="Z852">
        <v>3</v>
      </c>
      <c r="AA852">
        <f>(Table615480[[#This Row],[time]]-2)*2</f>
        <v>2</v>
      </c>
      <c r="AB852">
        <v>91.136399999999995</v>
      </c>
      <c r="AC852">
        <v>5.1139999999999999</v>
      </c>
      <c r="AD852">
        <f>Table615480[[#This Row],[CFNM]]/Table615480[[#This Row],[CAREA]]</f>
        <v>5.6113693321219626E-2</v>
      </c>
      <c r="AE852">
        <v>3</v>
      </c>
      <c r="AF852">
        <f>(Table716481[[#This Row],[time]]-2)*2</f>
        <v>2</v>
      </c>
      <c r="AG852">
        <v>72.795400000000001</v>
      </c>
      <c r="AH852">
        <v>70.167000000000002</v>
      </c>
      <c r="AI852">
        <f>Table716481[[#This Row],[CFNM]]/Table716481[[#This Row],[CAREA]]</f>
        <v>0.96389332292974561</v>
      </c>
      <c r="AJ852">
        <v>3</v>
      </c>
      <c r="AK852">
        <f>(Table817482[[#This Row],[time]]-2)*2</f>
        <v>2</v>
      </c>
      <c r="AL852">
        <v>75.429400000000001</v>
      </c>
      <c r="AM852">
        <v>5.56128</v>
      </c>
      <c r="AN852">
        <f>Table817482[[#This Row],[CFNM]]/Table817482[[#This Row],[CAREA]]</f>
        <v>7.3728281015094904E-2</v>
      </c>
    </row>
  </sheetData>
  <pageMargins left="0.7" right="0.7" top="0.75" bottom="0.75" header="0.3" footer="0.3"/>
  <tableParts count="240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  <tablePart r:id="rId52"/>
    <tablePart r:id="rId53"/>
    <tablePart r:id="rId54"/>
    <tablePart r:id="rId55"/>
    <tablePart r:id="rId56"/>
    <tablePart r:id="rId57"/>
    <tablePart r:id="rId58"/>
    <tablePart r:id="rId59"/>
    <tablePart r:id="rId60"/>
    <tablePart r:id="rId61"/>
    <tablePart r:id="rId62"/>
    <tablePart r:id="rId63"/>
    <tablePart r:id="rId64"/>
    <tablePart r:id="rId65"/>
    <tablePart r:id="rId66"/>
    <tablePart r:id="rId67"/>
    <tablePart r:id="rId68"/>
    <tablePart r:id="rId69"/>
    <tablePart r:id="rId70"/>
    <tablePart r:id="rId71"/>
    <tablePart r:id="rId72"/>
    <tablePart r:id="rId73"/>
    <tablePart r:id="rId74"/>
    <tablePart r:id="rId75"/>
    <tablePart r:id="rId76"/>
    <tablePart r:id="rId77"/>
    <tablePart r:id="rId78"/>
    <tablePart r:id="rId79"/>
    <tablePart r:id="rId80"/>
    <tablePart r:id="rId81"/>
    <tablePart r:id="rId82"/>
    <tablePart r:id="rId83"/>
    <tablePart r:id="rId84"/>
    <tablePart r:id="rId85"/>
    <tablePart r:id="rId86"/>
    <tablePart r:id="rId87"/>
    <tablePart r:id="rId88"/>
    <tablePart r:id="rId89"/>
    <tablePart r:id="rId90"/>
    <tablePart r:id="rId91"/>
    <tablePart r:id="rId92"/>
    <tablePart r:id="rId93"/>
    <tablePart r:id="rId94"/>
    <tablePart r:id="rId95"/>
    <tablePart r:id="rId96"/>
    <tablePart r:id="rId97"/>
    <tablePart r:id="rId98"/>
    <tablePart r:id="rId99"/>
    <tablePart r:id="rId100"/>
    <tablePart r:id="rId101"/>
    <tablePart r:id="rId102"/>
    <tablePart r:id="rId103"/>
    <tablePart r:id="rId104"/>
    <tablePart r:id="rId105"/>
    <tablePart r:id="rId106"/>
    <tablePart r:id="rId107"/>
    <tablePart r:id="rId108"/>
    <tablePart r:id="rId109"/>
    <tablePart r:id="rId110"/>
    <tablePart r:id="rId111"/>
    <tablePart r:id="rId112"/>
    <tablePart r:id="rId113"/>
    <tablePart r:id="rId114"/>
    <tablePart r:id="rId115"/>
    <tablePart r:id="rId116"/>
    <tablePart r:id="rId117"/>
    <tablePart r:id="rId118"/>
    <tablePart r:id="rId119"/>
    <tablePart r:id="rId120"/>
    <tablePart r:id="rId121"/>
    <tablePart r:id="rId122"/>
    <tablePart r:id="rId123"/>
    <tablePart r:id="rId124"/>
    <tablePart r:id="rId125"/>
    <tablePart r:id="rId126"/>
    <tablePart r:id="rId127"/>
    <tablePart r:id="rId128"/>
    <tablePart r:id="rId129"/>
    <tablePart r:id="rId130"/>
    <tablePart r:id="rId131"/>
    <tablePart r:id="rId132"/>
    <tablePart r:id="rId133"/>
    <tablePart r:id="rId134"/>
    <tablePart r:id="rId135"/>
    <tablePart r:id="rId136"/>
    <tablePart r:id="rId137"/>
    <tablePart r:id="rId138"/>
    <tablePart r:id="rId139"/>
    <tablePart r:id="rId140"/>
    <tablePart r:id="rId141"/>
    <tablePart r:id="rId142"/>
    <tablePart r:id="rId143"/>
    <tablePart r:id="rId144"/>
    <tablePart r:id="rId145"/>
    <tablePart r:id="rId146"/>
    <tablePart r:id="rId147"/>
    <tablePart r:id="rId148"/>
    <tablePart r:id="rId149"/>
    <tablePart r:id="rId150"/>
    <tablePart r:id="rId151"/>
    <tablePart r:id="rId152"/>
    <tablePart r:id="rId153"/>
    <tablePart r:id="rId154"/>
    <tablePart r:id="rId155"/>
    <tablePart r:id="rId156"/>
    <tablePart r:id="rId157"/>
    <tablePart r:id="rId158"/>
    <tablePart r:id="rId159"/>
    <tablePart r:id="rId160"/>
    <tablePart r:id="rId161"/>
    <tablePart r:id="rId162"/>
    <tablePart r:id="rId163"/>
    <tablePart r:id="rId164"/>
    <tablePart r:id="rId165"/>
    <tablePart r:id="rId166"/>
    <tablePart r:id="rId167"/>
    <tablePart r:id="rId168"/>
    <tablePart r:id="rId169"/>
    <tablePart r:id="rId170"/>
    <tablePart r:id="rId171"/>
    <tablePart r:id="rId172"/>
    <tablePart r:id="rId173"/>
    <tablePart r:id="rId174"/>
    <tablePart r:id="rId175"/>
    <tablePart r:id="rId176"/>
    <tablePart r:id="rId177"/>
    <tablePart r:id="rId178"/>
    <tablePart r:id="rId179"/>
    <tablePart r:id="rId180"/>
    <tablePart r:id="rId181"/>
    <tablePart r:id="rId182"/>
    <tablePart r:id="rId183"/>
    <tablePart r:id="rId184"/>
    <tablePart r:id="rId185"/>
    <tablePart r:id="rId186"/>
    <tablePart r:id="rId187"/>
    <tablePart r:id="rId188"/>
    <tablePart r:id="rId189"/>
    <tablePart r:id="rId190"/>
    <tablePart r:id="rId191"/>
    <tablePart r:id="rId192"/>
    <tablePart r:id="rId193"/>
    <tablePart r:id="rId194"/>
    <tablePart r:id="rId195"/>
    <tablePart r:id="rId196"/>
    <tablePart r:id="rId197"/>
    <tablePart r:id="rId198"/>
    <tablePart r:id="rId199"/>
    <tablePart r:id="rId200"/>
    <tablePart r:id="rId201"/>
    <tablePart r:id="rId202"/>
    <tablePart r:id="rId203"/>
    <tablePart r:id="rId204"/>
    <tablePart r:id="rId205"/>
    <tablePart r:id="rId206"/>
    <tablePart r:id="rId207"/>
    <tablePart r:id="rId208"/>
    <tablePart r:id="rId209"/>
    <tablePart r:id="rId210"/>
    <tablePart r:id="rId211"/>
    <tablePart r:id="rId212"/>
    <tablePart r:id="rId213"/>
    <tablePart r:id="rId214"/>
    <tablePart r:id="rId215"/>
    <tablePart r:id="rId216"/>
    <tablePart r:id="rId217"/>
    <tablePart r:id="rId218"/>
    <tablePart r:id="rId219"/>
    <tablePart r:id="rId220"/>
    <tablePart r:id="rId221"/>
    <tablePart r:id="rId222"/>
    <tablePart r:id="rId223"/>
    <tablePart r:id="rId224"/>
    <tablePart r:id="rId225"/>
    <tablePart r:id="rId226"/>
    <tablePart r:id="rId227"/>
    <tablePart r:id="rId228"/>
    <tablePart r:id="rId229"/>
    <tablePart r:id="rId230"/>
    <tablePart r:id="rId231"/>
    <tablePart r:id="rId232"/>
    <tablePart r:id="rId233"/>
    <tablePart r:id="rId234"/>
    <tablePart r:id="rId235"/>
    <tablePart r:id="rId236"/>
    <tablePart r:id="rId237"/>
    <tablePart r:id="rId238"/>
    <tablePart r:id="rId239"/>
    <tablePart r:id="rId24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Sophie Turner</dc:creator>
  <cp:lastModifiedBy>Turner, Sophie</cp:lastModifiedBy>
  <dcterms:created xsi:type="dcterms:W3CDTF">2021-06-10T20:29:30Z</dcterms:created>
  <dcterms:modified xsi:type="dcterms:W3CDTF">2021-06-10T22:43:27Z</dcterms:modified>
</cp:coreProperties>
</file>