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M33" i="1" s="1"/>
  <c r="Q36" i="1"/>
  <c r="P36" i="1"/>
  <c r="O36" i="1"/>
  <c r="N37" i="1"/>
  <c r="N33" i="1" s="1"/>
  <c r="L37" i="1"/>
  <c r="L33" i="1" s="1"/>
  <c r="N36" i="1"/>
  <c r="M36" i="1"/>
  <c r="L36" i="1"/>
  <c r="K36" i="1"/>
  <c r="J36" i="1"/>
  <c r="I36" i="1"/>
  <c r="G37" i="1"/>
  <c r="G33" i="1" s="1"/>
  <c r="H37" i="1"/>
  <c r="H33" i="1" s="1"/>
  <c r="F37" i="1"/>
  <c r="F33" i="1" s="1"/>
  <c r="I33" i="1" s="1"/>
  <c r="H36" i="1"/>
  <c r="G36" i="1"/>
  <c r="F36" i="1"/>
  <c r="Q20" i="1"/>
  <c r="P20" i="1"/>
  <c r="F6" i="1"/>
  <c r="F7" i="1"/>
  <c r="F8" i="1"/>
  <c r="F9" i="1"/>
  <c r="F10" i="1"/>
  <c r="E6" i="1"/>
  <c r="E7" i="1"/>
  <c r="E8" i="1"/>
  <c r="E9" i="1"/>
  <c r="E10" i="1"/>
  <c r="D6" i="1"/>
  <c r="D7" i="1"/>
  <c r="D8" i="1"/>
  <c r="D9" i="1"/>
  <c r="D10" i="1"/>
  <c r="D5" i="1"/>
  <c r="F5" i="1"/>
  <c r="E5" i="1"/>
  <c r="O33" i="1" l="1"/>
  <c r="F12" i="1"/>
  <c r="E12" i="1"/>
  <c r="D12" i="1"/>
  <c r="S9" i="1"/>
  <c r="R9" i="1"/>
  <c r="Q9" i="1"/>
  <c r="G12" i="1" l="1"/>
  <c r="G9" i="1"/>
  <c r="T9" i="1"/>
  <c r="S10" i="1"/>
  <c r="R10" i="1"/>
  <c r="Q10" i="1"/>
  <c r="S8" i="1"/>
  <c r="R8" i="1"/>
  <c r="Q8" i="1"/>
  <c r="S7" i="1"/>
  <c r="R7" i="1"/>
  <c r="Q7" i="1"/>
  <c r="Q6" i="1"/>
  <c r="R6" i="1"/>
  <c r="S6" i="1"/>
  <c r="S5" i="1"/>
  <c r="R5" i="1"/>
  <c r="Q5" i="1"/>
  <c r="G6" i="1" l="1"/>
  <c r="G10" i="1"/>
  <c r="G7" i="1"/>
  <c r="T5" i="1"/>
  <c r="G8" i="1"/>
  <c r="G5" i="1"/>
  <c r="T6" i="1"/>
  <c r="T8" i="1"/>
  <c r="T10" i="1"/>
  <c r="T7" i="1"/>
</calcChain>
</file>

<file path=xl/sharedStrings.xml><?xml version="1.0" encoding="utf-8"?>
<sst xmlns="http://schemas.openxmlformats.org/spreadsheetml/2006/main" count="106" uniqueCount="47">
  <si>
    <t>Model</t>
  </si>
  <si>
    <t>ID</t>
  </si>
  <si>
    <t>Loading Scenario</t>
  </si>
  <si>
    <t>Annular Bulge(mm)</t>
  </si>
  <si>
    <t>1:SlideSlide Tether</t>
  </si>
  <si>
    <t>Pre</t>
  </si>
  <si>
    <t>Magnitude</t>
  </si>
  <si>
    <t>Node:</t>
  </si>
  <si>
    <t>S2_4P_SlideSlide_tether</t>
  </si>
  <si>
    <t>S2_5N_SlideSlide_tether</t>
  </si>
  <si>
    <t>S2_4N_SlideSlide_tether</t>
  </si>
  <si>
    <t>S2_5P_SlideSlide_tether</t>
  </si>
  <si>
    <t>Inf/Superior</t>
  </si>
  <si>
    <t>Superior</t>
  </si>
  <si>
    <t>S2_6P_SlideSlide_tether</t>
  </si>
  <si>
    <t>Inferior</t>
  </si>
  <si>
    <t>Check</t>
  </si>
  <si>
    <t>5.96907, 433.772, -698.465</t>
  </si>
  <si>
    <t>7.8138, 423.299, -706.388</t>
  </si>
  <si>
    <t>-3.30484, 438.335, -697.5</t>
  </si>
  <si>
    <t>16.7848, 442.136, -701.73</t>
  </si>
  <si>
    <t>14.8927, 435.301, -702.193</t>
  </si>
  <si>
    <t>Orig. cords</t>
  </si>
  <si>
    <t>Def. cords</t>
  </si>
  <si>
    <t>S2_6N_SlideSlide_tether</t>
  </si>
  <si>
    <t>4.10859, 434.432, -698.78</t>
  </si>
  <si>
    <t>-0.642844, 432.63, -731.909</t>
  </si>
  <si>
    <t>-0.590567, 430.37, -735.254</t>
  </si>
  <si>
    <t>x</t>
  </si>
  <si>
    <t>y</t>
  </si>
  <si>
    <t>z</t>
  </si>
  <si>
    <t>Attempt at replicating Wes' data</t>
  </si>
  <si>
    <t>4P(flexion)</t>
  </si>
  <si>
    <t>org. coords ref pt.</t>
  </si>
  <si>
    <t>org coords of center annulus</t>
  </si>
  <si>
    <t>def. coords of ref pt.</t>
  </si>
  <si>
    <t>def. coords of center annulus</t>
  </si>
  <si>
    <t>displacement of ref pt. (mm)</t>
  </si>
  <si>
    <t>displacement of center annulus</t>
  </si>
  <si>
    <t>ref vector</t>
  </si>
  <si>
    <t>annulus vector</t>
  </si>
  <si>
    <t>vector</t>
  </si>
  <si>
    <t>mag</t>
  </si>
  <si>
    <t>4N (tension)</t>
  </si>
  <si>
    <t>bulge(flexion</t>
  </si>
  <si>
    <t>multiplied by .5 =&gt;</t>
  </si>
  <si>
    <t>bulge(tension)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</si>
</sst>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quotePrefix="1"/>
    <xf numFmtId="0" fontId="0" fillId="0" borderId="1" xfId="0" applyFont="1" applyFill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tabSelected="1" topLeftCell="E10" workbookViewId="0">
      <selection activeCell="R35" sqref="R35"/>
    </sheetView>
  </sheetViews>
  <sheetFormatPr defaultRowHeight="15" x14ac:dyDescent="0.25"/>
  <cols>
    <col min="1" max="1" width="23.85546875" bestFit="1" customWidth="1"/>
    <col min="2" max="2" width="10.85546875" bestFit="1" customWidth="1"/>
    <col min="3" max="3" width="23.140625" bestFit="1" customWidth="1"/>
    <col min="4" max="4" width="23.85546875" bestFit="1" customWidth="1"/>
    <col min="5" max="5" width="22.85546875" bestFit="1" customWidth="1"/>
    <col min="6" max="6" width="14.28515625" bestFit="1" customWidth="1"/>
    <col min="7" max="7" width="10.5703125" bestFit="1" customWidth="1"/>
    <col min="8" max="8" width="8.7109375" bestFit="1" customWidth="1"/>
    <col min="9" max="9" width="25.7109375" bestFit="1" customWidth="1"/>
    <col min="10" max="10" width="24.5703125" bestFit="1" customWidth="1"/>
    <col min="11" max="11" width="12.5703125" bestFit="1" customWidth="1"/>
    <col min="12" max="12" width="24.5703125" bestFit="1" customWidth="1"/>
    <col min="13" max="13" width="18.5703125" bestFit="1" customWidth="1"/>
    <col min="15" max="15" width="11.85546875" bestFit="1" customWidth="1"/>
    <col min="16" max="16" width="27" bestFit="1" customWidth="1"/>
    <col min="17" max="17" width="29.42578125" bestFit="1" customWidth="1"/>
    <col min="18" max="18" width="25.7109375" bestFit="1" customWidth="1"/>
    <col min="19" max="19" width="24.5703125" bestFit="1" customWidth="1"/>
  </cols>
  <sheetData>
    <row r="2" spans="1:23" x14ac:dyDescent="0.25">
      <c r="A2" s="1" t="s">
        <v>0</v>
      </c>
      <c r="B2" s="1" t="s">
        <v>1</v>
      </c>
      <c r="C2" s="1" t="s">
        <v>2</v>
      </c>
      <c r="D2" s="2" t="s">
        <v>3</v>
      </c>
      <c r="E2" s="1"/>
      <c r="F2" s="1"/>
      <c r="G2" s="1"/>
      <c r="H2" s="1" t="s">
        <v>7</v>
      </c>
      <c r="I2" s="1" t="s">
        <v>22</v>
      </c>
      <c r="J2" s="1"/>
      <c r="K2" s="1"/>
      <c r="L2" s="1" t="s">
        <v>23</v>
      </c>
      <c r="M2" s="1"/>
      <c r="N2" s="1"/>
      <c r="O2" s="2" t="s">
        <v>12</v>
      </c>
      <c r="P2" s="4" t="s">
        <v>16</v>
      </c>
      <c r="Q2" s="4" t="s">
        <v>3</v>
      </c>
      <c r="R2" s="1"/>
      <c r="S2" s="1"/>
      <c r="T2" s="1"/>
      <c r="U2" s="1" t="s">
        <v>7</v>
      </c>
      <c r="V2" s="1" t="s">
        <v>22</v>
      </c>
      <c r="W2" s="1" t="s">
        <v>23</v>
      </c>
    </row>
    <row r="3" spans="1:23" x14ac:dyDescent="0.25">
      <c r="D3">
        <v>1</v>
      </c>
      <c r="E3">
        <v>2</v>
      </c>
      <c r="F3">
        <v>3</v>
      </c>
      <c r="G3" t="s">
        <v>6</v>
      </c>
      <c r="I3" t="s">
        <v>28</v>
      </c>
      <c r="J3" t="s">
        <v>29</v>
      </c>
      <c r="K3" t="s">
        <v>30</v>
      </c>
      <c r="L3" t="s">
        <v>28</v>
      </c>
      <c r="M3" t="s">
        <v>29</v>
      </c>
      <c r="N3" t="s">
        <v>30</v>
      </c>
      <c r="P3" s="5"/>
      <c r="Q3">
        <v>1</v>
      </c>
      <c r="R3">
        <v>2</v>
      </c>
      <c r="S3">
        <v>3</v>
      </c>
      <c r="T3" t="s">
        <v>6</v>
      </c>
    </row>
    <row r="4" spans="1:23" x14ac:dyDescent="0.25">
      <c r="A4" t="s">
        <v>4</v>
      </c>
      <c r="B4" t="s">
        <v>5</v>
      </c>
      <c r="I4">
        <v>-0.17650199999999999</v>
      </c>
      <c r="J4">
        <v>433.95400000000001</v>
      </c>
      <c r="K4">
        <v>-698.85400000000004</v>
      </c>
      <c r="P4" s="5"/>
    </row>
    <row r="5" spans="1:23" x14ac:dyDescent="0.25">
      <c r="B5">
        <v>1</v>
      </c>
      <c r="C5" t="s">
        <v>10</v>
      </c>
      <c r="D5">
        <f>L5-$I$4</f>
        <v>1.3273619999999999</v>
      </c>
      <c r="E5">
        <f>M5-$J$4</f>
        <v>-11.761000000000024</v>
      </c>
      <c r="F5">
        <f>N5-$K$4</f>
        <v>-7.9309999999999263</v>
      </c>
      <c r="G5">
        <f>SQRT(D5^2+E5^2+F5^2)</f>
        <v>14.247237341991724</v>
      </c>
      <c r="H5">
        <v>33106</v>
      </c>
      <c r="L5">
        <v>1.15086</v>
      </c>
      <c r="M5">
        <v>422.19299999999998</v>
      </c>
      <c r="N5">
        <v>-706.78499999999997</v>
      </c>
      <c r="O5" t="s">
        <v>13</v>
      </c>
      <c r="P5" s="5"/>
      <c r="Q5">
        <f>7.8138-5.96907</f>
        <v>1.8447299999999993</v>
      </c>
      <c r="R5">
        <f>423.299-433.772</f>
        <v>-10.473000000000013</v>
      </c>
      <c r="S5">
        <f>-706.388-(-698.465)</f>
        <v>-7.9230000000000018</v>
      </c>
      <c r="T5">
        <f>SQRT(Q5^2+R5^2+S5^2)</f>
        <v>13.26124755718331</v>
      </c>
      <c r="U5">
        <v>34116</v>
      </c>
      <c r="V5" t="s">
        <v>17</v>
      </c>
      <c r="W5" t="s">
        <v>18</v>
      </c>
    </row>
    <row r="6" spans="1:23" x14ac:dyDescent="0.25">
      <c r="B6">
        <v>2</v>
      </c>
      <c r="C6" t="s">
        <v>8</v>
      </c>
      <c r="D6">
        <f t="shared" ref="D6:D10" si="0">L6-$I$4</f>
        <v>1.3273619999999999</v>
      </c>
      <c r="E6">
        <f t="shared" ref="E6:E10" si="1">M6-$J$4</f>
        <v>-11.761000000000024</v>
      </c>
      <c r="F6">
        <f t="shared" ref="F6:F10" si="2">N6-$K$4</f>
        <v>-7.9309999999999263</v>
      </c>
      <c r="G6">
        <f t="shared" ref="G6:G8" si="3">SQRT(D6^2+E6^2+F6^2)</f>
        <v>14.247237341991724</v>
      </c>
      <c r="H6">
        <v>33106</v>
      </c>
      <c r="L6">
        <v>1.15086</v>
      </c>
      <c r="M6">
        <v>422.19299999999998</v>
      </c>
      <c r="N6">
        <v>-706.78499999999997</v>
      </c>
      <c r="O6" t="s">
        <v>13</v>
      </c>
      <c r="P6" s="5"/>
      <c r="Q6">
        <f>7.8138-5.96907</f>
        <v>1.8447299999999993</v>
      </c>
      <c r="R6">
        <f>423.299-433.772</f>
        <v>-10.473000000000013</v>
      </c>
      <c r="S6">
        <f>-706.388-(-698.465)</f>
        <v>-7.9230000000000018</v>
      </c>
      <c r="T6">
        <f>SQRT(Q6^2+R6^2+S6^2)</f>
        <v>13.26124755718331</v>
      </c>
      <c r="U6">
        <v>34116</v>
      </c>
      <c r="V6" t="s">
        <v>17</v>
      </c>
      <c r="W6" t="s">
        <v>18</v>
      </c>
    </row>
    <row r="7" spans="1:23" x14ac:dyDescent="0.25">
      <c r="B7">
        <v>3</v>
      </c>
      <c r="C7" t="s">
        <v>9</v>
      </c>
      <c r="D7">
        <f t="shared" si="0"/>
        <v>-9.0760780000000008</v>
      </c>
      <c r="E7">
        <f t="shared" si="1"/>
        <v>4.1499999999999773</v>
      </c>
      <c r="F7">
        <f t="shared" si="2"/>
        <v>-0.32099999999991269</v>
      </c>
      <c r="G7">
        <f t="shared" si="3"/>
        <v>9.9850254312186788</v>
      </c>
      <c r="H7">
        <v>33106</v>
      </c>
      <c r="L7">
        <v>-9.25258</v>
      </c>
      <c r="M7">
        <v>438.10399999999998</v>
      </c>
      <c r="N7">
        <v>-699.17499999999995</v>
      </c>
      <c r="O7" t="s">
        <v>13</v>
      </c>
      <c r="P7" s="5"/>
      <c r="Q7">
        <f>-3.30484-(5.96907)</f>
        <v>-9.2739100000000008</v>
      </c>
      <c r="R7">
        <f>438.355-(433.772)</f>
        <v>4.5830000000000268</v>
      </c>
      <c r="S7">
        <f>-697.5-(-698.465)</f>
        <v>0.96500000000003183</v>
      </c>
      <c r="T7">
        <f t="shared" ref="T7:T8" si="4">SQRT(Q7^2+R7^2+S7^2)</f>
        <v>10.389442751567589</v>
      </c>
      <c r="U7">
        <v>34116</v>
      </c>
      <c r="V7" s="3" t="s">
        <v>17</v>
      </c>
      <c r="W7" s="3" t="s">
        <v>19</v>
      </c>
    </row>
    <row r="8" spans="1:23" x14ac:dyDescent="0.25">
      <c r="B8">
        <v>4</v>
      </c>
      <c r="C8" t="s">
        <v>11</v>
      </c>
      <c r="D8">
        <f t="shared" si="0"/>
        <v>11.480701999999999</v>
      </c>
      <c r="E8">
        <f t="shared" si="1"/>
        <v>6.0949999999999704</v>
      </c>
      <c r="F8">
        <f t="shared" si="2"/>
        <v>-0.71600000000000819</v>
      </c>
      <c r="G8">
        <f t="shared" si="3"/>
        <v>13.017995214809522</v>
      </c>
      <c r="H8">
        <v>33106</v>
      </c>
      <c r="L8">
        <v>11.3042</v>
      </c>
      <c r="M8">
        <v>440.04899999999998</v>
      </c>
      <c r="N8">
        <v>-699.57</v>
      </c>
      <c r="O8" t="s">
        <v>13</v>
      </c>
      <c r="P8" s="5"/>
      <c r="Q8">
        <f>16.7848-5.96907</f>
        <v>10.81573</v>
      </c>
      <c r="R8">
        <f>442.136-433.772</f>
        <v>8.3640000000000327</v>
      </c>
      <c r="S8">
        <f>-701.73-(-698.465)</f>
        <v>-3.2649999999999864</v>
      </c>
      <c r="T8">
        <f t="shared" si="4"/>
        <v>14.056910629042942</v>
      </c>
      <c r="U8">
        <v>34116</v>
      </c>
      <c r="V8" s="3" t="s">
        <v>17</v>
      </c>
      <c r="W8" t="s">
        <v>20</v>
      </c>
    </row>
    <row r="9" spans="1:23" x14ac:dyDescent="0.25">
      <c r="B9">
        <v>5</v>
      </c>
      <c r="C9" t="s">
        <v>24</v>
      </c>
      <c r="D9">
        <f t="shared" si="0"/>
        <v>-1.9062980000000003</v>
      </c>
      <c r="E9">
        <f t="shared" si="1"/>
        <v>7.4000000000012278E-2</v>
      </c>
      <c r="F9">
        <f t="shared" si="2"/>
        <v>-0.71600000000000819</v>
      </c>
      <c r="G9">
        <f>SQRT(D9^2+E9^2+F9^2)</f>
        <v>2.0376712357011897</v>
      </c>
      <c r="H9">
        <v>33106</v>
      </c>
      <c r="L9">
        <v>-2.0828000000000002</v>
      </c>
      <c r="M9">
        <v>434.02800000000002</v>
      </c>
      <c r="N9">
        <v>-699.57</v>
      </c>
      <c r="O9" t="s">
        <v>13</v>
      </c>
      <c r="P9" s="5"/>
      <c r="Q9">
        <f>4.10859-5.96907</f>
        <v>-1.8604799999999999</v>
      </c>
      <c r="R9">
        <f>434.432-433.772</f>
        <v>0.66000000000002501</v>
      </c>
      <c r="S9">
        <f>-698.78-(-698.465)</f>
        <v>-0.31499999999994088</v>
      </c>
      <c r="T9">
        <f>SQRT(Q9^2+R9^2+S9^2)</f>
        <v>1.999052483152955</v>
      </c>
      <c r="U9">
        <v>34116</v>
      </c>
      <c r="V9" t="s">
        <v>17</v>
      </c>
      <c r="W9" t="s">
        <v>25</v>
      </c>
    </row>
    <row r="10" spans="1:23" x14ac:dyDescent="0.25">
      <c r="B10">
        <v>6</v>
      </c>
      <c r="C10" t="s">
        <v>14</v>
      </c>
      <c r="D10">
        <f t="shared" si="0"/>
        <v>9.6050819999999995</v>
      </c>
      <c r="E10">
        <f t="shared" si="1"/>
        <v>-9.3100000000000023</v>
      </c>
      <c r="F10">
        <f t="shared" si="2"/>
        <v>-2.1229999999999336</v>
      </c>
      <c r="G10">
        <f>SQRT(D10^2+E10^2+F10^2)</f>
        <v>13.544032974957045</v>
      </c>
      <c r="H10">
        <v>33106</v>
      </c>
      <c r="L10">
        <v>9.4285800000000002</v>
      </c>
      <c r="M10">
        <v>424.64400000000001</v>
      </c>
      <c r="N10">
        <v>-700.97699999999998</v>
      </c>
      <c r="O10" t="s">
        <v>13</v>
      </c>
      <c r="P10" s="5"/>
      <c r="Q10">
        <f>14.8927-5.96908</f>
        <v>8.9236199999999997</v>
      </c>
      <c r="R10">
        <f>435.301-433.772</f>
        <v>1.5289999999999964</v>
      </c>
      <c r="S10">
        <f>(-702.193)-(-698.465)</f>
        <v>-3.7279999999999518</v>
      </c>
      <c r="T10">
        <f>SQRT(Q10^2+R10^2+S10^2)</f>
        <v>9.7911602430151063</v>
      </c>
      <c r="U10">
        <v>34116</v>
      </c>
      <c r="V10" s="3" t="s">
        <v>17</v>
      </c>
      <c r="W10" t="s">
        <v>21</v>
      </c>
    </row>
    <row r="11" spans="1:23" x14ac:dyDescent="0.25">
      <c r="A11" s="6"/>
      <c r="B11" s="6"/>
      <c r="C11" s="6"/>
      <c r="D11" s="6"/>
      <c r="E11" s="6"/>
      <c r="F11" s="6"/>
      <c r="G11" s="6"/>
      <c r="H11" s="6"/>
      <c r="I11" s="6"/>
      <c r="L11" s="6"/>
      <c r="O11" s="6"/>
      <c r="P11" s="5"/>
      <c r="Q11" s="6"/>
      <c r="R11" s="6"/>
      <c r="S11" s="6"/>
      <c r="T11" s="6"/>
      <c r="U11" s="6"/>
      <c r="V11" s="6"/>
      <c r="W11" s="6"/>
    </row>
    <row r="12" spans="1:23" x14ac:dyDescent="0.25">
      <c r="B12">
        <v>1</v>
      </c>
      <c r="C12" t="s">
        <v>10</v>
      </c>
      <c r="D12">
        <f>(-0.590567)-(-0.642844)</f>
        <v>5.2277000000000018E-2</v>
      </c>
      <c r="E12">
        <f>(430.37)-(432.63)</f>
        <v>-2.2599999999999909</v>
      </c>
      <c r="F12">
        <f>(-735.254)-(-731.909)</f>
        <v>-3.3450000000000273</v>
      </c>
      <c r="G12">
        <f>SQRT(D12^2+E12^2+F12^2)</f>
        <v>4.0372463245050012</v>
      </c>
      <c r="H12">
        <v>80987</v>
      </c>
      <c r="I12" t="s">
        <v>26</v>
      </c>
      <c r="L12" s="3" t="s">
        <v>27</v>
      </c>
      <c r="O12" s="7" t="s">
        <v>15</v>
      </c>
      <c r="P12" s="5"/>
    </row>
    <row r="13" spans="1:23" x14ac:dyDescent="0.25">
      <c r="B13">
        <v>2</v>
      </c>
      <c r="C13" t="s">
        <v>8</v>
      </c>
      <c r="H13">
        <v>80987</v>
      </c>
      <c r="O13" t="s">
        <v>15</v>
      </c>
      <c r="P13" s="5"/>
    </row>
    <row r="14" spans="1:23" x14ac:dyDescent="0.25">
      <c r="B14">
        <v>3</v>
      </c>
      <c r="C14" t="s">
        <v>9</v>
      </c>
      <c r="H14">
        <v>80987</v>
      </c>
      <c r="O14" t="s">
        <v>15</v>
      </c>
      <c r="P14" s="5"/>
    </row>
    <row r="15" spans="1:23" x14ac:dyDescent="0.25">
      <c r="B15">
        <v>4</v>
      </c>
      <c r="C15" t="s">
        <v>11</v>
      </c>
      <c r="H15">
        <v>80987</v>
      </c>
      <c r="O15" t="s">
        <v>15</v>
      </c>
      <c r="P15" s="5"/>
    </row>
    <row r="16" spans="1:23" x14ac:dyDescent="0.25">
      <c r="B16">
        <v>5</v>
      </c>
      <c r="C16" t="s">
        <v>24</v>
      </c>
      <c r="H16">
        <v>80987</v>
      </c>
      <c r="O16" t="s">
        <v>15</v>
      </c>
      <c r="P16" s="5"/>
    </row>
    <row r="17" spans="1:17" x14ac:dyDescent="0.25">
      <c r="B17">
        <v>6</v>
      </c>
      <c r="C17" t="s">
        <v>14</v>
      </c>
      <c r="H17">
        <v>80987</v>
      </c>
      <c r="O17" t="s">
        <v>15</v>
      </c>
    </row>
    <row r="19" spans="1:17" x14ac:dyDescent="0.25">
      <c r="A19" t="s">
        <v>31</v>
      </c>
      <c r="C19" s="1" t="s">
        <v>33</v>
      </c>
      <c r="D19" s="1"/>
      <c r="E19" s="1"/>
      <c r="F19" s="1" t="s">
        <v>34</v>
      </c>
      <c r="G19" s="1"/>
      <c r="H19" s="1"/>
      <c r="I19" s="1" t="s">
        <v>35</v>
      </c>
      <c r="J19" s="1"/>
      <c r="K19" s="1"/>
      <c r="L19" s="1" t="s">
        <v>36</v>
      </c>
      <c r="M19" s="1"/>
      <c r="N19" s="1"/>
      <c r="O19" s="5"/>
      <c r="P19" s="1" t="s">
        <v>37</v>
      </c>
      <c r="Q19" s="1" t="s">
        <v>38</v>
      </c>
    </row>
    <row r="20" spans="1:17" x14ac:dyDescent="0.25">
      <c r="C20" s="8">
        <v>99652</v>
      </c>
      <c r="F20" s="8">
        <v>106468</v>
      </c>
      <c r="I20" s="8">
        <v>99652</v>
      </c>
      <c r="L20" s="8">
        <v>106468</v>
      </c>
      <c r="O20" s="5"/>
      <c r="P20">
        <f>SQRT((C22-I23)^2+(D22-J23)^2+(E22-K23)^2)</f>
        <v>1.3462363276931733E-2</v>
      </c>
      <c r="Q20">
        <f>SQRT((F22-L23)^2+(G22-M23)^2+(H22-N23)^2)</f>
        <v>2.0260001457058308</v>
      </c>
    </row>
    <row r="21" spans="1:17" x14ac:dyDescent="0.25">
      <c r="C21" t="s">
        <v>28</v>
      </c>
      <c r="D21" t="s">
        <v>29</v>
      </c>
      <c r="E21" t="s">
        <v>30</v>
      </c>
      <c r="F21" t="s">
        <v>28</v>
      </c>
      <c r="G21" t="s">
        <v>29</v>
      </c>
      <c r="H21" t="s">
        <v>30</v>
      </c>
      <c r="I21" t="s">
        <v>28</v>
      </c>
      <c r="J21" t="s">
        <v>29</v>
      </c>
      <c r="K21" t="s">
        <v>30</v>
      </c>
      <c r="L21" s="3" t="s">
        <v>28</v>
      </c>
      <c r="M21" t="s">
        <v>29</v>
      </c>
      <c r="N21" t="s">
        <v>30</v>
      </c>
      <c r="O21" s="5"/>
    </row>
    <row r="22" spans="1:17" x14ac:dyDescent="0.25">
      <c r="B22" t="s">
        <v>5</v>
      </c>
      <c r="C22">
        <v>-0.59165999999999996</v>
      </c>
      <c r="D22">
        <v>435.608</v>
      </c>
      <c r="E22">
        <v>-752.63099999999997</v>
      </c>
      <c r="F22">
        <v>-1.0322800000000001</v>
      </c>
      <c r="G22">
        <v>434.916</v>
      </c>
      <c r="H22">
        <v>-749.59400000000005</v>
      </c>
      <c r="O22" s="5"/>
    </row>
    <row r="23" spans="1:17" x14ac:dyDescent="0.25">
      <c r="B23" t="s">
        <v>32</v>
      </c>
      <c r="I23">
        <v>-0.59214500000000003</v>
      </c>
      <c r="J23">
        <v>435.59899999999999</v>
      </c>
      <c r="K23">
        <v>-752.64099999999996</v>
      </c>
      <c r="L23">
        <v>-1.1157999999999999</v>
      </c>
      <c r="M23">
        <v>433.94099999999997</v>
      </c>
      <c r="N23">
        <v>-751.36800000000005</v>
      </c>
      <c r="O23" s="5"/>
    </row>
    <row r="24" spans="1:17" x14ac:dyDescent="0.25">
      <c r="B24" t="s">
        <v>43</v>
      </c>
      <c r="I24">
        <v>-0.59132300000000004</v>
      </c>
      <c r="J24">
        <v>435.61</v>
      </c>
      <c r="K24">
        <v>-752.62900000000002</v>
      </c>
      <c r="L24">
        <v>-1.0394600000000001</v>
      </c>
      <c r="M24">
        <v>434.80399999999997</v>
      </c>
      <c r="N24">
        <v>-749.41300000000001</v>
      </c>
      <c r="O24" s="5"/>
    </row>
    <row r="31" spans="1:17" x14ac:dyDescent="0.25">
      <c r="F31" s="1" t="s">
        <v>44</v>
      </c>
      <c r="G31" s="1"/>
      <c r="H31" s="1"/>
      <c r="I31" s="1"/>
      <c r="L31" s="1" t="s">
        <v>46</v>
      </c>
      <c r="M31" s="1"/>
      <c r="N31" s="1"/>
      <c r="O31" s="1"/>
      <c r="P31" s="1"/>
    </row>
    <row r="32" spans="1:17" x14ac:dyDescent="0.25">
      <c r="F32" t="s">
        <v>41</v>
      </c>
      <c r="I32" t="s">
        <v>42</v>
      </c>
      <c r="L32" t="s">
        <v>41</v>
      </c>
      <c r="O32" t="s">
        <v>42</v>
      </c>
    </row>
    <row r="33" spans="5:17" x14ac:dyDescent="0.25">
      <c r="F33">
        <f>I36-F37</f>
        <v>-8.3277499999999782E-2</v>
      </c>
      <c r="G33">
        <f>J36-G37</f>
        <v>-0.97050000000001546</v>
      </c>
      <c r="H33">
        <f>K36-H37</f>
        <v>-1.7690000000000055</v>
      </c>
      <c r="I33">
        <f>SQRT(F33^2+G33^2+H33^2)</f>
        <v>2.0194470510529112</v>
      </c>
      <c r="L33">
        <f>O36-L37</f>
        <v>-7.3484999999999245E-3</v>
      </c>
      <c r="M33">
        <f>P36-M37</f>
        <v>-0.11300000000002797</v>
      </c>
      <c r="N33">
        <f>Q36-N37</f>
        <v>0.18000000000006366</v>
      </c>
      <c r="O33">
        <f>SQRT(L33^2+M33^2+N33^2)</f>
        <v>0.21265700188867337</v>
      </c>
    </row>
    <row r="34" spans="5:17" x14ac:dyDescent="0.25">
      <c r="F34" t="s">
        <v>39</v>
      </c>
      <c r="I34" t="s">
        <v>40</v>
      </c>
      <c r="L34" t="s">
        <v>39</v>
      </c>
      <c r="O34" t="s">
        <v>40</v>
      </c>
    </row>
    <row r="35" spans="5:17" x14ac:dyDescent="0.25">
      <c r="F35" t="s">
        <v>28</v>
      </c>
      <c r="G35" t="s">
        <v>29</v>
      </c>
      <c r="H35" t="s">
        <v>30</v>
      </c>
      <c r="I35" t="s">
        <v>28</v>
      </c>
      <c r="J35" t="s">
        <v>29</v>
      </c>
      <c r="K35" t="s">
        <v>30</v>
      </c>
      <c r="L35" t="s">
        <v>28</v>
      </c>
      <c r="M35" t="s">
        <v>29</v>
      </c>
      <c r="N35" t="s">
        <v>30</v>
      </c>
      <c r="O35" t="s">
        <v>28</v>
      </c>
      <c r="P35" t="s">
        <v>29</v>
      </c>
      <c r="Q35" t="s">
        <v>30</v>
      </c>
    </row>
    <row r="36" spans="5:17" x14ac:dyDescent="0.25">
      <c r="F36">
        <f>I23-C22</f>
        <v>-4.8500000000006871E-4</v>
      </c>
      <c r="G36">
        <f>J23-D22</f>
        <v>-9.0000000000145519E-3</v>
      </c>
      <c r="H36">
        <f>K23-E22</f>
        <v>-9.9999999999909051E-3</v>
      </c>
      <c r="I36">
        <f>L23-F22</f>
        <v>-8.3519999999999817E-2</v>
      </c>
      <c r="J36">
        <f>M23-G22</f>
        <v>-0.97500000000002274</v>
      </c>
      <c r="K36">
        <f>N23-H22</f>
        <v>-1.7740000000000009</v>
      </c>
      <c r="L36">
        <f>I24-C22</f>
        <v>3.369999999999207E-4</v>
      </c>
      <c r="M36">
        <f>J24-D22</f>
        <v>2.0000000000095497E-3</v>
      </c>
      <c r="N36">
        <f>K24-E22</f>
        <v>1.9999999999527063E-3</v>
      </c>
      <c r="O36">
        <f>L24-F22</f>
        <v>-7.1799999999999642E-3</v>
      </c>
      <c r="P36">
        <f>M24-G22</f>
        <v>-0.11200000000002319</v>
      </c>
      <c r="Q36">
        <f>N24-H22</f>
        <v>0.18100000000004002</v>
      </c>
    </row>
    <row r="37" spans="5:17" x14ac:dyDescent="0.25">
      <c r="E37" t="s">
        <v>45</v>
      </c>
      <c r="F37">
        <f>0.5*F36</f>
        <v>-2.4250000000003435E-4</v>
      </c>
      <c r="G37">
        <f t="shared" ref="G37:H37" si="5">0.5*G36</f>
        <v>-4.500000000007276E-3</v>
      </c>
      <c r="H37">
        <f t="shared" si="5"/>
        <v>-4.9999999999954525E-3</v>
      </c>
      <c r="L37">
        <f>0.5*L36</f>
        <v>1.6849999999996035E-4</v>
      </c>
      <c r="M37">
        <f>0.5*M36</f>
        <v>1.0000000000047748E-3</v>
      </c>
      <c r="N37">
        <f t="shared" ref="M37:N37" si="6">0.5*N36</f>
        <v>9.9999999997635314E-4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Fort Lewis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2018-04-30T18:24:00Z</dcterms:created>
  <dcterms:modified xsi:type="dcterms:W3CDTF">2018-05-02T21:39:06Z</dcterms:modified>
</cp:coreProperties>
</file>