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ipsetubal-my.sharepoint.com/personal/201600728_estudantes_ips_pt/Documents/02. MEEC/01_Data_Analysis/Assignments/FuncoesExcel_Vendas/"/>
    </mc:Choice>
  </mc:AlternateContent>
  <xr:revisionPtr revIDLastSave="241" documentId="8_{0AC68C7C-9C0E-40AA-A00B-9B85F49A533F}" xr6:coauthVersionLast="47" xr6:coauthVersionMax="47" xr10:uidLastSave="{75E46B57-A7AB-4D0A-877E-F933FB105A52}"/>
  <bookViews>
    <workbookView xWindow="0" yWindow="0" windowWidth="19200" windowHeight="10750" activeTab="2" xr2:uid="{00000000-000D-0000-FFFF-FFFF00000000}"/>
    <workbookView xWindow="19200" yWindow="0" windowWidth="19200" windowHeight="21000" activeTab="1" xr2:uid="{DEA98590-6CE2-4FA0-BAE4-FD939EE61D3A}"/>
  </bookViews>
  <sheets>
    <sheet name="Dicionário" sheetId="2" r:id="rId1"/>
    <sheet name="Vendas" sheetId="1" r:id="rId2"/>
    <sheet name="Anális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37" i="1"/>
  <c r="S2" i="1"/>
  <c r="S10" i="1"/>
  <c r="S11" i="1"/>
  <c r="S12" i="1"/>
  <c r="S13" i="1"/>
  <c r="S34" i="1"/>
  <c r="S35" i="1"/>
  <c r="S36" i="1"/>
  <c r="S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C11" i="3"/>
  <c r="C12" i="3"/>
  <c r="C13" i="3"/>
  <c r="C14" i="3"/>
  <c r="C10" i="3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S9" i="1" l="1"/>
  <c r="S28" i="1"/>
  <c r="S24" i="1"/>
  <c r="T36" i="1"/>
  <c r="T12" i="1"/>
  <c r="S23" i="1"/>
  <c r="T35" i="1"/>
  <c r="T11" i="1"/>
  <c r="S33" i="1"/>
  <c r="S31" i="1"/>
  <c r="S5" i="1"/>
  <c r="S4" i="1"/>
  <c r="S22" i="1"/>
  <c r="T34" i="1"/>
  <c r="T10" i="1"/>
  <c r="S21" i="1"/>
  <c r="T33" i="1"/>
  <c r="T9" i="1"/>
  <c r="S6" i="1"/>
  <c r="S29" i="1"/>
  <c r="S20" i="1"/>
  <c r="T32" i="1"/>
  <c r="T8" i="1"/>
  <c r="S19" i="1"/>
  <c r="T31" i="1"/>
  <c r="T7" i="1"/>
  <c r="S30" i="1"/>
  <c r="S18" i="1"/>
  <c r="T30" i="1"/>
  <c r="T6" i="1"/>
  <c r="S17" i="1"/>
  <c r="T29" i="1"/>
  <c r="T5" i="1"/>
  <c r="S7" i="1"/>
  <c r="S3" i="1"/>
  <c r="S16" i="1"/>
  <c r="T28" i="1"/>
  <c r="T4" i="1"/>
  <c r="S32" i="1"/>
  <c r="S15" i="1"/>
  <c r="T27" i="1"/>
  <c r="T3" i="1"/>
  <c r="S8" i="1"/>
  <c r="S27" i="1"/>
  <c r="S26" i="1"/>
  <c r="S25" i="1"/>
  <c r="S14" i="1"/>
  <c r="T26" i="1"/>
  <c r="T2" i="1"/>
  <c r="R25" i="1"/>
  <c r="R24" i="1"/>
  <c r="R23" i="1"/>
  <c r="R22" i="1"/>
  <c r="R21" i="1"/>
  <c r="R20" i="1"/>
  <c r="R19" i="1"/>
  <c r="R18" i="1"/>
  <c r="R17" i="1"/>
  <c r="R16" i="1"/>
  <c r="R15" i="1"/>
  <c r="R14" i="1"/>
  <c r="R37" i="1"/>
  <c r="R13" i="1"/>
  <c r="R36" i="1"/>
  <c r="R12" i="1"/>
  <c r="R35" i="1"/>
  <c r="R11" i="1"/>
  <c r="R34" i="1"/>
  <c r="R10" i="1"/>
  <c r="R33" i="1"/>
  <c r="R9" i="1"/>
  <c r="R32" i="1"/>
  <c r="R8" i="1"/>
  <c r="R31" i="1"/>
  <c r="R7" i="1"/>
  <c r="R30" i="1"/>
  <c r="R6" i="1"/>
  <c r="R29" i="1"/>
  <c r="R5" i="1"/>
  <c r="R28" i="1"/>
  <c r="R4" i="1"/>
  <c r="R27" i="1"/>
  <c r="R3" i="1"/>
  <c r="R26" i="1"/>
  <c r="R2" i="1"/>
  <c r="G10" i="3"/>
  <c r="K4" i="3"/>
  <c r="K6" i="3"/>
  <c r="K5" i="3"/>
  <c r="K11" i="3"/>
  <c r="K13" i="3"/>
  <c r="K12" i="3"/>
  <c r="G18" i="3"/>
  <c r="C18" i="3"/>
  <c r="C19" i="3"/>
  <c r="C20" i="3"/>
  <c r="G3" i="3"/>
  <c r="G6" i="3"/>
  <c r="G5" i="3"/>
  <c r="G4" i="3"/>
  <c r="C3" i="3"/>
  <c r="C6" i="3"/>
  <c r="C5" i="3"/>
  <c r="C4" i="3"/>
  <c r="M4" i="3" l="1"/>
  <c r="L4" i="3"/>
  <c r="M13" i="3"/>
  <c r="L13" i="3"/>
  <c r="M11" i="3"/>
  <c r="L11" i="3"/>
  <c r="M6" i="3"/>
  <c r="L6" i="3"/>
  <c r="M5" i="3"/>
  <c r="L5" i="3"/>
  <c r="M12" i="3"/>
  <c r="L12" i="3"/>
</calcChain>
</file>

<file path=xl/sharedStrings.xml><?xml version="1.0" encoding="utf-8"?>
<sst xmlns="http://schemas.openxmlformats.org/spreadsheetml/2006/main" count="301" uniqueCount="121">
  <si>
    <t>VendaID</t>
  </si>
  <si>
    <t>Data</t>
  </si>
  <si>
    <t>Cliente</t>
  </si>
  <si>
    <t>Região</t>
  </si>
  <si>
    <t>Vendedor</t>
  </si>
  <si>
    <t>Categoria</t>
  </si>
  <si>
    <t>Produto</t>
  </si>
  <si>
    <t>Quantidade</t>
  </si>
  <si>
    <t>PreçoUnitário</t>
  </si>
  <si>
    <t>Desconto(%)</t>
  </si>
  <si>
    <t>V008</t>
  </si>
  <si>
    <t>Alfa Lda</t>
  </si>
  <si>
    <t>Norte</t>
  </si>
  <si>
    <t>Diogo</t>
  </si>
  <si>
    <t>Papelaria</t>
  </si>
  <si>
    <t>Caderno A5</t>
  </si>
  <si>
    <t>V031</t>
  </si>
  <si>
    <t>Epsilon Co.</t>
  </si>
  <si>
    <t>Lisboa</t>
  </si>
  <si>
    <t>Ana</t>
  </si>
  <si>
    <t>Bloco Notas</t>
  </si>
  <si>
    <t>V035</t>
  </si>
  <si>
    <t>Papel A4 500</t>
  </si>
  <si>
    <t>V036</t>
  </si>
  <si>
    <t>Eta Market</t>
  </si>
  <si>
    <t>Bruno</t>
  </si>
  <si>
    <t>V006</t>
  </si>
  <si>
    <t>Theta Super</t>
  </si>
  <si>
    <t>Marcadores</t>
  </si>
  <si>
    <t>V013</t>
  </si>
  <si>
    <t>Centro</t>
  </si>
  <si>
    <t>V015</t>
  </si>
  <si>
    <t>Eletrónica</t>
  </si>
  <si>
    <t>Teclado</t>
  </si>
  <si>
    <t>V001</t>
  </si>
  <si>
    <t>Gamma, SA</t>
  </si>
  <si>
    <t>Higiene</t>
  </si>
  <si>
    <t>Luvas Nitrilo</t>
  </si>
  <si>
    <t>V009</t>
  </si>
  <si>
    <t>Auricular</t>
  </si>
  <si>
    <t>V005</t>
  </si>
  <si>
    <t>Beta &amp; Filhos</t>
  </si>
  <si>
    <t>V010</t>
  </si>
  <si>
    <t>Máscaras 50x</t>
  </si>
  <si>
    <t>V018</t>
  </si>
  <si>
    <t>V019</t>
  </si>
  <si>
    <t>Delta Unip.</t>
  </si>
  <si>
    <t>Carla</t>
  </si>
  <si>
    <t>V017</t>
  </si>
  <si>
    <t>Iota Digital</t>
  </si>
  <si>
    <t>Toalhitas</t>
  </si>
  <si>
    <t>V029</t>
  </si>
  <si>
    <t>V007</t>
  </si>
  <si>
    <t>V026</t>
  </si>
  <si>
    <t>Algarve</t>
  </si>
  <si>
    <t>V011</t>
  </si>
  <si>
    <t>Powerbank</t>
  </si>
  <si>
    <t>V033</t>
  </si>
  <si>
    <t>V032</t>
  </si>
  <si>
    <t>V021</t>
  </si>
  <si>
    <t>V004</t>
  </si>
  <si>
    <t>V028</t>
  </si>
  <si>
    <t>V024</t>
  </si>
  <si>
    <t>V020</t>
  </si>
  <si>
    <t>V030</t>
  </si>
  <si>
    <t>V012</t>
  </si>
  <si>
    <t>V022</t>
  </si>
  <si>
    <t>V034</t>
  </si>
  <si>
    <t>V003</t>
  </si>
  <si>
    <t>V016</t>
  </si>
  <si>
    <t>Kappa Print</t>
  </si>
  <si>
    <t>Alentejo</t>
  </si>
  <si>
    <t>V014</t>
  </si>
  <si>
    <t>V025</t>
  </si>
  <si>
    <t>V023</t>
  </si>
  <si>
    <t>Álcool Gel</t>
  </si>
  <si>
    <t>V002</t>
  </si>
  <si>
    <t>V027</t>
  </si>
  <si>
    <t>Coluna</t>
  </si>
  <si>
    <t>Descrição</t>
  </si>
  <si>
    <t>Identificador único da venda</t>
  </si>
  <si>
    <t>Data da venda (AAAA-MM-DD)</t>
  </si>
  <si>
    <t>Nome do cliente</t>
  </si>
  <si>
    <t>Região de venda</t>
  </si>
  <si>
    <t>Comercial responsável</t>
  </si>
  <si>
    <t>Categoria do produto</t>
  </si>
  <si>
    <t>Designação do produto</t>
  </si>
  <si>
    <t>Número de unidades vendidas</t>
  </si>
  <si>
    <t>Preço por unidade em EUR</t>
  </si>
  <si>
    <t>Percentagem de desconto aplicado (0 a 0,15)</t>
  </si>
  <si>
    <t>4.1 -TotalPorVendedor</t>
  </si>
  <si>
    <t>4.2 - TotalPorRegiao</t>
  </si>
  <si>
    <t>4.3 - TicketMedioPorCat</t>
  </si>
  <si>
    <t>5.1 - Total Vendido por Vendedor na Região 'Lisboa'</t>
  </si>
  <si>
    <t>5.2 - Nº de Vendas na Catergoria 'Eletrónica'</t>
  </si>
  <si>
    <t>&gt;=150</t>
  </si>
  <si>
    <t>5.3 - Média Total 'Papelaria' 1º Trimestre</t>
  </si>
  <si>
    <t>1º Trimestre</t>
  </si>
  <si>
    <t>6.1 - 3 Maiores Vendas</t>
  </si>
  <si>
    <t>Raking</t>
  </si>
  <si>
    <t>6.2 - 3 Menores Vendas</t>
  </si>
  <si>
    <t>Top Sales</t>
  </si>
  <si>
    <t>7.1 - 3 Maiores Vendas</t>
  </si>
  <si>
    <t xml:space="preserve">Raking </t>
  </si>
  <si>
    <t>Designação</t>
  </si>
  <si>
    <t>Bronze</t>
  </si>
  <si>
    <t>Prata</t>
  </si>
  <si>
    <t>Ouro</t>
  </si>
  <si>
    <t>Platina</t>
  </si>
  <si>
    <t>Ano</t>
  </si>
  <si>
    <t>Mês</t>
  </si>
  <si>
    <t>Fim do Mês</t>
  </si>
  <si>
    <t>Trimestre</t>
  </si>
  <si>
    <t>Total</t>
  </si>
  <si>
    <t>DiasDesdeVenda</t>
  </si>
  <si>
    <t>TicketClass</t>
  </si>
  <si>
    <t>EscalaCliente</t>
  </si>
  <si>
    <t>Column1</t>
  </si>
  <si>
    <t>Column2</t>
  </si>
  <si>
    <t>AproxEscalaClienteSup</t>
  </si>
  <si>
    <t>AproxEscalaClienteInf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</si>
</sst>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vertical="center" wrapText="1"/>
    </xf>
    <xf numFmtId="1" fontId="0" fillId="0" borderId="0" xfId="0" applyNumberFormat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4" fontId="0" fillId="0" borderId="0" xfId="1" applyFont="1"/>
    <xf numFmtId="44" fontId="0" fillId="0" borderId="0" xfId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4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4" formatCode="yyyy\-mm\-dd"/>
      <alignment horizontal="center" vertical="center" textRotation="0" wrapText="0" indent="0" justifyLastLine="0" shrinkToFit="0" readingOrder="0"/>
    </dxf>
    <dxf>
      <numFmt numFmtId="164" formatCode="yyyy\-mm\-dd"/>
      <alignment horizontal="center" vertical="center" textRotation="0" wrapText="0" indent="0" justifyLastLine="0" shrinkToFit="0" readingOrder="0"/>
    </dxf>
    <dxf>
      <numFmt numFmtId="164" formatCode="yyyy\-mm\-dd"/>
      <alignment horizontal="center" vertical="center" textRotation="0" wrapText="0" indent="0" justifyLastLine="0" shrinkToFit="0" readingOrder="0"/>
    </dxf>
    <dxf>
      <numFmt numFmtId="164" formatCode="yyyy\-mm\-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07BE66-5A23-4B3D-AE9F-A76AEC8A8611}" name="Vendas" displayName="Vendas" ref="A1:V37" totalsRowShown="0" headerRowDxfId="23" dataDxfId="22">
  <autoFilter ref="A1:V37" xr:uid="{A707BE66-5A23-4B3D-AE9F-A76AEC8A8611}"/>
  <tableColumns count="22">
    <tableColumn id="1" xr3:uid="{00E18295-A8E0-4DEE-A175-C2D1DE60A124}" name="VendaID" dataDxfId="21"/>
    <tableColumn id="2" xr3:uid="{2A9F5B6B-8F27-432C-B2C7-24A3E549C555}" name="Data" dataDxfId="20"/>
    <tableColumn id="14" xr3:uid="{99900891-A764-4D3B-9EA0-BB8B847090A4}" name="Ano" dataDxfId="19">
      <calculatedColumnFormula>TEXT(Vendas[[#This Row],[Data]],"aaaa")</calculatedColumnFormula>
    </tableColumn>
    <tableColumn id="13" xr3:uid="{9F5146DE-FFA2-4129-A5A3-B5162AADA46F}" name="Mês" dataDxfId="18">
      <calculatedColumnFormula>TEXT(Vendas[[#This Row],[Data]],"mm")</calculatedColumnFormula>
    </tableColumn>
    <tableColumn id="12" xr3:uid="{4BB44CC9-A2A8-42E6-A809-94E23021F400}" name="Fim do Mês" dataDxfId="17">
      <calculatedColumnFormula>EOMONTH(Vendas[[#This Row],[Data]],0)</calculatedColumnFormula>
    </tableColumn>
    <tableColumn id="18" xr3:uid="{FD981BE5-BE9C-441B-BF4F-BB442C59EC66}" name="Trimestre" dataDxfId="16">
      <calculatedColumnFormula>ROUNDUP(MONTH(Vendas[[#This Row],[Data]])/3,0)</calculatedColumnFormula>
    </tableColumn>
    <tableColumn id="3" xr3:uid="{35F31715-5FB4-4B82-A713-BCF3D74E1936}" name="Cliente" dataDxfId="15"/>
    <tableColumn id="4" xr3:uid="{A572505B-4F0F-4921-A396-6DC5FE31F0E9}" name="Região" dataDxfId="14"/>
    <tableColumn id="5" xr3:uid="{903766BA-05F4-468B-9CD0-F71109813E7C}" name="Vendedor" dataDxfId="13"/>
    <tableColumn id="6" xr3:uid="{CD20C357-6C16-4AF7-9F7B-AEBC4A703320}" name="Categoria" dataDxfId="12"/>
    <tableColumn id="7" xr3:uid="{80D793C4-2BFA-42C9-98DC-DFF6AA720509}" name="Produto" dataDxfId="11"/>
    <tableColumn id="8" xr3:uid="{0FCF250A-B4F6-4CEE-A195-C28C7E9CCD78}" name="Quantidade" dataDxfId="10"/>
    <tableColumn id="9" xr3:uid="{D4647C1E-E0D4-4E99-9BA5-61C07AEF9019}" name="PreçoUnitário" dataDxfId="9" dataCellStyle="Currency"/>
    <tableColumn id="10" xr3:uid="{294D4692-8421-43AC-883D-7098CC11B8CC}" name="Desconto(%)" dataDxfId="8" dataCellStyle="Percent"/>
    <tableColumn id="11" xr3:uid="{892B1039-51CA-4B63-BCB2-F9DAD9F2E290}" name="Total" dataDxfId="7" dataCellStyle="Currency">
      <calculatedColumnFormula>Vendas[[#This Row],[Quantidade]]*Vendas[[#This Row],[PreçoUnitário]]*(1-Vendas[[#This Row],[Desconto(%)]])</calculatedColumnFormula>
    </tableColumn>
    <tableColumn id="15" xr3:uid="{EC1144FB-1A0D-4504-A365-50A7087F33B2}" name="DiasDesdeVenda" dataDxfId="6">
      <calculatedColumnFormula>VALUE(TODAY()-Vendas[[#This Row],[Data]])</calculatedColumnFormula>
    </tableColumn>
    <tableColumn id="16" xr3:uid="{9E504127-8EF3-46AD-BF0A-C61445B1244C}" name="TicketClass" dataDxfId="5">
      <calculatedColumnFormula>IF(Vendas[[#This Row],[Total]]&gt;=250,"Alto", IF(AND(Vendas[[#This Row],[Total]]&gt;=100,Vendas[[#This Row],[Total]]&lt;=249.99),"Médio","Baixo"))</calculatedColumnFormula>
    </tableColumn>
    <tableColumn id="17" xr3:uid="{86205ECF-22FE-44C0-A08B-0AE180843F2E}" name="EscalaCliente" dataDxfId="4">
      <calculatedColumnFormula>LOOKUP(Vendas[[#This Row],[Total]],Análise!$R$4:$R$7,Análise!$S$4:$S$7)</calculatedColumnFormula>
    </tableColumn>
    <tableColumn id="19" xr3:uid="{24A4DA83-8DED-476E-812F-F9CDD4ABC828}" name="AproxEscalaClienteInf" dataDxfId="3">
      <calculatedColumnFormula>_xlfn.XLOOKUP(Vendas[[#This Row],[Total]],Análise!$R$4:$R$7,Análise!$S$4:$S$7,,1)</calculatedColumnFormula>
    </tableColumn>
    <tableColumn id="20" xr3:uid="{689A5E13-F5EF-493A-8C21-F75E42C1056E}" name="AproxEscalaClienteSup" dataDxfId="2">
      <calculatedColumnFormula>_xlfn.XLOOKUP(Vendas[[#This Row],[Total]],Análise!$R$4:$R$7,Análise!$S$4:$S$7,,-1)</calculatedColumnFormula>
    </tableColumn>
    <tableColumn id="21" xr3:uid="{EB281BF5-5386-48FC-8628-D931F31BDF38}" name="Column1" dataDxfId="1"/>
    <tableColumn id="22" xr3:uid="{4EA31A0F-4F5B-4E35-8AFA-56C9745D5CB8}" name="Column2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  <sheetView workbookViewId="1"/>
  </sheetViews>
  <sheetFormatPr defaultRowHeight="14.5" x14ac:dyDescent="0.35"/>
  <cols>
    <col min="1" max="1" width="12.26953125" bestFit="1" customWidth="1"/>
    <col min="2" max="2" width="38.1796875" bestFit="1" customWidth="1"/>
  </cols>
  <sheetData>
    <row r="1" spans="1:2" x14ac:dyDescent="0.35">
      <c r="A1" s="1" t="s">
        <v>78</v>
      </c>
      <c r="B1" s="1" t="s">
        <v>79</v>
      </c>
    </row>
    <row r="2" spans="1:2" x14ac:dyDescent="0.35">
      <c r="A2" t="s">
        <v>0</v>
      </c>
      <c r="B2" t="s">
        <v>80</v>
      </c>
    </row>
    <row r="3" spans="1:2" x14ac:dyDescent="0.35">
      <c r="A3" t="s">
        <v>1</v>
      </c>
      <c r="B3" t="s">
        <v>81</v>
      </c>
    </row>
    <row r="4" spans="1:2" x14ac:dyDescent="0.35">
      <c r="A4" t="s">
        <v>2</v>
      </c>
      <c r="B4" t="s">
        <v>82</v>
      </c>
    </row>
    <row r="5" spans="1:2" x14ac:dyDescent="0.35">
      <c r="A5" t="s">
        <v>3</v>
      </c>
      <c r="B5" t="s">
        <v>83</v>
      </c>
    </row>
    <row r="6" spans="1:2" x14ac:dyDescent="0.35">
      <c r="A6" t="s">
        <v>4</v>
      </c>
      <c r="B6" t="s">
        <v>84</v>
      </c>
    </row>
    <row r="7" spans="1:2" x14ac:dyDescent="0.35">
      <c r="A7" t="s">
        <v>5</v>
      </c>
      <c r="B7" t="s">
        <v>85</v>
      </c>
    </row>
    <row r="8" spans="1:2" x14ac:dyDescent="0.35">
      <c r="A8" t="s">
        <v>6</v>
      </c>
      <c r="B8" t="s">
        <v>86</v>
      </c>
    </row>
    <row r="9" spans="1:2" x14ac:dyDescent="0.35">
      <c r="A9" t="s">
        <v>7</v>
      </c>
      <c r="B9" t="s">
        <v>87</v>
      </c>
    </row>
    <row r="10" spans="1:2" x14ac:dyDescent="0.35">
      <c r="A10" t="s">
        <v>8</v>
      </c>
      <c r="B10" t="s">
        <v>88</v>
      </c>
    </row>
    <row r="11" spans="1:2" x14ac:dyDescent="0.35">
      <c r="A11" t="s">
        <v>9</v>
      </c>
      <c r="B11" t="s">
        <v>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opLeftCell="J2" workbookViewId="0">
      <selection activeCell="L9" sqref="L9"/>
    </sheetView>
    <sheetView tabSelected="1" topLeftCell="M1" zoomScale="85" zoomScaleNormal="85" workbookViewId="1">
      <selection activeCell="T3" sqref="T3"/>
    </sheetView>
  </sheetViews>
  <sheetFormatPr defaultRowHeight="14.5" x14ac:dyDescent="0.35"/>
  <cols>
    <col min="1" max="15" width="20" style="10" customWidth="1"/>
    <col min="16" max="16" width="26.1796875" bestFit="1" customWidth="1"/>
    <col min="17" max="17" width="18.453125" bestFit="1" customWidth="1"/>
    <col min="18" max="18" width="17.54296875" bestFit="1" customWidth="1"/>
    <col min="19" max="19" width="26.81640625" customWidth="1"/>
    <col min="20" max="20" width="25.6328125" customWidth="1"/>
  </cols>
  <sheetData>
    <row r="1" spans="1:22" x14ac:dyDescent="0.35">
      <c r="A1" s="11" t="s">
        <v>0</v>
      </c>
      <c r="B1" s="11" t="s">
        <v>1</v>
      </c>
      <c r="C1" s="13" t="s">
        <v>109</v>
      </c>
      <c r="D1" s="13" t="s">
        <v>110</v>
      </c>
      <c r="E1" s="13" t="s">
        <v>111</v>
      </c>
      <c r="F1" s="13" t="s">
        <v>112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  <c r="N1" s="11" t="s">
        <v>9</v>
      </c>
      <c r="O1" s="10" t="s">
        <v>113</v>
      </c>
      <c r="P1" s="15" t="s">
        <v>114</v>
      </c>
      <c r="Q1" s="17" t="s">
        <v>115</v>
      </c>
      <c r="R1" s="22" t="s">
        <v>116</v>
      </c>
      <c r="S1" s="15" t="s">
        <v>120</v>
      </c>
      <c r="T1" s="15" t="s">
        <v>119</v>
      </c>
      <c r="U1" s="24" t="s">
        <v>117</v>
      </c>
      <c r="V1" s="14" t="s">
        <v>118</v>
      </c>
    </row>
    <row r="2" spans="1:22" x14ac:dyDescent="0.35">
      <c r="A2" s="10" t="s">
        <v>10</v>
      </c>
      <c r="B2" s="12">
        <v>45494</v>
      </c>
      <c r="C2" s="12" t="str">
        <f>TEXT(Vendas[[#This Row],[Data]],"aaaa")</f>
        <v>2024</v>
      </c>
      <c r="D2" s="12" t="str">
        <f>TEXT(Vendas[[#This Row],[Data]],"mm")</f>
        <v>07</v>
      </c>
      <c r="E2" s="12">
        <f>EOMONTH(Vendas[[#This Row],[Data]],0)</f>
        <v>45504</v>
      </c>
      <c r="F2" s="16">
        <f>ROUNDUP(MONTH(Vendas[[#This Row],[Data]])/3,0)</f>
        <v>3</v>
      </c>
      <c r="G2" s="10" t="s">
        <v>11</v>
      </c>
      <c r="H2" s="10" t="s">
        <v>12</v>
      </c>
      <c r="I2" s="10" t="s">
        <v>13</v>
      </c>
      <c r="J2" s="10" t="s">
        <v>14</v>
      </c>
      <c r="K2" s="10" t="s">
        <v>15</v>
      </c>
      <c r="L2" s="10">
        <v>13</v>
      </c>
      <c r="M2" s="19">
        <v>4.2300000000000004</v>
      </c>
      <c r="N2" s="20">
        <v>0.15</v>
      </c>
      <c r="O2" s="19">
        <f>Vendas[[#This Row],[Quantidade]]*Vendas[[#This Row],[PreçoUnitário]]*(1-Vendas[[#This Row],[Desconto(%)]])</f>
        <v>46.741500000000009</v>
      </c>
      <c r="P2" s="16">
        <f ca="1">VALUE(TODAY()-Vendas[[#This Row],[Data]])</f>
        <v>444</v>
      </c>
      <c r="Q2" s="10" t="str">
        <f>IF(Vendas[[#This Row],[Total]]&gt;=250,"Alto", IF(AND(Vendas[[#This Row],[Total]]&gt;=100,Vendas[[#This Row],[Total]]&lt;=249.99),"Médio","Baixo"))</f>
        <v>Baixo</v>
      </c>
      <c r="R2" s="10" t="str">
        <f>LOOKUP(Vendas[[#This Row],[Total]],Análise!$R$4:$R$7,Análise!$S$4:$S$7)</f>
        <v>Bronze</v>
      </c>
      <c r="S2" s="10" t="str">
        <f>_xlfn.XLOOKUP(Vendas[[#This Row],[Total]],Análise!$R$4:$R$7,Análise!$S$4:$S$7,,1)</f>
        <v>Prata</v>
      </c>
      <c r="T2" s="10" t="str">
        <f>_xlfn.XLOOKUP(Vendas[[#This Row],[Total]],Análise!$R$4:$R$7,Análise!$S$4:$S$7,,-1)</f>
        <v>Bronze</v>
      </c>
      <c r="U2" s="23"/>
      <c r="V2" s="23"/>
    </row>
    <row r="3" spans="1:22" x14ac:dyDescent="0.35">
      <c r="A3" s="10" t="s">
        <v>16</v>
      </c>
      <c r="B3" s="12">
        <v>45495</v>
      </c>
      <c r="C3" s="12" t="str">
        <f>TEXT(Vendas[[#This Row],[Data]],"aaaa")</f>
        <v>2024</v>
      </c>
      <c r="D3" s="12" t="str">
        <f>TEXT(Vendas[[#This Row],[Data]],"mm")</f>
        <v>07</v>
      </c>
      <c r="E3" s="12">
        <f>EOMONTH(Vendas[[#This Row],[Data]],0)</f>
        <v>45504</v>
      </c>
      <c r="F3" s="16">
        <f>ROUNDUP(MONTH(Vendas[[#This Row],[Data]])/3,0)</f>
        <v>3</v>
      </c>
      <c r="G3" s="10" t="s">
        <v>17</v>
      </c>
      <c r="H3" s="10" t="s">
        <v>18</v>
      </c>
      <c r="I3" s="10" t="s">
        <v>19</v>
      </c>
      <c r="J3" s="10" t="s">
        <v>14</v>
      </c>
      <c r="K3" s="10" t="s">
        <v>20</v>
      </c>
      <c r="L3" s="10">
        <v>4</v>
      </c>
      <c r="M3" s="19">
        <v>8.24</v>
      </c>
      <c r="N3" s="20">
        <v>0</v>
      </c>
      <c r="O3" s="19">
        <f>Vendas[[#This Row],[Quantidade]]*Vendas[[#This Row],[PreçoUnitário]]*(1-Vendas[[#This Row],[Desconto(%)]])</f>
        <v>32.96</v>
      </c>
      <c r="P3" s="16">
        <f ca="1">VALUE(TODAY()-Vendas[[#This Row],[Data]])</f>
        <v>443</v>
      </c>
      <c r="Q3" s="10" t="str">
        <f>IF(Vendas[[#This Row],[Total]]&gt;=250,"Alto", IF(AND(Vendas[[#This Row],[Total]]&gt;=100,Vendas[[#This Row],[Total]]&lt;=249.99),"Médio","Baixo"))</f>
        <v>Baixo</v>
      </c>
      <c r="R3" s="10" t="str">
        <f>LOOKUP(Vendas[[#This Row],[Total]],Análise!$R$4:$R$7,Análise!$S$4:$S$7)</f>
        <v>Bronze</v>
      </c>
      <c r="S3" s="10" t="str">
        <f>_xlfn.XLOOKUP(Vendas[[#This Row],[Total]],Análise!$R$4:$R$7,Análise!$S$4:$S$7,,1)</f>
        <v>Prata</v>
      </c>
      <c r="T3" s="10" t="str">
        <f>_xlfn.XLOOKUP(Vendas[[#This Row],[Total]],Análise!$R$4:$R$7,Análise!$S$4:$S$7,,-1)</f>
        <v>Bronze</v>
      </c>
      <c r="U3" s="23"/>
      <c r="V3" s="23"/>
    </row>
    <row r="4" spans="1:22" x14ac:dyDescent="0.35">
      <c r="A4" s="10" t="s">
        <v>21</v>
      </c>
      <c r="B4" s="12">
        <v>45522</v>
      </c>
      <c r="C4" s="12" t="str">
        <f>TEXT(Vendas[[#This Row],[Data]],"aaaa")</f>
        <v>2024</v>
      </c>
      <c r="D4" s="12" t="str">
        <f>TEXT(Vendas[[#This Row],[Data]],"mm")</f>
        <v>08</v>
      </c>
      <c r="E4" s="12">
        <f>EOMONTH(Vendas[[#This Row],[Data]],0)</f>
        <v>45535</v>
      </c>
      <c r="F4" s="16">
        <f>ROUNDUP(MONTH(Vendas[[#This Row],[Data]])/3,0)</f>
        <v>3</v>
      </c>
      <c r="G4" s="10" t="s">
        <v>11</v>
      </c>
      <c r="H4" s="10" t="s">
        <v>18</v>
      </c>
      <c r="I4" s="10" t="s">
        <v>13</v>
      </c>
      <c r="J4" s="10" t="s">
        <v>14</v>
      </c>
      <c r="K4" s="10" t="s">
        <v>22</v>
      </c>
      <c r="L4" s="10">
        <v>3</v>
      </c>
      <c r="M4" s="19">
        <v>4.22</v>
      </c>
      <c r="N4" s="20">
        <v>0.05</v>
      </c>
      <c r="O4" s="19">
        <f>Vendas[[#This Row],[Quantidade]]*Vendas[[#This Row],[PreçoUnitário]]*(1-Vendas[[#This Row],[Desconto(%)]])</f>
        <v>12.026999999999999</v>
      </c>
      <c r="P4" s="16">
        <f ca="1">VALUE(TODAY()-Vendas[[#This Row],[Data]])</f>
        <v>416</v>
      </c>
      <c r="Q4" s="10" t="str">
        <f>IF(Vendas[[#This Row],[Total]]&gt;=250,"Alto", IF(AND(Vendas[[#This Row],[Total]]&gt;=100,Vendas[[#This Row],[Total]]&lt;=249.99),"Médio","Baixo"))</f>
        <v>Baixo</v>
      </c>
      <c r="R4" s="10" t="str">
        <f>LOOKUP(Vendas[[#This Row],[Total]],Análise!$R$4:$R$7,Análise!$S$4:$S$7)</f>
        <v>Bronze</v>
      </c>
      <c r="S4" s="10" t="str">
        <f>_xlfn.XLOOKUP(Vendas[[#This Row],[Total]],Análise!$R$4:$R$7,Análise!$S$4:$S$7,,1)</f>
        <v>Prata</v>
      </c>
      <c r="T4" s="10" t="str">
        <f>_xlfn.XLOOKUP(Vendas[[#This Row],[Total]],Análise!$R$4:$R$7,Análise!$S$4:$S$7,,-1)</f>
        <v>Bronze</v>
      </c>
      <c r="U4" s="23"/>
      <c r="V4" s="23"/>
    </row>
    <row r="5" spans="1:22" x14ac:dyDescent="0.35">
      <c r="A5" s="10" t="s">
        <v>23</v>
      </c>
      <c r="B5" s="12">
        <v>45532</v>
      </c>
      <c r="C5" s="12" t="str">
        <f>TEXT(Vendas[[#This Row],[Data]],"aaaa")</f>
        <v>2024</v>
      </c>
      <c r="D5" s="12" t="str">
        <f>TEXT(Vendas[[#This Row],[Data]],"mm")</f>
        <v>08</v>
      </c>
      <c r="E5" s="12">
        <f>EOMONTH(Vendas[[#This Row],[Data]],0)</f>
        <v>45535</v>
      </c>
      <c r="F5" s="16">
        <f>ROUNDUP(MONTH(Vendas[[#This Row],[Data]])/3,0)</f>
        <v>3</v>
      </c>
      <c r="G5" s="10" t="s">
        <v>24</v>
      </c>
      <c r="H5" s="10" t="s">
        <v>12</v>
      </c>
      <c r="I5" s="10" t="s">
        <v>25</v>
      </c>
      <c r="J5" s="10" t="s">
        <v>14</v>
      </c>
      <c r="K5" s="10" t="s">
        <v>22</v>
      </c>
      <c r="L5" s="10">
        <v>1</v>
      </c>
      <c r="M5" s="19">
        <v>7.38</v>
      </c>
      <c r="N5" s="20">
        <v>0.15</v>
      </c>
      <c r="O5" s="19">
        <f>Vendas[[#This Row],[Quantidade]]*Vendas[[#This Row],[PreçoUnitário]]*(1-Vendas[[#This Row],[Desconto(%)]])</f>
        <v>6.2729999999999997</v>
      </c>
      <c r="P5" s="16">
        <f ca="1">VALUE(TODAY()-Vendas[[#This Row],[Data]])</f>
        <v>406</v>
      </c>
      <c r="Q5" s="10" t="str">
        <f>IF(Vendas[[#This Row],[Total]]&gt;=250,"Alto", IF(AND(Vendas[[#This Row],[Total]]&gt;=100,Vendas[[#This Row],[Total]]&lt;=249.99),"Médio","Baixo"))</f>
        <v>Baixo</v>
      </c>
      <c r="R5" s="10" t="str">
        <f>LOOKUP(Vendas[[#This Row],[Total]],Análise!$R$4:$R$7,Análise!$S$4:$S$7)</f>
        <v>Bronze</v>
      </c>
      <c r="S5" s="10" t="str">
        <f>_xlfn.XLOOKUP(Vendas[[#This Row],[Total]],Análise!$R$4:$R$7,Análise!$S$4:$S$7,,1)</f>
        <v>Prata</v>
      </c>
      <c r="T5" s="10" t="str">
        <f>_xlfn.XLOOKUP(Vendas[[#This Row],[Total]],Análise!$R$4:$R$7,Análise!$S$4:$S$7,,-1)</f>
        <v>Bronze</v>
      </c>
      <c r="U5" s="23"/>
      <c r="V5" s="23"/>
    </row>
    <row r="6" spans="1:22" x14ac:dyDescent="0.35">
      <c r="A6" s="10" t="s">
        <v>26</v>
      </c>
      <c r="B6" s="12">
        <v>45545</v>
      </c>
      <c r="C6" s="12" t="str">
        <f>TEXT(Vendas[[#This Row],[Data]],"aaaa")</f>
        <v>2024</v>
      </c>
      <c r="D6" s="12" t="str">
        <f>TEXT(Vendas[[#This Row],[Data]],"mm")</f>
        <v>09</v>
      </c>
      <c r="E6" s="12">
        <f>EOMONTH(Vendas[[#This Row],[Data]],0)</f>
        <v>45565</v>
      </c>
      <c r="F6" s="16">
        <f>ROUNDUP(MONTH(Vendas[[#This Row],[Data]])/3,0)</f>
        <v>3</v>
      </c>
      <c r="G6" s="10" t="s">
        <v>27</v>
      </c>
      <c r="H6" s="10" t="s">
        <v>18</v>
      </c>
      <c r="I6" s="10" t="s">
        <v>13</v>
      </c>
      <c r="J6" s="10" t="s">
        <v>14</v>
      </c>
      <c r="K6" s="10" t="s">
        <v>28</v>
      </c>
      <c r="L6" s="10">
        <v>4</v>
      </c>
      <c r="M6" s="19">
        <v>11.35</v>
      </c>
      <c r="N6" s="20">
        <v>0.05</v>
      </c>
      <c r="O6" s="19">
        <f>Vendas[[#This Row],[Quantidade]]*Vendas[[#This Row],[PreçoUnitário]]*(1-Vendas[[#This Row],[Desconto(%)]])</f>
        <v>43.129999999999995</v>
      </c>
      <c r="P6" s="16">
        <f ca="1">VALUE(TODAY()-Vendas[[#This Row],[Data]])</f>
        <v>393</v>
      </c>
      <c r="Q6" s="10" t="str">
        <f>IF(Vendas[[#This Row],[Total]]&gt;=250,"Alto", IF(AND(Vendas[[#This Row],[Total]]&gt;=100,Vendas[[#This Row],[Total]]&lt;=249.99),"Médio","Baixo"))</f>
        <v>Baixo</v>
      </c>
      <c r="R6" s="10" t="str">
        <f>LOOKUP(Vendas[[#This Row],[Total]],Análise!$R$4:$R$7,Análise!$S$4:$S$7)</f>
        <v>Bronze</v>
      </c>
      <c r="S6" s="10" t="str">
        <f>_xlfn.XLOOKUP(Vendas[[#This Row],[Total]],Análise!$R$4:$R$7,Análise!$S$4:$S$7,,1)</f>
        <v>Prata</v>
      </c>
      <c r="T6" s="10" t="str">
        <f>_xlfn.XLOOKUP(Vendas[[#This Row],[Total]],Análise!$R$4:$R$7,Análise!$S$4:$S$7,,-1)</f>
        <v>Bronze</v>
      </c>
      <c r="U6" s="23"/>
      <c r="V6" s="23"/>
    </row>
    <row r="7" spans="1:22" x14ac:dyDescent="0.35">
      <c r="A7" s="10" t="s">
        <v>29</v>
      </c>
      <c r="B7" s="12">
        <v>45561</v>
      </c>
      <c r="C7" s="12" t="str">
        <f>TEXT(Vendas[[#This Row],[Data]],"aaaa")</f>
        <v>2024</v>
      </c>
      <c r="D7" s="12" t="str">
        <f>TEXT(Vendas[[#This Row],[Data]],"mm")</f>
        <v>09</v>
      </c>
      <c r="E7" s="12">
        <f>EOMONTH(Vendas[[#This Row],[Data]],0)</f>
        <v>45565</v>
      </c>
      <c r="F7" s="16">
        <f>ROUNDUP(MONTH(Vendas[[#This Row],[Data]])/3,0)</f>
        <v>3</v>
      </c>
      <c r="G7" s="10" t="s">
        <v>24</v>
      </c>
      <c r="H7" s="10" t="s">
        <v>30</v>
      </c>
      <c r="I7" s="10" t="s">
        <v>19</v>
      </c>
      <c r="J7" s="10" t="s">
        <v>14</v>
      </c>
      <c r="K7" s="10" t="s">
        <v>20</v>
      </c>
      <c r="L7" s="10">
        <v>10</v>
      </c>
      <c r="M7" s="19">
        <v>6.85</v>
      </c>
      <c r="N7" s="20">
        <v>0.1</v>
      </c>
      <c r="O7" s="19">
        <f>Vendas[[#This Row],[Quantidade]]*Vendas[[#This Row],[PreçoUnitário]]*(1-Vendas[[#This Row],[Desconto(%)]])</f>
        <v>61.65</v>
      </c>
      <c r="P7" s="16">
        <f ca="1">VALUE(TODAY()-Vendas[[#This Row],[Data]])</f>
        <v>377</v>
      </c>
      <c r="Q7" s="10" t="str">
        <f>IF(Vendas[[#This Row],[Total]]&gt;=250,"Alto", IF(AND(Vendas[[#This Row],[Total]]&gt;=100,Vendas[[#This Row],[Total]]&lt;=249.99),"Médio","Baixo"))</f>
        <v>Baixo</v>
      </c>
      <c r="R7" s="10" t="str">
        <f>LOOKUP(Vendas[[#This Row],[Total]],Análise!$R$4:$R$7,Análise!$S$4:$S$7)</f>
        <v>Bronze</v>
      </c>
      <c r="S7" s="10" t="str">
        <f>_xlfn.XLOOKUP(Vendas[[#This Row],[Total]],Análise!$R$4:$R$7,Análise!$S$4:$S$7,,1)</f>
        <v>Prata</v>
      </c>
      <c r="T7" s="10" t="str">
        <f>_xlfn.XLOOKUP(Vendas[[#This Row],[Total]],Análise!$R$4:$R$7,Análise!$S$4:$S$7,,-1)</f>
        <v>Bronze</v>
      </c>
      <c r="U7" s="23"/>
      <c r="V7" s="23"/>
    </row>
    <row r="8" spans="1:22" x14ac:dyDescent="0.35">
      <c r="A8" s="10" t="s">
        <v>31</v>
      </c>
      <c r="B8" s="12">
        <v>45573</v>
      </c>
      <c r="C8" s="12" t="str">
        <f>TEXT(Vendas[[#This Row],[Data]],"aaaa")</f>
        <v>2024</v>
      </c>
      <c r="D8" s="12" t="str">
        <f>TEXT(Vendas[[#This Row],[Data]],"mm")</f>
        <v>10</v>
      </c>
      <c r="E8" s="12">
        <f>EOMONTH(Vendas[[#This Row],[Data]],0)</f>
        <v>45596</v>
      </c>
      <c r="F8" s="16">
        <f>ROUNDUP(MONTH(Vendas[[#This Row],[Data]])/3,0)</f>
        <v>4</v>
      </c>
      <c r="G8" s="10" t="s">
        <v>17</v>
      </c>
      <c r="H8" s="10" t="s">
        <v>18</v>
      </c>
      <c r="I8" s="10" t="s">
        <v>19</v>
      </c>
      <c r="J8" s="10" t="s">
        <v>32</v>
      </c>
      <c r="K8" s="10" t="s">
        <v>33</v>
      </c>
      <c r="L8" s="10">
        <v>2</v>
      </c>
      <c r="M8" s="19">
        <v>33.71</v>
      </c>
      <c r="N8" s="20">
        <v>0.15</v>
      </c>
      <c r="O8" s="19">
        <f>Vendas[[#This Row],[Quantidade]]*Vendas[[#This Row],[PreçoUnitário]]*(1-Vendas[[#This Row],[Desconto(%)]])</f>
        <v>57.307000000000002</v>
      </c>
      <c r="P8" s="16">
        <f ca="1">VALUE(TODAY()-Vendas[[#This Row],[Data]])</f>
        <v>365</v>
      </c>
      <c r="Q8" s="10" t="str">
        <f>IF(Vendas[[#This Row],[Total]]&gt;=250,"Alto", IF(AND(Vendas[[#This Row],[Total]]&gt;=100,Vendas[[#This Row],[Total]]&lt;=249.99),"Médio","Baixo"))</f>
        <v>Baixo</v>
      </c>
      <c r="R8" s="10" t="str">
        <f>LOOKUP(Vendas[[#This Row],[Total]],Análise!$R$4:$R$7,Análise!$S$4:$S$7)</f>
        <v>Bronze</v>
      </c>
      <c r="S8" s="10" t="str">
        <f>_xlfn.XLOOKUP(Vendas[[#This Row],[Total]],Análise!$R$4:$R$7,Análise!$S$4:$S$7,,1)</f>
        <v>Prata</v>
      </c>
      <c r="T8" s="10" t="str">
        <f>_xlfn.XLOOKUP(Vendas[[#This Row],[Total]],Análise!$R$4:$R$7,Análise!$S$4:$S$7,,-1)</f>
        <v>Bronze</v>
      </c>
      <c r="U8" s="23"/>
      <c r="V8" s="23"/>
    </row>
    <row r="9" spans="1:22" x14ac:dyDescent="0.35">
      <c r="A9" s="10" t="s">
        <v>34</v>
      </c>
      <c r="B9" s="12">
        <v>45576</v>
      </c>
      <c r="C9" s="12" t="str">
        <f>TEXT(Vendas[[#This Row],[Data]],"aaaa")</f>
        <v>2024</v>
      </c>
      <c r="D9" s="12" t="str">
        <f>TEXT(Vendas[[#This Row],[Data]],"mm")</f>
        <v>10</v>
      </c>
      <c r="E9" s="12">
        <f>EOMONTH(Vendas[[#This Row],[Data]],0)</f>
        <v>45596</v>
      </c>
      <c r="F9" s="16">
        <f>ROUNDUP(MONTH(Vendas[[#This Row],[Data]])/3,0)</f>
        <v>4</v>
      </c>
      <c r="G9" s="10" t="s">
        <v>35</v>
      </c>
      <c r="H9" s="10" t="s">
        <v>12</v>
      </c>
      <c r="I9" s="10" t="s">
        <v>19</v>
      </c>
      <c r="J9" s="10" t="s">
        <v>36</v>
      </c>
      <c r="K9" s="10" t="s">
        <v>37</v>
      </c>
      <c r="L9" s="10">
        <v>16</v>
      </c>
      <c r="M9" s="19">
        <v>3.22</v>
      </c>
      <c r="N9" s="20">
        <v>0.15</v>
      </c>
      <c r="O9" s="19">
        <f>Vendas[[#This Row],[Quantidade]]*Vendas[[#This Row],[PreçoUnitário]]*(1-Vendas[[#This Row],[Desconto(%)]])</f>
        <v>43.792000000000002</v>
      </c>
      <c r="P9" s="16">
        <f ca="1">VALUE(TODAY()-Vendas[[#This Row],[Data]])</f>
        <v>362</v>
      </c>
      <c r="Q9" s="10" t="str">
        <f>IF(Vendas[[#This Row],[Total]]&gt;=250,"Alto", IF(AND(Vendas[[#This Row],[Total]]&gt;=100,Vendas[[#This Row],[Total]]&lt;=249.99),"Médio","Baixo"))</f>
        <v>Baixo</v>
      </c>
      <c r="R9" s="10" t="str">
        <f>LOOKUP(Vendas[[#This Row],[Total]],Análise!$R$4:$R$7,Análise!$S$4:$S$7)</f>
        <v>Bronze</v>
      </c>
      <c r="S9" s="10" t="str">
        <f>_xlfn.XLOOKUP(Vendas[[#This Row],[Total]],Análise!$R$4:$R$7,Análise!$S$4:$S$7,,1)</f>
        <v>Prata</v>
      </c>
      <c r="T9" s="10" t="str">
        <f>_xlfn.XLOOKUP(Vendas[[#This Row],[Total]],Análise!$R$4:$R$7,Análise!$S$4:$S$7,,-1)</f>
        <v>Bronze</v>
      </c>
      <c r="U9" s="23"/>
      <c r="V9" s="23"/>
    </row>
    <row r="10" spans="1:22" x14ac:dyDescent="0.35">
      <c r="A10" s="10" t="s">
        <v>38</v>
      </c>
      <c r="B10" s="12">
        <v>45576</v>
      </c>
      <c r="C10" s="12" t="str">
        <f>TEXT(Vendas[[#This Row],[Data]],"aaaa")</f>
        <v>2024</v>
      </c>
      <c r="D10" s="12" t="str">
        <f>TEXT(Vendas[[#This Row],[Data]],"mm")</f>
        <v>10</v>
      </c>
      <c r="E10" s="12">
        <f>EOMONTH(Vendas[[#This Row],[Data]],0)</f>
        <v>45596</v>
      </c>
      <c r="F10" s="16">
        <f>ROUNDUP(MONTH(Vendas[[#This Row],[Data]])/3,0)</f>
        <v>4</v>
      </c>
      <c r="G10" s="10" t="s">
        <v>11</v>
      </c>
      <c r="H10" s="10" t="s">
        <v>12</v>
      </c>
      <c r="I10" s="10" t="s">
        <v>13</v>
      </c>
      <c r="J10" s="10" t="s">
        <v>32</v>
      </c>
      <c r="K10" s="10" t="s">
        <v>39</v>
      </c>
      <c r="L10" s="10">
        <v>8</v>
      </c>
      <c r="M10" s="19">
        <v>36.57</v>
      </c>
      <c r="N10" s="20">
        <v>0.15</v>
      </c>
      <c r="O10" s="19">
        <f>Vendas[[#This Row],[Quantidade]]*Vendas[[#This Row],[PreçoUnitário]]*(1-Vendas[[#This Row],[Desconto(%)]])</f>
        <v>248.67599999999999</v>
      </c>
      <c r="P10" s="16">
        <f ca="1">VALUE(TODAY()-Vendas[[#This Row],[Data]])</f>
        <v>362</v>
      </c>
      <c r="Q10" s="10" t="str">
        <f>IF(Vendas[[#This Row],[Total]]&gt;=250,"Alto", IF(AND(Vendas[[#This Row],[Total]]&gt;=100,Vendas[[#This Row],[Total]]&lt;=249.99),"Médio","Baixo"))</f>
        <v>Médio</v>
      </c>
      <c r="R10" s="10" t="str">
        <f>LOOKUP(Vendas[[#This Row],[Total]],Análise!$R$4:$R$7,Análise!$S$4:$S$7)</f>
        <v>Ouro</v>
      </c>
      <c r="S10" s="10" t="str">
        <f>_xlfn.XLOOKUP(Vendas[[#This Row],[Total]],Análise!$R$4:$R$7,Análise!$S$4:$S$7,,1)</f>
        <v>Platina</v>
      </c>
      <c r="T10" s="10" t="str">
        <f>_xlfn.XLOOKUP(Vendas[[#This Row],[Total]],Análise!$R$4:$R$7,Análise!$S$4:$S$7,,-1)</f>
        <v>Ouro</v>
      </c>
      <c r="U10" s="23"/>
      <c r="V10" s="23"/>
    </row>
    <row r="11" spans="1:22" x14ac:dyDescent="0.35">
      <c r="A11" s="10" t="s">
        <v>40</v>
      </c>
      <c r="B11" s="12">
        <v>45580</v>
      </c>
      <c r="C11" s="12" t="str">
        <f>TEXT(Vendas[[#This Row],[Data]],"aaaa")</f>
        <v>2024</v>
      </c>
      <c r="D11" s="12" t="str">
        <f>TEXT(Vendas[[#This Row],[Data]],"mm")</f>
        <v>10</v>
      </c>
      <c r="E11" s="12">
        <f>EOMONTH(Vendas[[#This Row],[Data]],0)</f>
        <v>45596</v>
      </c>
      <c r="F11" s="16">
        <f>ROUNDUP(MONTH(Vendas[[#This Row],[Data]])/3,0)</f>
        <v>4</v>
      </c>
      <c r="G11" s="10" t="s">
        <v>41</v>
      </c>
      <c r="H11" s="10" t="s">
        <v>18</v>
      </c>
      <c r="I11" s="10" t="s">
        <v>19</v>
      </c>
      <c r="J11" s="10" t="s">
        <v>14</v>
      </c>
      <c r="K11" s="10" t="s">
        <v>28</v>
      </c>
      <c r="L11" s="10">
        <v>22</v>
      </c>
      <c r="M11" s="19">
        <v>4.57</v>
      </c>
      <c r="N11" s="20">
        <v>0.05</v>
      </c>
      <c r="O11" s="19">
        <f>Vendas[[#This Row],[Quantidade]]*Vendas[[#This Row],[PreçoUnitário]]*(1-Vendas[[#This Row],[Desconto(%)]])</f>
        <v>95.513000000000005</v>
      </c>
      <c r="P11" s="16">
        <f ca="1">VALUE(TODAY()-Vendas[[#This Row],[Data]])</f>
        <v>358</v>
      </c>
      <c r="Q11" s="10" t="str">
        <f>IF(Vendas[[#This Row],[Total]]&gt;=250,"Alto", IF(AND(Vendas[[#This Row],[Total]]&gt;=100,Vendas[[#This Row],[Total]]&lt;=249.99),"Médio","Baixo"))</f>
        <v>Baixo</v>
      </c>
      <c r="R11" s="10" t="str">
        <f>LOOKUP(Vendas[[#This Row],[Total]],Análise!$R$4:$R$7,Análise!$S$4:$S$7)</f>
        <v>Bronze</v>
      </c>
      <c r="S11" s="10" t="str">
        <f>_xlfn.XLOOKUP(Vendas[[#This Row],[Total]],Análise!$R$4:$R$7,Análise!$S$4:$S$7,,1)</f>
        <v>Prata</v>
      </c>
      <c r="T11" s="10" t="str">
        <f>_xlfn.XLOOKUP(Vendas[[#This Row],[Total]],Análise!$R$4:$R$7,Análise!$S$4:$S$7,,-1)</f>
        <v>Bronze</v>
      </c>
      <c r="U11" s="23"/>
      <c r="V11" s="23"/>
    </row>
    <row r="12" spans="1:22" x14ac:dyDescent="0.35">
      <c r="A12" s="10" t="s">
        <v>42</v>
      </c>
      <c r="B12" s="12">
        <v>45595</v>
      </c>
      <c r="C12" s="12" t="str">
        <f>TEXT(Vendas[[#This Row],[Data]],"aaaa")</f>
        <v>2024</v>
      </c>
      <c r="D12" s="12" t="str">
        <f>TEXT(Vendas[[#This Row],[Data]],"mm")</f>
        <v>10</v>
      </c>
      <c r="E12" s="12">
        <f>EOMONTH(Vendas[[#This Row],[Data]],0)</f>
        <v>45596</v>
      </c>
      <c r="F12" s="16">
        <f>ROUNDUP(MONTH(Vendas[[#This Row],[Data]])/3,0)</f>
        <v>4</v>
      </c>
      <c r="G12" s="10" t="s">
        <v>24</v>
      </c>
      <c r="H12" s="10" t="s">
        <v>30</v>
      </c>
      <c r="I12" s="10" t="s">
        <v>19</v>
      </c>
      <c r="J12" s="10" t="s">
        <v>36</v>
      </c>
      <c r="K12" s="10" t="s">
        <v>43</v>
      </c>
      <c r="L12" s="10">
        <v>10</v>
      </c>
      <c r="M12" s="19">
        <v>14.45</v>
      </c>
      <c r="N12" s="20">
        <v>0</v>
      </c>
      <c r="O12" s="19">
        <f>Vendas[[#This Row],[Quantidade]]*Vendas[[#This Row],[PreçoUnitário]]*(1-Vendas[[#This Row],[Desconto(%)]])</f>
        <v>144.5</v>
      </c>
      <c r="P12" s="16">
        <f ca="1">VALUE(TODAY()-Vendas[[#This Row],[Data]])</f>
        <v>343</v>
      </c>
      <c r="Q12" s="10" t="str">
        <f>IF(Vendas[[#This Row],[Total]]&gt;=250,"Alto", IF(AND(Vendas[[#This Row],[Total]]&gt;=100,Vendas[[#This Row],[Total]]&lt;=249.99),"Médio","Baixo"))</f>
        <v>Médio</v>
      </c>
      <c r="R12" s="10" t="str">
        <f>LOOKUP(Vendas[[#This Row],[Total]],Análise!$R$4:$R$7,Análise!$S$4:$S$7)</f>
        <v>Prata</v>
      </c>
      <c r="S12" s="10" t="str">
        <f>_xlfn.XLOOKUP(Vendas[[#This Row],[Total]],Análise!$R$4:$R$7,Análise!$S$4:$S$7,,1)</f>
        <v>Ouro</v>
      </c>
      <c r="T12" s="10" t="str">
        <f>_xlfn.XLOOKUP(Vendas[[#This Row],[Total]],Análise!$R$4:$R$7,Análise!$S$4:$S$7,,-1)</f>
        <v>Prata</v>
      </c>
      <c r="U12" s="23"/>
      <c r="V12" s="23"/>
    </row>
    <row r="13" spans="1:22" x14ac:dyDescent="0.35">
      <c r="A13" s="10" t="s">
        <v>44</v>
      </c>
      <c r="B13" s="12">
        <v>45604</v>
      </c>
      <c r="C13" s="12" t="str">
        <f>TEXT(Vendas[[#This Row],[Data]],"aaaa")</f>
        <v>2024</v>
      </c>
      <c r="D13" s="12" t="str">
        <f>TEXT(Vendas[[#This Row],[Data]],"mm")</f>
        <v>11</v>
      </c>
      <c r="E13" s="12">
        <f>EOMONTH(Vendas[[#This Row],[Data]],0)</f>
        <v>45626</v>
      </c>
      <c r="F13" s="16">
        <f>ROUNDUP(MONTH(Vendas[[#This Row],[Data]])/3,0)</f>
        <v>4</v>
      </c>
      <c r="G13" s="10" t="s">
        <v>11</v>
      </c>
      <c r="H13" s="10" t="s">
        <v>18</v>
      </c>
      <c r="I13" s="10" t="s">
        <v>25</v>
      </c>
      <c r="J13" s="10" t="s">
        <v>32</v>
      </c>
      <c r="K13" s="10" t="s">
        <v>39</v>
      </c>
      <c r="L13" s="10">
        <v>8</v>
      </c>
      <c r="M13" s="19">
        <v>19.28</v>
      </c>
      <c r="N13" s="20">
        <v>0.05</v>
      </c>
      <c r="O13" s="19">
        <f>Vendas[[#This Row],[Quantidade]]*Vendas[[#This Row],[PreçoUnitário]]*(1-Vendas[[#This Row],[Desconto(%)]])</f>
        <v>146.52799999999999</v>
      </c>
      <c r="P13" s="16">
        <f ca="1">VALUE(TODAY()-Vendas[[#This Row],[Data]])</f>
        <v>334</v>
      </c>
      <c r="Q13" s="10" t="str">
        <f>IF(Vendas[[#This Row],[Total]]&gt;=250,"Alto", IF(AND(Vendas[[#This Row],[Total]]&gt;=100,Vendas[[#This Row],[Total]]&lt;=249.99),"Médio","Baixo"))</f>
        <v>Médio</v>
      </c>
      <c r="R13" s="10" t="str">
        <f>LOOKUP(Vendas[[#This Row],[Total]],Análise!$R$4:$R$7,Análise!$S$4:$S$7)</f>
        <v>Prata</v>
      </c>
      <c r="S13" s="10" t="str">
        <f>_xlfn.XLOOKUP(Vendas[[#This Row],[Total]],Análise!$R$4:$R$7,Análise!$S$4:$S$7,,1)</f>
        <v>Ouro</v>
      </c>
      <c r="T13" s="10" t="str">
        <f>_xlfn.XLOOKUP(Vendas[[#This Row],[Total]],Análise!$R$4:$R$7,Análise!$S$4:$S$7,,-1)</f>
        <v>Prata</v>
      </c>
      <c r="U13" s="23"/>
      <c r="V13" s="23"/>
    </row>
    <row r="14" spans="1:22" x14ac:dyDescent="0.35">
      <c r="A14" s="10" t="s">
        <v>45</v>
      </c>
      <c r="B14" s="12">
        <v>45623</v>
      </c>
      <c r="C14" s="12" t="str">
        <f>TEXT(Vendas[[#This Row],[Data]],"aaaa")</f>
        <v>2024</v>
      </c>
      <c r="D14" s="12" t="str">
        <f>TEXT(Vendas[[#This Row],[Data]],"mm")</f>
        <v>11</v>
      </c>
      <c r="E14" s="12">
        <f>EOMONTH(Vendas[[#This Row],[Data]],0)</f>
        <v>45626</v>
      </c>
      <c r="F14" s="16">
        <f>ROUNDUP(MONTH(Vendas[[#This Row],[Data]])/3,0)</f>
        <v>4</v>
      </c>
      <c r="G14" s="10" t="s">
        <v>46</v>
      </c>
      <c r="H14" s="10" t="s">
        <v>12</v>
      </c>
      <c r="I14" s="10" t="s">
        <v>47</v>
      </c>
      <c r="J14" s="10" t="s">
        <v>36</v>
      </c>
      <c r="K14" s="10" t="s">
        <v>37</v>
      </c>
      <c r="L14" s="10">
        <v>22</v>
      </c>
      <c r="M14" s="19">
        <v>7.73</v>
      </c>
      <c r="N14" s="20">
        <v>0.1</v>
      </c>
      <c r="O14" s="19">
        <f>Vendas[[#This Row],[Quantidade]]*Vendas[[#This Row],[PreçoUnitário]]*(1-Vendas[[#This Row],[Desconto(%)]])</f>
        <v>153.054</v>
      </c>
      <c r="P14" s="16">
        <f ca="1">VALUE(TODAY()-Vendas[[#This Row],[Data]])</f>
        <v>315</v>
      </c>
      <c r="Q14" s="10" t="str">
        <f>IF(Vendas[[#This Row],[Total]]&gt;=250,"Alto", IF(AND(Vendas[[#This Row],[Total]]&gt;=100,Vendas[[#This Row],[Total]]&lt;=249.99),"Médio","Baixo"))</f>
        <v>Médio</v>
      </c>
      <c r="R14" s="10" t="str">
        <f>LOOKUP(Vendas[[#This Row],[Total]],Análise!$R$4:$R$7,Análise!$S$4:$S$7)</f>
        <v>Prata</v>
      </c>
      <c r="S14" s="10" t="str">
        <f>_xlfn.XLOOKUP(Vendas[[#This Row],[Total]],Análise!$R$4:$R$7,Análise!$S$4:$S$7,,1)</f>
        <v>Ouro</v>
      </c>
      <c r="T14" s="10" t="str">
        <f>_xlfn.XLOOKUP(Vendas[[#This Row],[Total]],Análise!$R$4:$R$7,Análise!$S$4:$S$7,,-1)</f>
        <v>Prata</v>
      </c>
      <c r="U14" s="23"/>
      <c r="V14" s="23"/>
    </row>
    <row r="15" spans="1:22" x14ac:dyDescent="0.35">
      <c r="A15" s="10" t="s">
        <v>48</v>
      </c>
      <c r="B15" s="12">
        <v>45625</v>
      </c>
      <c r="C15" s="12" t="str">
        <f>TEXT(Vendas[[#This Row],[Data]],"aaaa")</f>
        <v>2024</v>
      </c>
      <c r="D15" s="12" t="str">
        <f>TEXT(Vendas[[#This Row],[Data]],"mm")</f>
        <v>11</v>
      </c>
      <c r="E15" s="12">
        <f>EOMONTH(Vendas[[#This Row],[Data]],0)</f>
        <v>45626</v>
      </c>
      <c r="F15" s="16">
        <f>ROUNDUP(MONTH(Vendas[[#This Row],[Data]])/3,0)</f>
        <v>4</v>
      </c>
      <c r="G15" s="10" t="s">
        <v>49</v>
      </c>
      <c r="H15" s="10" t="s">
        <v>30</v>
      </c>
      <c r="I15" s="10" t="s">
        <v>47</v>
      </c>
      <c r="J15" s="10" t="s">
        <v>36</v>
      </c>
      <c r="K15" s="10" t="s">
        <v>50</v>
      </c>
      <c r="L15" s="10">
        <v>1</v>
      </c>
      <c r="M15" s="19">
        <v>8.02</v>
      </c>
      <c r="N15" s="20">
        <v>0.05</v>
      </c>
      <c r="O15" s="19">
        <f>Vendas[[#This Row],[Quantidade]]*Vendas[[#This Row],[PreçoUnitário]]*(1-Vendas[[#This Row],[Desconto(%)]])</f>
        <v>7.6189999999999989</v>
      </c>
      <c r="P15" s="16">
        <f ca="1">VALUE(TODAY()-Vendas[[#This Row],[Data]])</f>
        <v>313</v>
      </c>
      <c r="Q15" s="10" t="str">
        <f>IF(Vendas[[#This Row],[Total]]&gt;=250,"Alto", IF(AND(Vendas[[#This Row],[Total]]&gt;=100,Vendas[[#This Row],[Total]]&lt;=249.99),"Médio","Baixo"))</f>
        <v>Baixo</v>
      </c>
      <c r="R15" s="10" t="str">
        <f>LOOKUP(Vendas[[#This Row],[Total]],Análise!$R$4:$R$7,Análise!$S$4:$S$7)</f>
        <v>Bronze</v>
      </c>
      <c r="S15" s="10" t="str">
        <f>_xlfn.XLOOKUP(Vendas[[#This Row],[Total]],Análise!$R$4:$R$7,Análise!$S$4:$S$7,,1)</f>
        <v>Prata</v>
      </c>
      <c r="T15" s="10" t="str">
        <f>_xlfn.XLOOKUP(Vendas[[#This Row],[Total]],Análise!$R$4:$R$7,Análise!$S$4:$S$7,,-1)</f>
        <v>Bronze</v>
      </c>
      <c r="U15" s="23"/>
      <c r="V15" s="23"/>
    </row>
    <row r="16" spans="1:22" x14ac:dyDescent="0.35">
      <c r="A16" s="10" t="s">
        <v>51</v>
      </c>
      <c r="B16" s="12">
        <v>45634</v>
      </c>
      <c r="C16" s="12" t="str">
        <f>TEXT(Vendas[[#This Row],[Data]],"aaaa")</f>
        <v>2024</v>
      </c>
      <c r="D16" s="12" t="str">
        <f>TEXT(Vendas[[#This Row],[Data]],"mm")</f>
        <v>12</v>
      </c>
      <c r="E16" s="12">
        <f>EOMONTH(Vendas[[#This Row],[Data]],0)</f>
        <v>45657</v>
      </c>
      <c r="F16" s="16">
        <f>ROUNDUP(MONTH(Vendas[[#This Row],[Data]])/3,0)</f>
        <v>4</v>
      </c>
      <c r="G16" s="10" t="s">
        <v>46</v>
      </c>
      <c r="H16" s="10" t="s">
        <v>12</v>
      </c>
      <c r="I16" s="10" t="s">
        <v>13</v>
      </c>
      <c r="J16" s="10" t="s">
        <v>14</v>
      </c>
      <c r="K16" s="10" t="s">
        <v>15</v>
      </c>
      <c r="L16" s="10">
        <v>17</v>
      </c>
      <c r="M16" s="19">
        <v>8.1300000000000008</v>
      </c>
      <c r="N16" s="20">
        <v>0.1</v>
      </c>
      <c r="O16" s="19">
        <f>Vendas[[#This Row],[Quantidade]]*Vendas[[#This Row],[PreçoUnitário]]*(1-Vendas[[#This Row],[Desconto(%)]])</f>
        <v>124.38900000000001</v>
      </c>
      <c r="P16" s="16">
        <f ca="1">VALUE(TODAY()-Vendas[[#This Row],[Data]])</f>
        <v>304</v>
      </c>
      <c r="Q16" s="10" t="str">
        <f>IF(Vendas[[#This Row],[Total]]&gt;=250,"Alto", IF(AND(Vendas[[#This Row],[Total]]&gt;=100,Vendas[[#This Row],[Total]]&lt;=249.99),"Médio","Baixo"))</f>
        <v>Médio</v>
      </c>
      <c r="R16" s="10" t="str">
        <f>LOOKUP(Vendas[[#This Row],[Total]],Análise!$R$4:$R$7,Análise!$S$4:$S$7)</f>
        <v>Prata</v>
      </c>
      <c r="S16" s="10" t="str">
        <f>_xlfn.XLOOKUP(Vendas[[#This Row],[Total]],Análise!$R$4:$R$7,Análise!$S$4:$S$7,,1)</f>
        <v>Ouro</v>
      </c>
      <c r="T16" s="10" t="str">
        <f>_xlfn.XLOOKUP(Vendas[[#This Row],[Total]],Análise!$R$4:$R$7,Análise!$S$4:$S$7,,-1)</f>
        <v>Prata</v>
      </c>
      <c r="U16" s="23"/>
      <c r="V16" s="23"/>
    </row>
    <row r="17" spans="1:22" x14ac:dyDescent="0.35">
      <c r="A17" s="10" t="s">
        <v>52</v>
      </c>
      <c r="B17" s="12">
        <v>45662</v>
      </c>
      <c r="C17" s="12" t="str">
        <f>TEXT(Vendas[[#This Row],[Data]],"aaaa")</f>
        <v>2025</v>
      </c>
      <c r="D17" s="12" t="str">
        <f>TEXT(Vendas[[#This Row],[Data]],"mm")</f>
        <v>01</v>
      </c>
      <c r="E17" s="12">
        <f>EOMONTH(Vendas[[#This Row],[Data]],0)</f>
        <v>45688</v>
      </c>
      <c r="F17" s="16">
        <f>ROUNDUP(MONTH(Vendas[[#This Row],[Data]])/3,0)</f>
        <v>1</v>
      </c>
      <c r="G17" s="10" t="s">
        <v>17</v>
      </c>
      <c r="H17" s="10" t="s">
        <v>30</v>
      </c>
      <c r="I17" s="10" t="s">
        <v>19</v>
      </c>
      <c r="J17" s="10" t="s">
        <v>14</v>
      </c>
      <c r="K17" s="10" t="s">
        <v>28</v>
      </c>
      <c r="L17" s="10">
        <v>21</v>
      </c>
      <c r="M17" s="19">
        <v>1.69</v>
      </c>
      <c r="N17" s="20">
        <v>0.15</v>
      </c>
      <c r="O17" s="19">
        <f>Vendas[[#This Row],[Quantidade]]*Vendas[[#This Row],[PreçoUnitário]]*(1-Vendas[[#This Row],[Desconto(%)]])</f>
        <v>30.166499999999999</v>
      </c>
      <c r="P17" s="16">
        <f ca="1">VALUE(TODAY()-Vendas[[#This Row],[Data]])</f>
        <v>276</v>
      </c>
      <c r="Q17" s="10" t="str">
        <f>IF(Vendas[[#This Row],[Total]]&gt;=250,"Alto", IF(AND(Vendas[[#This Row],[Total]]&gt;=100,Vendas[[#This Row],[Total]]&lt;=249.99),"Médio","Baixo"))</f>
        <v>Baixo</v>
      </c>
      <c r="R17" s="10" t="str">
        <f>LOOKUP(Vendas[[#This Row],[Total]],Análise!$R$4:$R$7,Análise!$S$4:$S$7)</f>
        <v>Bronze</v>
      </c>
      <c r="S17" s="10" t="str">
        <f>_xlfn.XLOOKUP(Vendas[[#This Row],[Total]],Análise!$R$4:$R$7,Análise!$S$4:$S$7,,1)</f>
        <v>Prata</v>
      </c>
      <c r="T17" s="10" t="str">
        <f>_xlfn.XLOOKUP(Vendas[[#This Row],[Total]],Análise!$R$4:$R$7,Análise!$S$4:$S$7,,-1)</f>
        <v>Bronze</v>
      </c>
      <c r="U17" s="23"/>
      <c r="V17" s="23"/>
    </row>
    <row r="18" spans="1:22" x14ac:dyDescent="0.35">
      <c r="A18" s="10" t="s">
        <v>53</v>
      </c>
      <c r="B18" s="12">
        <v>45665</v>
      </c>
      <c r="C18" s="12" t="str">
        <f>TEXT(Vendas[[#This Row],[Data]],"aaaa")</f>
        <v>2025</v>
      </c>
      <c r="D18" s="12" t="str">
        <f>TEXT(Vendas[[#This Row],[Data]],"mm")</f>
        <v>01</v>
      </c>
      <c r="E18" s="12">
        <f>EOMONTH(Vendas[[#This Row],[Data]],0)</f>
        <v>45688</v>
      </c>
      <c r="F18" s="16">
        <f>ROUNDUP(MONTH(Vendas[[#This Row],[Data]])/3,0)</f>
        <v>1</v>
      </c>
      <c r="G18" s="10" t="s">
        <v>35</v>
      </c>
      <c r="H18" s="10" t="s">
        <v>54</v>
      </c>
      <c r="I18" s="10" t="s">
        <v>13</v>
      </c>
      <c r="J18" s="10" t="s">
        <v>14</v>
      </c>
      <c r="K18" s="10" t="s">
        <v>15</v>
      </c>
      <c r="L18" s="10">
        <v>18</v>
      </c>
      <c r="M18" s="19">
        <v>8.5</v>
      </c>
      <c r="N18" s="20">
        <v>0</v>
      </c>
      <c r="O18" s="19">
        <f>Vendas[[#This Row],[Quantidade]]*Vendas[[#This Row],[PreçoUnitário]]*(1-Vendas[[#This Row],[Desconto(%)]])</f>
        <v>153</v>
      </c>
      <c r="P18" s="16">
        <f ca="1">VALUE(TODAY()-Vendas[[#This Row],[Data]])</f>
        <v>273</v>
      </c>
      <c r="Q18" s="10" t="str">
        <f>IF(Vendas[[#This Row],[Total]]&gt;=250,"Alto", IF(AND(Vendas[[#This Row],[Total]]&gt;=100,Vendas[[#This Row],[Total]]&lt;=249.99),"Médio","Baixo"))</f>
        <v>Médio</v>
      </c>
      <c r="R18" s="10" t="str">
        <f>LOOKUP(Vendas[[#This Row],[Total]],Análise!$R$4:$R$7,Análise!$S$4:$S$7)</f>
        <v>Prata</v>
      </c>
      <c r="S18" s="10" t="str">
        <f>_xlfn.XLOOKUP(Vendas[[#This Row],[Total]],Análise!$R$4:$R$7,Análise!$S$4:$S$7,,1)</f>
        <v>Ouro</v>
      </c>
      <c r="T18" s="10" t="str">
        <f>_xlfn.XLOOKUP(Vendas[[#This Row],[Total]],Análise!$R$4:$R$7,Análise!$S$4:$S$7,,-1)</f>
        <v>Prata</v>
      </c>
      <c r="U18" s="23"/>
      <c r="V18" s="23"/>
    </row>
    <row r="19" spans="1:22" x14ac:dyDescent="0.35">
      <c r="A19" s="10" t="s">
        <v>55</v>
      </c>
      <c r="B19" s="12">
        <v>45688</v>
      </c>
      <c r="C19" s="12" t="str">
        <f>TEXT(Vendas[[#This Row],[Data]],"aaaa")</f>
        <v>2025</v>
      </c>
      <c r="D19" s="12" t="str">
        <f>TEXT(Vendas[[#This Row],[Data]],"mm")</f>
        <v>01</v>
      </c>
      <c r="E19" s="12">
        <f>EOMONTH(Vendas[[#This Row],[Data]],0)</f>
        <v>45688</v>
      </c>
      <c r="F19" s="16">
        <f>ROUNDUP(MONTH(Vendas[[#This Row],[Data]])/3,0)</f>
        <v>1</v>
      </c>
      <c r="G19" s="10" t="s">
        <v>35</v>
      </c>
      <c r="H19" s="10" t="s">
        <v>30</v>
      </c>
      <c r="I19" s="10" t="s">
        <v>25</v>
      </c>
      <c r="J19" s="10" t="s">
        <v>32</v>
      </c>
      <c r="K19" s="10" t="s">
        <v>56</v>
      </c>
      <c r="L19" s="10">
        <v>23</v>
      </c>
      <c r="M19" s="19">
        <v>20.239999999999998</v>
      </c>
      <c r="N19" s="20">
        <v>0.15</v>
      </c>
      <c r="O19" s="19">
        <f>Vendas[[#This Row],[Quantidade]]*Vendas[[#This Row],[PreçoUnitário]]*(1-Vendas[[#This Row],[Desconto(%)]])</f>
        <v>395.69199999999995</v>
      </c>
      <c r="P19" s="16">
        <f ca="1">VALUE(TODAY()-Vendas[[#This Row],[Data]])</f>
        <v>250</v>
      </c>
      <c r="Q19" s="10" t="str">
        <f>IF(Vendas[[#This Row],[Total]]&gt;=250,"Alto", IF(AND(Vendas[[#This Row],[Total]]&gt;=100,Vendas[[#This Row],[Total]]&lt;=249.99),"Médio","Baixo"))</f>
        <v>Alto</v>
      </c>
      <c r="R19" s="10" t="str">
        <f>LOOKUP(Vendas[[#This Row],[Total]],Análise!$R$4:$R$7,Análise!$S$4:$S$7)</f>
        <v>Platina</v>
      </c>
      <c r="S19" s="10" t="e">
        <f>_xlfn.XLOOKUP(Vendas[[#This Row],[Total]],Análise!$R$4:$R$7,Análise!$S$4:$S$7,,1)</f>
        <v>#N/A</v>
      </c>
      <c r="T19" s="10" t="str">
        <f>_xlfn.XLOOKUP(Vendas[[#This Row],[Total]],Análise!$R$4:$R$7,Análise!$S$4:$S$7,,-1)</f>
        <v>Platina</v>
      </c>
      <c r="U19" s="23"/>
      <c r="V19" s="23"/>
    </row>
    <row r="20" spans="1:22" x14ac:dyDescent="0.35">
      <c r="A20" s="10" t="s">
        <v>57</v>
      </c>
      <c r="B20" s="12">
        <v>45709</v>
      </c>
      <c r="C20" s="12" t="str">
        <f>TEXT(Vendas[[#This Row],[Data]],"aaaa")</f>
        <v>2025</v>
      </c>
      <c r="D20" s="12" t="str">
        <f>TEXT(Vendas[[#This Row],[Data]],"mm")</f>
        <v>02</v>
      </c>
      <c r="E20" s="12">
        <f>EOMONTH(Vendas[[#This Row],[Data]],0)</f>
        <v>45716</v>
      </c>
      <c r="F20" s="16">
        <f>ROUNDUP(MONTH(Vendas[[#This Row],[Data]])/3,0)</f>
        <v>1</v>
      </c>
      <c r="G20" s="10" t="s">
        <v>11</v>
      </c>
      <c r="H20" s="10" t="s">
        <v>30</v>
      </c>
      <c r="I20" s="10" t="s">
        <v>47</v>
      </c>
      <c r="J20" s="10" t="s">
        <v>14</v>
      </c>
      <c r="K20" s="10" t="s">
        <v>22</v>
      </c>
      <c r="L20" s="10">
        <v>2</v>
      </c>
      <c r="M20" s="19">
        <v>6.46</v>
      </c>
      <c r="N20" s="20">
        <v>0.15</v>
      </c>
      <c r="O20" s="19">
        <f>Vendas[[#This Row],[Quantidade]]*Vendas[[#This Row],[PreçoUnitário]]*(1-Vendas[[#This Row],[Desconto(%)]])</f>
        <v>10.981999999999999</v>
      </c>
      <c r="P20" s="16">
        <f ca="1">VALUE(TODAY()-Vendas[[#This Row],[Data]])</f>
        <v>229</v>
      </c>
      <c r="Q20" s="10" t="str">
        <f>IF(Vendas[[#This Row],[Total]]&gt;=250,"Alto", IF(AND(Vendas[[#This Row],[Total]]&gt;=100,Vendas[[#This Row],[Total]]&lt;=249.99),"Médio","Baixo"))</f>
        <v>Baixo</v>
      </c>
      <c r="R20" s="10" t="str">
        <f>LOOKUP(Vendas[[#This Row],[Total]],Análise!$R$4:$R$7,Análise!$S$4:$S$7)</f>
        <v>Bronze</v>
      </c>
      <c r="S20" s="10" t="str">
        <f>_xlfn.XLOOKUP(Vendas[[#This Row],[Total]],Análise!$R$4:$R$7,Análise!$S$4:$S$7,,1)</f>
        <v>Prata</v>
      </c>
      <c r="T20" s="10" t="str">
        <f>_xlfn.XLOOKUP(Vendas[[#This Row],[Total]],Análise!$R$4:$R$7,Análise!$S$4:$S$7,,-1)</f>
        <v>Bronze</v>
      </c>
      <c r="U20" s="23"/>
      <c r="V20" s="23"/>
    </row>
    <row r="21" spans="1:22" x14ac:dyDescent="0.35">
      <c r="A21" s="10" t="s">
        <v>58</v>
      </c>
      <c r="B21" s="12">
        <v>45726</v>
      </c>
      <c r="C21" s="12" t="str">
        <f>TEXT(Vendas[[#This Row],[Data]],"aaaa")</f>
        <v>2025</v>
      </c>
      <c r="D21" s="12" t="str">
        <f>TEXT(Vendas[[#This Row],[Data]],"mm")</f>
        <v>03</v>
      </c>
      <c r="E21" s="12">
        <f>EOMONTH(Vendas[[#This Row],[Data]],0)</f>
        <v>45747</v>
      </c>
      <c r="F21" s="16">
        <f>ROUNDUP(MONTH(Vendas[[#This Row],[Data]])/3,0)</f>
        <v>1</v>
      </c>
      <c r="G21" s="10" t="s">
        <v>24</v>
      </c>
      <c r="H21" s="10" t="s">
        <v>12</v>
      </c>
      <c r="I21" s="10" t="s">
        <v>25</v>
      </c>
      <c r="J21" s="10" t="s">
        <v>36</v>
      </c>
      <c r="K21" s="10" t="s">
        <v>43</v>
      </c>
      <c r="L21" s="10">
        <v>16</v>
      </c>
      <c r="M21" s="19">
        <v>12.69</v>
      </c>
      <c r="N21" s="20">
        <v>0</v>
      </c>
      <c r="O21" s="19">
        <f>Vendas[[#This Row],[Quantidade]]*Vendas[[#This Row],[PreçoUnitário]]*(1-Vendas[[#This Row],[Desconto(%)]])</f>
        <v>203.04</v>
      </c>
      <c r="P21" s="16">
        <f ca="1">VALUE(TODAY()-Vendas[[#This Row],[Data]])</f>
        <v>212</v>
      </c>
      <c r="Q21" s="10" t="str">
        <f>IF(Vendas[[#This Row],[Total]]&gt;=250,"Alto", IF(AND(Vendas[[#This Row],[Total]]&gt;=100,Vendas[[#This Row],[Total]]&lt;=249.99),"Médio","Baixo"))</f>
        <v>Médio</v>
      </c>
      <c r="R21" s="10" t="str">
        <f>LOOKUP(Vendas[[#This Row],[Total]],Análise!$R$4:$R$7,Análise!$S$4:$S$7)</f>
        <v>Ouro</v>
      </c>
      <c r="S21" s="10" t="str">
        <f>_xlfn.XLOOKUP(Vendas[[#This Row],[Total]],Análise!$R$4:$R$7,Análise!$S$4:$S$7,,1)</f>
        <v>Platina</v>
      </c>
      <c r="T21" s="10" t="str">
        <f>_xlfn.XLOOKUP(Vendas[[#This Row],[Total]],Análise!$R$4:$R$7,Análise!$S$4:$S$7,,-1)</f>
        <v>Ouro</v>
      </c>
      <c r="U21" s="23"/>
      <c r="V21" s="23"/>
    </row>
    <row r="22" spans="1:22" x14ac:dyDescent="0.35">
      <c r="A22" s="10" t="s">
        <v>59</v>
      </c>
      <c r="B22" s="12">
        <v>45731</v>
      </c>
      <c r="C22" s="12" t="str">
        <f>TEXT(Vendas[[#This Row],[Data]],"aaaa")</f>
        <v>2025</v>
      </c>
      <c r="D22" s="12" t="str">
        <f>TEXT(Vendas[[#This Row],[Data]],"mm")</f>
        <v>03</v>
      </c>
      <c r="E22" s="12">
        <f>EOMONTH(Vendas[[#This Row],[Data]],0)</f>
        <v>45747</v>
      </c>
      <c r="F22" s="16">
        <f>ROUNDUP(MONTH(Vendas[[#This Row],[Data]])/3,0)</f>
        <v>1</v>
      </c>
      <c r="G22" s="10" t="s">
        <v>11</v>
      </c>
      <c r="H22" s="10" t="s">
        <v>12</v>
      </c>
      <c r="I22" s="10" t="s">
        <v>25</v>
      </c>
      <c r="J22" s="10" t="s">
        <v>32</v>
      </c>
      <c r="K22" s="10" t="s">
        <v>33</v>
      </c>
      <c r="L22" s="10">
        <v>22</v>
      </c>
      <c r="M22" s="19">
        <v>30.55</v>
      </c>
      <c r="N22" s="20">
        <v>0.05</v>
      </c>
      <c r="O22" s="19">
        <f>Vendas[[#This Row],[Quantidade]]*Vendas[[#This Row],[PreçoUnitário]]*(1-Vendas[[#This Row],[Desconto(%)]])</f>
        <v>638.495</v>
      </c>
      <c r="P22" s="16">
        <f ca="1">VALUE(TODAY()-Vendas[[#This Row],[Data]])</f>
        <v>207</v>
      </c>
      <c r="Q22" s="10" t="str">
        <f>IF(Vendas[[#This Row],[Total]]&gt;=250,"Alto", IF(AND(Vendas[[#This Row],[Total]]&gt;=100,Vendas[[#This Row],[Total]]&lt;=249.99),"Médio","Baixo"))</f>
        <v>Alto</v>
      </c>
      <c r="R22" s="10" t="str">
        <f>LOOKUP(Vendas[[#This Row],[Total]],Análise!$R$4:$R$7,Análise!$S$4:$S$7)</f>
        <v>Platina</v>
      </c>
      <c r="S22" s="10" t="e">
        <f>_xlfn.XLOOKUP(Vendas[[#This Row],[Total]],Análise!$R$4:$R$7,Análise!$S$4:$S$7,,1)</f>
        <v>#N/A</v>
      </c>
      <c r="T22" s="10" t="str">
        <f>_xlfn.XLOOKUP(Vendas[[#This Row],[Total]],Análise!$R$4:$R$7,Análise!$S$4:$S$7,,-1)</f>
        <v>Platina</v>
      </c>
      <c r="U22" s="23"/>
      <c r="V22" s="23"/>
    </row>
    <row r="23" spans="1:22" x14ac:dyDescent="0.35">
      <c r="A23" s="10" t="s">
        <v>60</v>
      </c>
      <c r="B23" s="12">
        <v>45744</v>
      </c>
      <c r="C23" s="12" t="str">
        <f>TEXT(Vendas[[#This Row],[Data]],"aaaa")</f>
        <v>2025</v>
      </c>
      <c r="D23" s="12" t="str">
        <f>TEXT(Vendas[[#This Row],[Data]],"mm")</f>
        <v>03</v>
      </c>
      <c r="E23" s="12">
        <f>EOMONTH(Vendas[[#This Row],[Data]],0)</f>
        <v>45747</v>
      </c>
      <c r="F23" s="16">
        <f>ROUNDUP(MONTH(Vendas[[#This Row],[Data]])/3,0)</f>
        <v>1</v>
      </c>
      <c r="G23" s="10" t="s">
        <v>46</v>
      </c>
      <c r="H23" s="10" t="s">
        <v>12</v>
      </c>
      <c r="I23" s="10" t="s">
        <v>13</v>
      </c>
      <c r="J23" s="10" t="s">
        <v>36</v>
      </c>
      <c r="K23" s="10" t="s">
        <v>50</v>
      </c>
      <c r="L23" s="10">
        <v>8</v>
      </c>
      <c r="M23" s="19">
        <v>4.3899999999999997</v>
      </c>
      <c r="N23" s="20">
        <v>0</v>
      </c>
      <c r="O23" s="19">
        <f>Vendas[[#This Row],[Quantidade]]*Vendas[[#This Row],[PreçoUnitário]]*(1-Vendas[[#This Row],[Desconto(%)]])</f>
        <v>35.119999999999997</v>
      </c>
      <c r="P23" s="16">
        <f ca="1">VALUE(TODAY()-Vendas[[#This Row],[Data]])</f>
        <v>194</v>
      </c>
      <c r="Q23" s="10" t="str">
        <f>IF(Vendas[[#This Row],[Total]]&gt;=250,"Alto", IF(AND(Vendas[[#This Row],[Total]]&gt;=100,Vendas[[#This Row],[Total]]&lt;=249.99),"Médio","Baixo"))</f>
        <v>Baixo</v>
      </c>
      <c r="R23" s="10" t="str">
        <f>LOOKUP(Vendas[[#This Row],[Total]],Análise!$R$4:$R$7,Análise!$S$4:$S$7)</f>
        <v>Bronze</v>
      </c>
      <c r="S23" s="10" t="str">
        <f>_xlfn.XLOOKUP(Vendas[[#This Row],[Total]],Análise!$R$4:$R$7,Análise!$S$4:$S$7,,1)</f>
        <v>Prata</v>
      </c>
      <c r="T23" s="10" t="str">
        <f>_xlfn.XLOOKUP(Vendas[[#This Row],[Total]],Análise!$R$4:$R$7,Análise!$S$4:$S$7,,-1)</f>
        <v>Bronze</v>
      </c>
      <c r="U23" s="23"/>
      <c r="V23" s="23"/>
    </row>
    <row r="24" spans="1:22" x14ac:dyDescent="0.35">
      <c r="A24" s="10" t="s">
        <v>61</v>
      </c>
      <c r="B24" s="12">
        <v>45750</v>
      </c>
      <c r="C24" s="12" t="str">
        <f>TEXT(Vendas[[#This Row],[Data]],"aaaa")</f>
        <v>2025</v>
      </c>
      <c r="D24" s="12" t="str">
        <f>TEXT(Vendas[[#This Row],[Data]],"mm")</f>
        <v>04</v>
      </c>
      <c r="E24" s="12">
        <f>EOMONTH(Vendas[[#This Row],[Data]],0)</f>
        <v>45777</v>
      </c>
      <c r="F24" s="16">
        <f>ROUNDUP(MONTH(Vendas[[#This Row],[Data]])/3,0)</f>
        <v>2</v>
      </c>
      <c r="G24" s="10" t="s">
        <v>46</v>
      </c>
      <c r="H24" s="10" t="s">
        <v>18</v>
      </c>
      <c r="I24" s="10" t="s">
        <v>13</v>
      </c>
      <c r="J24" s="10" t="s">
        <v>32</v>
      </c>
      <c r="K24" s="10" t="s">
        <v>33</v>
      </c>
      <c r="L24" s="10">
        <v>3</v>
      </c>
      <c r="M24" s="19">
        <v>14.98</v>
      </c>
      <c r="N24" s="20">
        <v>0</v>
      </c>
      <c r="O24" s="19">
        <f>Vendas[[#This Row],[Quantidade]]*Vendas[[#This Row],[PreçoUnitário]]*(1-Vendas[[#This Row],[Desconto(%)]])</f>
        <v>44.94</v>
      </c>
      <c r="P24" s="16">
        <f ca="1">VALUE(TODAY()-Vendas[[#This Row],[Data]])</f>
        <v>188</v>
      </c>
      <c r="Q24" s="10" t="str">
        <f>IF(Vendas[[#This Row],[Total]]&gt;=250,"Alto", IF(AND(Vendas[[#This Row],[Total]]&gt;=100,Vendas[[#This Row],[Total]]&lt;=249.99),"Médio","Baixo"))</f>
        <v>Baixo</v>
      </c>
      <c r="R24" s="10" t="str">
        <f>LOOKUP(Vendas[[#This Row],[Total]],Análise!$R$4:$R$7,Análise!$S$4:$S$7)</f>
        <v>Bronze</v>
      </c>
      <c r="S24" s="10" t="str">
        <f>_xlfn.XLOOKUP(Vendas[[#This Row],[Total]],Análise!$R$4:$R$7,Análise!$S$4:$S$7,,1)</f>
        <v>Prata</v>
      </c>
      <c r="T24" s="10" t="str">
        <f>_xlfn.XLOOKUP(Vendas[[#This Row],[Total]],Análise!$R$4:$R$7,Análise!$S$4:$S$7,,-1)</f>
        <v>Bronze</v>
      </c>
      <c r="U24" s="23"/>
      <c r="V24" s="23"/>
    </row>
    <row r="25" spans="1:22" x14ac:dyDescent="0.35">
      <c r="A25" s="10" t="s">
        <v>62</v>
      </c>
      <c r="B25" s="12">
        <v>45767</v>
      </c>
      <c r="C25" s="12" t="str">
        <f>TEXT(Vendas[[#This Row],[Data]],"aaaa")</f>
        <v>2025</v>
      </c>
      <c r="D25" s="12" t="str">
        <f>TEXT(Vendas[[#This Row],[Data]],"mm")</f>
        <v>04</v>
      </c>
      <c r="E25" s="12">
        <f>EOMONTH(Vendas[[#This Row],[Data]],0)</f>
        <v>45777</v>
      </c>
      <c r="F25" s="16">
        <f>ROUNDUP(MONTH(Vendas[[#This Row],[Data]])/3,0)</f>
        <v>2</v>
      </c>
      <c r="G25" s="10" t="s">
        <v>35</v>
      </c>
      <c r="H25" s="10" t="s">
        <v>18</v>
      </c>
      <c r="I25" s="10" t="s">
        <v>47</v>
      </c>
      <c r="J25" s="10" t="s">
        <v>32</v>
      </c>
      <c r="K25" s="10" t="s">
        <v>56</v>
      </c>
      <c r="L25" s="10">
        <v>3</v>
      </c>
      <c r="M25" s="19">
        <v>26.8</v>
      </c>
      <c r="N25" s="20">
        <v>0.15</v>
      </c>
      <c r="O25" s="19">
        <f>Vendas[[#This Row],[Quantidade]]*Vendas[[#This Row],[PreçoUnitário]]*(1-Vendas[[#This Row],[Desconto(%)]])</f>
        <v>68.34</v>
      </c>
      <c r="P25" s="16">
        <f ca="1">VALUE(TODAY()-Vendas[[#This Row],[Data]])</f>
        <v>171</v>
      </c>
      <c r="Q25" s="10" t="str">
        <f>IF(Vendas[[#This Row],[Total]]&gt;=250,"Alto", IF(AND(Vendas[[#This Row],[Total]]&gt;=100,Vendas[[#This Row],[Total]]&lt;=249.99),"Médio","Baixo"))</f>
        <v>Baixo</v>
      </c>
      <c r="R25" s="10" t="str">
        <f>LOOKUP(Vendas[[#This Row],[Total]],Análise!$R$4:$R$7,Análise!$S$4:$S$7)</f>
        <v>Bronze</v>
      </c>
      <c r="S25" s="10" t="str">
        <f>_xlfn.XLOOKUP(Vendas[[#This Row],[Total]],Análise!$R$4:$R$7,Análise!$S$4:$S$7,,1)</f>
        <v>Prata</v>
      </c>
      <c r="T25" s="10" t="str">
        <f>_xlfn.XLOOKUP(Vendas[[#This Row],[Total]],Análise!$R$4:$R$7,Análise!$S$4:$S$7,,-1)</f>
        <v>Bronze</v>
      </c>
      <c r="U25" s="23"/>
      <c r="V25" s="23"/>
    </row>
    <row r="26" spans="1:22" x14ac:dyDescent="0.35">
      <c r="A26" s="10" t="s">
        <v>63</v>
      </c>
      <c r="B26" s="12">
        <v>45782</v>
      </c>
      <c r="C26" s="12" t="str">
        <f>TEXT(Vendas[[#This Row],[Data]],"aaaa")</f>
        <v>2025</v>
      </c>
      <c r="D26" s="12" t="str">
        <f>TEXT(Vendas[[#This Row],[Data]],"mm")</f>
        <v>05</v>
      </c>
      <c r="E26" s="12">
        <f>EOMONTH(Vendas[[#This Row],[Data]],0)</f>
        <v>45808</v>
      </c>
      <c r="F26" s="16">
        <f>ROUNDUP(MONTH(Vendas[[#This Row],[Data]])/3,0)</f>
        <v>2</v>
      </c>
      <c r="G26" s="10" t="s">
        <v>11</v>
      </c>
      <c r="H26" s="10" t="s">
        <v>18</v>
      </c>
      <c r="I26" s="10" t="s">
        <v>25</v>
      </c>
      <c r="J26" s="10" t="s">
        <v>32</v>
      </c>
      <c r="K26" s="10" t="s">
        <v>39</v>
      </c>
      <c r="L26" s="10">
        <v>7</v>
      </c>
      <c r="M26" s="19">
        <v>17.39</v>
      </c>
      <c r="N26" s="20">
        <v>0.15</v>
      </c>
      <c r="O26" s="19">
        <f>Vendas[[#This Row],[Quantidade]]*Vendas[[#This Row],[PreçoUnitário]]*(1-Vendas[[#This Row],[Desconto(%)]])</f>
        <v>103.4705</v>
      </c>
      <c r="P26" s="16">
        <f ca="1">VALUE(TODAY()-Vendas[[#This Row],[Data]])</f>
        <v>156</v>
      </c>
      <c r="Q26" s="10" t="str">
        <f>IF(Vendas[[#This Row],[Total]]&gt;=250,"Alto", IF(AND(Vendas[[#This Row],[Total]]&gt;=100,Vendas[[#This Row],[Total]]&lt;=249.99),"Médio","Baixo"))</f>
        <v>Médio</v>
      </c>
      <c r="R26" s="10" t="str">
        <f>LOOKUP(Vendas[[#This Row],[Total]],Análise!$R$4:$R$7,Análise!$S$4:$S$7)</f>
        <v>Prata</v>
      </c>
      <c r="S26" s="10" t="str">
        <f>_xlfn.XLOOKUP(Vendas[[#This Row],[Total]],Análise!$R$4:$R$7,Análise!$S$4:$S$7,,1)</f>
        <v>Ouro</v>
      </c>
      <c r="T26" s="10" t="str">
        <f>_xlfn.XLOOKUP(Vendas[[#This Row],[Total]],Análise!$R$4:$R$7,Análise!$S$4:$S$7,,-1)</f>
        <v>Prata</v>
      </c>
      <c r="U26" s="23"/>
      <c r="V26" s="23"/>
    </row>
    <row r="27" spans="1:22" x14ac:dyDescent="0.35">
      <c r="A27" s="10" t="s">
        <v>64</v>
      </c>
      <c r="B27" s="12">
        <v>45787</v>
      </c>
      <c r="C27" s="12" t="str">
        <f>TEXT(Vendas[[#This Row],[Data]],"aaaa")</f>
        <v>2025</v>
      </c>
      <c r="D27" s="12" t="str">
        <f>TEXT(Vendas[[#This Row],[Data]],"mm")</f>
        <v>05</v>
      </c>
      <c r="E27" s="12">
        <f>EOMONTH(Vendas[[#This Row],[Data]],0)</f>
        <v>45808</v>
      </c>
      <c r="F27" s="16">
        <f>ROUNDUP(MONTH(Vendas[[#This Row],[Data]])/3,0)</f>
        <v>2</v>
      </c>
      <c r="G27" s="10" t="s">
        <v>41</v>
      </c>
      <c r="H27" s="10" t="s">
        <v>54</v>
      </c>
      <c r="I27" s="10" t="s">
        <v>19</v>
      </c>
      <c r="J27" s="10" t="s">
        <v>14</v>
      </c>
      <c r="K27" s="10" t="s">
        <v>20</v>
      </c>
      <c r="L27" s="10">
        <v>3</v>
      </c>
      <c r="M27" s="19">
        <v>5.22</v>
      </c>
      <c r="N27" s="20">
        <v>0</v>
      </c>
      <c r="O27" s="19">
        <f>Vendas[[#This Row],[Quantidade]]*Vendas[[#This Row],[PreçoUnitário]]*(1-Vendas[[#This Row],[Desconto(%)]])</f>
        <v>15.66</v>
      </c>
      <c r="P27" s="16">
        <f ca="1">VALUE(TODAY()-Vendas[[#This Row],[Data]])</f>
        <v>151</v>
      </c>
      <c r="Q27" s="10" t="str">
        <f>IF(Vendas[[#This Row],[Total]]&gt;=250,"Alto", IF(AND(Vendas[[#This Row],[Total]]&gt;=100,Vendas[[#This Row],[Total]]&lt;=249.99),"Médio","Baixo"))</f>
        <v>Baixo</v>
      </c>
      <c r="R27" s="10" t="str">
        <f>LOOKUP(Vendas[[#This Row],[Total]],Análise!$R$4:$R$7,Análise!$S$4:$S$7)</f>
        <v>Bronze</v>
      </c>
      <c r="S27" s="10" t="str">
        <f>_xlfn.XLOOKUP(Vendas[[#This Row],[Total]],Análise!$R$4:$R$7,Análise!$S$4:$S$7,,1)</f>
        <v>Prata</v>
      </c>
      <c r="T27" s="10" t="str">
        <f>_xlfn.XLOOKUP(Vendas[[#This Row],[Total]],Análise!$R$4:$R$7,Análise!$S$4:$S$7,,-1)</f>
        <v>Bronze</v>
      </c>
      <c r="U27" s="23"/>
      <c r="V27" s="23"/>
    </row>
    <row r="28" spans="1:22" x14ac:dyDescent="0.35">
      <c r="A28" s="10" t="s">
        <v>65</v>
      </c>
      <c r="B28" s="12">
        <v>45804</v>
      </c>
      <c r="C28" s="12" t="str">
        <f>TEXT(Vendas[[#This Row],[Data]],"aaaa")</f>
        <v>2025</v>
      </c>
      <c r="D28" s="12" t="str">
        <f>TEXT(Vendas[[#This Row],[Data]],"mm")</f>
        <v>05</v>
      </c>
      <c r="E28" s="12">
        <f>EOMONTH(Vendas[[#This Row],[Data]],0)</f>
        <v>45808</v>
      </c>
      <c r="F28" s="16">
        <f>ROUNDUP(MONTH(Vendas[[#This Row],[Data]])/3,0)</f>
        <v>2</v>
      </c>
      <c r="G28" s="10" t="s">
        <v>17</v>
      </c>
      <c r="H28" s="10" t="s">
        <v>54</v>
      </c>
      <c r="I28" s="10" t="s">
        <v>13</v>
      </c>
      <c r="J28" s="10" t="s">
        <v>14</v>
      </c>
      <c r="K28" s="10" t="s">
        <v>20</v>
      </c>
      <c r="L28" s="10">
        <v>5</v>
      </c>
      <c r="M28" s="19">
        <v>7.26</v>
      </c>
      <c r="N28" s="20">
        <v>0.1</v>
      </c>
      <c r="O28" s="19">
        <f>Vendas[[#This Row],[Quantidade]]*Vendas[[#This Row],[PreçoUnitário]]*(1-Vendas[[#This Row],[Desconto(%)]])</f>
        <v>32.67</v>
      </c>
      <c r="P28" s="16">
        <f ca="1">VALUE(TODAY()-Vendas[[#This Row],[Data]])</f>
        <v>134</v>
      </c>
      <c r="Q28" s="10" t="str">
        <f>IF(Vendas[[#This Row],[Total]]&gt;=250,"Alto", IF(AND(Vendas[[#This Row],[Total]]&gt;=100,Vendas[[#This Row],[Total]]&lt;=249.99),"Médio","Baixo"))</f>
        <v>Baixo</v>
      </c>
      <c r="R28" s="10" t="str">
        <f>LOOKUP(Vendas[[#This Row],[Total]],Análise!$R$4:$R$7,Análise!$S$4:$S$7)</f>
        <v>Bronze</v>
      </c>
      <c r="S28" s="10" t="str">
        <f>_xlfn.XLOOKUP(Vendas[[#This Row],[Total]],Análise!$R$4:$R$7,Análise!$S$4:$S$7,,1)</f>
        <v>Prata</v>
      </c>
      <c r="T28" s="10" t="str">
        <f>_xlfn.XLOOKUP(Vendas[[#This Row],[Total]],Análise!$R$4:$R$7,Análise!$S$4:$S$7,,-1)</f>
        <v>Bronze</v>
      </c>
      <c r="U28" s="23"/>
      <c r="V28" s="23"/>
    </row>
    <row r="29" spans="1:22" x14ac:dyDescent="0.35">
      <c r="A29" s="10" t="s">
        <v>66</v>
      </c>
      <c r="B29" s="12">
        <v>45817</v>
      </c>
      <c r="C29" s="12" t="str">
        <f>TEXT(Vendas[[#This Row],[Data]],"aaaa")</f>
        <v>2025</v>
      </c>
      <c r="D29" s="12" t="str">
        <f>TEXT(Vendas[[#This Row],[Data]],"mm")</f>
        <v>06</v>
      </c>
      <c r="E29" s="12">
        <f>EOMONTH(Vendas[[#This Row],[Data]],0)</f>
        <v>45838</v>
      </c>
      <c r="F29" s="16">
        <f>ROUNDUP(MONTH(Vendas[[#This Row],[Data]])/3,0)</f>
        <v>2</v>
      </c>
      <c r="G29" s="10" t="s">
        <v>27</v>
      </c>
      <c r="H29" s="10" t="s">
        <v>12</v>
      </c>
      <c r="I29" s="10" t="s">
        <v>47</v>
      </c>
      <c r="J29" s="10" t="s">
        <v>36</v>
      </c>
      <c r="K29" s="10" t="s">
        <v>37</v>
      </c>
      <c r="L29" s="10">
        <v>6</v>
      </c>
      <c r="M29" s="19">
        <v>10.73</v>
      </c>
      <c r="N29" s="20">
        <v>0.05</v>
      </c>
      <c r="O29" s="19">
        <f>Vendas[[#This Row],[Quantidade]]*Vendas[[#This Row],[PreçoUnitário]]*(1-Vendas[[#This Row],[Desconto(%)]])</f>
        <v>61.160999999999994</v>
      </c>
      <c r="P29" s="16">
        <f ca="1">VALUE(TODAY()-Vendas[[#This Row],[Data]])</f>
        <v>121</v>
      </c>
      <c r="Q29" s="10" t="str">
        <f>IF(Vendas[[#This Row],[Total]]&gt;=250,"Alto", IF(AND(Vendas[[#This Row],[Total]]&gt;=100,Vendas[[#This Row],[Total]]&lt;=249.99),"Médio","Baixo"))</f>
        <v>Baixo</v>
      </c>
      <c r="R29" s="10" t="str">
        <f>LOOKUP(Vendas[[#This Row],[Total]],Análise!$R$4:$R$7,Análise!$S$4:$S$7)</f>
        <v>Bronze</v>
      </c>
      <c r="S29" s="10" t="str">
        <f>_xlfn.XLOOKUP(Vendas[[#This Row],[Total]],Análise!$R$4:$R$7,Análise!$S$4:$S$7,,1)</f>
        <v>Prata</v>
      </c>
      <c r="T29" s="10" t="str">
        <f>_xlfn.XLOOKUP(Vendas[[#This Row],[Total]],Análise!$R$4:$R$7,Análise!$S$4:$S$7,,-1)</f>
        <v>Bronze</v>
      </c>
      <c r="U29" s="23"/>
      <c r="V29" s="23"/>
    </row>
    <row r="30" spans="1:22" x14ac:dyDescent="0.35">
      <c r="A30" s="10" t="s">
        <v>67</v>
      </c>
      <c r="B30" s="12">
        <v>45818</v>
      </c>
      <c r="C30" s="12" t="str">
        <f>TEXT(Vendas[[#This Row],[Data]],"aaaa")</f>
        <v>2025</v>
      </c>
      <c r="D30" s="12" t="str">
        <f>TEXT(Vendas[[#This Row],[Data]],"mm")</f>
        <v>06</v>
      </c>
      <c r="E30" s="12">
        <f>EOMONTH(Vendas[[#This Row],[Data]],0)</f>
        <v>45838</v>
      </c>
      <c r="F30" s="16">
        <f>ROUNDUP(MONTH(Vendas[[#This Row],[Data]])/3,0)</f>
        <v>2</v>
      </c>
      <c r="G30" s="10" t="s">
        <v>11</v>
      </c>
      <c r="H30" s="10" t="s">
        <v>12</v>
      </c>
      <c r="I30" s="10" t="s">
        <v>47</v>
      </c>
      <c r="J30" s="10" t="s">
        <v>32</v>
      </c>
      <c r="K30" s="10" t="s">
        <v>56</v>
      </c>
      <c r="L30" s="10">
        <v>4</v>
      </c>
      <c r="M30" s="19">
        <v>34.729999999999997</v>
      </c>
      <c r="N30" s="20">
        <v>0.1</v>
      </c>
      <c r="O30" s="19">
        <f>Vendas[[#This Row],[Quantidade]]*Vendas[[#This Row],[PreçoUnitário]]*(1-Vendas[[#This Row],[Desconto(%)]])</f>
        <v>125.02799999999999</v>
      </c>
      <c r="P30" s="16">
        <f ca="1">VALUE(TODAY()-Vendas[[#This Row],[Data]])</f>
        <v>120</v>
      </c>
      <c r="Q30" s="10" t="str">
        <f>IF(Vendas[[#This Row],[Total]]&gt;=250,"Alto", IF(AND(Vendas[[#This Row],[Total]]&gt;=100,Vendas[[#This Row],[Total]]&lt;=249.99),"Médio","Baixo"))</f>
        <v>Médio</v>
      </c>
      <c r="R30" s="10" t="str">
        <f>LOOKUP(Vendas[[#This Row],[Total]],Análise!$R$4:$R$7,Análise!$S$4:$S$7)</f>
        <v>Prata</v>
      </c>
      <c r="S30" s="10" t="str">
        <f>_xlfn.XLOOKUP(Vendas[[#This Row],[Total]],Análise!$R$4:$R$7,Análise!$S$4:$S$7,,1)</f>
        <v>Ouro</v>
      </c>
      <c r="T30" s="10" t="str">
        <f>_xlfn.XLOOKUP(Vendas[[#This Row],[Total]],Análise!$R$4:$R$7,Análise!$S$4:$S$7,,-1)</f>
        <v>Prata</v>
      </c>
      <c r="U30" s="23"/>
      <c r="V30" s="23"/>
    </row>
    <row r="31" spans="1:22" x14ac:dyDescent="0.35">
      <c r="A31" s="10" t="s">
        <v>68</v>
      </c>
      <c r="B31" s="12">
        <v>45822</v>
      </c>
      <c r="C31" s="12" t="str">
        <f>TEXT(Vendas[[#This Row],[Data]],"aaaa")</f>
        <v>2025</v>
      </c>
      <c r="D31" s="12" t="str">
        <f>TEXT(Vendas[[#This Row],[Data]],"mm")</f>
        <v>06</v>
      </c>
      <c r="E31" s="12">
        <f>EOMONTH(Vendas[[#This Row],[Data]],0)</f>
        <v>45838</v>
      </c>
      <c r="F31" s="16">
        <f>ROUNDUP(MONTH(Vendas[[#This Row],[Data]])/3,0)</f>
        <v>2</v>
      </c>
      <c r="G31" s="10" t="s">
        <v>41</v>
      </c>
      <c r="H31" s="10" t="s">
        <v>30</v>
      </c>
      <c r="I31" s="10" t="s">
        <v>19</v>
      </c>
      <c r="J31" s="10" t="s">
        <v>14</v>
      </c>
      <c r="K31" s="10" t="s">
        <v>28</v>
      </c>
      <c r="L31" s="10">
        <v>18</v>
      </c>
      <c r="M31" s="19">
        <v>11.38</v>
      </c>
      <c r="N31" s="20">
        <v>0.05</v>
      </c>
      <c r="O31" s="19">
        <f>Vendas[[#This Row],[Quantidade]]*Vendas[[#This Row],[PreçoUnitário]]*(1-Vendas[[#This Row],[Desconto(%)]])</f>
        <v>194.59799999999998</v>
      </c>
      <c r="P31" s="16">
        <f ca="1">VALUE(TODAY()-Vendas[[#This Row],[Data]])</f>
        <v>116</v>
      </c>
      <c r="Q31" s="10" t="str">
        <f>IF(Vendas[[#This Row],[Total]]&gt;=250,"Alto", IF(AND(Vendas[[#This Row],[Total]]&gt;=100,Vendas[[#This Row],[Total]]&lt;=249.99),"Médio","Baixo"))</f>
        <v>Médio</v>
      </c>
      <c r="R31" s="10" t="str">
        <f>LOOKUP(Vendas[[#This Row],[Total]],Análise!$R$4:$R$7,Análise!$S$4:$S$7)</f>
        <v>Prata</v>
      </c>
      <c r="S31" s="10" t="str">
        <f>_xlfn.XLOOKUP(Vendas[[#This Row],[Total]],Análise!$R$4:$R$7,Análise!$S$4:$S$7,,1)</f>
        <v>Ouro</v>
      </c>
      <c r="T31" s="10" t="str">
        <f>_xlfn.XLOOKUP(Vendas[[#This Row],[Total]],Análise!$R$4:$R$7,Análise!$S$4:$S$7,,-1)</f>
        <v>Prata</v>
      </c>
      <c r="U31" s="23"/>
      <c r="V31" s="23"/>
    </row>
    <row r="32" spans="1:22" x14ac:dyDescent="0.35">
      <c r="A32" s="10" t="s">
        <v>69</v>
      </c>
      <c r="B32" s="12">
        <v>45833</v>
      </c>
      <c r="C32" s="12" t="str">
        <f>TEXT(Vendas[[#This Row],[Data]],"aaaa")</f>
        <v>2025</v>
      </c>
      <c r="D32" s="12" t="str">
        <f>TEXT(Vendas[[#This Row],[Data]],"mm")</f>
        <v>06</v>
      </c>
      <c r="E32" s="12">
        <f>EOMONTH(Vendas[[#This Row],[Data]],0)</f>
        <v>45838</v>
      </c>
      <c r="F32" s="16">
        <f>ROUNDUP(MONTH(Vendas[[#This Row],[Data]])/3,0)</f>
        <v>2</v>
      </c>
      <c r="G32" s="10" t="s">
        <v>70</v>
      </c>
      <c r="H32" s="10" t="s">
        <v>71</v>
      </c>
      <c r="I32" s="10" t="s">
        <v>25</v>
      </c>
      <c r="J32" s="10" t="s">
        <v>14</v>
      </c>
      <c r="K32" s="10" t="s">
        <v>28</v>
      </c>
      <c r="L32" s="10">
        <v>20</v>
      </c>
      <c r="M32" s="19">
        <v>9.8800000000000008</v>
      </c>
      <c r="N32" s="20">
        <v>0.15</v>
      </c>
      <c r="O32" s="19">
        <f>Vendas[[#This Row],[Quantidade]]*Vendas[[#This Row],[PreçoUnitário]]*(1-Vendas[[#This Row],[Desconto(%)]])</f>
        <v>167.96</v>
      </c>
      <c r="P32" s="16">
        <f ca="1">VALUE(TODAY()-Vendas[[#This Row],[Data]])</f>
        <v>105</v>
      </c>
      <c r="Q32" s="10" t="str">
        <f>IF(Vendas[[#This Row],[Total]]&gt;=250,"Alto", IF(AND(Vendas[[#This Row],[Total]]&gt;=100,Vendas[[#This Row],[Total]]&lt;=249.99),"Médio","Baixo"))</f>
        <v>Médio</v>
      </c>
      <c r="R32" s="10" t="str">
        <f>LOOKUP(Vendas[[#This Row],[Total]],Análise!$R$4:$R$7,Análise!$S$4:$S$7)</f>
        <v>Prata</v>
      </c>
      <c r="S32" s="10" t="str">
        <f>_xlfn.XLOOKUP(Vendas[[#This Row],[Total]],Análise!$R$4:$R$7,Análise!$S$4:$S$7,,1)</f>
        <v>Ouro</v>
      </c>
      <c r="T32" s="10" t="str">
        <f>_xlfn.XLOOKUP(Vendas[[#This Row],[Total]],Análise!$R$4:$R$7,Análise!$S$4:$S$7,,-1)</f>
        <v>Prata</v>
      </c>
      <c r="U32" s="23"/>
      <c r="V32" s="23"/>
    </row>
    <row r="33" spans="1:22" x14ac:dyDescent="0.35">
      <c r="A33" s="10" t="s">
        <v>72</v>
      </c>
      <c r="B33" s="12">
        <v>45846</v>
      </c>
      <c r="C33" s="12" t="str">
        <f>TEXT(Vendas[[#This Row],[Data]],"aaaa")</f>
        <v>2025</v>
      </c>
      <c r="D33" s="12" t="str">
        <f>TEXT(Vendas[[#This Row],[Data]],"mm")</f>
        <v>07</v>
      </c>
      <c r="E33" s="12">
        <f>EOMONTH(Vendas[[#This Row],[Data]],0)</f>
        <v>45869</v>
      </c>
      <c r="F33" s="16">
        <f>ROUNDUP(MONTH(Vendas[[#This Row],[Data]])/3,0)</f>
        <v>3</v>
      </c>
      <c r="G33" s="10" t="s">
        <v>46</v>
      </c>
      <c r="H33" s="10" t="s">
        <v>12</v>
      </c>
      <c r="I33" s="10" t="s">
        <v>25</v>
      </c>
      <c r="J33" s="10" t="s">
        <v>32</v>
      </c>
      <c r="K33" s="10" t="s">
        <v>56</v>
      </c>
      <c r="L33" s="10">
        <v>5</v>
      </c>
      <c r="M33" s="19">
        <v>28.84</v>
      </c>
      <c r="N33" s="20">
        <v>0.15</v>
      </c>
      <c r="O33" s="19">
        <f>Vendas[[#This Row],[Quantidade]]*Vendas[[#This Row],[PreçoUnitário]]*(1-Vendas[[#This Row],[Desconto(%)]])</f>
        <v>122.57</v>
      </c>
      <c r="P33" s="16">
        <f ca="1">VALUE(TODAY()-Vendas[[#This Row],[Data]])</f>
        <v>92</v>
      </c>
      <c r="Q33" s="10" t="str">
        <f>IF(Vendas[[#This Row],[Total]]&gt;=250,"Alto", IF(AND(Vendas[[#This Row],[Total]]&gt;=100,Vendas[[#This Row],[Total]]&lt;=249.99),"Médio","Baixo"))</f>
        <v>Médio</v>
      </c>
      <c r="R33" s="10" t="str">
        <f>LOOKUP(Vendas[[#This Row],[Total]],Análise!$R$4:$R$7,Análise!$S$4:$S$7)</f>
        <v>Prata</v>
      </c>
      <c r="S33" s="10" t="str">
        <f>_xlfn.XLOOKUP(Vendas[[#This Row],[Total]],Análise!$R$4:$R$7,Análise!$S$4:$S$7,,1)</f>
        <v>Ouro</v>
      </c>
      <c r="T33" s="10" t="str">
        <f>_xlfn.XLOOKUP(Vendas[[#This Row],[Total]],Análise!$R$4:$R$7,Análise!$S$4:$S$7,,-1)</f>
        <v>Prata</v>
      </c>
      <c r="U33" s="23"/>
      <c r="V33" s="23"/>
    </row>
    <row r="34" spans="1:22" x14ac:dyDescent="0.35">
      <c r="A34" s="10" t="s">
        <v>73</v>
      </c>
      <c r="B34" s="12">
        <v>45859</v>
      </c>
      <c r="C34" s="12" t="str">
        <f>TEXT(Vendas[[#This Row],[Data]],"aaaa")</f>
        <v>2025</v>
      </c>
      <c r="D34" s="12" t="str">
        <f>TEXT(Vendas[[#This Row],[Data]],"mm")</f>
        <v>07</v>
      </c>
      <c r="E34" s="12">
        <f>EOMONTH(Vendas[[#This Row],[Data]],0)</f>
        <v>45869</v>
      </c>
      <c r="F34" s="16">
        <f>ROUNDUP(MONTH(Vendas[[#This Row],[Data]])/3,0)</f>
        <v>3</v>
      </c>
      <c r="G34" s="10" t="s">
        <v>24</v>
      </c>
      <c r="H34" s="10" t="s">
        <v>12</v>
      </c>
      <c r="I34" s="10" t="s">
        <v>47</v>
      </c>
      <c r="J34" s="10" t="s">
        <v>14</v>
      </c>
      <c r="K34" s="10" t="s">
        <v>20</v>
      </c>
      <c r="L34" s="10">
        <v>7</v>
      </c>
      <c r="M34" s="19">
        <v>9.94</v>
      </c>
      <c r="N34" s="20">
        <v>0.15</v>
      </c>
      <c r="O34" s="19">
        <f>Vendas[[#This Row],[Quantidade]]*Vendas[[#This Row],[PreçoUnitário]]*(1-Vendas[[#This Row],[Desconto(%)]])</f>
        <v>59.142999999999994</v>
      </c>
      <c r="P34" s="16">
        <f ca="1">VALUE(TODAY()-Vendas[[#This Row],[Data]])</f>
        <v>79</v>
      </c>
      <c r="Q34" s="10" t="str">
        <f>IF(Vendas[[#This Row],[Total]]&gt;=250,"Alto", IF(AND(Vendas[[#This Row],[Total]]&gt;=100,Vendas[[#This Row],[Total]]&lt;=249.99),"Médio","Baixo"))</f>
        <v>Baixo</v>
      </c>
      <c r="R34" s="10" t="str">
        <f>LOOKUP(Vendas[[#This Row],[Total]],Análise!$R$4:$R$7,Análise!$S$4:$S$7)</f>
        <v>Bronze</v>
      </c>
      <c r="S34" s="10" t="str">
        <f>_xlfn.XLOOKUP(Vendas[[#This Row],[Total]],Análise!$R$4:$R$7,Análise!$S$4:$S$7,,1)</f>
        <v>Prata</v>
      </c>
      <c r="T34" s="10" t="str">
        <f>_xlfn.XLOOKUP(Vendas[[#This Row],[Total]],Análise!$R$4:$R$7,Análise!$S$4:$S$7,,-1)</f>
        <v>Bronze</v>
      </c>
      <c r="U34" s="23"/>
      <c r="V34" s="23"/>
    </row>
    <row r="35" spans="1:22" x14ac:dyDescent="0.35">
      <c r="A35" s="10" t="s">
        <v>74</v>
      </c>
      <c r="B35" s="12">
        <v>45887</v>
      </c>
      <c r="C35" s="12" t="str">
        <f>TEXT(Vendas[[#This Row],[Data]],"aaaa")</f>
        <v>2025</v>
      </c>
      <c r="D35" s="12" t="str">
        <f>TEXT(Vendas[[#This Row],[Data]],"mm")</f>
        <v>08</v>
      </c>
      <c r="E35" s="12">
        <f>EOMONTH(Vendas[[#This Row],[Data]],0)</f>
        <v>45900</v>
      </c>
      <c r="F35" s="16">
        <f>ROUNDUP(MONTH(Vendas[[#This Row],[Data]])/3,0)</f>
        <v>3</v>
      </c>
      <c r="G35" s="10" t="s">
        <v>11</v>
      </c>
      <c r="H35" s="10" t="s">
        <v>18</v>
      </c>
      <c r="I35" s="10" t="s">
        <v>47</v>
      </c>
      <c r="J35" s="10" t="s">
        <v>36</v>
      </c>
      <c r="K35" s="10" t="s">
        <v>75</v>
      </c>
      <c r="L35" s="10">
        <v>5</v>
      </c>
      <c r="M35" s="19">
        <v>13.79</v>
      </c>
      <c r="N35" s="20">
        <v>0.15</v>
      </c>
      <c r="O35" s="19">
        <f>Vendas[[#This Row],[Quantidade]]*Vendas[[#This Row],[PreçoUnitário]]*(1-Vendas[[#This Row],[Desconto(%)]])</f>
        <v>58.607499999999987</v>
      </c>
      <c r="P35" s="16">
        <f ca="1">VALUE(TODAY()-Vendas[[#This Row],[Data]])</f>
        <v>51</v>
      </c>
      <c r="Q35" s="10" t="str">
        <f>IF(Vendas[[#This Row],[Total]]&gt;=250,"Alto", IF(AND(Vendas[[#This Row],[Total]]&gt;=100,Vendas[[#This Row],[Total]]&lt;=249.99),"Médio","Baixo"))</f>
        <v>Baixo</v>
      </c>
      <c r="R35" s="10" t="str">
        <f>LOOKUP(Vendas[[#This Row],[Total]],Análise!$R$4:$R$7,Análise!$S$4:$S$7)</f>
        <v>Bronze</v>
      </c>
      <c r="S35" s="10" t="str">
        <f>_xlfn.XLOOKUP(Vendas[[#This Row],[Total]],Análise!$R$4:$R$7,Análise!$S$4:$S$7,,1)</f>
        <v>Prata</v>
      </c>
      <c r="T35" s="10" t="str">
        <f>_xlfn.XLOOKUP(Vendas[[#This Row],[Total]],Análise!$R$4:$R$7,Análise!$S$4:$S$7,,-1)</f>
        <v>Bronze</v>
      </c>
      <c r="U35" s="23"/>
      <c r="V35" s="23"/>
    </row>
    <row r="36" spans="1:22" x14ac:dyDescent="0.35">
      <c r="A36" s="10" t="s">
        <v>76</v>
      </c>
      <c r="B36" s="12">
        <v>45909</v>
      </c>
      <c r="C36" s="12" t="str">
        <f>TEXT(Vendas[[#This Row],[Data]],"aaaa")</f>
        <v>2025</v>
      </c>
      <c r="D36" s="12" t="str">
        <f>TEXT(Vendas[[#This Row],[Data]],"mm")</f>
        <v>09</v>
      </c>
      <c r="E36" s="12">
        <f>EOMONTH(Vendas[[#This Row],[Data]],0)</f>
        <v>45930</v>
      </c>
      <c r="F36" s="16">
        <f>ROUNDUP(MONTH(Vendas[[#This Row],[Data]])/3,0)</f>
        <v>3</v>
      </c>
      <c r="G36" s="10" t="s">
        <v>24</v>
      </c>
      <c r="H36" s="10" t="s">
        <v>18</v>
      </c>
      <c r="I36" s="10" t="s">
        <v>19</v>
      </c>
      <c r="J36" s="10" t="s">
        <v>36</v>
      </c>
      <c r="K36" s="10" t="s">
        <v>50</v>
      </c>
      <c r="L36" s="10">
        <v>5</v>
      </c>
      <c r="M36" s="19">
        <v>11.68</v>
      </c>
      <c r="N36" s="20">
        <v>0.1</v>
      </c>
      <c r="O36" s="19">
        <f>Vendas[[#This Row],[Quantidade]]*Vendas[[#This Row],[PreçoUnitário]]*(1-Vendas[[#This Row],[Desconto(%)]])</f>
        <v>52.56</v>
      </c>
      <c r="P36" s="16">
        <f ca="1">VALUE(TODAY()-Vendas[[#This Row],[Data]])</f>
        <v>29</v>
      </c>
      <c r="Q36" s="10" t="str">
        <f>IF(Vendas[[#This Row],[Total]]&gt;=250,"Alto", IF(AND(Vendas[[#This Row],[Total]]&gt;=100,Vendas[[#This Row],[Total]]&lt;=249.99),"Médio","Baixo"))</f>
        <v>Baixo</v>
      </c>
      <c r="R36" s="10" t="str">
        <f>LOOKUP(Vendas[[#This Row],[Total]],Análise!$R$4:$R$7,Análise!$S$4:$S$7)</f>
        <v>Bronze</v>
      </c>
      <c r="S36" s="10" t="str">
        <f>_xlfn.XLOOKUP(Vendas[[#This Row],[Total]],Análise!$R$4:$R$7,Análise!$S$4:$S$7,,1)</f>
        <v>Prata</v>
      </c>
      <c r="T36" s="10" t="str">
        <f>_xlfn.XLOOKUP(Vendas[[#This Row],[Total]],Análise!$R$4:$R$7,Análise!$S$4:$S$7,,-1)</f>
        <v>Bronze</v>
      </c>
      <c r="U36" s="23"/>
      <c r="V36" s="23"/>
    </row>
    <row r="37" spans="1:22" x14ac:dyDescent="0.35">
      <c r="A37" s="10" t="s">
        <v>77</v>
      </c>
      <c r="B37" s="12">
        <v>45917</v>
      </c>
      <c r="C37" s="12" t="str">
        <f>TEXT(Vendas[[#This Row],[Data]],"aaaa")</f>
        <v>2025</v>
      </c>
      <c r="D37" s="12" t="str">
        <f>TEXT(Vendas[[#This Row],[Data]],"mm")</f>
        <v>09</v>
      </c>
      <c r="E37" s="12">
        <f>EOMONTH(Vendas[[#This Row],[Data]],0)</f>
        <v>45930</v>
      </c>
      <c r="F37" s="16">
        <f>ROUNDUP(MONTH(Vendas[[#This Row],[Data]])/3,0)</f>
        <v>3</v>
      </c>
      <c r="G37" s="10" t="s">
        <v>17</v>
      </c>
      <c r="H37" s="10" t="s">
        <v>18</v>
      </c>
      <c r="I37" s="10" t="s">
        <v>19</v>
      </c>
      <c r="J37" s="10" t="s">
        <v>36</v>
      </c>
      <c r="K37" s="10" t="s">
        <v>50</v>
      </c>
      <c r="L37" s="10">
        <v>20</v>
      </c>
      <c r="M37" s="19">
        <v>5.21</v>
      </c>
      <c r="N37" s="20">
        <v>0.15</v>
      </c>
      <c r="O37" s="19">
        <f>Vendas[[#This Row],[Quantidade]]*Vendas[[#This Row],[PreçoUnitário]]*(1-Vendas[[#This Row],[Desconto(%)]])</f>
        <v>88.57</v>
      </c>
      <c r="P37" s="16">
        <f ca="1">VALUE(TODAY()-Vendas[[#This Row],[Data]])</f>
        <v>21</v>
      </c>
      <c r="Q37" s="10" t="str">
        <f>IF(Vendas[[#This Row],[Total]]&gt;=250,"Alto", IF(AND(Vendas[[#This Row],[Total]]&gt;=100,Vendas[[#This Row],[Total]]&lt;=249.99),"Médio","Baixo"))</f>
        <v>Baixo</v>
      </c>
      <c r="R37" s="10" t="str">
        <f>LOOKUP(Vendas[[#This Row],[Total]],Análise!$R$4:$R$7,Análise!$S$4:$S$7)</f>
        <v>Bronze</v>
      </c>
      <c r="S37" s="10" t="str">
        <f>_xlfn.XLOOKUP(Vendas[[#This Row],[Total]],Análise!$R$4:$R$7,Análise!$S$4:$S$7,,1)</f>
        <v>Prata</v>
      </c>
      <c r="T37" s="10" t="str">
        <f>_xlfn.XLOOKUP(Vendas[[#This Row],[Total]],Análise!$R$4:$R$7,Análise!$S$4:$S$7,,-1)</f>
        <v>Bronze</v>
      </c>
      <c r="U37" s="23"/>
      <c r="V37" s="23"/>
    </row>
    <row r="40" spans="1:22" x14ac:dyDescent="0.35">
      <c r="K40" s="18"/>
    </row>
  </sheetData>
  <phoneticPr fontId="6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DA00-7E98-40C2-8941-409BD587D4AF}">
  <dimension ref="B2:S20"/>
  <sheetViews>
    <sheetView tabSelected="1" topLeftCell="I1" zoomScale="85" zoomScaleNormal="85" workbookViewId="0">
      <selection activeCell="R4" sqref="R4:S7"/>
    </sheetView>
    <sheetView workbookViewId="1"/>
  </sheetViews>
  <sheetFormatPr defaultRowHeight="14.5" x14ac:dyDescent="0.35"/>
  <cols>
    <col min="2" max="2" width="22.54296875" bestFit="1" customWidth="1"/>
    <col min="3" max="3" width="11" bestFit="1" customWidth="1"/>
    <col min="6" max="6" width="30.26953125" customWidth="1"/>
    <col min="7" max="7" width="9.54296875" bestFit="1" customWidth="1"/>
    <col min="10" max="10" width="32" customWidth="1"/>
    <col min="11" max="13" width="20.54296875" customWidth="1"/>
    <col min="17" max="17" width="25.1796875" customWidth="1"/>
  </cols>
  <sheetData>
    <row r="2" spans="2:19" ht="43.5" x14ac:dyDescent="0.35">
      <c r="B2" s="2" t="s">
        <v>90</v>
      </c>
      <c r="F2" s="4" t="s">
        <v>93</v>
      </c>
      <c r="J2" s="4" t="s">
        <v>98</v>
      </c>
      <c r="Q2" s="4" t="s">
        <v>102</v>
      </c>
    </row>
    <row r="3" spans="2:19" ht="14.25" customHeight="1" x14ac:dyDescent="0.35">
      <c r="B3" t="s">
        <v>19</v>
      </c>
      <c r="C3" s="18">
        <f>SUMIF(Vendas[Vendedor],B3,Vendas[Total])</f>
        <v>817.27649999999994</v>
      </c>
      <c r="F3" t="s">
        <v>19</v>
      </c>
      <c r="G3" s="18">
        <f>SUMIFS(Vendas[Total],Vendas[Vendedor],F3,Vendas[Região],"Lisboa")</f>
        <v>326.90999999999997</v>
      </c>
      <c r="J3" s="7" t="s">
        <v>99</v>
      </c>
      <c r="K3" s="7" t="s">
        <v>101</v>
      </c>
      <c r="L3" s="7" t="s">
        <v>0</v>
      </c>
      <c r="M3" s="7" t="s">
        <v>6</v>
      </c>
      <c r="R3" s="9" t="s">
        <v>103</v>
      </c>
      <c r="S3" s="9" t="s">
        <v>104</v>
      </c>
    </row>
    <row r="4" spans="2:19" x14ac:dyDescent="0.35">
      <c r="B4" t="s">
        <v>25</v>
      </c>
      <c r="C4" s="18">
        <f>SUMIF(Vendas[Vendedor],B4,Vendas[Total])</f>
        <v>1784.0284999999997</v>
      </c>
      <c r="F4" t="s">
        <v>25</v>
      </c>
      <c r="G4" s="18">
        <f>SUMIFS(Vendas[Total],Vendas[Vendedor],F4,Vendas[Região],"Lisboa")</f>
        <v>249.99849999999998</v>
      </c>
      <c r="J4" s="8">
        <v>1</v>
      </c>
      <c r="K4" s="18">
        <f>LARGE(Vendas[Total],J4)</f>
        <v>638.495</v>
      </c>
      <c r="L4" s="21" t="str">
        <f>_xlfn.XLOOKUP(K4,Vendas[Total],Vendas[VendaID],,0)</f>
        <v>V021</v>
      </c>
      <c r="M4" s="21" t="str">
        <f>_xlfn.XLOOKUP(K4,Vendas[Total],Vendas[Produto],,0)</f>
        <v>Teclado</v>
      </c>
      <c r="R4" s="10">
        <v>0</v>
      </c>
      <c r="S4" s="10" t="s">
        <v>105</v>
      </c>
    </row>
    <row r="5" spans="2:19" x14ac:dyDescent="0.35">
      <c r="B5" t="s">
        <v>47</v>
      </c>
      <c r="C5" s="18">
        <f>SUMIF(Vendas[Vendedor],B5,Vendas[Total])</f>
        <v>543.93449999999996</v>
      </c>
      <c r="F5" t="s">
        <v>47</v>
      </c>
      <c r="G5" s="18">
        <f>SUMIFS(Vendas[Total],Vendas[Vendedor],F5,Vendas[Região],"Lisboa")</f>
        <v>126.94749999999999</v>
      </c>
      <c r="J5" s="8">
        <v>2</v>
      </c>
      <c r="K5" s="18">
        <f>LARGE(Vendas[Total],J5)</f>
        <v>395.69199999999995</v>
      </c>
      <c r="L5" s="21" t="str">
        <f>_xlfn.XLOOKUP(K5,Vendas[Total],Vendas[VendaID],,0)</f>
        <v>V011</v>
      </c>
      <c r="M5" s="21" t="str">
        <f>_xlfn.XLOOKUP(K5,Vendas[Total],Vendas[Produto],,0)</f>
        <v>Powerbank</v>
      </c>
      <c r="R5" s="10">
        <v>100</v>
      </c>
      <c r="S5" s="10" t="s">
        <v>106</v>
      </c>
    </row>
    <row r="6" spans="2:19" x14ac:dyDescent="0.35">
      <c r="B6" t="s">
        <v>13</v>
      </c>
      <c r="C6" s="18">
        <f>SUMIF(Vendas[Vendedor],B6,Vendas[Total])</f>
        <v>740.69349999999997</v>
      </c>
      <c r="F6" t="s">
        <v>13</v>
      </c>
      <c r="G6" s="18">
        <f>SUMIFS(Vendas[Total],Vendas[Vendedor],F6,Vendas[Região],"Lisboa")</f>
        <v>100.09699999999999</v>
      </c>
      <c r="J6">
        <v>3</v>
      </c>
      <c r="K6" s="18">
        <f>LARGE(Vendas[Total],J6)</f>
        <v>248.67599999999999</v>
      </c>
      <c r="L6" s="21" t="str">
        <f>_xlfn.XLOOKUP(K6,Vendas[Total],Vendas[VendaID],,0)</f>
        <v>V009</v>
      </c>
      <c r="M6" s="21" t="str">
        <f>_xlfn.XLOOKUP(K6,Vendas[Total],Vendas[Produto],,0)</f>
        <v>Auricular</v>
      </c>
      <c r="R6" s="10">
        <v>200</v>
      </c>
      <c r="S6" s="10" t="s">
        <v>107</v>
      </c>
    </row>
    <row r="7" spans="2:19" x14ac:dyDescent="0.35">
      <c r="F7" s="5"/>
      <c r="R7" s="10">
        <v>350</v>
      </c>
      <c r="S7" s="10" t="s">
        <v>108</v>
      </c>
    </row>
    <row r="8" spans="2:19" x14ac:dyDescent="0.35">
      <c r="F8" s="5"/>
    </row>
    <row r="9" spans="2:19" ht="29" x14ac:dyDescent="0.35">
      <c r="B9" s="2" t="s">
        <v>91</v>
      </c>
      <c r="F9" s="6" t="s">
        <v>94</v>
      </c>
      <c r="J9" s="4" t="s">
        <v>100</v>
      </c>
      <c r="Q9">
        <v>8</v>
      </c>
    </row>
    <row r="10" spans="2:19" x14ac:dyDescent="0.35">
      <c r="B10" s="3" t="s">
        <v>71</v>
      </c>
      <c r="C10">
        <f>COUNTIF(Vendas[[Região]:[Quantidade]],B10)</f>
        <v>1</v>
      </c>
      <c r="F10" s="5" t="s">
        <v>95</v>
      </c>
      <c r="G10">
        <f>COUNTIFS(Vendas[Categoria],B18,Vendas[Total],F10)</f>
        <v>3</v>
      </c>
      <c r="J10" s="7" t="s">
        <v>99</v>
      </c>
      <c r="K10" s="7" t="s">
        <v>101</v>
      </c>
      <c r="L10" s="7" t="s">
        <v>0</v>
      </c>
      <c r="M10" s="7" t="s">
        <v>6</v>
      </c>
    </row>
    <row r="11" spans="2:19" x14ac:dyDescent="0.35">
      <c r="B11" s="3" t="s">
        <v>54</v>
      </c>
      <c r="C11">
        <f>COUNTIF(Vendas[[Região]:[Quantidade]],B11)</f>
        <v>3</v>
      </c>
      <c r="F11" s="5"/>
      <c r="J11">
        <v>1</v>
      </c>
      <c r="K11" s="18">
        <f>SMALL(Vendas[Total],J11)</f>
        <v>6.2729999999999997</v>
      </c>
      <c r="L11" s="21" t="str">
        <f>_xlfn.XLOOKUP(K11,Vendas[Total],Vendas[VendaID],,0)</f>
        <v>V036</v>
      </c>
      <c r="M11" s="21" t="str">
        <f>_xlfn.XLOOKUP(K11,Vendas[Total],Vendas[Produto],,0)</f>
        <v>Papel A4 500</v>
      </c>
    </row>
    <row r="12" spans="2:19" x14ac:dyDescent="0.35">
      <c r="B12" s="3" t="s">
        <v>30</v>
      </c>
      <c r="C12">
        <f>COUNTIF(Vendas[[Região]:[Quantidade]],B12)</f>
        <v>7</v>
      </c>
      <c r="F12" s="5"/>
      <c r="J12">
        <v>2</v>
      </c>
      <c r="K12" s="18">
        <f>SMALL(Vendas[Total],J12)</f>
        <v>7.6189999999999989</v>
      </c>
      <c r="L12" s="21" t="str">
        <f>_xlfn.XLOOKUP(K12,Vendas[Total],Vendas[VendaID],,0)</f>
        <v>V017</v>
      </c>
      <c r="M12" s="21" t="str">
        <f>_xlfn.XLOOKUP(K12,Vendas[Total],Vendas[Produto],,0)</f>
        <v>Toalhitas</v>
      </c>
    </row>
    <row r="13" spans="2:19" x14ac:dyDescent="0.35">
      <c r="B13" s="3" t="s">
        <v>18</v>
      </c>
      <c r="C13">
        <f>COUNTIF(Vendas[[Região]:[Quantidade]],B13)</f>
        <v>12</v>
      </c>
      <c r="F13" s="5"/>
      <c r="J13">
        <v>3</v>
      </c>
      <c r="K13" s="18">
        <f>SMALL(Vendas[Total],J13)</f>
        <v>10.981999999999999</v>
      </c>
      <c r="L13" s="21" t="str">
        <f>_xlfn.XLOOKUP(K13,Vendas[Total],Vendas[VendaID],,0)</f>
        <v>V033</v>
      </c>
      <c r="M13" s="21" t="str">
        <f>_xlfn.XLOOKUP(K13,Vendas[Total],Vendas[Produto],,0)</f>
        <v>Papel A4 500</v>
      </c>
    </row>
    <row r="14" spans="2:19" x14ac:dyDescent="0.35">
      <c r="B14" s="3" t="s">
        <v>12</v>
      </c>
      <c r="C14">
        <f>COUNTIF(Vendas[[Região]:[Quantidade]],B14)</f>
        <v>13</v>
      </c>
      <c r="F14" s="5"/>
    </row>
    <row r="15" spans="2:19" x14ac:dyDescent="0.35">
      <c r="F15" s="5"/>
    </row>
    <row r="16" spans="2:19" x14ac:dyDescent="0.35">
      <c r="F16" s="5"/>
    </row>
    <row r="17" spans="2:7" ht="29" x14ac:dyDescent="0.35">
      <c r="B17" s="2" t="s">
        <v>92</v>
      </c>
      <c r="F17" s="6" t="s">
        <v>96</v>
      </c>
    </row>
    <row r="18" spans="2:7" x14ac:dyDescent="0.35">
      <c r="B18" t="s">
        <v>32</v>
      </c>
      <c r="C18" s="18">
        <f>AVERAGEIF(Vendas[Categoria],B18,Vendas[Total])</f>
        <v>195.10464999999996</v>
      </c>
      <c r="F18" s="5" t="s">
        <v>97</v>
      </c>
      <c r="G18" s="18">
        <f>AVERAGEIFS(Vendas[Total],Vendas[Categoria],B20,Vendas[Trimestre],1)</f>
        <v>64.716166666666666</v>
      </c>
    </row>
    <row r="19" spans="2:7" x14ac:dyDescent="0.35">
      <c r="B19" t="s">
        <v>36</v>
      </c>
      <c r="C19" s="18">
        <f>AVERAGEIF(Vendas[Categoria],B19,Vendas[Total])</f>
        <v>84.802349999999976</v>
      </c>
      <c r="F19" s="5"/>
    </row>
    <row r="20" spans="2:7" x14ac:dyDescent="0.35">
      <c r="B20" t="s">
        <v>14</v>
      </c>
      <c r="C20" s="18">
        <f>AVERAGEIF(Vendas[Categoria],B20,Vendas[Total])</f>
        <v>67.928937499999989</v>
      </c>
      <c r="F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Dicionário</vt:lpstr>
      <vt:lpstr>Vendas</vt:lpstr>
      <vt:lpstr>Análise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Filipe Miguel Freixo de Matos</cp:lastModifiedBy>
  <dcterms:created xsi:type="dcterms:W3CDTF">2025-09-30T14:48:38Z</dcterms:created>
  <dcterms:modified xsi:type="dcterms:W3CDTF">2025-10-08T19:43:21Z</dcterms:modified>
</cp:coreProperties>
</file>