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FuncoesExcel_Vendas/"/>
    </mc:Choice>
  </mc:AlternateContent>
  <xr:revisionPtr revIDLastSave="363" documentId="8_{89B56B0D-932B-4A63-BBA9-A5E8206EE450}" xr6:coauthVersionLast="47" xr6:coauthVersionMax="47" xr10:uidLastSave="{AD92928B-8EB0-4AE4-81A2-F8C3AC46D779}"/>
  <bookViews>
    <workbookView xWindow="-120" yWindow="-120" windowWidth="29040" windowHeight="15720" activeTab="2" xr2:uid="{C8B6D815-6572-4EFD-9C5A-CC7C1F4CF928}"/>
  </bookViews>
  <sheets>
    <sheet name="Dicionário" sheetId="4" r:id="rId1"/>
    <sheet name="Vendas" sheetId="2" r:id="rId2"/>
    <sheet name="Análise" sheetId="5" r:id="rId3"/>
  </sheets>
  <definedNames>
    <definedName name="ExternalData_1" localSheetId="1" hidden="1">Vendas!$A$1:$O$37</definedName>
    <definedName name="ExternalData_2" localSheetId="0" hidden="1">Dicionário!$A$1:$B$12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I5" i="5"/>
  <c r="H11" i="5"/>
  <c r="J11" i="5" s="1"/>
  <c r="H12" i="5"/>
  <c r="J12" i="5" s="1"/>
  <c r="H10" i="5"/>
  <c r="J10" i="5" s="1"/>
  <c r="P2" i="2"/>
  <c r="H4" i="5"/>
  <c r="J4" i="5" s="1"/>
  <c r="E17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" i="2"/>
  <c r="B13" i="5"/>
  <c r="B12" i="5"/>
  <c r="B11" i="5"/>
  <c r="B10" i="5"/>
  <c r="B9" i="5"/>
  <c r="B5" i="5"/>
  <c r="B4" i="5"/>
  <c r="B3" i="5"/>
  <c r="B2" i="5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R2" i="2" a="1"/>
  <c r="R2" i="2" s="1"/>
  <c r="P3" i="2"/>
  <c r="R3" i="2" s="1" a="1"/>
  <c r="R3" i="2" s="1"/>
  <c r="P4" i="2"/>
  <c r="R4" i="2" s="1" a="1"/>
  <c r="R4" i="2" s="1"/>
  <c r="P5" i="2"/>
  <c r="R5" i="2" s="1" a="1"/>
  <c r="R5" i="2" s="1"/>
  <c r="P6" i="2"/>
  <c r="R6" i="2" s="1" a="1"/>
  <c r="R6" i="2" s="1"/>
  <c r="P7" i="2"/>
  <c r="R7" i="2" s="1" a="1"/>
  <c r="R7" i="2" s="1"/>
  <c r="P8" i="2"/>
  <c r="R8" i="2" s="1" a="1"/>
  <c r="R8" i="2" s="1"/>
  <c r="P9" i="2"/>
  <c r="R9" i="2" s="1" a="1"/>
  <c r="R9" i="2" s="1"/>
  <c r="P10" i="2"/>
  <c r="R10" i="2" s="1" a="1"/>
  <c r="R10" i="2" s="1"/>
  <c r="P11" i="2"/>
  <c r="R11" i="2" s="1" a="1"/>
  <c r="R11" i="2" s="1"/>
  <c r="P12" i="2"/>
  <c r="R12" i="2" s="1" a="1"/>
  <c r="R12" i="2" s="1"/>
  <c r="P13" i="2"/>
  <c r="R13" i="2" s="1" a="1"/>
  <c r="R13" i="2" s="1"/>
  <c r="P14" i="2"/>
  <c r="R14" i="2" s="1" a="1"/>
  <c r="R14" i="2" s="1"/>
  <c r="P15" i="2"/>
  <c r="R15" i="2" s="1" a="1"/>
  <c r="R15" i="2" s="1"/>
  <c r="P16" i="2"/>
  <c r="R16" i="2" s="1" a="1"/>
  <c r="R16" i="2" s="1"/>
  <c r="P17" i="2"/>
  <c r="R17" i="2" s="1" a="1"/>
  <c r="R17" i="2" s="1"/>
  <c r="P18" i="2"/>
  <c r="R18" i="2" s="1" a="1"/>
  <c r="R18" i="2" s="1"/>
  <c r="P19" i="2"/>
  <c r="R19" i="2" s="1" a="1"/>
  <c r="R19" i="2" s="1"/>
  <c r="P20" i="2"/>
  <c r="R20" i="2" s="1" a="1"/>
  <c r="R20" i="2" s="1"/>
  <c r="P21" i="2"/>
  <c r="R21" i="2" s="1" a="1"/>
  <c r="R21" i="2" s="1"/>
  <c r="P22" i="2"/>
  <c r="R22" i="2" s="1" a="1"/>
  <c r="R22" i="2" s="1"/>
  <c r="P23" i="2"/>
  <c r="R23" i="2" s="1" a="1"/>
  <c r="R23" i="2" s="1"/>
  <c r="P24" i="2"/>
  <c r="R24" i="2" s="1" a="1"/>
  <c r="R24" i="2" s="1"/>
  <c r="P25" i="2"/>
  <c r="R25" i="2" s="1" a="1"/>
  <c r="R25" i="2" s="1"/>
  <c r="P26" i="2"/>
  <c r="R26" i="2" s="1" a="1"/>
  <c r="R26" i="2" s="1"/>
  <c r="P27" i="2"/>
  <c r="R27" i="2" s="1" a="1"/>
  <c r="R27" i="2" s="1"/>
  <c r="P28" i="2"/>
  <c r="R28" i="2" s="1" a="1"/>
  <c r="R28" i="2" s="1"/>
  <c r="P29" i="2"/>
  <c r="R29" i="2" s="1" a="1"/>
  <c r="R29" i="2" s="1"/>
  <c r="P30" i="2"/>
  <c r="R30" i="2" s="1" a="1"/>
  <c r="R30" i="2" s="1"/>
  <c r="P31" i="2"/>
  <c r="R31" i="2" s="1" a="1"/>
  <c r="R31" i="2" s="1"/>
  <c r="P32" i="2"/>
  <c r="R32" i="2" s="1" a="1"/>
  <c r="R32" i="2" s="1"/>
  <c r="P33" i="2"/>
  <c r="R33" i="2" s="1" a="1"/>
  <c r="R33" i="2" s="1"/>
  <c r="P34" i="2"/>
  <c r="R34" i="2" s="1" a="1"/>
  <c r="R34" i="2" s="1"/>
  <c r="P35" i="2"/>
  <c r="R35" i="2" s="1" a="1"/>
  <c r="R35" i="2" s="1"/>
  <c r="P36" i="2"/>
  <c r="R36" i="2" s="1" a="1"/>
  <c r="R36" i="2" s="1"/>
  <c r="P37" i="2"/>
  <c r="R37" i="2" s="1" a="1"/>
  <c r="R37" i="2" s="1"/>
  <c r="I10" i="5" l="1"/>
  <c r="I11" i="5"/>
  <c r="I12" i="5"/>
  <c r="H3" i="5"/>
  <c r="H5" i="5"/>
  <c r="J5" i="5" s="1"/>
  <c r="E9" i="5"/>
  <c r="E2" i="5"/>
  <c r="E5" i="5"/>
  <c r="E3" i="5"/>
  <c r="B17" i="5"/>
  <c r="B18" i="5"/>
  <c r="B19" i="5"/>
  <c r="E4" i="5"/>
  <c r="I3" i="5" l="1"/>
  <c r="I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7FEE2-C1B3-4CDA-BCC6-9FAB353359B7}" keepAlive="1" name="Query - Dicionário" description="Connection to the 'Dicionário' query in the workbook." type="5" refreshedVersion="8" background="1" saveData="1">
    <dbPr connection="Provider=Microsoft.Mashup.OleDb.1;Data Source=$Workbook$;Location=Dicionário;Extended Properties=&quot;&quot;" command="SELECT * FROM [Dicionário]"/>
  </connection>
  <connection id="2" xr16:uid="{6C04FB70-75C2-4F9B-81EB-E47A82523E6C}" keepAlive="1" name="Query - Vendas" description="Connection to the 'Vendas' query in the workbook." type="5" refreshedVersion="8" background="1" saveData="1">
    <dbPr connection="Provider=Microsoft.Mashup.OleDb.1;Data Source=$Workbook$;Location=Vendas;Extended Properties=&quot;&quot;" command="SELECT * FROM [Vendas]"/>
  </connection>
  <connection id="3" xr16:uid="{B796F1B1-935E-400A-830E-8D3DD1179AA7}" keepAlive="1" name="Query - Vendas (2)" description="Connection to the 'Vendas (2)' query in the workbook." type="5" refreshedVersion="0" background="1">
    <dbPr connection="Provider=Microsoft.Mashup.OleDb.1;Data Source=$Workbook$;Location=&quot;Vendas (2)&quot;;Extended Properties=&quot;&quot;" command="SELECT * FROM [Venda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<sst xmlns="http://schemas.openxmlformats.org/spreadsheetml/2006/main" count="300" uniqueCount="120">
  <si>
    <t>VendaID</t>
  </si>
  <si>
    <t>Data</t>
  </si>
  <si>
    <t>Cliente</t>
  </si>
  <si>
    <t>Região</t>
  </si>
  <si>
    <t>Vendedor</t>
  </si>
  <si>
    <t>Categoria</t>
  </si>
  <si>
    <t>Produto</t>
  </si>
  <si>
    <t>Quantidade</t>
  </si>
  <si>
    <t>PreçoUnitário</t>
  </si>
  <si>
    <t>Desconto(%)</t>
  </si>
  <si>
    <t>V008</t>
  </si>
  <si>
    <t>Alfa Lda</t>
  </si>
  <si>
    <t>Norte</t>
  </si>
  <si>
    <t>Diogo</t>
  </si>
  <si>
    <t>Papelaria</t>
  </si>
  <si>
    <t>Caderno A5</t>
  </si>
  <si>
    <t>V031</t>
  </si>
  <si>
    <t>Epsilon Co.</t>
  </si>
  <si>
    <t>Lisboa</t>
  </si>
  <si>
    <t>Ana</t>
  </si>
  <si>
    <t>Bloco Notas</t>
  </si>
  <si>
    <t>V035</t>
  </si>
  <si>
    <t>Papel A4 500</t>
  </si>
  <si>
    <t>V036</t>
  </si>
  <si>
    <t>Eta Market</t>
  </si>
  <si>
    <t>Bruno</t>
  </si>
  <si>
    <t>V006</t>
  </si>
  <si>
    <t>Theta Super</t>
  </si>
  <si>
    <t>Marcadores</t>
  </si>
  <si>
    <t>V013</t>
  </si>
  <si>
    <t>Centro</t>
  </si>
  <si>
    <t>V015</t>
  </si>
  <si>
    <t>Eletrónica</t>
  </si>
  <si>
    <t>Teclado</t>
  </si>
  <si>
    <t>V001</t>
  </si>
  <si>
    <t>Gamma, SA</t>
  </si>
  <si>
    <t>Higiene</t>
  </si>
  <si>
    <t>Luvas Nitrilo</t>
  </si>
  <si>
    <t>V009</t>
  </si>
  <si>
    <t>Auricular</t>
  </si>
  <si>
    <t>V005</t>
  </si>
  <si>
    <t>Beta &amp; Filhos</t>
  </si>
  <si>
    <t>V010</t>
  </si>
  <si>
    <t>Máscaras 50x</t>
  </si>
  <si>
    <t>V018</t>
  </si>
  <si>
    <t>V019</t>
  </si>
  <si>
    <t>Delta Unip.</t>
  </si>
  <si>
    <t>Carla</t>
  </si>
  <si>
    <t>V017</t>
  </si>
  <si>
    <t>Iota Digital</t>
  </si>
  <si>
    <t>Toalhitas</t>
  </si>
  <si>
    <t>V029</t>
  </si>
  <si>
    <t>V007</t>
  </si>
  <si>
    <t>V026</t>
  </si>
  <si>
    <t>Algarve</t>
  </si>
  <si>
    <t>V011</t>
  </si>
  <si>
    <t>Powerbank</t>
  </si>
  <si>
    <t>V033</t>
  </si>
  <si>
    <t>V032</t>
  </si>
  <si>
    <t>V021</t>
  </si>
  <si>
    <t>V004</t>
  </si>
  <si>
    <t>V028</t>
  </si>
  <si>
    <t>V024</t>
  </si>
  <si>
    <t>V020</t>
  </si>
  <si>
    <t>V030</t>
  </si>
  <si>
    <t>V012</t>
  </si>
  <si>
    <t>V022</t>
  </si>
  <si>
    <t>V034</t>
  </si>
  <si>
    <t>V003</t>
  </si>
  <si>
    <t>V016</t>
  </si>
  <si>
    <t>Kappa Print</t>
  </si>
  <si>
    <t>Alentejo</t>
  </si>
  <si>
    <t>V014</t>
  </si>
  <si>
    <t>V025</t>
  </si>
  <si>
    <t>V023</t>
  </si>
  <si>
    <t>Álcool Gel</t>
  </si>
  <si>
    <t>V002</t>
  </si>
  <si>
    <t>V027</t>
  </si>
  <si>
    <t>Column1</t>
  </si>
  <si>
    <t>Column2</t>
  </si>
  <si>
    <t>Coluna</t>
  </si>
  <si>
    <t>Descrição</t>
  </si>
  <si>
    <t>Identificador único da venda</t>
  </si>
  <si>
    <t>Data da venda (AAAA-MM-DD)</t>
  </si>
  <si>
    <t>Nome do cliente</t>
  </si>
  <si>
    <t>Região de venda</t>
  </si>
  <si>
    <t>Comercial responsável</t>
  </si>
  <si>
    <t>Categoria do produto</t>
  </si>
  <si>
    <t>Designação do produto</t>
  </si>
  <si>
    <t>Número de unidades vendidas</t>
  </si>
  <si>
    <t>Preço por unidade em EUR</t>
  </si>
  <si>
    <t>Percentagem de desconto aplicado (0 a 0,15)</t>
  </si>
  <si>
    <t>Total</t>
  </si>
  <si>
    <t>Ano</t>
  </si>
  <si>
    <t>Mês</t>
  </si>
  <si>
    <t>MêsNome</t>
  </si>
  <si>
    <t>FimDoMês</t>
  </si>
  <si>
    <t>DiasDesdeVenda</t>
  </si>
  <si>
    <t>TicketClass</t>
  </si>
  <si>
    <t>4.1 -TotalPorVendedor</t>
  </si>
  <si>
    <t>4.2 - TotalPorRegiao</t>
  </si>
  <si>
    <t>4.3 - TicketMedioPorCat</t>
  </si>
  <si>
    <t>5.1 - Total Vendido por Vendedor na Região 'Lisboa'</t>
  </si>
  <si>
    <t>5.2 - Nº de Vendas na Catergoria 'Eletrónica'</t>
  </si>
  <si>
    <t>5.3 - Média Total 'Papelaria' 1º Trimestre</t>
  </si>
  <si>
    <t>6.1 - 3 Maiores Vendas</t>
  </si>
  <si>
    <t>6.2 - 3 Menores Vendas</t>
  </si>
  <si>
    <t>7.1 - 3 Maiores Vendas</t>
  </si>
  <si>
    <t>&gt;=150</t>
  </si>
  <si>
    <t>1º Trimestre</t>
  </si>
  <si>
    <t>Trimestre</t>
  </si>
  <si>
    <t>Top Sales</t>
  </si>
  <si>
    <t>Raking</t>
  </si>
  <si>
    <t xml:space="preserve">Raking </t>
  </si>
  <si>
    <t>Designação</t>
  </si>
  <si>
    <t>Bronze</t>
  </si>
  <si>
    <t>Prata</t>
  </si>
  <si>
    <t>Ouro</t>
  </si>
  <si>
    <t>Platina</t>
  </si>
  <si>
    <t>EscalaCliente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</si>
</sst>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816]mmmm"/>
    <numFmt numFmtId="165" formatCode="_-* #,##0.00\ [$€-816]_-;\-* #,##0.00\ [$€-816]_-;_-* &quot;-&quot;??\ [$€-816]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4" fontId="0" fillId="0" borderId="0" xfId="1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8">
    <dxf>
      <numFmt numFmtId="0" formatCode="General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[$-816]mmmm"/>
      <alignment horizontal="center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9" formatCode="dd/mm/yyyy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36C19E-D99C-4C8C-A834-DE2D1035FB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DBE903-06DA-4FA9-9CF9-DEB543D27D80}" autoFormatId="16" applyNumberFormats="0" applyBorderFormats="0" applyFontFormats="0" applyPatternFormats="0" applyAlignmentFormats="0" applyWidthHeightFormats="0">
  <queryTableRefresh nextId="27" unboundColumnsRight="4">
    <queryTableFields count="19">
      <queryTableField id="1" name="VendaID" tableColumnId="1"/>
      <queryTableField id="2" name="Data" tableColumnId="2"/>
      <queryTableField id="13" dataBound="0" tableColumnId="14"/>
      <queryTableField id="12" dataBound="0" tableColumnId="13"/>
      <queryTableField id="15" dataBound="0" tableColumnId="16"/>
      <queryTableField id="26" dataBound="0" tableColumnId="11"/>
      <queryTableField id="14" dataBound="0" tableColumnId="15"/>
      <queryTableField id="3" name="Cliente" tableColumnId="3"/>
      <queryTableField id="4" name="Região" tableColumnId="4"/>
      <queryTableField id="5" name="Vendedor" tableColumnId="5"/>
      <queryTableField id="6" name="Categoria" tableColumnId="6"/>
      <queryTableField id="7" name="Produto" tableColumnId="7"/>
      <queryTableField id="8" name="Quantidade" tableColumnId="8"/>
      <queryTableField id="9" name="PreçoUnitário" tableColumnId="9"/>
      <queryTableField id="10" name="Desconto(%)" tableColumnId="10"/>
      <queryTableField id="11" dataBound="0" tableColumnId="12"/>
      <queryTableField id="16" dataBound="0" tableColumnId="17"/>
      <queryTableField id="17" dataBound="0" tableColumnId="18"/>
      <queryTableField id="19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6DA56-6B3A-4899-9F3C-956E3B387568}" name="Dicionário" displayName="Dicionário" ref="A1:B12" tableType="queryTable" totalsRowShown="0">
  <autoFilter ref="A1:B12" xr:uid="{08C6DA56-6B3A-4899-9F3C-956E3B387568}"/>
  <tableColumns count="2">
    <tableColumn id="1" xr3:uid="{7F4A84EB-6B6D-4034-8C80-B10399C36DAB}" uniqueName="1" name="Column1" queryTableFieldId="1" dataDxfId="17"/>
    <tableColumn id="2" xr3:uid="{25667AD9-7007-4548-9D81-9A0B436765B2}" uniqueName="2" name="Column2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45892-CB11-480A-9A13-DF0FDB624DD6}" name="Vendas" displayName="Vendas" ref="A1:S37" tableType="queryTable" totalsRowShown="0" headerRowDxfId="15">
  <autoFilter ref="A1:S37" xr:uid="{2C745892-CB11-480A-9A13-DF0FDB624DD6}"/>
  <tableColumns count="19">
    <tableColumn id="1" xr3:uid="{E2520904-6B5D-45F0-96C8-ACA51C110C87}" uniqueName="1" name="VendaID" queryTableFieldId="1" dataDxfId="14"/>
    <tableColumn id="2" xr3:uid="{92687A56-9717-4829-9D71-F850BE73C62D}" uniqueName="2" name="Data" queryTableFieldId="2" dataDxfId="13"/>
    <tableColumn id="14" xr3:uid="{2C81FA8E-EA36-4972-A8E1-5E7A918915C2}" uniqueName="14" name="Ano" queryTableFieldId="13" dataDxfId="12">
      <calculatedColumnFormula>TEXT(Vendas[[#This Row],[Data]],"aaaa")</calculatedColumnFormula>
    </tableColumn>
    <tableColumn id="13" xr3:uid="{44154506-83D6-4B91-9E63-6A835281EFFF}" uniqueName="13" name="Mês" queryTableFieldId="12" dataDxfId="11">
      <calculatedColumnFormula>TEXT(Vendas[[#This Row],[Data]],"mm")</calculatedColumnFormula>
    </tableColumn>
    <tableColumn id="16" xr3:uid="{911A3605-294B-4411-A1C5-DDD3C21A95B6}" uniqueName="16" name="MêsNome" queryTableFieldId="15" dataDxfId="10">
      <calculatedColumnFormula>TEXT(Vendas[[#This Row],[Data]],"mmmm")</calculatedColumnFormula>
    </tableColumn>
    <tableColumn id="11" xr3:uid="{275B9828-61EB-4339-9C0E-BC9222ED70DE}" uniqueName="11" name="Trimestre" queryTableFieldId="26" dataDxfId="9">
      <calculatedColumnFormula>ROUNDUP(MONTH(Vendas[[#This Row],[Data]])/3,0)</calculatedColumnFormula>
    </tableColumn>
    <tableColumn id="15" xr3:uid="{000F3AC2-80F8-471F-A1E3-8F25F829227E}" uniqueName="15" name="FimDoMês" queryTableFieldId="14" dataDxfId="8">
      <calculatedColumnFormula>EOMONTH(Vendas[[#This Row],[Data]],0)</calculatedColumnFormula>
    </tableColumn>
    <tableColumn id="3" xr3:uid="{00499A88-0632-43EE-B3DF-E3CBCFEFE59D}" uniqueName="3" name="Cliente" queryTableFieldId="3" dataDxfId="7"/>
    <tableColumn id="4" xr3:uid="{33FA48A6-EF28-4ABE-9F8C-F27F7CA78FD4}" uniqueName="4" name="Região" queryTableFieldId="4" dataDxfId="6"/>
    <tableColumn id="5" xr3:uid="{8B42700B-5DFA-4DCA-A1E0-9109EDC898A3}" uniqueName="5" name="Vendedor" queryTableFieldId="5" dataDxfId="5"/>
    <tableColumn id="6" xr3:uid="{BB060FDC-051E-44AF-ABCD-CD2D88BC8D8E}" uniqueName="6" name="Categoria" queryTableFieldId="6" dataDxfId="4"/>
    <tableColumn id="7" xr3:uid="{F5E9F08B-7FA8-4022-B775-41C325762E79}" uniqueName="7" name="Produto" queryTableFieldId="7" dataDxfId="3"/>
    <tableColumn id="8" xr3:uid="{96F3CEA2-3D5D-48FF-93C3-987B367444DB}" uniqueName="8" name="Quantidade" queryTableFieldId="8"/>
    <tableColumn id="9" xr3:uid="{4E39EFC5-477D-4217-A065-FE51B5134B8B}" uniqueName="9" name="PreçoUnitário" queryTableFieldId="9" dataDxfId="2"/>
    <tableColumn id="10" xr3:uid="{5AA078A0-1EEF-4DF2-9057-1322519CEF97}" uniqueName="10" name="Desconto(%)" queryTableFieldId="10"/>
    <tableColumn id="12" xr3:uid="{B6981029-A6F9-4F62-92DF-4083EA0F37DE}" uniqueName="12" name="Total" queryTableFieldId="11" dataCellStyle="Currency">
      <calculatedColumnFormula>Vendas[[#This Row],[Quantidade]]*Vendas[[#This Row],[PreçoUnitário]]*(1-Vendas[[#This Row],[Desconto(%)]])</calculatedColumnFormula>
    </tableColumn>
    <tableColumn id="17" xr3:uid="{D54BD190-66AC-4E6F-B05F-813E2B22C0CF}" uniqueName="17" name="DiasDesdeVenda" queryTableFieldId="16" dataDxfId="1">
      <calculatedColumnFormula>TODAY()-Vendas[[#This Row],[Data]]</calculatedColumnFormula>
    </tableColumn>
    <tableColumn id="18" xr3:uid="{04C47B09-F8D6-4181-8184-D348AA30E894}" uniqueName="18" name="TicketClass" queryTableFieldId="17" dataDxfId="0">
      <calculatedColumnFormula array="1">_xlfn.IFS(Vendas[[#This Row],[Total]]&gt;=250, "Alto", AND(Vendas[[#This Row],[Total]]&gt;=100, Vendas[[#This Row],[Total]]&lt;=249.99), "Médio", Vendas[[#This Row],[Total]]&lt;100,"Baixo")</calculatedColumnFormula>
    </tableColumn>
    <tableColumn id="20" xr3:uid="{CAD321CD-DB7D-4979-9DEB-93B32335347C}" uniqueName="20" name="EscalaClient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388A-92CE-4192-A766-67A7F22C0E77}">
  <dimension ref="A1:B12"/>
  <sheetViews>
    <sheetView workbookViewId="0"/>
  </sheetViews>
  <sheetFormatPr defaultRowHeight="15" x14ac:dyDescent="0.25"/>
  <cols>
    <col min="1" max="1" width="11.85546875" bestFit="1" customWidth="1"/>
    <col min="2" max="2" width="37.8554687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0</v>
      </c>
      <c r="B3" t="s">
        <v>82</v>
      </c>
    </row>
    <row r="4" spans="1:2" x14ac:dyDescent="0.25">
      <c r="A4" t="s">
        <v>1</v>
      </c>
      <c r="B4" t="s">
        <v>83</v>
      </c>
    </row>
    <row r="5" spans="1:2" x14ac:dyDescent="0.25">
      <c r="A5" t="s">
        <v>2</v>
      </c>
      <c r="B5" t="s">
        <v>84</v>
      </c>
    </row>
    <row r="6" spans="1:2" x14ac:dyDescent="0.25">
      <c r="A6" t="s">
        <v>3</v>
      </c>
      <c r="B6" t="s">
        <v>85</v>
      </c>
    </row>
    <row r="7" spans="1:2" x14ac:dyDescent="0.25">
      <c r="A7" t="s">
        <v>4</v>
      </c>
      <c r="B7" t="s">
        <v>86</v>
      </c>
    </row>
    <row r="8" spans="1:2" x14ac:dyDescent="0.25">
      <c r="A8" t="s">
        <v>5</v>
      </c>
      <c r="B8" t="s">
        <v>87</v>
      </c>
    </row>
    <row r="9" spans="1:2" x14ac:dyDescent="0.25">
      <c r="A9" t="s">
        <v>6</v>
      </c>
      <c r="B9" t="s">
        <v>88</v>
      </c>
    </row>
    <row r="10" spans="1:2" x14ac:dyDescent="0.25">
      <c r="A10" t="s">
        <v>7</v>
      </c>
      <c r="B10" t="s">
        <v>89</v>
      </c>
    </row>
    <row r="11" spans="1:2" x14ac:dyDescent="0.25">
      <c r="A11" t="s">
        <v>8</v>
      </c>
      <c r="B11" t="s">
        <v>90</v>
      </c>
    </row>
    <row r="12" spans="1:2" x14ac:dyDescent="0.25">
      <c r="A12" t="s">
        <v>9</v>
      </c>
      <c r="B12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D5EB-BEF7-4A56-89FB-305F31E16D24}">
  <dimension ref="A1:S47"/>
  <sheetViews>
    <sheetView zoomScale="93" zoomScaleNormal="93"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10.85546875" style="1" bestFit="1" customWidth="1"/>
    <col min="3" max="3" width="9.42578125" style="6" bestFit="1" customWidth="1"/>
    <col min="4" max="4" width="9.5703125" style="6" bestFit="1" customWidth="1"/>
    <col min="5" max="5" width="14.7109375" style="4" bestFit="1" customWidth="1"/>
    <col min="6" max="6" width="14.42578125" style="6" bestFit="1" customWidth="1"/>
    <col min="7" max="7" width="15.28515625" style="6" bestFit="1" customWidth="1"/>
    <col min="8" max="8" width="12.42578125" bestFit="1" customWidth="1"/>
    <col min="9" max="9" width="12" bestFit="1" customWidth="1"/>
    <col min="10" max="10" width="14.42578125" bestFit="1" customWidth="1"/>
    <col min="11" max="11" width="14.5703125" bestFit="1" customWidth="1"/>
    <col min="12" max="12" width="13.140625" bestFit="1" customWidth="1"/>
    <col min="13" max="13" width="16.140625" bestFit="1" customWidth="1"/>
    <col min="14" max="14" width="18.42578125" bestFit="1" customWidth="1"/>
    <col min="15" max="15" width="17.28515625" bestFit="1" customWidth="1"/>
    <col min="16" max="16" width="10.28515625" style="3" bestFit="1" customWidth="1"/>
    <col min="17" max="17" width="21.140625" style="3" bestFit="1" customWidth="1"/>
    <col min="18" max="18" width="16.28515625" style="26" bestFit="1" customWidth="1"/>
    <col min="19" max="19" width="18.28515625" bestFit="1" customWidth="1"/>
  </cols>
  <sheetData>
    <row r="1" spans="1:19" s="2" customFormat="1" x14ac:dyDescent="0.25">
      <c r="A1" s="2" t="s">
        <v>0</v>
      </c>
      <c r="B1" s="7" t="s">
        <v>1</v>
      </c>
      <c r="C1" s="8" t="s">
        <v>93</v>
      </c>
      <c r="D1" s="8" t="s">
        <v>94</v>
      </c>
      <c r="E1" s="9" t="s">
        <v>95</v>
      </c>
      <c r="F1" s="8" t="s">
        <v>110</v>
      </c>
      <c r="G1" s="8" t="s">
        <v>96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92</v>
      </c>
      <c r="Q1" s="10" t="s">
        <v>97</v>
      </c>
      <c r="R1" s="2" t="s">
        <v>98</v>
      </c>
      <c r="S1" s="2" t="s">
        <v>119</v>
      </c>
    </row>
    <row r="2" spans="1:19" x14ac:dyDescent="0.25">
      <c r="A2" t="s">
        <v>10</v>
      </c>
      <c r="B2" s="1">
        <v>45494</v>
      </c>
      <c r="C2" s="6" t="str">
        <f>TEXT(Vendas[[#This Row],[Data]],"aaaa")</f>
        <v>2024</v>
      </c>
      <c r="D2" s="19" t="str">
        <f>TEXT(Vendas[[#This Row],[Data]],"mm")</f>
        <v>07</v>
      </c>
      <c r="E2" s="11" t="str">
        <f>TEXT(Vendas[[#This Row],[Data]],"mmmm")</f>
        <v>julho</v>
      </c>
      <c r="F2" s="6">
        <f>ROUNDUP(MONTH(Vendas[[#This Row],[Data]])/3,0)</f>
        <v>3</v>
      </c>
      <c r="G2" s="5">
        <f>EOMONTH(Vendas[[#This Row],[Data]],0)</f>
        <v>45504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>
        <v>13</v>
      </c>
      <c r="N2" s="13">
        <v>4.2300000000000004</v>
      </c>
      <c r="O2">
        <v>0.15</v>
      </c>
      <c r="P2" s="24">
        <f>Vendas[[#This Row],[Quantidade]]*Vendas[[#This Row],[PreçoUnitário]]*(1-Vendas[[#This Row],[Desconto(%)]])</f>
        <v>46.741500000000009</v>
      </c>
      <c r="Q2" s="6">
        <f ca="1">TODAY()-Vendas[[#This Row],[Data]]</f>
        <v>443</v>
      </c>
      <c r="R2" s="26" t="str" cm="1">
        <f t="array" ref="R2">_xlfn.IFS(Vendas[[#This Row],[Total]]&gt;=250, "Alto", AND(Vendas[[#This Row],[Total]]&gt;=100, Vendas[[#This Row],[Total]]&lt;=249.99), "Médio", Vendas[[#This Row],[Total]]&lt;100,"Baixo")</f>
        <v>Baixo</v>
      </c>
    </row>
    <row r="3" spans="1:19" x14ac:dyDescent="0.25">
      <c r="A3" t="s">
        <v>16</v>
      </c>
      <c r="B3" s="1">
        <v>45495</v>
      </c>
      <c r="C3" s="6" t="str">
        <f>TEXT(Vendas[[#This Row],[Data]],"aaaa")</f>
        <v>2024</v>
      </c>
      <c r="D3" s="19" t="str">
        <f>TEXT(Vendas[[#This Row],[Data]],"mm")</f>
        <v>07</v>
      </c>
      <c r="E3" s="11" t="str">
        <f>TEXT(Vendas[[#This Row],[Data]],"mmmm")</f>
        <v>julho</v>
      </c>
      <c r="F3" s="6">
        <f>ROUNDUP(MONTH(Vendas[[#This Row],[Data]])/3,0)</f>
        <v>3</v>
      </c>
      <c r="G3" s="5">
        <f>EOMONTH(Vendas[[#This Row],[Data]],0)</f>
        <v>45504</v>
      </c>
      <c r="H3" t="s">
        <v>17</v>
      </c>
      <c r="I3" t="s">
        <v>18</v>
      </c>
      <c r="J3" t="s">
        <v>19</v>
      </c>
      <c r="K3" t="s">
        <v>14</v>
      </c>
      <c r="L3" t="s">
        <v>20</v>
      </c>
      <c r="M3">
        <v>4</v>
      </c>
      <c r="N3" s="13">
        <v>8.24</v>
      </c>
      <c r="O3">
        <v>0</v>
      </c>
      <c r="P3" s="24">
        <f>Vendas[[#This Row],[Quantidade]]*Vendas[[#This Row],[PreçoUnitário]]*(1-Vendas[[#This Row],[Desconto(%)]])</f>
        <v>32.96</v>
      </c>
      <c r="Q3" s="6">
        <f ca="1">TODAY()-Vendas[[#This Row],[Data]]</f>
        <v>442</v>
      </c>
      <c r="R3" s="26" t="str" cm="1">
        <f t="array" ref="R3">_xlfn.IFS(Vendas[[#This Row],[Total]]&gt;=250, "Alto", AND(Vendas[[#This Row],[Total]]&gt;=100, Vendas[[#This Row],[Total]]&lt;=249.99), "Médio", Vendas[[#This Row],[Total]]&lt;100,"Baixo")</f>
        <v>Baixo</v>
      </c>
    </row>
    <row r="4" spans="1:19" x14ac:dyDescent="0.25">
      <c r="A4" t="s">
        <v>21</v>
      </c>
      <c r="B4" s="1">
        <v>45522</v>
      </c>
      <c r="C4" s="6" t="str">
        <f>TEXT(Vendas[[#This Row],[Data]],"aaaa")</f>
        <v>2024</v>
      </c>
      <c r="D4" s="19" t="str">
        <f>TEXT(Vendas[[#This Row],[Data]],"mm")</f>
        <v>08</v>
      </c>
      <c r="E4" s="11" t="str">
        <f>TEXT(Vendas[[#This Row],[Data]],"mmmm")</f>
        <v>agosto</v>
      </c>
      <c r="F4" s="6">
        <f>ROUNDUP(MONTH(Vendas[[#This Row],[Data]])/3,0)</f>
        <v>3</v>
      </c>
      <c r="G4" s="5">
        <f>EOMONTH(Vendas[[#This Row],[Data]],0)</f>
        <v>45535</v>
      </c>
      <c r="H4" t="s">
        <v>11</v>
      </c>
      <c r="I4" t="s">
        <v>18</v>
      </c>
      <c r="J4" t="s">
        <v>13</v>
      </c>
      <c r="K4" t="s">
        <v>14</v>
      </c>
      <c r="L4" t="s">
        <v>22</v>
      </c>
      <c r="M4">
        <v>3</v>
      </c>
      <c r="N4" s="13">
        <v>4.22</v>
      </c>
      <c r="O4">
        <v>0.05</v>
      </c>
      <c r="P4" s="24">
        <f>Vendas[[#This Row],[Quantidade]]*Vendas[[#This Row],[PreçoUnitário]]*(1-Vendas[[#This Row],[Desconto(%)]])</f>
        <v>12.026999999999999</v>
      </c>
      <c r="Q4" s="6">
        <f ca="1">TODAY()-Vendas[[#This Row],[Data]]</f>
        <v>415</v>
      </c>
      <c r="R4" s="26" t="str" cm="1">
        <f t="array" ref="R4">_xlfn.IFS(Vendas[[#This Row],[Total]]&gt;=250, "Alto", AND(Vendas[[#This Row],[Total]]&gt;=100, Vendas[[#This Row],[Total]]&lt;=249.99), "Médio", Vendas[[#This Row],[Total]]&lt;100,"Baixo")</f>
        <v>Baixo</v>
      </c>
    </row>
    <row r="5" spans="1:19" x14ac:dyDescent="0.25">
      <c r="A5" t="s">
        <v>23</v>
      </c>
      <c r="B5" s="1">
        <v>45532</v>
      </c>
      <c r="C5" s="6" t="str">
        <f>TEXT(Vendas[[#This Row],[Data]],"aaaa")</f>
        <v>2024</v>
      </c>
      <c r="D5" s="19" t="str">
        <f>TEXT(Vendas[[#This Row],[Data]],"mm")</f>
        <v>08</v>
      </c>
      <c r="E5" s="11" t="str">
        <f>TEXT(Vendas[[#This Row],[Data]],"mmmm")</f>
        <v>agosto</v>
      </c>
      <c r="F5" s="6">
        <f>ROUNDUP(MONTH(Vendas[[#This Row],[Data]])/3,0)</f>
        <v>3</v>
      </c>
      <c r="G5" s="5">
        <f>EOMONTH(Vendas[[#This Row],[Data]],0)</f>
        <v>45535</v>
      </c>
      <c r="H5" t="s">
        <v>24</v>
      </c>
      <c r="I5" t="s">
        <v>12</v>
      </c>
      <c r="J5" t="s">
        <v>25</v>
      </c>
      <c r="K5" t="s">
        <v>14</v>
      </c>
      <c r="L5" t="s">
        <v>22</v>
      </c>
      <c r="M5">
        <v>1</v>
      </c>
      <c r="N5" s="13">
        <v>7.38</v>
      </c>
      <c r="O5">
        <v>0.15</v>
      </c>
      <c r="P5" s="24">
        <f>Vendas[[#This Row],[Quantidade]]*Vendas[[#This Row],[PreçoUnitário]]*(1-Vendas[[#This Row],[Desconto(%)]])</f>
        <v>6.2729999999999997</v>
      </c>
      <c r="Q5" s="6">
        <f ca="1">TODAY()-Vendas[[#This Row],[Data]]</f>
        <v>405</v>
      </c>
      <c r="R5" s="26" t="str" cm="1">
        <f t="array" ref="R5">_xlfn.IFS(Vendas[[#This Row],[Total]]&gt;=250, "Alto", AND(Vendas[[#This Row],[Total]]&gt;=100, Vendas[[#This Row],[Total]]&lt;=249.99), "Médio", Vendas[[#This Row],[Total]]&lt;100,"Baixo")</f>
        <v>Baixo</v>
      </c>
    </row>
    <row r="6" spans="1:19" x14ac:dyDescent="0.25">
      <c r="A6" t="s">
        <v>26</v>
      </c>
      <c r="B6" s="1">
        <v>45545</v>
      </c>
      <c r="C6" s="6" t="str">
        <f>TEXT(Vendas[[#This Row],[Data]],"aaaa")</f>
        <v>2024</v>
      </c>
      <c r="D6" s="19" t="str">
        <f>TEXT(Vendas[[#This Row],[Data]],"mm")</f>
        <v>09</v>
      </c>
      <c r="E6" s="11" t="str">
        <f>TEXT(Vendas[[#This Row],[Data]],"mmmm")</f>
        <v>setembro</v>
      </c>
      <c r="F6" s="6">
        <f>ROUNDUP(MONTH(Vendas[[#This Row],[Data]])/3,0)</f>
        <v>3</v>
      </c>
      <c r="G6" s="5">
        <f>EOMONTH(Vendas[[#This Row],[Data]],0)</f>
        <v>45565</v>
      </c>
      <c r="H6" t="s">
        <v>27</v>
      </c>
      <c r="I6" t="s">
        <v>18</v>
      </c>
      <c r="J6" t="s">
        <v>13</v>
      </c>
      <c r="K6" t="s">
        <v>14</v>
      </c>
      <c r="L6" t="s">
        <v>28</v>
      </c>
      <c r="M6">
        <v>4</v>
      </c>
      <c r="N6" s="13">
        <v>11.35</v>
      </c>
      <c r="O6">
        <v>0.05</v>
      </c>
      <c r="P6" s="24">
        <f>Vendas[[#This Row],[Quantidade]]*Vendas[[#This Row],[PreçoUnitário]]*(1-Vendas[[#This Row],[Desconto(%)]])</f>
        <v>43.129999999999995</v>
      </c>
      <c r="Q6" s="6">
        <f ca="1">TODAY()-Vendas[[#This Row],[Data]]</f>
        <v>392</v>
      </c>
      <c r="R6" s="26" t="str" cm="1">
        <f t="array" ref="R6">_xlfn.IFS(Vendas[[#This Row],[Total]]&gt;=250, "Alto", AND(Vendas[[#This Row],[Total]]&gt;=100, Vendas[[#This Row],[Total]]&lt;=249.99), "Médio", Vendas[[#This Row],[Total]]&lt;100,"Baixo")</f>
        <v>Baixo</v>
      </c>
    </row>
    <row r="7" spans="1:19" x14ac:dyDescent="0.25">
      <c r="A7" t="s">
        <v>29</v>
      </c>
      <c r="B7" s="1">
        <v>45561</v>
      </c>
      <c r="C7" s="6" t="str">
        <f>TEXT(Vendas[[#This Row],[Data]],"aaaa")</f>
        <v>2024</v>
      </c>
      <c r="D7" s="19" t="str">
        <f>TEXT(Vendas[[#This Row],[Data]],"mm")</f>
        <v>09</v>
      </c>
      <c r="E7" s="11" t="str">
        <f>TEXT(Vendas[[#This Row],[Data]],"mmmm")</f>
        <v>setembro</v>
      </c>
      <c r="F7" s="6">
        <f>ROUNDUP(MONTH(Vendas[[#This Row],[Data]])/3,0)</f>
        <v>3</v>
      </c>
      <c r="G7" s="5">
        <f>EOMONTH(Vendas[[#This Row],[Data]],0)</f>
        <v>45565</v>
      </c>
      <c r="H7" t="s">
        <v>24</v>
      </c>
      <c r="I7" t="s">
        <v>30</v>
      </c>
      <c r="J7" t="s">
        <v>19</v>
      </c>
      <c r="K7" t="s">
        <v>14</v>
      </c>
      <c r="L7" t="s">
        <v>20</v>
      </c>
      <c r="M7">
        <v>10</v>
      </c>
      <c r="N7" s="13">
        <v>6.85</v>
      </c>
      <c r="O7">
        <v>0.1</v>
      </c>
      <c r="P7" s="24">
        <f>Vendas[[#This Row],[Quantidade]]*Vendas[[#This Row],[PreçoUnitário]]*(1-Vendas[[#This Row],[Desconto(%)]])</f>
        <v>61.65</v>
      </c>
      <c r="Q7" s="6">
        <f ca="1">TODAY()-Vendas[[#This Row],[Data]]</f>
        <v>376</v>
      </c>
      <c r="R7" s="26" t="str" cm="1">
        <f t="array" ref="R7">_xlfn.IFS(Vendas[[#This Row],[Total]]&gt;=250, "Alto", AND(Vendas[[#This Row],[Total]]&gt;=100, Vendas[[#This Row],[Total]]&lt;=249.99), "Médio", Vendas[[#This Row],[Total]]&lt;100,"Baixo")</f>
        <v>Baixo</v>
      </c>
    </row>
    <row r="8" spans="1:19" x14ac:dyDescent="0.25">
      <c r="A8" t="s">
        <v>31</v>
      </c>
      <c r="B8" s="1">
        <v>45573</v>
      </c>
      <c r="C8" s="6" t="str">
        <f>TEXT(Vendas[[#This Row],[Data]],"aaaa")</f>
        <v>2024</v>
      </c>
      <c r="D8" s="19" t="str">
        <f>TEXT(Vendas[[#This Row],[Data]],"mm")</f>
        <v>10</v>
      </c>
      <c r="E8" s="11" t="str">
        <f>TEXT(Vendas[[#This Row],[Data]],"mmmm")</f>
        <v>outubro</v>
      </c>
      <c r="F8" s="6">
        <f>ROUNDUP(MONTH(Vendas[[#This Row],[Data]])/3,0)</f>
        <v>4</v>
      </c>
      <c r="G8" s="5">
        <f>EOMONTH(Vendas[[#This Row],[Data]],0)</f>
        <v>45596</v>
      </c>
      <c r="H8" t="s">
        <v>17</v>
      </c>
      <c r="I8" t="s">
        <v>18</v>
      </c>
      <c r="J8" t="s">
        <v>19</v>
      </c>
      <c r="K8" t="s">
        <v>32</v>
      </c>
      <c r="L8" t="s">
        <v>33</v>
      </c>
      <c r="M8">
        <v>2</v>
      </c>
      <c r="N8" s="13">
        <v>33.71</v>
      </c>
      <c r="O8">
        <v>0.15</v>
      </c>
      <c r="P8" s="24">
        <f>Vendas[[#This Row],[Quantidade]]*Vendas[[#This Row],[PreçoUnitário]]*(1-Vendas[[#This Row],[Desconto(%)]])</f>
        <v>57.307000000000002</v>
      </c>
      <c r="Q8" s="6">
        <f ca="1">TODAY()-Vendas[[#This Row],[Data]]</f>
        <v>364</v>
      </c>
      <c r="R8" s="26" t="str" cm="1">
        <f t="array" ref="R8">_xlfn.IFS(Vendas[[#This Row],[Total]]&gt;=250, "Alto", AND(Vendas[[#This Row],[Total]]&gt;=100, Vendas[[#This Row],[Total]]&lt;=249.99), "Médio", Vendas[[#This Row],[Total]]&lt;100,"Baixo")</f>
        <v>Baixo</v>
      </c>
    </row>
    <row r="9" spans="1:19" x14ac:dyDescent="0.25">
      <c r="A9" t="s">
        <v>34</v>
      </c>
      <c r="B9" s="1">
        <v>45576</v>
      </c>
      <c r="C9" s="6" t="str">
        <f>TEXT(Vendas[[#This Row],[Data]],"aaaa")</f>
        <v>2024</v>
      </c>
      <c r="D9" s="19" t="str">
        <f>TEXT(Vendas[[#This Row],[Data]],"mm")</f>
        <v>10</v>
      </c>
      <c r="E9" s="11" t="str">
        <f>TEXT(Vendas[[#This Row],[Data]],"mmmm")</f>
        <v>outubro</v>
      </c>
      <c r="F9" s="6">
        <f>ROUNDUP(MONTH(Vendas[[#This Row],[Data]])/3,0)</f>
        <v>4</v>
      </c>
      <c r="G9" s="5">
        <f>EOMONTH(Vendas[[#This Row],[Data]],0)</f>
        <v>45596</v>
      </c>
      <c r="H9" t="s">
        <v>35</v>
      </c>
      <c r="I9" t="s">
        <v>12</v>
      </c>
      <c r="J9" t="s">
        <v>19</v>
      </c>
      <c r="K9" t="s">
        <v>36</v>
      </c>
      <c r="L9" t="s">
        <v>37</v>
      </c>
      <c r="M9">
        <v>16</v>
      </c>
      <c r="N9" s="13">
        <v>3.22</v>
      </c>
      <c r="O9">
        <v>0.15</v>
      </c>
      <c r="P9" s="24">
        <f>Vendas[[#This Row],[Quantidade]]*Vendas[[#This Row],[PreçoUnitário]]*(1-Vendas[[#This Row],[Desconto(%)]])</f>
        <v>43.792000000000002</v>
      </c>
      <c r="Q9" s="6">
        <f ca="1">TODAY()-Vendas[[#This Row],[Data]]</f>
        <v>361</v>
      </c>
      <c r="R9" s="26" t="str" cm="1">
        <f t="array" ref="R9">_xlfn.IFS(Vendas[[#This Row],[Total]]&gt;=250, "Alto", AND(Vendas[[#This Row],[Total]]&gt;=100, Vendas[[#This Row],[Total]]&lt;=249.99), "Médio", Vendas[[#This Row],[Total]]&lt;100,"Baixo")</f>
        <v>Baixo</v>
      </c>
    </row>
    <row r="10" spans="1:19" x14ac:dyDescent="0.25">
      <c r="A10" t="s">
        <v>38</v>
      </c>
      <c r="B10" s="1">
        <v>45576</v>
      </c>
      <c r="C10" s="6" t="str">
        <f>TEXT(Vendas[[#This Row],[Data]],"aaaa")</f>
        <v>2024</v>
      </c>
      <c r="D10" s="19" t="str">
        <f>TEXT(Vendas[[#This Row],[Data]],"mm")</f>
        <v>10</v>
      </c>
      <c r="E10" s="11" t="str">
        <f>TEXT(Vendas[[#This Row],[Data]],"mmmm")</f>
        <v>outubro</v>
      </c>
      <c r="F10" s="6">
        <f>ROUNDUP(MONTH(Vendas[[#This Row],[Data]])/3,0)</f>
        <v>4</v>
      </c>
      <c r="G10" s="5">
        <f>EOMONTH(Vendas[[#This Row],[Data]],0)</f>
        <v>45596</v>
      </c>
      <c r="H10" t="s">
        <v>11</v>
      </c>
      <c r="I10" t="s">
        <v>12</v>
      </c>
      <c r="J10" t="s">
        <v>13</v>
      </c>
      <c r="K10" t="s">
        <v>32</v>
      </c>
      <c r="L10" t="s">
        <v>39</v>
      </c>
      <c r="M10">
        <v>8</v>
      </c>
      <c r="N10" s="13">
        <v>36.57</v>
      </c>
      <c r="O10">
        <v>0.15</v>
      </c>
      <c r="P10" s="24">
        <f>Vendas[[#This Row],[Quantidade]]*Vendas[[#This Row],[PreçoUnitário]]*(1-Vendas[[#This Row],[Desconto(%)]])</f>
        <v>248.67599999999999</v>
      </c>
      <c r="Q10" s="6">
        <f ca="1">TODAY()-Vendas[[#This Row],[Data]]</f>
        <v>361</v>
      </c>
      <c r="R10" s="26" t="str" cm="1">
        <f t="array" ref="R10">_xlfn.IFS(Vendas[[#This Row],[Total]]&gt;=250, "Alto", AND(Vendas[[#This Row],[Total]]&gt;=100, Vendas[[#This Row],[Total]]&lt;=249.99), "Médio", Vendas[[#This Row],[Total]]&lt;100,"Baixo")</f>
        <v>Médio</v>
      </c>
    </row>
    <row r="11" spans="1:19" x14ac:dyDescent="0.25">
      <c r="A11" t="s">
        <v>40</v>
      </c>
      <c r="B11" s="1">
        <v>45580</v>
      </c>
      <c r="C11" s="6" t="str">
        <f>TEXT(Vendas[[#This Row],[Data]],"aaaa")</f>
        <v>2024</v>
      </c>
      <c r="D11" s="19" t="str">
        <f>TEXT(Vendas[[#This Row],[Data]],"mm")</f>
        <v>10</v>
      </c>
      <c r="E11" s="11" t="str">
        <f>TEXT(Vendas[[#This Row],[Data]],"mmmm")</f>
        <v>outubro</v>
      </c>
      <c r="F11" s="6">
        <f>ROUNDUP(MONTH(Vendas[[#This Row],[Data]])/3,0)</f>
        <v>4</v>
      </c>
      <c r="G11" s="5">
        <f>EOMONTH(Vendas[[#This Row],[Data]],0)</f>
        <v>45596</v>
      </c>
      <c r="H11" t="s">
        <v>41</v>
      </c>
      <c r="I11" t="s">
        <v>18</v>
      </c>
      <c r="J11" t="s">
        <v>19</v>
      </c>
      <c r="K11" t="s">
        <v>14</v>
      </c>
      <c r="L11" t="s">
        <v>28</v>
      </c>
      <c r="M11">
        <v>22</v>
      </c>
      <c r="N11" s="13">
        <v>4.57</v>
      </c>
      <c r="O11">
        <v>0.05</v>
      </c>
      <c r="P11" s="24">
        <f>Vendas[[#This Row],[Quantidade]]*Vendas[[#This Row],[PreçoUnitário]]*(1-Vendas[[#This Row],[Desconto(%)]])</f>
        <v>95.513000000000005</v>
      </c>
      <c r="Q11" s="6">
        <f ca="1">TODAY()-Vendas[[#This Row],[Data]]</f>
        <v>357</v>
      </c>
      <c r="R11" s="26" t="str" cm="1">
        <f t="array" ref="R11">_xlfn.IFS(Vendas[[#This Row],[Total]]&gt;=250, "Alto", AND(Vendas[[#This Row],[Total]]&gt;=100, Vendas[[#This Row],[Total]]&lt;=249.99), "Médio", Vendas[[#This Row],[Total]]&lt;100,"Baixo")</f>
        <v>Baixo</v>
      </c>
    </row>
    <row r="12" spans="1:19" x14ac:dyDescent="0.25">
      <c r="A12" t="s">
        <v>42</v>
      </c>
      <c r="B12" s="1">
        <v>45595</v>
      </c>
      <c r="C12" s="6" t="str">
        <f>TEXT(Vendas[[#This Row],[Data]],"aaaa")</f>
        <v>2024</v>
      </c>
      <c r="D12" s="19" t="str">
        <f>TEXT(Vendas[[#This Row],[Data]],"mm")</f>
        <v>10</v>
      </c>
      <c r="E12" s="11" t="str">
        <f>TEXT(Vendas[[#This Row],[Data]],"mmmm")</f>
        <v>outubro</v>
      </c>
      <c r="F12" s="6">
        <f>ROUNDUP(MONTH(Vendas[[#This Row],[Data]])/3,0)</f>
        <v>4</v>
      </c>
      <c r="G12" s="5">
        <f>EOMONTH(Vendas[[#This Row],[Data]],0)</f>
        <v>45596</v>
      </c>
      <c r="H12" t="s">
        <v>24</v>
      </c>
      <c r="I12" t="s">
        <v>30</v>
      </c>
      <c r="J12" t="s">
        <v>19</v>
      </c>
      <c r="K12" t="s">
        <v>36</v>
      </c>
      <c r="L12" t="s">
        <v>43</v>
      </c>
      <c r="M12">
        <v>10</v>
      </c>
      <c r="N12" s="13">
        <v>14.45</v>
      </c>
      <c r="O12">
        <v>0</v>
      </c>
      <c r="P12" s="24">
        <f>Vendas[[#This Row],[Quantidade]]*Vendas[[#This Row],[PreçoUnitário]]*(1-Vendas[[#This Row],[Desconto(%)]])</f>
        <v>144.5</v>
      </c>
      <c r="Q12" s="6">
        <f ca="1">TODAY()-Vendas[[#This Row],[Data]]</f>
        <v>342</v>
      </c>
      <c r="R12" s="26" t="str" cm="1">
        <f t="array" ref="R12">_xlfn.IFS(Vendas[[#This Row],[Total]]&gt;=250, "Alto", AND(Vendas[[#This Row],[Total]]&gt;=100, Vendas[[#This Row],[Total]]&lt;=249.99), "Médio", Vendas[[#This Row],[Total]]&lt;100,"Baixo")</f>
        <v>Médio</v>
      </c>
    </row>
    <row r="13" spans="1:19" x14ac:dyDescent="0.25">
      <c r="A13" t="s">
        <v>44</v>
      </c>
      <c r="B13" s="1">
        <v>45604</v>
      </c>
      <c r="C13" s="6" t="str">
        <f>TEXT(Vendas[[#This Row],[Data]],"aaaa")</f>
        <v>2024</v>
      </c>
      <c r="D13" s="19" t="str">
        <f>TEXT(Vendas[[#This Row],[Data]],"mm")</f>
        <v>11</v>
      </c>
      <c r="E13" s="11" t="str">
        <f>TEXT(Vendas[[#This Row],[Data]],"mmmm")</f>
        <v>novembro</v>
      </c>
      <c r="F13" s="6">
        <f>ROUNDUP(MONTH(Vendas[[#This Row],[Data]])/3,0)</f>
        <v>4</v>
      </c>
      <c r="G13" s="5">
        <f>EOMONTH(Vendas[[#This Row],[Data]],0)</f>
        <v>45626</v>
      </c>
      <c r="H13" t="s">
        <v>11</v>
      </c>
      <c r="I13" t="s">
        <v>18</v>
      </c>
      <c r="J13" t="s">
        <v>25</v>
      </c>
      <c r="K13" t="s">
        <v>32</v>
      </c>
      <c r="L13" t="s">
        <v>39</v>
      </c>
      <c r="M13">
        <v>8</v>
      </c>
      <c r="N13" s="13">
        <v>19.28</v>
      </c>
      <c r="O13">
        <v>0.05</v>
      </c>
      <c r="P13" s="24">
        <f>Vendas[[#This Row],[Quantidade]]*Vendas[[#This Row],[PreçoUnitário]]*(1-Vendas[[#This Row],[Desconto(%)]])</f>
        <v>146.52799999999999</v>
      </c>
      <c r="Q13" s="6">
        <f ca="1">TODAY()-Vendas[[#This Row],[Data]]</f>
        <v>333</v>
      </c>
      <c r="R13" s="26" t="str" cm="1">
        <f t="array" ref="R13">_xlfn.IFS(Vendas[[#This Row],[Total]]&gt;=250, "Alto", AND(Vendas[[#This Row],[Total]]&gt;=100, Vendas[[#This Row],[Total]]&lt;=249.99), "Médio", Vendas[[#This Row],[Total]]&lt;100,"Baixo")</f>
        <v>Médio</v>
      </c>
    </row>
    <row r="14" spans="1:19" x14ac:dyDescent="0.25">
      <c r="A14" t="s">
        <v>45</v>
      </c>
      <c r="B14" s="1">
        <v>45623</v>
      </c>
      <c r="C14" s="6" t="str">
        <f>TEXT(Vendas[[#This Row],[Data]],"aaaa")</f>
        <v>2024</v>
      </c>
      <c r="D14" s="19" t="str">
        <f>TEXT(Vendas[[#This Row],[Data]],"mm")</f>
        <v>11</v>
      </c>
      <c r="E14" s="11" t="str">
        <f>TEXT(Vendas[[#This Row],[Data]],"mmmm")</f>
        <v>novembro</v>
      </c>
      <c r="F14" s="6">
        <f>ROUNDUP(MONTH(Vendas[[#This Row],[Data]])/3,0)</f>
        <v>4</v>
      </c>
      <c r="G14" s="5">
        <f>EOMONTH(Vendas[[#This Row],[Data]],0)</f>
        <v>45626</v>
      </c>
      <c r="H14" t="s">
        <v>46</v>
      </c>
      <c r="I14" t="s">
        <v>12</v>
      </c>
      <c r="J14" t="s">
        <v>47</v>
      </c>
      <c r="K14" t="s">
        <v>36</v>
      </c>
      <c r="L14" t="s">
        <v>37</v>
      </c>
      <c r="M14">
        <v>22</v>
      </c>
      <c r="N14" s="13">
        <v>7.73</v>
      </c>
      <c r="O14">
        <v>0.1</v>
      </c>
      <c r="P14" s="24">
        <f>Vendas[[#This Row],[Quantidade]]*Vendas[[#This Row],[PreçoUnitário]]*(1-Vendas[[#This Row],[Desconto(%)]])</f>
        <v>153.054</v>
      </c>
      <c r="Q14" s="6">
        <f ca="1">TODAY()-Vendas[[#This Row],[Data]]</f>
        <v>314</v>
      </c>
      <c r="R14" s="26" t="str" cm="1">
        <f t="array" ref="R14">_xlfn.IFS(Vendas[[#This Row],[Total]]&gt;=250, "Alto", AND(Vendas[[#This Row],[Total]]&gt;=100, Vendas[[#This Row],[Total]]&lt;=249.99), "Médio", Vendas[[#This Row],[Total]]&lt;100,"Baixo")</f>
        <v>Médio</v>
      </c>
    </row>
    <row r="15" spans="1:19" x14ac:dyDescent="0.25">
      <c r="A15" t="s">
        <v>48</v>
      </c>
      <c r="B15" s="1">
        <v>45625</v>
      </c>
      <c r="C15" s="6" t="str">
        <f>TEXT(Vendas[[#This Row],[Data]],"aaaa")</f>
        <v>2024</v>
      </c>
      <c r="D15" s="19" t="str">
        <f>TEXT(Vendas[[#This Row],[Data]],"mm")</f>
        <v>11</v>
      </c>
      <c r="E15" s="11" t="str">
        <f>TEXT(Vendas[[#This Row],[Data]],"mmmm")</f>
        <v>novembro</v>
      </c>
      <c r="F15" s="6">
        <f>ROUNDUP(MONTH(Vendas[[#This Row],[Data]])/3,0)</f>
        <v>4</v>
      </c>
      <c r="G15" s="5">
        <f>EOMONTH(Vendas[[#This Row],[Data]],0)</f>
        <v>45626</v>
      </c>
      <c r="H15" t="s">
        <v>49</v>
      </c>
      <c r="I15" t="s">
        <v>30</v>
      </c>
      <c r="J15" t="s">
        <v>47</v>
      </c>
      <c r="K15" t="s">
        <v>36</v>
      </c>
      <c r="L15" t="s">
        <v>50</v>
      </c>
      <c r="M15">
        <v>1</v>
      </c>
      <c r="N15" s="13">
        <v>8.02</v>
      </c>
      <c r="O15">
        <v>0.05</v>
      </c>
      <c r="P15" s="24">
        <f>Vendas[[#This Row],[Quantidade]]*Vendas[[#This Row],[PreçoUnitário]]*(1-Vendas[[#This Row],[Desconto(%)]])</f>
        <v>7.6189999999999989</v>
      </c>
      <c r="Q15" s="6">
        <f ca="1">TODAY()-Vendas[[#This Row],[Data]]</f>
        <v>312</v>
      </c>
      <c r="R15" s="26" t="str" cm="1">
        <f t="array" ref="R15">_xlfn.IFS(Vendas[[#This Row],[Total]]&gt;=250, "Alto", AND(Vendas[[#This Row],[Total]]&gt;=100, Vendas[[#This Row],[Total]]&lt;=249.99), "Médio", Vendas[[#This Row],[Total]]&lt;100,"Baixo")</f>
        <v>Baixo</v>
      </c>
    </row>
    <row r="16" spans="1:19" x14ac:dyDescent="0.25">
      <c r="A16" t="s">
        <v>51</v>
      </c>
      <c r="B16" s="1">
        <v>45634</v>
      </c>
      <c r="C16" s="6" t="str">
        <f>TEXT(Vendas[[#This Row],[Data]],"aaaa")</f>
        <v>2024</v>
      </c>
      <c r="D16" s="19" t="str">
        <f>TEXT(Vendas[[#This Row],[Data]],"mm")</f>
        <v>12</v>
      </c>
      <c r="E16" s="11" t="str">
        <f>TEXT(Vendas[[#This Row],[Data]],"mmmm")</f>
        <v>dezembro</v>
      </c>
      <c r="F16" s="6">
        <f>ROUNDUP(MONTH(Vendas[[#This Row],[Data]])/3,0)</f>
        <v>4</v>
      </c>
      <c r="G16" s="5">
        <f>EOMONTH(Vendas[[#This Row],[Data]],0)</f>
        <v>45657</v>
      </c>
      <c r="H16" t="s">
        <v>46</v>
      </c>
      <c r="I16" t="s">
        <v>12</v>
      </c>
      <c r="J16" t="s">
        <v>13</v>
      </c>
      <c r="K16" t="s">
        <v>14</v>
      </c>
      <c r="L16" t="s">
        <v>15</v>
      </c>
      <c r="M16">
        <v>17</v>
      </c>
      <c r="N16" s="13">
        <v>8.1300000000000008</v>
      </c>
      <c r="O16">
        <v>0.1</v>
      </c>
      <c r="P16" s="24">
        <f>Vendas[[#This Row],[Quantidade]]*Vendas[[#This Row],[PreçoUnitário]]*(1-Vendas[[#This Row],[Desconto(%)]])</f>
        <v>124.38900000000001</v>
      </c>
      <c r="Q16" s="6">
        <f ca="1">TODAY()-Vendas[[#This Row],[Data]]</f>
        <v>303</v>
      </c>
      <c r="R16" s="26" t="str" cm="1">
        <f t="array" ref="R16">_xlfn.IFS(Vendas[[#This Row],[Total]]&gt;=250, "Alto", AND(Vendas[[#This Row],[Total]]&gt;=100, Vendas[[#This Row],[Total]]&lt;=249.99), "Médio", Vendas[[#This Row],[Total]]&lt;100,"Baixo")</f>
        <v>Médio</v>
      </c>
    </row>
    <row r="17" spans="1:18" x14ac:dyDescent="0.25">
      <c r="A17" t="s">
        <v>52</v>
      </c>
      <c r="B17" s="1">
        <v>45662</v>
      </c>
      <c r="C17" s="6" t="str">
        <f>TEXT(Vendas[[#This Row],[Data]],"aaaa")</f>
        <v>2025</v>
      </c>
      <c r="D17" s="19" t="str">
        <f>TEXT(Vendas[[#This Row],[Data]],"mm")</f>
        <v>01</v>
      </c>
      <c r="E17" s="11" t="str">
        <f>TEXT(Vendas[[#This Row],[Data]],"mmmm")</f>
        <v>janeiro</v>
      </c>
      <c r="F17" s="6">
        <f>ROUNDUP(MONTH(Vendas[[#This Row],[Data]])/3,0)</f>
        <v>1</v>
      </c>
      <c r="G17" s="5">
        <f>EOMONTH(Vendas[[#This Row],[Data]],0)</f>
        <v>45688</v>
      </c>
      <c r="H17" t="s">
        <v>17</v>
      </c>
      <c r="I17" t="s">
        <v>30</v>
      </c>
      <c r="J17" t="s">
        <v>19</v>
      </c>
      <c r="K17" t="s">
        <v>14</v>
      </c>
      <c r="L17" t="s">
        <v>28</v>
      </c>
      <c r="M17">
        <v>21</v>
      </c>
      <c r="N17" s="13">
        <v>1.69</v>
      </c>
      <c r="O17">
        <v>0.15</v>
      </c>
      <c r="P17" s="24">
        <f>Vendas[[#This Row],[Quantidade]]*Vendas[[#This Row],[PreçoUnitário]]*(1-Vendas[[#This Row],[Desconto(%)]])</f>
        <v>30.166499999999999</v>
      </c>
      <c r="Q17" s="6">
        <f ca="1">TODAY()-Vendas[[#This Row],[Data]]</f>
        <v>275</v>
      </c>
      <c r="R17" s="26" t="str" cm="1">
        <f t="array" ref="R17">_xlfn.IFS(Vendas[[#This Row],[Total]]&gt;=250, "Alto", AND(Vendas[[#This Row],[Total]]&gt;=100, Vendas[[#This Row],[Total]]&lt;=249.99), "Médio", Vendas[[#This Row],[Total]]&lt;100,"Baixo")</f>
        <v>Baixo</v>
      </c>
    </row>
    <row r="18" spans="1:18" x14ac:dyDescent="0.25">
      <c r="A18" t="s">
        <v>53</v>
      </c>
      <c r="B18" s="1">
        <v>45665</v>
      </c>
      <c r="C18" s="6" t="str">
        <f>TEXT(Vendas[[#This Row],[Data]],"aaaa")</f>
        <v>2025</v>
      </c>
      <c r="D18" s="19" t="str">
        <f>TEXT(Vendas[[#This Row],[Data]],"mm")</f>
        <v>01</v>
      </c>
      <c r="E18" s="11" t="str">
        <f>TEXT(Vendas[[#This Row],[Data]],"mmmm")</f>
        <v>janeiro</v>
      </c>
      <c r="F18" s="6">
        <f>ROUNDUP(MONTH(Vendas[[#This Row],[Data]])/3,0)</f>
        <v>1</v>
      </c>
      <c r="G18" s="5">
        <f>EOMONTH(Vendas[[#This Row],[Data]],0)</f>
        <v>45688</v>
      </c>
      <c r="H18" t="s">
        <v>35</v>
      </c>
      <c r="I18" t="s">
        <v>54</v>
      </c>
      <c r="J18" t="s">
        <v>13</v>
      </c>
      <c r="K18" t="s">
        <v>14</v>
      </c>
      <c r="L18" t="s">
        <v>15</v>
      </c>
      <c r="M18">
        <v>18</v>
      </c>
      <c r="N18" s="13">
        <v>8.5</v>
      </c>
      <c r="O18">
        <v>0</v>
      </c>
      <c r="P18" s="24">
        <f>Vendas[[#This Row],[Quantidade]]*Vendas[[#This Row],[PreçoUnitário]]*(1-Vendas[[#This Row],[Desconto(%)]])</f>
        <v>153</v>
      </c>
      <c r="Q18" s="6">
        <f ca="1">TODAY()-Vendas[[#This Row],[Data]]</f>
        <v>272</v>
      </c>
      <c r="R18" s="26" t="str" cm="1">
        <f t="array" ref="R18">_xlfn.IFS(Vendas[[#This Row],[Total]]&gt;=250, "Alto", AND(Vendas[[#This Row],[Total]]&gt;=100, Vendas[[#This Row],[Total]]&lt;=249.99), "Médio", Vendas[[#This Row],[Total]]&lt;100,"Baixo")</f>
        <v>Médio</v>
      </c>
    </row>
    <row r="19" spans="1:18" x14ac:dyDescent="0.25">
      <c r="A19" t="s">
        <v>55</v>
      </c>
      <c r="B19" s="1">
        <v>45688</v>
      </c>
      <c r="C19" s="6" t="str">
        <f>TEXT(Vendas[[#This Row],[Data]],"aaaa")</f>
        <v>2025</v>
      </c>
      <c r="D19" s="19" t="str">
        <f>TEXT(Vendas[[#This Row],[Data]],"mm")</f>
        <v>01</v>
      </c>
      <c r="E19" s="11" t="str">
        <f>TEXT(Vendas[[#This Row],[Data]],"mmmm")</f>
        <v>janeiro</v>
      </c>
      <c r="F19" s="6">
        <f>ROUNDUP(MONTH(Vendas[[#This Row],[Data]])/3,0)</f>
        <v>1</v>
      </c>
      <c r="G19" s="5">
        <f>EOMONTH(Vendas[[#This Row],[Data]],0)</f>
        <v>45688</v>
      </c>
      <c r="H19" t="s">
        <v>35</v>
      </c>
      <c r="I19" t="s">
        <v>30</v>
      </c>
      <c r="J19" t="s">
        <v>25</v>
      </c>
      <c r="K19" t="s">
        <v>32</v>
      </c>
      <c r="L19" t="s">
        <v>56</v>
      </c>
      <c r="M19">
        <v>23</v>
      </c>
      <c r="N19" s="13">
        <v>20.239999999999998</v>
      </c>
      <c r="O19">
        <v>0.15</v>
      </c>
      <c r="P19" s="24">
        <f>Vendas[[#This Row],[Quantidade]]*Vendas[[#This Row],[PreçoUnitário]]*(1-Vendas[[#This Row],[Desconto(%)]])</f>
        <v>395.69199999999995</v>
      </c>
      <c r="Q19" s="6">
        <f ca="1">TODAY()-Vendas[[#This Row],[Data]]</f>
        <v>249</v>
      </c>
      <c r="R19" s="26" t="str" cm="1">
        <f t="array" ref="R19">_xlfn.IFS(Vendas[[#This Row],[Total]]&gt;=250, "Alto", AND(Vendas[[#This Row],[Total]]&gt;=100, Vendas[[#This Row],[Total]]&lt;=249.99), "Médio", Vendas[[#This Row],[Total]]&lt;100,"Baixo")</f>
        <v>Alto</v>
      </c>
    </row>
    <row r="20" spans="1:18" x14ac:dyDescent="0.25">
      <c r="A20" t="s">
        <v>57</v>
      </c>
      <c r="B20" s="1">
        <v>45709</v>
      </c>
      <c r="C20" s="6" t="str">
        <f>TEXT(Vendas[[#This Row],[Data]],"aaaa")</f>
        <v>2025</v>
      </c>
      <c r="D20" s="19" t="str">
        <f>TEXT(Vendas[[#This Row],[Data]],"mm")</f>
        <v>02</v>
      </c>
      <c r="E20" s="11" t="str">
        <f>TEXT(Vendas[[#This Row],[Data]],"mmmm")</f>
        <v>fevereiro</v>
      </c>
      <c r="F20" s="6">
        <f>ROUNDUP(MONTH(Vendas[[#This Row],[Data]])/3,0)</f>
        <v>1</v>
      </c>
      <c r="G20" s="5">
        <f>EOMONTH(Vendas[[#This Row],[Data]],0)</f>
        <v>45716</v>
      </c>
      <c r="H20" t="s">
        <v>11</v>
      </c>
      <c r="I20" t="s">
        <v>30</v>
      </c>
      <c r="J20" t="s">
        <v>47</v>
      </c>
      <c r="K20" t="s">
        <v>14</v>
      </c>
      <c r="L20" t="s">
        <v>22</v>
      </c>
      <c r="M20">
        <v>2</v>
      </c>
      <c r="N20" s="13">
        <v>6.46</v>
      </c>
      <c r="O20">
        <v>0.15</v>
      </c>
      <c r="P20" s="24">
        <f>Vendas[[#This Row],[Quantidade]]*Vendas[[#This Row],[PreçoUnitário]]*(1-Vendas[[#This Row],[Desconto(%)]])</f>
        <v>10.981999999999999</v>
      </c>
      <c r="Q20" s="6">
        <f ca="1">TODAY()-Vendas[[#This Row],[Data]]</f>
        <v>228</v>
      </c>
      <c r="R20" s="26" t="str" cm="1">
        <f t="array" ref="R20">_xlfn.IFS(Vendas[[#This Row],[Total]]&gt;=250, "Alto", AND(Vendas[[#This Row],[Total]]&gt;=100, Vendas[[#This Row],[Total]]&lt;=249.99), "Médio", Vendas[[#This Row],[Total]]&lt;100,"Baixo")</f>
        <v>Baixo</v>
      </c>
    </row>
    <row r="21" spans="1:18" x14ac:dyDescent="0.25">
      <c r="A21" t="s">
        <v>58</v>
      </c>
      <c r="B21" s="1">
        <v>45726</v>
      </c>
      <c r="C21" s="6" t="str">
        <f>TEXT(Vendas[[#This Row],[Data]],"aaaa")</f>
        <v>2025</v>
      </c>
      <c r="D21" s="19" t="str">
        <f>TEXT(Vendas[[#This Row],[Data]],"mm")</f>
        <v>03</v>
      </c>
      <c r="E21" s="11" t="str">
        <f>TEXT(Vendas[[#This Row],[Data]],"mmmm")</f>
        <v>março</v>
      </c>
      <c r="F21" s="6">
        <f>ROUNDUP(MONTH(Vendas[[#This Row],[Data]])/3,0)</f>
        <v>1</v>
      </c>
      <c r="G21" s="5">
        <f>EOMONTH(Vendas[[#This Row],[Data]],0)</f>
        <v>45747</v>
      </c>
      <c r="H21" t="s">
        <v>24</v>
      </c>
      <c r="I21" t="s">
        <v>12</v>
      </c>
      <c r="J21" t="s">
        <v>25</v>
      </c>
      <c r="K21" t="s">
        <v>36</v>
      </c>
      <c r="L21" t="s">
        <v>43</v>
      </c>
      <c r="M21">
        <v>16</v>
      </c>
      <c r="N21" s="13">
        <v>12.69</v>
      </c>
      <c r="O21">
        <v>0</v>
      </c>
      <c r="P21" s="24">
        <f>Vendas[[#This Row],[Quantidade]]*Vendas[[#This Row],[PreçoUnitário]]*(1-Vendas[[#This Row],[Desconto(%)]])</f>
        <v>203.04</v>
      </c>
      <c r="Q21" s="6">
        <f ca="1">TODAY()-Vendas[[#This Row],[Data]]</f>
        <v>211</v>
      </c>
      <c r="R21" s="26" t="str" cm="1">
        <f t="array" ref="R21">_xlfn.IFS(Vendas[[#This Row],[Total]]&gt;=250, "Alto", AND(Vendas[[#This Row],[Total]]&gt;=100, Vendas[[#This Row],[Total]]&lt;=249.99), "Médio", Vendas[[#This Row],[Total]]&lt;100,"Baixo")</f>
        <v>Médio</v>
      </c>
    </row>
    <row r="22" spans="1:18" x14ac:dyDescent="0.25">
      <c r="A22" t="s">
        <v>59</v>
      </c>
      <c r="B22" s="1">
        <v>45731</v>
      </c>
      <c r="C22" s="6" t="str">
        <f>TEXT(Vendas[[#This Row],[Data]],"aaaa")</f>
        <v>2025</v>
      </c>
      <c r="D22" s="19" t="str">
        <f>TEXT(Vendas[[#This Row],[Data]],"mm")</f>
        <v>03</v>
      </c>
      <c r="E22" s="11" t="str">
        <f>TEXT(Vendas[[#This Row],[Data]],"mmmm")</f>
        <v>março</v>
      </c>
      <c r="F22" s="6">
        <f>ROUNDUP(MONTH(Vendas[[#This Row],[Data]])/3,0)</f>
        <v>1</v>
      </c>
      <c r="G22" s="5">
        <f>EOMONTH(Vendas[[#This Row],[Data]],0)</f>
        <v>45747</v>
      </c>
      <c r="H22" t="s">
        <v>11</v>
      </c>
      <c r="I22" t="s">
        <v>12</v>
      </c>
      <c r="J22" t="s">
        <v>25</v>
      </c>
      <c r="K22" t="s">
        <v>32</v>
      </c>
      <c r="L22" t="s">
        <v>33</v>
      </c>
      <c r="M22">
        <v>22</v>
      </c>
      <c r="N22" s="13">
        <v>30.55</v>
      </c>
      <c r="O22">
        <v>0.05</v>
      </c>
      <c r="P22" s="24">
        <f>Vendas[[#This Row],[Quantidade]]*Vendas[[#This Row],[PreçoUnitário]]*(1-Vendas[[#This Row],[Desconto(%)]])</f>
        <v>638.495</v>
      </c>
      <c r="Q22" s="6">
        <f ca="1">TODAY()-Vendas[[#This Row],[Data]]</f>
        <v>206</v>
      </c>
      <c r="R22" s="26" t="str" cm="1">
        <f t="array" ref="R22">_xlfn.IFS(Vendas[[#This Row],[Total]]&gt;=250, "Alto", AND(Vendas[[#This Row],[Total]]&gt;=100, Vendas[[#This Row],[Total]]&lt;=249.99), "Médio", Vendas[[#This Row],[Total]]&lt;100,"Baixo")</f>
        <v>Alto</v>
      </c>
    </row>
    <row r="23" spans="1:18" x14ac:dyDescent="0.25">
      <c r="A23" t="s">
        <v>60</v>
      </c>
      <c r="B23" s="1">
        <v>45744</v>
      </c>
      <c r="C23" s="6" t="str">
        <f>TEXT(Vendas[[#This Row],[Data]],"aaaa")</f>
        <v>2025</v>
      </c>
      <c r="D23" s="19" t="str">
        <f>TEXT(Vendas[[#This Row],[Data]],"mm")</f>
        <v>03</v>
      </c>
      <c r="E23" s="11" t="str">
        <f>TEXT(Vendas[[#This Row],[Data]],"mmmm")</f>
        <v>março</v>
      </c>
      <c r="F23" s="6">
        <f>ROUNDUP(MONTH(Vendas[[#This Row],[Data]])/3,0)</f>
        <v>1</v>
      </c>
      <c r="G23" s="5">
        <f>EOMONTH(Vendas[[#This Row],[Data]],0)</f>
        <v>45747</v>
      </c>
      <c r="H23" t="s">
        <v>46</v>
      </c>
      <c r="I23" t="s">
        <v>12</v>
      </c>
      <c r="J23" t="s">
        <v>13</v>
      </c>
      <c r="K23" t="s">
        <v>36</v>
      </c>
      <c r="L23" t="s">
        <v>50</v>
      </c>
      <c r="M23">
        <v>8</v>
      </c>
      <c r="N23" s="13">
        <v>4.3899999999999997</v>
      </c>
      <c r="O23">
        <v>0</v>
      </c>
      <c r="P23" s="24">
        <f>Vendas[[#This Row],[Quantidade]]*Vendas[[#This Row],[PreçoUnitário]]*(1-Vendas[[#This Row],[Desconto(%)]])</f>
        <v>35.119999999999997</v>
      </c>
      <c r="Q23" s="6">
        <f ca="1">TODAY()-Vendas[[#This Row],[Data]]</f>
        <v>193</v>
      </c>
      <c r="R23" s="26" t="str" cm="1">
        <f t="array" ref="R23">_xlfn.IFS(Vendas[[#This Row],[Total]]&gt;=250, "Alto", AND(Vendas[[#This Row],[Total]]&gt;=100, Vendas[[#This Row],[Total]]&lt;=249.99), "Médio", Vendas[[#This Row],[Total]]&lt;100,"Baixo")</f>
        <v>Baixo</v>
      </c>
    </row>
    <row r="24" spans="1:18" x14ac:dyDescent="0.25">
      <c r="A24" t="s">
        <v>61</v>
      </c>
      <c r="B24" s="1">
        <v>45750</v>
      </c>
      <c r="C24" s="6" t="str">
        <f>TEXT(Vendas[[#This Row],[Data]],"aaaa")</f>
        <v>2025</v>
      </c>
      <c r="D24" s="19" t="str">
        <f>TEXT(Vendas[[#This Row],[Data]],"mm")</f>
        <v>04</v>
      </c>
      <c r="E24" s="11" t="str">
        <f>TEXT(Vendas[[#This Row],[Data]],"mmmm")</f>
        <v>abril</v>
      </c>
      <c r="F24" s="6">
        <f>ROUNDUP(MONTH(Vendas[[#This Row],[Data]])/3,0)</f>
        <v>2</v>
      </c>
      <c r="G24" s="5">
        <f>EOMONTH(Vendas[[#This Row],[Data]],0)</f>
        <v>45777</v>
      </c>
      <c r="H24" t="s">
        <v>46</v>
      </c>
      <c r="I24" t="s">
        <v>18</v>
      </c>
      <c r="J24" t="s">
        <v>13</v>
      </c>
      <c r="K24" t="s">
        <v>32</v>
      </c>
      <c r="L24" t="s">
        <v>33</v>
      </c>
      <c r="M24">
        <v>3</v>
      </c>
      <c r="N24" s="13">
        <v>14.98</v>
      </c>
      <c r="O24">
        <v>0</v>
      </c>
      <c r="P24" s="24">
        <f>Vendas[[#This Row],[Quantidade]]*Vendas[[#This Row],[PreçoUnitário]]*(1-Vendas[[#This Row],[Desconto(%)]])</f>
        <v>44.94</v>
      </c>
      <c r="Q24" s="6">
        <f ca="1">TODAY()-Vendas[[#This Row],[Data]]</f>
        <v>187</v>
      </c>
      <c r="R24" s="26" t="str" cm="1">
        <f t="array" ref="R24">_xlfn.IFS(Vendas[[#This Row],[Total]]&gt;=250, "Alto", AND(Vendas[[#This Row],[Total]]&gt;=100, Vendas[[#This Row],[Total]]&lt;=249.99), "Médio", Vendas[[#This Row],[Total]]&lt;100,"Baixo")</f>
        <v>Baixo</v>
      </c>
    </row>
    <row r="25" spans="1:18" x14ac:dyDescent="0.25">
      <c r="A25" t="s">
        <v>62</v>
      </c>
      <c r="B25" s="1">
        <v>45767</v>
      </c>
      <c r="C25" s="6" t="str">
        <f>TEXT(Vendas[[#This Row],[Data]],"aaaa")</f>
        <v>2025</v>
      </c>
      <c r="D25" s="19" t="str">
        <f>TEXT(Vendas[[#This Row],[Data]],"mm")</f>
        <v>04</v>
      </c>
      <c r="E25" s="11" t="str">
        <f>TEXT(Vendas[[#This Row],[Data]],"mmmm")</f>
        <v>abril</v>
      </c>
      <c r="F25" s="6">
        <f>ROUNDUP(MONTH(Vendas[[#This Row],[Data]])/3,0)</f>
        <v>2</v>
      </c>
      <c r="G25" s="5">
        <f>EOMONTH(Vendas[[#This Row],[Data]],0)</f>
        <v>45777</v>
      </c>
      <c r="H25" t="s">
        <v>35</v>
      </c>
      <c r="I25" t="s">
        <v>18</v>
      </c>
      <c r="J25" t="s">
        <v>47</v>
      </c>
      <c r="K25" t="s">
        <v>32</v>
      </c>
      <c r="L25" t="s">
        <v>56</v>
      </c>
      <c r="M25">
        <v>3</v>
      </c>
      <c r="N25" s="13">
        <v>26.8</v>
      </c>
      <c r="O25">
        <v>0.15</v>
      </c>
      <c r="P25" s="24">
        <f>Vendas[[#This Row],[Quantidade]]*Vendas[[#This Row],[PreçoUnitário]]*(1-Vendas[[#This Row],[Desconto(%)]])</f>
        <v>68.34</v>
      </c>
      <c r="Q25" s="6">
        <f ca="1">TODAY()-Vendas[[#This Row],[Data]]</f>
        <v>170</v>
      </c>
      <c r="R25" s="26" t="str" cm="1">
        <f t="array" ref="R25">_xlfn.IFS(Vendas[[#This Row],[Total]]&gt;=250, "Alto", AND(Vendas[[#This Row],[Total]]&gt;=100, Vendas[[#This Row],[Total]]&lt;=249.99), "Médio", Vendas[[#This Row],[Total]]&lt;100,"Baixo")</f>
        <v>Baixo</v>
      </c>
    </row>
    <row r="26" spans="1:18" x14ac:dyDescent="0.25">
      <c r="A26" t="s">
        <v>63</v>
      </c>
      <c r="B26" s="1">
        <v>45782</v>
      </c>
      <c r="C26" s="6" t="str">
        <f>TEXT(Vendas[[#This Row],[Data]],"aaaa")</f>
        <v>2025</v>
      </c>
      <c r="D26" s="19" t="str">
        <f>TEXT(Vendas[[#This Row],[Data]],"mm")</f>
        <v>05</v>
      </c>
      <c r="E26" s="11" t="str">
        <f>TEXT(Vendas[[#This Row],[Data]],"mmmm")</f>
        <v>maio</v>
      </c>
      <c r="F26" s="6">
        <f>ROUNDUP(MONTH(Vendas[[#This Row],[Data]])/3,0)</f>
        <v>2</v>
      </c>
      <c r="G26" s="5">
        <f>EOMONTH(Vendas[[#This Row],[Data]],0)</f>
        <v>45808</v>
      </c>
      <c r="H26" t="s">
        <v>11</v>
      </c>
      <c r="I26" t="s">
        <v>18</v>
      </c>
      <c r="J26" t="s">
        <v>25</v>
      </c>
      <c r="K26" t="s">
        <v>32</v>
      </c>
      <c r="L26" t="s">
        <v>39</v>
      </c>
      <c r="M26">
        <v>7</v>
      </c>
      <c r="N26" s="13">
        <v>17.39</v>
      </c>
      <c r="O26">
        <v>0.15</v>
      </c>
      <c r="P26" s="24">
        <f>Vendas[[#This Row],[Quantidade]]*Vendas[[#This Row],[PreçoUnitário]]*(1-Vendas[[#This Row],[Desconto(%)]])</f>
        <v>103.4705</v>
      </c>
      <c r="Q26" s="6">
        <f ca="1">TODAY()-Vendas[[#This Row],[Data]]</f>
        <v>155</v>
      </c>
      <c r="R26" s="26" t="str" cm="1">
        <f t="array" ref="R26">_xlfn.IFS(Vendas[[#This Row],[Total]]&gt;=250, "Alto", AND(Vendas[[#This Row],[Total]]&gt;=100, Vendas[[#This Row],[Total]]&lt;=249.99), "Médio", Vendas[[#This Row],[Total]]&lt;100,"Baixo")</f>
        <v>Médio</v>
      </c>
    </row>
    <row r="27" spans="1:18" x14ac:dyDescent="0.25">
      <c r="A27" t="s">
        <v>64</v>
      </c>
      <c r="B27" s="1">
        <v>45787</v>
      </c>
      <c r="C27" s="6" t="str">
        <f>TEXT(Vendas[[#This Row],[Data]],"aaaa")</f>
        <v>2025</v>
      </c>
      <c r="D27" s="19" t="str">
        <f>TEXT(Vendas[[#This Row],[Data]],"mm")</f>
        <v>05</v>
      </c>
      <c r="E27" s="11" t="str">
        <f>TEXT(Vendas[[#This Row],[Data]],"mmmm")</f>
        <v>maio</v>
      </c>
      <c r="F27" s="6">
        <f>ROUNDUP(MONTH(Vendas[[#This Row],[Data]])/3,0)</f>
        <v>2</v>
      </c>
      <c r="G27" s="5">
        <f>EOMONTH(Vendas[[#This Row],[Data]],0)</f>
        <v>45808</v>
      </c>
      <c r="H27" t="s">
        <v>41</v>
      </c>
      <c r="I27" t="s">
        <v>54</v>
      </c>
      <c r="J27" t="s">
        <v>19</v>
      </c>
      <c r="K27" t="s">
        <v>14</v>
      </c>
      <c r="L27" t="s">
        <v>20</v>
      </c>
      <c r="M27">
        <v>3</v>
      </c>
      <c r="N27" s="13">
        <v>5.22</v>
      </c>
      <c r="O27">
        <v>0</v>
      </c>
      <c r="P27" s="24">
        <f>Vendas[[#This Row],[Quantidade]]*Vendas[[#This Row],[PreçoUnitário]]*(1-Vendas[[#This Row],[Desconto(%)]])</f>
        <v>15.66</v>
      </c>
      <c r="Q27" s="6">
        <f ca="1">TODAY()-Vendas[[#This Row],[Data]]</f>
        <v>150</v>
      </c>
      <c r="R27" s="26" t="str" cm="1">
        <f t="array" ref="R27">_xlfn.IFS(Vendas[[#This Row],[Total]]&gt;=250, "Alto", AND(Vendas[[#This Row],[Total]]&gt;=100, Vendas[[#This Row],[Total]]&lt;=249.99), "Médio", Vendas[[#This Row],[Total]]&lt;100,"Baixo")</f>
        <v>Baixo</v>
      </c>
    </row>
    <row r="28" spans="1:18" x14ac:dyDescent="0.25">
      <c r="A28" t="s">
        <v>65</v>
      </c>
      <c r="B28" s="1">
        <v>45804</v>
      </c>
      <c r="C28" s="6" t="str">
        <f>TEXT(Vendas[[#This Row],[Data]],"aaaa")</f>
        <v>2025</v>
      </c>
      <c r="D28" s="19" t="str">
        <f>TEXT(Vendas[[#This Row],[Data]],"mm")</f>
        <v>05</v>
      </c>
      <c r="E28" s="11" t="str">
        <f>TEXT(Vendas[[#This Row],[Data]],"mmmm")</f>
        <v>maio</v>
      </c>
      <c r="F28" s="6">
        <f>ROUNDUP(MONTH(Vendas[[#This Row],[Data]])/3,0)</f>
        <v>2</v>
      </c>
      <c r="G28" s="5">
        <f>EOMONTH(Vendas[[#This Row],[Data]],0)</f>
        <v>45808</v>
      </c>
      <c r="H28" t="s">
        <v>17</v>
      </c>
      <c r="I28" t="s">
        <v>54</v>
      </c>
      <c r="J28" t="s">
        <v>13</v>
      </c>
      <c r="K28" t="s">
        <v>14</v>
      </c>
      <c r="L28" t="s">
        <v>20</v>
      </c>
      <c r="M28">
        <v>5</v>
      </c>
      <c r="N28" s="13">
        <v>7.26</v>
      </c>
      <c r="O28">
        <v>0.1</v>
      </c>
      <c r="P28" s="24">
        <f>Vendas[[#This Row],[Quantidade]]*Vendas[[#This Row],[PreçoUnitário]]*(1-Vendas[[#This Row],[Desconto(%)]])</f>
        <v>32.67</v>
      </c>
      <c r="Q28" s="6">
        <f ca="1">TODAY()-Vendas[[#This Row],[Data]]</f>
        <v>133</v>
      </c>
      <c r="R28" s="26" t="str" cm="1">
        <f t="array" ref="R28">_xlfn.IFS(Vendas[[#This Row],[Total]]&gt;=250, "Alto", AND(Vendas[[#This Row],[Total]]&gt;=100, Vendas[[#This Row],[Total]]&lt;=249.99), "Médio", Vendas[[#This Row],[Total]]&lt;100,"Baixo")</f>
        <v>Baixo</v>
      </c>
    </row>
    <row r="29" spans="1:18" x14ac:dyDescent="0.25">
      <c r="A29" t="s">
        <v>66</v>
      </c>
      <c r="B29" s="1">
        <v>45817</v>
      </c>
      <c r="C29" s="6" t="str">
        <f>TEXT(Vendas[[#This Row],[Data]],"aaaa")</f>
        <v>2025</v>
      </c>
      <c r="D29" s="19" t="str">
        <f>TEXT(Vendas[[#This Row],[Data]],"mm")</f>
        <v>06</v>
      </c>
      <c r="E29" s="11" t="str">
        <f>TEXT(Vendas[[#This Row],[Data]],"mmmm")</f>
        <v>junho</v>
      </c>
      <c r="F29" s="6">
        <f>ROUNDUP(MONTH(Vendas[[#This Row],[Data]])/3,0)</f>
        <v>2</v>
      </c>
      <c r="G29" s="5">
        <f>EOMONTH(Vendas[[#This Row],[Data]],0)</f>
        <v>45838</v>
      </c>
      <c r="H29" t="s">
        <v>27</v>
      </c>
      <c r="I29" t="s">
        <v>12</v>
      </c>
      <c r="J29" t="s">
        <v>47</v>
      </c>
      <c r="K29" t="s">
        <v>36</v>
      </c>
      <c r="L29" t="s">
        <v>37</v>
      </c>
      <c r="M29">
        <v>6</v>
      </c>
      <c r="N29" s="13">
        <v>10.73</v>
      </c>
      <c r="O29">
        <v>0.05</v>
      </c>
      <c r="P29" s="24">
        <f>Vendas[[#This Row],[Quantidade]]*Vendas[[#This Row],[PreçoUnitário]]*(1-Vendas[[#This Row],[Desconto(%)]])</f>
        <v>61.160999999999994</v>
      </c>
      <c r="Q29" s="6">
        <f ca="1">TODAY()-Vendas[[#This Row],[Data]]</f>
        <v>120</v>
      </c>
      <c r="R29" s="26" t="str" cm="1">
        <f t="array" ref="R29">_xlfn.IFS(Vendas[[#This Row],[Total]]&gt;=250, "Alto", AND(Vendas[[#This Row],[Total]]&gt;=100, Vendas[[#This Row],[Total]]&lt;=249.99), "Médio", Vendas[[#This Row],[Total]]&lt;100,"Baixo")</f>
        <v>Baixo</v>
      </c>
    </row>
    <row r="30" spans="1:18" x14ac:dyDescent="0.25">
      <c r="A30" t="s">
        <v>67</v>
      </c>
      <c r="B30" s="1">
        <v>45818</v>
      </c>
      <c r="C30" s="6" t="str">
        <f>TEXT(Vendas[[#This Row],[Data]],"aaaa")</f>
        <v>2025</v>
      </c>
      <c r="D30" s="19" t="str">
        <f>TEXT(Vendas[[#This Row],[Data]],"mm")</f>
        <v>06</v>
      </c>
      <c r="E30" s="11" t="str">
        <f>TEXT(Vendas[[#This Row],[Data]],"mmmm")</f>
        <v>junho</v>
      </c>
      <c r="F30" s="6">
        <f>ROUNDUP(MONTH(Vendas[[#This Row],[Data]])/3,0)</f>
        <v>2</v>
      </c>
      <c r="G30" s="5">
        <f>EOMONTH(Vendas[[#This Row],[Data]],0)</f>
        <v>45838</v>
      </c>
      <c r="H30" t="s">
        <v>11</v>
      </c>
      <c r="I30" t="s">
        <v>12</v>
      </c>
      <c r="J30" t="s">
        <v>47</v>
      </c>
      <c r="K30" t="s">
        <v>32</v>
      </c>
      <c r="L30" t="s">
        <v>56</v>
      </c>
      <c r="M30">
        <v>4</v>
      </c>
      <c r="N30" s="13">
        <v>34.729999999999997</v>
      </c>
      <c r="O30">
        <v>0.1</v>
      </c>
      <c r="P30" s="24">
        <f>Vendas[[#This Row],[Quantidade]]*Vendas[[#This Row],[PreçoUnitário]]*(1-Vendas[[#This Row],[Desconto(%)]])</f>
        <v>125.02799999999999</v>
      </c>
      <c r="Q30" s="6">
        <f ca="1">TODAY()-Vendas[[#This Row],[Data]]</f>
        <v>119</v>
      </c>
      <c r="R30" s="26" t="str" cm="1">
        <f t="array" ref="R30">_xlfn.IFS(Vendas[[#This Row],[Total]]&gt;=250, "Alto", AND(Vendas[[#This Row],[Total]]&gt;=100, Vendas[[#This Row],[Total]]&lt;=249.99), "Médio", Vendas[[#This Row],[Total]]&lt;100,"Baixo")</f>
        <v>Médio</v>
      </c>
    </row>
    <row r="31" spans="1:18" x14ac:dyDescent="0.25">
      <c r="A31" t="s">
        <v>68</v>
      </c>
      <c r="B31" s="1">
        <v>45822</v>
      </c>
      <c r="C31" s="6" t="str">
        <f>TEXT(Vendas[[#This Row],[Data]],"aaaa")</f>
        <v>2025</v>
      </c>
      <c r="D31" s="19" t="str">
        <f>TEXT(Vendas[[#This Row],[Data]],"mm")</f>
        <v>06</v>
      </c>
      <c r="E31" s="11" t="str">
        <f>TEXT(Vendas[[#This Row],[Data]],"mmmm")</f>
        <v>junho</v>
      </c>
      <c r="F31" s="6">
        <f>ROUNDUP(MONTH(Vendas[[#This Row],[Data]])/3,0)</f>
        <v>2</v>
      </c>
      <c r="G31" s="5">
        <f>EOMONTH(Vendas[[#This Row],[Data]],0)</f>
        <v>45838</v>
      </c>
      <c r="H31" t="s">
        <v>41</v>
      </c>
      <c r="I31" t="s">
        <v>30</v>
      </c>
      <c r="J31" t="s">
        <v>19</v>
      </c>
      <c r="K31" t="s">
        <v>14</v>
      </c>
      <c r="L31" t="s">
        <v>28</v>
      </c>
      <c r="M31">
        <v>18</v>
      </c>
      <c r="N31" s="13">
        <v>11.38</v>
      </c>
      <c r="O31">
        <v>0.05</v>
      </c>
      <c r="P31" s="24">
        <f>Vendas[[#This Row],[Quantidade]]*Vendas[[#This Row],[PreçoUnitário]]*(1-Vendas[[#This Row],[Desconto(%)]])</f>
        <v>194.59799999999998</v>
      </c>
      <c r="Q31" s="6">
        <f ca="1">TODAY()-Vendas[[#This Row],[Data]]</f>
        <v>115</v>
      </c>
      <c r="R31" s="26" t="str" cm="1">
        <f t="array" ref="R31">_xlfn.IFS(Vendas[[#This Row],[Total]]&gt;=250, "Alto", AND(Vendas[[#This Row],[Total]]&gt;=100, Vendas[[#This Row],[Total]]&lt;=249.99), "Médio", Vendas[[#This Row],[Total]]&lt;100,"Baixo")</f>
        <v>Médio</v>
      </c>
    </row>
    <row r="32" spans="1:18" x14ac:dyDescent="0.25">
      <c r="A32" t="s">
        <v>69</v>
      </c>
      <c r="B32" s="1">
        <v>45833</v>
      </c>
      <c r="C32" s="6" t="str">
        <f>TEXT(Vendas[[#This Row],[Data]],"aaaa")</f>
        <v>2025</v>
      </c>
      <c r="D32" s="19" t="str">
        <f>TEXT(Vendas[[#This Row],[Data]],"mm")</f>
        <v>06</v>
      </c>
      <c r="E32" s="11" t="str">
        <f>TEXT(Vendas[[#This Row],[Data]],"mmmm")</f>
        <v>junho</v>
      </c>
      <c r="F32" s="6">
        <f>ROUNDUP(MONTH(Vendas[[#This Row],[Data]])/3,0)</f>
        <v>2</v>
      </c>
      <c r="G32" s="5">
        <f>EOMONTH(Vendas[[#This Row],[Data]],0)</f>
        <v>45838</v>
      </c>
      <c r="H32" t="s">
        <v>70</v>
      </c>
      <c r="I32" t="s">
        <v>71</v>
      </c>
      <c r="J32" t="s">
        <v>25</v>
      </c>
      <c r="K32" t="s">
        <v>14</v>
      </c>
      <c r="L32" t="s">
        <v>28</v>
      </c>
      <c r="M32">
        <v>20</v>
      </c>
      <c r="N32" s="13">
        <v>9.8800000000000008</v>
      </c>
      <c r="O32">
        <v>0.15</v>
      </c>
      <c r="P32" s="24">
        <f>Vendas[[#This Row],[Quantidade]]*Vendas[[#This Row],[PreçoUnitário]]*(1-Vendas[[#This Row],[Desconto(%)]])</f>
        <v>167.96</v>
      </c>
      <c r="Q32" s="6">
        <f ca="1">TODAY()-Vendas[[#This Row],[Data]]</f>
        <v>104</v>
      </c>
      <c r="R32" s="26" t="str" cm="1">
        <f t="array" ref="R32">_xlfn.IFS(Vendas[[#This Row],[Total]]&gt;=250, "Alto", AND(Vendas[[#This Row],[Total]]&gt;=100, Vendas[[#This Row],[Total]]&lt;=249.99), "Médio", Vendas[[#This Row],[Total]]&lt;100,"Baixo")</f>
        <v>Médio</v>
      </c>
    </row>
    <row r="33" spans="1:18" x14ac:dyDescent="0.25">
      <c r="A33" t="s">
        <v>72</v>
      </c>
      <c r="B33" s="1">
        <v>45846</v>
      </c>
      <c r="C33" s="6" t="str">
        <f>TEXT(Vendas[[#This Row],[Data]],"aaaa")</f>
        <v>2025</v>
      </c>
      <c r="D33" s="19" t="str">
        <f>TEXT(Vendas[[#This Row],[Data]],"mm")</f>
        <v>07</v>
      </c>
      <c r="E33" s="11" t="str">
        <f>TEXT(Vendas[[#This Row],[Data]],"mmmm")</f>
        <v>julho</v>
      </c>
      <c r="F33" s="6">
        <f>ROUNDUP(MONTH(Vendas[[#This Row],[Data]])/3,0)</f>
        <v>3</v>
      </c>
      <c r="G33" s="5">
        <f>EOMONTH(Vendas[[#This Row],[Data]],0)</f>
        <v>45869</v>
      </c>
      <c r="H33" t="s">
        <v>46</v>
      </c>
      <c r="I33" t="s">
        <v>12</v>
      </c>
      <c r="J33" t="s">
        <v>25</v>
      </c>
      <c r="K33" t="s">
        <v>32</v>
      </c>
      <c r="L33" t="s">
        <v>56</v>
      </c>
      <c r="M33">
        <v>5</v>
      </c>
      <c r="N33" s="13">
        <v>28.84</v>
      </c>
      <c r="O33">
        <v>0.15</v>
      </c>
      <c r="P33" s="24">
        <f>Vendas[[#This Row],[Quantidade]]*Vendas[[#This Row],[PreçoUnitário]]*(1-Vendas[[#This Row],[Desconto(%)]])</f>
        <v>122.57</v>
      </c>
      <c r="Q33" s="6">
        <f ca="1">TODAY()-Vendas[[#This Row],[Data]]</f>
        <v>91</v>
      </c>
      <c r="R33" s="26" t="str" cm="1">
        <f t="array" ref="R33">_xlfn.IFS(Vendas[[#This Row],[Total]]&gt;=250, "Alto", AND(Vendas[[#This Row],[Total]]&gt;=100, Vendas[[#This Row],[Total]]&lt;=249.99), "Médio", Vendas[[#This Row],[Total]]&lt;100,"Baixo")</f>
        <v>Médio</v>
      </c>
    </row>
    <row r="34" spans="1:18" x14ac:dyDescent="0.25">
      <c r="A34" t="s">
        <v>73</v>
      </c>
      <c r="B34" s="1">
        <v>45859</v>
      </c>
      <c r="C34" s="6" t="str">
        <f>TEXT(Vendas[[#This Row],[Data]],"aaaa")</f>
        <v>2025</v>
      </c>
      <c r="D34" s="19" t="str">
        <f>TEXT(Vendas[[#This Row],[Data]],"mm")</f>
        <v>07</v>
      </c>
      <c r="E34" s="11" t="str">
        <f>TEXT(Vendas[[#This Row],[Data]],"mmmm")</f>
        <v>julho</v>
      </c>
      <c r="F34" s="6">
        <f>ROUNDUP(MONTH(Vendas[[#This Row],[Data]])/3,0)</f>
        <v>3</v>
      </c>
      <c r="G34" s="5">
        <f>EOMONTH(Vendas[[#This Row],[Data]],0)</f>
        <v>45869</v>
      </c>
      <c r="H34" t="s">
        <v>24</v>
      </c>
      <c r="I34" t="s">
        <v>12</v>
      </c>
      <c r="J34" t="s">
        <v>47</v>
      </c>
      <c r="K34" t="s">
        <v>14</v>
      </c>
      <c r="L34" t="s">
        <v>20</v>
      </c>
      <c r="M34">
        <v>7</v>
      </c>
      <c r="N34" s="13">
        <v>9.94</v>
      </c>
      <c r="O34">
        <v>0.15</v>
      </c>
      <c r="P34" s="24">
        <f>Vendas[[#This Row],[Quantidade]]*Vendas[[#This Row],[PreçoUnitário]]*(1-Vendas[[#This Row],[Desconto(%)]])</f>
        <v>59.142999999999994</v>
      </c>
      <c r="Q34" s="6">
        <f ca="1">TODAY()-Vendas[[#This Row],[Data]]</f>
        <v>78</v>
      </c>
      <c r="R34" s="26" t="str" cm="1">
        <f t="array" ref="R34">_xlfn.IFS(Vendas[[#This Row],[Total]]&gt;=250, "Alto", AND(Vendas[[#This Row],[Total]]&gt;=100, Vendas[[#This Row],[Total]]&lt;=249.99), "Médio", Vendas[[#This Row],[Total]]&lt;100,"Baixo")</f>
        <v>Baixo</v>
      </c>
    </row>
    <row r="35" spans="1:18" x14ac:dyDescent="0.25">
      <c r="A35" t="s">
        <v>74</v>
      </c>
      <c r="B35" s="1">
        <v>45887</v>
      </c>
      <c r="C35" s="6" t="str">
        <f>TEXT(Vendas[[#This Row],[Data]],"aaaa")</f>
        <v>2025</v>
      </c>
      <c r="D35" s="19" t="str">
        <f>TEXT(Vendas[[#This Row],[Data]],"mm")</f>
        <v>08</v>
      </c>
      <c r="E35" s="11" t="str">
        <f>TEXT(Vendas[[#This Row],[Data]],"mmmm")</f>
        <v>agosto</v>
      </c>
      <c r="F35" s="6">
        <f>ROUNDUP(MONTH(Vendas[[#This Row],[Data]])/3,0)</f>
        <v>3</v>
      </c>
      <c r="G35" s="5">
        <f>EOMONTH(Vendas[[#This Row],[Data]],0)</f>
        <v>45900</v>
      </c>
      <c r="H35" t="s">
        <v>11</v>
      </c>
      <c r="I35" t="s">
        <v>18</v>
      </c>
      <c r="J35" t="s">
        <v>47</v>
      </c>
      <c r="K35" t="s">
        <v>36</v>
      </c>
      <c r="L35" t="s">
        <v>75</v>
      </c>
      <c r="M35">
        <v>5</v>
      </c>
      <c r="N35" s="13">
        <v>13.79</v>
      </c>
      <c r="O35">
        <v>0.15</v>
      </c>
      <c r="P35" s="24">
        <f>Vendas[[#This Row],[Quantidade]]*Vendas[[#This Row],[PreçoUnitário]]*(1-Vendas[[#This Row],[Desconto(%)]])</f>
        <v>58.607499999999987</v>
      </c>
      <c r="Q35" s="6">
        <f ca="1">TODAY()-Vendas[[#This Row],[Data]]</f>
        <v>50</v>
      </c>
      <c r="R35" s="26" t="str" cm="1">
        <f t="array" ref="R35">_xlfn.IFS(Vendas[[#This Row],[Total]]&gt;=250, "Alto", AND(Vendas[[#This Row],[Total]]&gt;=100, Vendas[[#This Row],[Total]]&lt;=249.99), "Médio", Vendas[[#This Row],[Total]]&lt;100,"Baixo")</f>
        <v>Baixo</v>
      </c>
    </row>
    <row r="36" spans="1:18" x14ac:dyDescent="0.25">
      <c r="A36" t="s">
        <v>76</v>
      </c>
      <c r="B36" s="1">
        <v>45909</v>
      </c>
      <c r="C36" s="6" t="str">
        <f>TEXT(Vendas[[#This Row],[Data]],"aaaa")</f>
        <v>2025</v>
      </c>
      <c r="D36" s="19" t="str">
        <f>TEXT(Vendas[[#This Row],[Data]],"mm")</f>
        <v>09</v>
      </c>
      <c r="E36" s="11" t="str">
        <f>TEXT(Vendas[[#This Row],[Data]],"mmmm")</f>
        <v>setembro</v>
      </c>
      <c r="F36" s="6">
        <f>ROUNDUP(MONTH(Vendas[[#This Row],[Data]])/3,0)</f>
        <v>3</v>
      </c>
      <c r="G36" s="5">
        <f>EOMONTH(Vendas[[#This Row],[Data]],0)</f>
        <v>45930</v>
      </c>
      <c r="H36" t="s">
        <v>24</v>
      </c>
      <c r="I36" t="s">
        <v>18</v>
      </c>
      <c r="J36" t="s">
        <v>19</v>
      </c>
      <c r="K36" t="s">
        <v>36</v>
      </c>
      <c r="L36" t="s">
        <v>50</v>
      </c>
      <c r="M36">
        <v>5</v>
      </c>
      <c r="N36" s="13">
        <v>11.68</v>
      </c>
      <c r="O36">
        <v>0.1</v>
      </c>
      <c r="P36" s="24">
        <f>Vendas[[#This Row],[Quantidade]]*Vendas[[#This Row],[PreçoUnitário]]*(1-Vendas[[#This Row],[Desconto(%)]])</f>
        <v>52.56</v>
      </c>
      <c r="Q36" s="6">
        <f ca="1">TODAY()-Vendas[[#This Row],[Data]]</f>
        <v>28</v>
      </c>
      <c r="R36" s="26" t="str" cm="1">
        <f t="array" ref="R36">_xlfn.IFS(Vendas[[#This Row],[Total]]&gt;=250, "Alto", AND(Vendas[[#This Row],[Total]]&gt;=100, Vendas[[#This Row],[Total]]&lt;=249.99), "Médio", Vendas[[#This Row],[Total]]&lt;100,"Baixo")</f>
        <v>Baixo</v>
      </c>
    </row>
    <row r="37" spans="1:18" x14ac:dyDescent="0.25">
      <c r="A37" t="s">
        <v>77</v>
      </c>
      <c r="B37" s="1">
        <v>45917</v>
      </c>
      <c r="C37" s="6" t="str">
        <f>TEXT(Vendas[[#This Row],[Data]],"aaaa")</f>
        <v>2025</v>
      </c>
      <c r="D37" s="19" t="str">
        <f>TEXT(Vendas[[#This Row],[Data]],"mm")</f>
        <v>09</v>
      </c>
      <c r="E37" s="11" t="str">
        <f>TEXT(Vendas[[#This Row],[Data]],"mmmm")</f>
        <v>setembro</v>
      </c>
      <c r="F37" s="6">
        <f>ROUNDUP(MONTH(Vendas[[#This Row],[Data]])/3,0)</f>
        <v>3</v>
      </c>
      <c r="G37" s="5">
        <f>EOMONTH(Vendas[[#This Row],[Data]],0)</f>
        <v>45930</v>
      </c>
      <c r="H37" t="s">
        <v>17</v>
      </c>
      <c r="I37" t="s">
        <v>18</v>
      </c>
      <c r="J37" t="s">
        <v>19</v>
      </c>
      <c r="K37" t="s">
        <v>36</v>
      </c>
      <c r="L37" t="s">
        <v>50</v>
      </c>
      <c r="M37">
        <v>20</v>
      </c>
      <c r="N37" s="13">
        <v>5.21</v>
      </c>
      <c r="O37">
        <v>0.15</v>
      </c>
      <c r="P37" s="24">
        <f>Vendas[[#This Row],[Quantidade]]*Vendas[[#This Row],[PreçoUnitário]]*(1-Vendas[[#This Row],[Desconto(%)]])</f>
        <v>88.57</v>
      </c>
      <c r="Q37" s="6">
        <f ca="1">TODAY()-Vendas[[#This Row],[Data]]</f>
        <v>20</v>
      </c>
      <c r="R37" s="26" t="str" cm="1">
        <f t="array" ref="R37">_xlfn.IFS(Vendas[[#This Row],[Total]]&gt;=250, "Alto", AND(Vendas[[#This Row],[Total]]&gt;=100, Vendas[[#This Row],[Total]]&lt;=249.99), "Médio", Vendas[[#This Row],[Total]]&lt;100,"Baixo")</f>
        <v>Baixo</v>
      </c>
    </row>
    <row r="47" spans="1:18" x14ac:dyDescent="0.25">
      <c r="D47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98A1-41BF-485F-AE78-098E1D130449}">
  <dimension ref="A1:N61"/>
  <sheetViews>
    <sheetView tabSelected="1" workbookViewId="0">
      <selection sqref="A1:A19"/>
    </sheetView>
  </sheetViews>
  <sheetFormatPr defaultRowHeight="15" x14ac:dyDescent="0.25"/>
  <cols>
    <col min="1" max="1" width="22.7109375" bestFit="1" customWidth="1"/>
    <col min="2" max="2" width="9.140625" style="3"/>
    <col min="4" max="4" width="27.42578125" customWidth="1"/>
    <col min="5" max="5" width="9.42578125" bestFit="1" customWidth="1"/>
    <col min="7" max="7" width="24.140625" customWidth="1"/>
    <col min="8" max="8" width="18.7109375" style="3" bestFit="1" customWidth="1"/>
    <col min="9" max="9" width="19.5703125" bestFit="1" customWidth="1"/>
    <col min="10" max="10" width="13.85546875" customWidth="1"/>
    <col min="11" max="11" width="8" bestFit="1" customWidth="1"/>
    <col min="12" max="12" width="22.42578125" customWidth="1"/>
    <col min="14" max="14" width="11.7109375" customWidth="1"/>
  </cols>
  <sheetData>
    <row r="1" spans="1:14" ht="30" x14ac:dyDescent="0.25">
      <c r="A1" s="15" t="s">
        <v>99</v>
      </c>
      <c r="C1" s="6"/>
      <c r="D1" s="17" t="s">
        <v>102</v>
      </c>
      <c r="E1" s="3"/>
      <c r="F1" s="6"/>
      <c r="G1" s="17" t="s">
        <v>105</v>
      </c>
      <c r="L1" s="17" t="s">
        <v>107</v>
      </c>
    </row>
    <row r="2" spans="1:14" x14ac:dyDescent="0.25">
      <c r="A2" t="s">
        <v>19</v>
      </c>
      <c r="B2" s="3">
        <f>SUMIF(Vendas[Vendedor],A2,Vendas[Quantidade])</f>
        <v>131</v>
      </c>
      <c r="C2" s="6"/>
      <c r="D2" t="s">
        <v>19</v>
      </c>
      <c r="E2" s="13">
        <f>SUMIFS(Vendas[Total],Vendas[Vendedor],Análise!D2,Vendas[Região],$A$12)</f>
        <v>326.90999999999997</v>
      </c>
      <c r="F2" s="6"/>
      <c r="G2" s="23" t="s">
        <v>112</v>
      </c>
      <c r="H2" s="23" t="s">
        <v>111</v>
      </c>
      <c r="I2" s="23" t="s">
        <v>0</v>
      </c>
      <c r="J2" s="23" t="s">
        <v>6</v>
      </c>
      <c r="M2" s="25" t="s">
        <v>113</v>
      </c>
      <c r="N2" s="25" t="s">
        <v>114</v>
      </c>
    </row>
    <row r="3" spans="1:14" x14ac:dyDescent="0.25">
      <c r="A3" t="s">
        <v>25</v>
      </c>
      <c r="B3" s="3">
        <f>SUMIF(Vendas[Vendedor],A3,Vendas[Quantidade])</f>
        <v>102</v>
      </c>
      <c r="C3" s="6"/>
      <c r="D3" t="s">
        <v>25</v>
      </c>
      <c r="E3" s="13">
        <f>SUMIFS(Vendas[Total],Vendas[Vendedor],Análise!D3,Vendas[Região],$A$12)</f>
        <v>249.99849999999998</v>
      </c>
      <c r="F3" s="6"/>
      <c r="G3" s="21">
        <v>1</v>
      </c>
      <c r="H3" s="24">
        <f>_xlfn.NUMBERVALUE(LARGE(Vendas[Total],G3))</f>
        <v>638.495</v>
      </c>
      <c r="I3" s="22" t="e">
        <f>LOOKUP(H3,Vendas[])</f>
        <v>#N/A</v>
      </c>
      <c r="J3" s="22" t="str">
        <f>IFERROR((VLOOKUP($H$3,Vendas[#All],0,0)),"Not Found")</f>
        <v>Not Found</v>
      </c>
      <c r="M3" s="2">
        <v>0</v>
      </c>
      <c r="N3" s="2" t="s">
        <v>115</v>
      </c>
    </row>
    <row r="4" spans="1:14" x14ac:dyDescent="0.25">
      <c r="A4" t="s">
        <v>47</v>
      </c>
      <c r="B4" s="3">
        <f>SUMIF(Vendas[Vendedor],A4,Vendas[Quantidade])</f>
        <v>50</v>
      </c>
      <c r="C4" s="6"/>
      <c r="D4" t="s">
        <v>47</v>
      </c>
      <c r="E4" s="13">
        <f>SUMIFS(Vendas[Total],Vendas[Vendedor],Análise!D4,Vendas[Região],$A$12)</f>
        <v>126.94749999999999</v>
      </c>
      <c r="F4" s="6"/>
      <c r="G4" s="21">
        <v>2</v>
      </c>
      <c r="H4" s="24">
        <f>_xlfn.NUMBERVALUE(LARGE(Vendas[Total],G4))</f>
        <v>395.69200000000001</v>
      </c>
      <c r="I4" s="22"/>
      <c r="J4" s="22" t="str">
        <f>IFERROR((VLOOKUP($H4,Vendas[#All],0,0)),"Not Found")</f>
        <v>Not Found</v>
      </c>
      <c r="M4" s="2">
        <v>100</v>
      </c>
      <c r="N4" s="2" t="s">
        <v>116</v>
      </c>
    </row>
    <row r="5" spans="1:14" x14ac:dyDescent="0.25">
      <c r="A5" t="s">
        <v>13</v>
      </c>
      <c r="B5" s="3">
        <f>SUMIF(Vendas[Vendedor],A5,Vendas[Quantidade])</f>
        <v>79</v>
      </c>
      <c r="C5" s="6"/>
      <c r="D5" t="s">
        <v>13</v>
      </c>
      <c r="E5" s="13">
        <f>SUMIFS(Vendas[Total],Vendas[Vendedor],Análise!D5,Vendas[Região],$A$12)</f>
        <v>100.09699999999999</v>
      </c>
      <c r="F5" s="6"/>
      <c r="G5">
        <v>3</v>
      </c>
      <c r="H5" s="24">
        <f>_xlfn.NUMBERVALUE(LARGE(Vendas[Total],G5))</f>
        <v>248.67599999999999</v>
      </c>
      <c r="I5" s="22" t="str">
        <f>IFERROR((VLOOKUP($H5,Vendas[#All],0,0)),"Not Found")</f>
        <v>Not Found</v>
      </c>
      <c r="J5" s="22" t="str">
        <f>IFERROR((VLOOKUP($H5,Vendas[#All],0,0)),"Not Found")</f>
        <v>Not Found</v>
      </c>
      <c r="M5" s="2">
        <v>200</v>
      </c>
      <c r="N5" s="2" t="s">
        <v>117</v>
      </c>
    </row>
    <row r="6" spans="1:14" x14ac:dyDescent="0.25">
      <c r="C6" s="6"/>
      <c r="D6" s="12"/>
      <c r="E6" s="6"/>
      <c r="F6" s="6"/>
      <c r="H6" s="13"/>
      <c r="M6" s="2">
        <v>350</v>
      </c>
      <c r="N6" s="2" t="s">
        <v>118</v>
      </c>
    </row>
    <row r="7" spans="1:14" x14ac:dyDescent="0.25">
      <c r="C7" s="6"/>
      <c r="D7" s="12"/>
      <c r="E7" s="6"/>
      <c r="F7" s="6"/>
    </row>
    <row r="8" spans="1:14" ht="30" x14ac:dyDescent="0.25">
      <c r="A8" s="15" t="s">
        <v>100</v>
      </c>
      <c r="C8" s="6"/>
      <c r="D8" s="14" t="s">
        <v>103</v>
      </c>
      <c r="E8" s="6"/>
      <c r="F8" s="6"/>
      <c r="G8" s="17" t="s">
        <v>106</v>
      </c>
    </row>
    <row r="9" spans="1:14" x14ac:dyDescent="0.25">
      <c r="A9" s="16" t="s">
        <v>71</v>
      </c>
      <c r="B9" s="3">
        <f>COUNTIF(Vendas[Região],A9)</f>
        <v>1</v>
      </c>
      <c r="C9" s="6"/>
      <c r="D9" s="12" t="s">
        <v>108</v>
      </c>
      <c r="E9" s="6">
        <f>COUNTIFS(Vendas[Categoria],A17,Vendas[Total],D9)</f>
        <v>3</v>
      </c>
      <c r="F9" s="6"/>
      <c r="G9" s="23" t="s">
        <v>112</v>
      </c>
      <c r="H9" s="23" t="s">
        <v>111</v>
      </c>
      <c r="I9" s="23" t="s">
        <v>0</v>
      </c>
      <c r="J9" s="23" t="s">
        <v>6</v>
      </c>
    </row>
    <row r="10" spans="1:14" x14ac:dyDescent="0.25">
      <c r="A10" s="16" t="s">
        <v>54</v>
      </c>
      <c r="B10" s="3">
        <f>COUNTIF(Vendas[Região],A10)</f>
        <v>3</v>
      </c>
      <c r="C10" s="6"/>
      <c r="D10" s="12"/>
      <c r="E10" s="6"/>
      <c r="F10" s="6"/>
      <c r="G10" s="21">
        <v>1</v>
      </c>
      <c r="H10" s="24">
        <f>_xlfn.NUMBERVALUE(SMALL(Vendas[Total],G10))</f>
        <v>6.2729999999999997</v>
      </c>
      <c r="I10" s="22" t="e">
        <f>LOOKUP(H10,Vendas[])</f>
        <v>#N/A</v>
      </c>
      <c r="J10" s="22" t="str">
        <f>IFERROR((VLOOKUP($H10,Vendas[#All],0,0)),"Not Found")</f>
        <v>Not Found</v>
      </c>
    </row>
    <row r="11" spans="1:14" x14ac:dyDescent="0.25">
      <c r="A11" s="16" t="s">
        <v>30</v>
      </c>
      <c r="B11" s="3">
        <f>COUNTIF(Vendas[Região],A11)</f>
        <v>7</v>
      </c>
      <c r="C11" s="6"/>
      <c r="D11" s="12"/>
      <c r="E11" s="6"/>
      <c r="F11" s="6"/>
      <c r="G11" s="21">
        <v>2</v>
      </c>
      <c r="H11" s="24">
        <f>_xlfn.NUMBERVALUE(SMALL(Vendas[Total],G11))</f>
        <v>7.6189999999999998</v>
      </c>
      <c r="I11" s="22" t="str">
        <f>IFERROR((VLOOKUP($H11,Vendas[#All],0,0)),"Not Found")</f>
        <v>Not Found</v>
      </c>
      <c r="J11" s="22" t="str">
        <f>IFERROR((VLOOKUP($H11,Vendas[#All],0,0)),"Not Found")</f>
        <v>Not Found</v>
      </c>
    </row>
    <row r="12" spans="1:14" x14ac:dyDescent="0.25">
      <c r="A12" s="16" t="s">
        <v>18</v>
      </c>
      <c r="B12" s="3">
        <f>COUNTIF(Vendas[Região],A12)</f>
        <v>12</v>
      </c>
      <c r="C12" s="6"/>
      <c r="D12" s="12"/>
      <c r="E12" s="6"/>
      <c r="F12" s="6"/>
      <c r="G12">
        <v>3</v>
      </c>
      <c r="H12" s="24">
        <f>_xlfn.NUMBERVALUE(SMALL(Vendas[Total],G12))</f>
        <v>10.981999999999999</v>
      </c>
      <c r="I12" s="22" t="str">
        <f>IFERROR((VLOOKUP($H12,Vendas[#All],0,0)),"Not Found")</f>
        <v>Not Found</v>
      </c>
      <c r="J12" s="22" t="str">
        <f>IFERROR((VLOOKUP($H12,Vendas[#All],0,0)),"Not Found")</f>
        <v>Not Found</v>
      </c>
    </row>
    <row r="13" spans="1:14" x14ac:dyDescent="0.25">
      <c r="A13" s="16" t="s">
        <v>12</v>
      </c>
      <c r="B13" s="3">
        <f>COUNTIF(Vendas[Região],A13)</f>
        <v>13</v>
      </c>
      <c r="C13" s="6"/>
      <c r="D13" s="12"/>
      <c r="E13" s="6"/>
      <c r="F13" s="6"/>
    </row>
    <row r="14" spans="1:14" x14ac:dyDescent="0.25">
      <c r="C14" s="6"/>
      <c r="D14" s="12"/>
      <c r="E14" s="6"/>
      <c r="F14" s="6"/>
      <c r="L14" s="18"/>
    </row>
    <row r="15" spans="1:14" x14ac:dyDescent="0.25">
      <c r="C15" s="6"/>
      <c r="D15" s="12"/>
      <c r="E15" s="6"/>
      <c r="F15" s="6"/>
    </row>
    <row r="16" spans="1:14" ht="30" x14ac:dyDescent="0.25">
      <c r="A16" s="15" t="s">
        <v>101</v>
      </c>
      <c r="B16"/>
      <c r="C16" s="6"/>
      <c r="D16" s="14" t="s">
        <v>104</v>
      </c>
      <c r="E16" s="6"/>
      <c r="F16" s="6"/>
      <c r="I16" t="e">
        <f>LOOKUP(H3,Vendas[])</f>
        <v>#N/A</v>
      </c>
    </row>
    <row r="17" spans="1:6" x14ac:dyDescent="0.25">
      <c r="A17" t="s">
        <v>32</v>
      </c>
      <c r="B17" s="13">
        <f>AVERAGEIF(Vendas[Categoria],A17,Vendas[Total])</f>
        <v>195.10464999999996</v>
      </c>
      <c r="C17" s="6"/>
      <c r="D17" s="12" t="s">
        <v>109</v>
      </c>
      <c r="E17" s="20">
        <f>AVERAGEIFS(Vendas[Total], Vendas[Categoria],A19,Vendas[Trimestre],"1")</f>
        <v>64.716166666666666</v>
      </c>
      <c r="F17" s="6"/>
    </row>
    <row r="18" spans="1:6" x14ac:dyDescent="0.25">
      <c r="A18" t="s">
        <v>36</v>
      </c>
      <c r="B18" s="13">
        <f>AVERAGEIF(Vendas[Categoria],A18,Vendas[Total])</f>
        <v>84.802349999999976</v>
      </c>
      <c r="C18" s="6"/>
      <c r="D18" s="12"/>
      <c r="E18" s="6"/>
      <c r="F18" s="6"/>
    </row>
    <row r="19" spans="1:6" x14ac:dyDescent="0.25">
      <c r="A19" t="s">
        <v>14</v>
      </c>
      <c r="B19" s="13">
        <f>AVERAGEIF(Vendas[Categoria],A19,Vendas[Total])</f>
        <v>67.928937499999989</v>
      </c>
      <c r="C19" s="6"/>
      <c r="D19" s="12"/>
      <c r="E19" s="6"/>
      <c r="F19" s="6"/>
    </row>
    <row r="20" spans="1:6" x14ac:dyDescent="0.25">
      <c r="A20" s="16"/>
      <c r="C20" s="6"/>
      <c r="D20" s="12"/>
      <c r="E20" s="6"/>
      <c r="F20" s="6"/>
    </row>
    <row r="21" spans="1:6" x14ac:dyDescent="0.25">
      <c r="A21" s="16"/>
    </row>
    <row r="22" spans="1:6" x14ac:dyDescent="0.25">
      <c r="A22" s="16"/>
    </row>
    <row r="23" spans="1:6" x14ac:dyDescent="0.25">
      <c r="A23" s="16"/>
    </row>
    <row r="24" spans="1:6" x14ac:dyDescent="0.25">
      <c r="A24" s="16"/>
    </row>
    <row r="25" spans="1:6" x14ac:dyDescent="0.25">
      <c r="A25" s="16"/>
      <c r="D25" s="3"/>
    </row>
    <row r="26" spans="1:6" x14ac:dyDescent="0.25">
      <c r="A26" s="16"/>
      <c r="D26" s="3"/>
    </row>
    <row r="27" spans="1:6" x14ac:dyDescent="0.25">
      <c r="A27" s="16"/>
      <c r="D27" s="3"/>
    </row>
    <row r="28" spans="1:6" x14ac:dyDescent="0.25">
      <c r="A28" s="16"/>
      <c r="D28" s="3"/>
    </row>
    <row r="29" spans="1:6" x14ac:dyDescent="0.25">
      <c r="A29" s="16"/>
      <c r="D29" s="3"/>
    </row>
    <row r="30" spans="1:6" x14ac:dyDescent="0.25">
      <c r="A30" s="16"/>
      <c r="D30" s="3"/>
    </row>
    <row r="31" spans="1:6" x14ac:dyDescent="0.25">
      <c r="A31" s="16"/>
      <c r="D31" s="3"/>
    </row>
    <row r="32" spans="1:6" x14ac:dyDescent="0.25">
      <c r="A32" s="16"/>
      <c r="D32" s="3"/>
    </row>
    <row r="33" spans="1:4" x14ac:dyDescent="0.25">
      <c r="A33" s="3"/>
      <c r="D33" s="3"/>
    </row>
    <row r="34" spans="1:4" x14ac:dyDescent="0.25">
      <c r="D34" s="3"/>
    </row>
    <row r="35" spans="1:4" x14ac:dyDescent="0.25">
      <c r="D35" s="3"/>
    </row>
    <row r="36" spans="1:4" x14ac:dyDescent="0.25">
      <c r="D36" s="3"/>
    </row>
    <row r="37" spans="1:4" x14ac:dyDescent="0.25">
      <c r="D37" s="3"/>
    </row>
    <row r="38" spans="1:4" x14ac:dyDescent="0.25"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  <row r="42" spans="1:4" x14ac:dyDescent="0.25">
      <c r="D42" s="3"/>
    </row>
    <row r="43" spans="1:4" x14ac:dyDescent="0.25">
      <c r="D43" s="3"/>
    </row>
    <row r="44" spans="1:4" x14ac:dyDescent="0.25">
      <c r="D44" s="3"/>
    </row>
    <row r="45" spans="1:4" x14ac:dyDescent="0.25">
      <c r="D45" s="3"/>
    </row>
    <row r="46" spans="1:4" x14ac:dyDescent="0.25">
      <c r="D46" s="3"/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  <cellWatches>
    <cellWatch r="I5"/>
    <cellWatch r="I3"/>
  </cellWatch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F908-06D2-48BF-9395-131784960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Dicionário</vt:lpstr>
      <vt:lpstr>Vendas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Freixo de Matos</dc:creator>
  <cp:lastModifiedBy>Filipe Matos</cp:lastModifiedBy>
  <dcterms:created xsi:type="dcterms:W3CDTF">2025-10-01T20:12:22Z</dcterms:created>
  <dcterms:modified xsi:type="dcterms:W3CDTF">2025-10-07T20:48:51Z</dcterms:modified>
</cp:coreProperties>
</file>