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hota\Source\Node\FMX\src\static\chess\2020\Conselho Tecnico\"/>
    </mc:Choice>
  </mc:AlternateContent>
  <xr:revisionPtr revIDLastSave="0" documentId="13_ncr:101_{EA5A420A-AC39-461C-AA6B-EBD36473466F}" xr6:coauthVersionLast="45" xr6:coauthVersionMax="45" xr10:uidLastSave="{00000000-0000-0000-0000-000000000000}"/>
  <bookViews>
    <workbookView xWindow="-28920" yWindow="-120" windowWidth="29040" windowHeight="16440" activeTab="1" xr2:uid="{85D75AB9-F108-4D17-B315-EE3D274F286E}"/>
  </bookViews>
  <sheets>
    <sheet name="Resumo" sheetId="6" r:id="rId1"/>
    <sheet name="Database" sheetId="7" r:id="rId2"/>
    <sheet name="2016" sheetId="1" r:id="rId3"/>
    <sheet name="2017" sheetId="2" r:id="rId4"/>
    <sheet name="2018" sheetId="3" r:id="rId5"/>
    <sheet name="2019" sheetId="4" r:id="rId6"/>
    <sheet name="2020" sheetId="5" r:id="rId7"/>
  </sheets>
  <definedNames>
    <definedName name="_xlnm._FilterDatabase" localSheetId="2" hidden="1">'2016'!$A$1:$J$26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9" i="7" l="1"/>
  <c r="D199" i="7"/>
  <c r="N2" i="5" l="1"/>
  <c r="O2" i="5" s="1"/>
  <c r="Q2" i="5" s="1"/>
  <c r="N3" i="5"/>
  <c r="O3" i="5" s="1"/>
  <c r="Q3" i="5" s="1"/>
  <c r="N4" i="5"/>
  <c r="O4" i="5" s="1"/>
  <c r="Q4" i="5" s="1"/>
  <c r="N5" i="5"/>
  <c r="O5" i="5" s="1"/>
  <c r="Q5" i="5" s="1"/>
  <c r="N6" i="5"/>
  <c r="O6" i="5" s="1"/>
  <c r="Q6" i="5" s="1"/>
  <c r="N7" i="5"/>
  <c r="O7" i="5" s="1"/>
  <c r="Q7" i="5" s="1"/>
  <c r="N8" i="5"/>
  <c r="P8" i="5" s="1"/>
  <c r="N9" i="5"/>
  <c r="P9" i="5" s="1"/>
  <c r="N10" i="5"/>
  <c r="O10" i="5" s="1"/>
  <c r="Q10" i="5" s="1"/>
  <c r="N11" i="5"/>
  <c r="O11" i="5" s="1"/>
  <c r="Q11" i="5" s="1"/>
  <c r="N12" i="5"/>
  <c r="O12" i="5" s="1"/>
  <c r="Q12" i="5" s="1"/>
  <c r="N13" i="5"/>
  <c r="O13" i="5" s="1"/>
  <c r="Q13" i="5" s="1"/>
  <c r="N14" i="5"/>
  <c r="O14" i="5" s="1"/>
  <c r="Q14" i="5" s="1"/>
  <c r="N15" i="5"/>
  <c r="O15" i="5" s="1"/>
  <c r="Q15" i="5" s="1"/>
  <c r="N16" i="5"/>
  <c r="P16" i="5" s="1"/>
  <c r="N17" i="5"/>
  <c r="P17" i="5" s="1"/>
  <c r="N18" i="5"/>
  <c r="O18" i="5" s="1"/>
  <c r="Q18" i="5" s="1"/>
  <c r="N19" i="5"/>
  <c r="O19" i="5" s="1"/>
  <c r="Q19" i="5" s="1"/>
  <c r="N20" i="5"/>
  <c r="O20" i="5" s="1"/>
  <c r="Q20" i="5" s="1"/>
  <c r="N21" i="5"/>
  <c r="O21" i="5" s="1"/>
  <c r="Q21" i="5" s="1"/>
  <c r="N22" i="5"/>
  <c r="O22" i="5" s="1"/>
  <c r="Q22" i="5" s="1"/>
  <c r="N23" i="5"/>
  <c r="O23" i="5" s="1"/>
  <c r="Q23" i="5" s="1"/>
  <c r="N24" i="5"/>
  <c r="P24" i="5" s="1"/>
  <c r="N25" i="5"/>
  <c r="P25" i="5" s="1"/>
  <c r="N26" i="5"/>
  <c r="O26" i="5" s="1"/>
  <c r="Q26" i="5" s="1"/>
  <c r="N27" i="5"/>
  <c r="O27" i="5" s="1"/>
  <c r="Q27" i="5" s="1"/>
  <c r="N28" i="5"/>
  <c r="O28" i="5" s="1"/>
  <c r="Q28" i="5" s="1"/>
  <c r="N29" i="5"/>
  <c r="O29" i="5" s="1"/>
  <c r="Q29" i="5" s="1"/>
  <c r="N30" i="5"/>
  <c r="O30" i="5" s="1"/>
  <c r="Q30" i="5" s="1"/>
  <c r="N31" i="5"/>
  <c r="O31" i="5" s="1"/>
  <c r="Q31" i="5" s="1"/>
  <c r="N32" i="5"/>
  <c r="P32" i="5" s="1"/>
  <c r="N33" i="5"/>
  <c r="P33" i="5" s="1"/>
  <c r="N34" i="5"/>
  <c r="O34" i="5" s="1"/>
  <c r="Q34" i="5" s="1"/>
  <c r="N35" i="5"/>
  <c r="O35" i="5" s="1"/>
  <c r="Q35" i="5" s="1"/>
  <c r="N36" i="5"/>
  <c r="O36" i="5" s="1"/>
  <c r="Q36" i="5" s="1"/>
  <c r="N37" i="5"/>
  <c r="O37" i="5" s="1"/>
  <c r="Q37" i="5" s="1"/>
  <c r="N38" i="5"/>
  <c r="O38" i="5" s="1"/>
  <c r="Q38" i="5" s="1"/>
  <c r="N39" i="5"/>
  <c r="O39" i="5" s="1"/>
  <c r="Q39" i="5" s="1"/>
  <c r="N40" i="5"/>
  <c r="P40" i="5" s="1"/>
  <c r="N41" i="5"/>
  <c r="P41" i="5" s="1"/>
  <c r="N42" i="5"/>
  <c r="O42" i="5" s="1"/>
  <c r="Q42" i="5" s="1"/>
  <c r="N43" i="5"/>
  <c r="O43" i="5" s="1"/>
  <c r="Q43" i="5" s="1"/>
  <c r="N44" i="5"/>
  <c r="O44" i="5" s="1"/>
  <c r="Q44" i="5" s="1"/>
  <c r="N45" i="5"/>
  <c r="O45" i="5" s="1"/>
  <c r="Q45" i="5" s="1"/>
  <c r="N46" i="5"/>
  <c r="O46" i="5" s="1"/>
  <c r="Q46" i="5" s="1"/>
  <c r="N47" i="5"/>
  <c r="O47" i="5" s="1"/>
  <c r="Q47" i="5" s="1"/>
  <c r="N48" i="5"/>
  <c r="P48" i="5" s="1"/>
  <c r="N49" i="5"/>
  <c r="P49" i="5" s="1"/>
  <c r="N50" i="5"/>
  <c r="O50" i="5" s="1"/>
  <c r="Q50" i="5" s="1"/>
  <c r="N51" i="5"/>
  <c r="O51" i="5" s="1"/>
  <c r="Q51" i="5" s="1"/>
  <c r="N52" i="5"/>
  <c r="O52" i="5" s="1"/>
  <c r="Q52" i="5" s="1"/>
  <c r="N53" i="5"/>
  <c r="O53" i="5" s="1"/>
  <c r="Q53" i="5" s="1"/>
  <c r="N54" i="5"/>
  <c r="O54" i="5" s="1"/>
  <c r="Q54" i="5" s="1"/>
  <c r="N55" i="5"/>
  <c r="O55" i="5" s="1"/>
  <c r="Q55" i="5" s="1"/>
  <c r="N56" i="5"/>
  <c r="P56" i="5" s="1"/>
  <c r="N57" i="5"/>
  <c r="P57" i="5" s="1"/>
  <c r="N58" i="5"/>
  <c r="O58" i="5" s="1"/>
  <c r="Q58" i="5" s="1"/>
  <c r="N59" i="5"/>
  <c r="O59" i="5" s="1"/>
  <c r="Q59" i="5" s="1"/>
  <c r="N60" i="5"/>
  <c r="O60" i="5" s="1"/>
  <c r="Q60" i="5" s="1"/>
  <c r="N61" i="5"/>
  <c r="O61" i="5" s="1"/>
  <c r="Q61" i="5" s="1"/>
  <c r="N62" i="5"/>
  <c r="O62" i="5" s="1"/>
  <c r="Q62" i="5" s="1"/>
  <c r="N63" i="5"/>
  <c r="O63" i="5" s="1"/>
  <c r="Q63" i="5" s="1"/>
  <c r="N64" i="5"/>
  <c r="P64" i="5" s="1"/>
  <c r="N65" i="5"/>
  <c r="P65" i="5" s="1"/>
  <c r="N66" i="5"/>
  <c r="O66" i="5" s="1"/>
  <c r="Q66" i="5" s="1"/>
  <c r="N67" i="5"/>
  <c r="O67" i="5" s="1"/>
  <c r="Q67" i="5" s="1"/>
  <c r="N68" i="5"/>
  <c r="O68" i="5" s="1"/>
  <c r="Q68" i="5" s="1"/>
  <c r="N2" i="4"/>
  <c r="O2" i="4" s="1"/>
  <c r="Q2" i="4" s="1"/>
  <c r="N3" i="4"/>
  <c r="O3" i="4" s="1"/>
  <c r="Q3" i="4" s="1"/>
  <c r="N4" i="4"/>
  <c r="P4" i="4" s="1"/>
  <c r="N5" i="4"/>
  <c r="P5" i="4" s="1"/>
  <c r="N6" i="4"/>
  <c r="P6" i="4" s="1"/>
  <c r="N7" i="4"/>
  <c r="P7" i="4" s="1"/>
  <c r="N8" i="4"/>
  <c r="O8" i="4" s="1"/>
  <c r="Q8" i="4" s="1"/>
  <c r="N9" i="4"/>
  <c r="P9" i="4" s="1"/>
  <c r="N10" i="4"/>
  <c r="O10" i="4" s="1"/>
  <c r="Q10" i="4" s="1"/>
  <c r="N11" i="4"/>
  <c r="O11" i="4" s="1"/>
  <c r="Q11" i="4" s="1"/>
  <c r="N12" i="4"/>
  <c r="P12" i="4" s="1"/>
  <c r="N13" i="4"/>
  <c r="P13" i="4" s="1"/>
  <c r="N14" i="4"/>
  <c r="P14" i="4" s="1"/>
  <c r="N15" i="4"/>
  <c r="P15" i="4" s="1"/>
  <c r="N16" i="4"/>
  <c r="O16" i="4" s="1"/>
  <c r="Q16" i="4" s="1"/>
  <c r="N17" i="4"/>
  <c r="P17" i="4" s="1"/>
  <c r="N18" i="4"/>
  <c r="O18" i="4" s="1"/>
  <c r="Q18" i="4" s="1"/>
  <c r="N19" i="4"/>
  <c r="O19" i="4" s="1"/>
  <c r="Q19" i="4" s="1"/>
  <c r="N20" i="4"/>
  <c r="P20" i="4" s="1"/>
  <c r="N21" i="4"/>
  <c r="P21" i="4" s="1"/>
  <c r="N22" i="4"/>
  <c r="P22" i="4" s="1"/>
  <c r="N23" i="4"/>
  <c r="P23" i="4" s="1"/>
  <c r="N24" i="4"/>
  <c r="O24" i="4" s="1"/>
  <c r="Q24" i="4" s="1"/>
  <c r="N25" i="4"/>
  <c r="P25" i="4" s="1"/>
  <c r="N26" i="4"/>
  <c r="O26" i="4" s="1"/>
  <c r="Q26" i="4" s="1"/>
  <c r="N27" i="4"/>
  <c r="O27" i="4" s="1"/>
  <c r="Q27" i="4" s="1"/>
  <c r="N28" i="4"/>
  <c r="P28" i="4" s="1"/>
  <c r="N29" i="4"/>
  <c r="P29" i="4" s="1"/>
  <c r="N30" i="4"/>
  <c r="P30" i="4" s="1"/>
  <c r="N31" i="4"/>
  <c r="P31" i="4" s="1"/>
  <c r="N32" i="4"/>
  <c r="O32" i="4" s="1"/>
  <c r="Q32" i="4" s="1"/>
  <c r="N33" i="4"/>
  <c r="P33" i="4" s="1"/>
  <c r="N34" i="4"/>
  <c r="O34" i="4" s="1"/>
  <c r="Q34" i="4" s="1"/>
  <c r="N35" i="4"/>
  <c r="O35" i="4" s="1"/>
  <c r="Q35" i="4" s="1"/>
  <c r="N36" i="4"/>
  <c r="P36" i="4" s="1"/>
  <c r="N37" i="4"/>
  <c r="P37" i="4" s="1"/>
  <c r="N38" i="4"/>
  <c r="O38" i="4" s="1"/>
  <c r="Q38" i="4" s="1"/>
  <c r="N39" i="4"/>
  <c r="P39" i="4" s="1"/>
  <c r="N40" i="4"/>
  <c r="O40" i="4" s="1"/>
  <c r="Q40" i="4" s="1"/>
  <c r="N41" i="4"/>
  <c r="P41" i="4" s="1"/>
  <c r="N42" i="4"/>
  <c r="O42" i="4" s="1"/>
  <c r="Q42" i="4" s="1"/>
  <c r="N43" i="4"/>
  <c r="O43" i="4" s="1"/>
  <c r="Q43" i="4" s="1"/>
  <c r="N44" i="4"/>
  <c r="P44" i="4" s="1"/>
  <c r="N45" i="4"/>
  <c r="P45" i="4" s="1"/>
  <c r="N46" i="4"/>
  <c r="O46" i="4" s="1"/>
  <c r="Q46" i="4" s="1"/>
  <c r="N47" i="4"/>
  <c r="P47" i="4" s="1"/>
  <c r="N48" i="4"/>
  <c r="O48" i="4" s="1"/>
  <c r="Q48" i="4" s="1"/>
  <c r="N49" i="4"/>
  <c r="P49" i="4" s="1"/>
  <c r="N50" i="4"/>
  <c r="O50" i="4" s="1"/>
  <c r="Q50" i="4" s="1"/>
  <c r="N51" i="4"/>
  <c r="O51" i="4" s="1"/>
  <c r="Q51" i="4" s="1"/>
  <c r="N52" i="4"/>
  <c r="P52" i="4" s="1"/>
  <c r="N53" i="4"/>
  <c r="P53" i="4" s="1"/>
  <c r="N54" i="4"/>
  <c r="O54" i="4" s="1"/>
  <c r="Q54" i="4" s="1"/>
  <c r="N55" i="4"/>
  <c r="P55" i="4" s="1"/>
  <c r="N56" i="4"/>
  <c r="O56" i="4" s="1"/>
  <c r="Q56" i="4" s="1"/>
  <c r="N57" i="4"/>
  <c r="P57" i="4" s="1"/>
  <c r="N58" i="4"/>
  <c r="O58" i="4" s="1"/>
  <c r="Q58" i="4" s="1"/>
  <c r="N59" i="4"/>
  <c r="O59" i="4" s="1"/>
  <c r="Q59" i="4" s="1"/>
  <c r="N60" i="4"/>
  <c r="P60" i="4" s="1"/>
  <c r="N61" i="4"/>
  <c r="P61" i="4" s="1"/>
  <c r="N62" i="4"/>
  <c r="O62" i="4" s="1"/>
  <c r="Q62" i="4" s="1"/>
  <c r="N63" i="4"/>
  <c r="P63" i="4" s="1"/>
  <c r="N64" i="4"/>
  <c r="O64" i="4" s="1"/>
  <c r="Q64" i="4" s="1"/>
  <c r="N65" i="4"/>
  <c r="P65" i="4" s="1"/>
  <c r="N66" i="4"/>
  <c r="O66" i="4" s="1"/>
  <c r="Q66" i="4" s="1"/>
  <c r="N67" i="4"/>
  <c r="O67" i="4" s="1"/>
  <c r="Q67" i="4" s="1"/>
  <c r="N2" i="3"/>
  <c r="O2" i="3" s="1"/>
  <c r="Q2" i="3" s="1"/>
  <c r="N3" i="3"/>
  <c r="P3" i="3" s="1"/>
  <c r="N4" i="3"/>
  <c r="O4" i="3" s="1"/>
  <c r="Q4" i="3" s="1"/>
  <c r="N5" i="3"/>
  <c r="O5" i="3" s="1"/>
  <c r="Q5" i="3" s="1"/>
  <c r="N6" i="3"/>
  <c r="O6" i="3" s="1"/>
  <c r="Q6" i="3" s="1"/>
  <c r="N7" i="3"/>
  <c r="P7" i="3" s="1"/>
  <c r="N8" i="3"/>
  <c r="O8" i="3" s="1"/>
  <c r="Q8" i="3" s="1"/>
  <c r="N9" i="3"/>
  <c r="O9" i="3" s="1"/>
  <c r="Q9" i="3" s="1"/>
  <c r="N10" i="3"/>
  <c r="O10" i="3" s="1"/>
  <c r="Q10" i="3" s="1"/>
  <c r="N11" i="3"/>
  <c r="P11" i="3" s="1"/>
  <c r="N12" i="3"/>
  <c r="O12" i="3" s="1"/>
  <c r="Q12" i="3" s="1"/>
  <c r="N13" i="3"/>
  <c r="O13" i="3" s="1"/>
  <c r="Q13" i="3" s="1"/>
  <c r="N14" i="3"/>
  <c r="O14" i="3" s="1"/>
  <c r="Q14" i="3" s="1"/>
  <c r="N15" i="3"/>
  <c r="P15" i="3" s="1"/>
  <c r="N16" i="3"/>
  <c r="O16" i="3" s="1"/>
  <c r="Q16" i="3" s="1"/>
  <c r="N17" i="3"/>
  <c r="O17" i="3" s="1"/>
  <c r="Q17" i="3" s="1"/>
  <c r="N18" i="3"/>
  <c r="O18" i="3" s="1"/>
  <c r="Q18" i="3" s="1"/>
  <c r="N19" i="3"/>
  <c r="P19" i="3" s="1"/>
  <c r="N20" i="3"/>
  <c r="O20" i="3" s="1"/>
  <c r="Q20" i="3" s="1"/>
  <c r="N21" i="3"/>
  <c r="P21" i="3" s="1"/>
  <c r="N22" i="3"/>
  <c r="P22" i="3" s="1"/>
  <c r="N23" i="3"/>
  <c r="P23" i="3" s="1"/>
  <c r="N24" i="3"/>
  <c r="O24" i="3" s="1"/>
  <c r="Q24" i="3" s="1"/>
  <c r="N25" i="3"/>
  <c r="O25" i="3" s="1"/>
  <c r="Q25" i="3" s="1"/>
  <c r="N26" i="3"/>
  <c r="O26" i="3" s="1"/>
  <c r="Q26" i="3" s="1"/>
  <c r="N27" i="3"/>
  <c r="P27" i="3" s="1"/>
  <c r="N28" i="3"/>
  <c r="O28" i="3" s="1"/>
  <c r="Q28" i="3" s="1"/>
  <c r="N29" i="3"/>
  <c r="P29" i="3" s="1"/>
  <c r="N30" i="3"/>
  <c r="O30" i="3" s="1"/>
  <c r="Q30" i="3" s="1"/>
  <c r="N31" i="3"/>
  <c r="P31" i="3" s="1"/>
  <c r="N32" i="3"/>
  <c r="O32" i="3" s="1"/>
  <c r="Q32" i="3" s="1"/>
  <c r="N33" i="3"/>
  <c r="O33" i="3" s="1"/>
  <c r="Q33" i="3" s="1"/>
  <c r="N34" i="3"/>
  <c r="O34" i="3" s="1"/>
  <c r="Q34" i="3" s="1"/>
  <c r="N35" i="3"/>
  <c r="P35" i="3" s="1"/>
  <c r="N36" i="3"/>
  <c r="O36" i="3" s="1"/>
  <c r="Q36" i="3" s="1"/>
  <c r="N37" i="3"/>
  <c r="O37" i="3" s="1"/>
  <c r="Q37" i="3" s="1"/>
  <c r="N38" i="3"/>
  <c r="O38" i="3" s="1"/>
  <c r="Q38" i="3" s="1"/>
  <c r="N39" i="3"/>
  <c r="P39" i="3" s="1"/>
  <c r="N40" i="3"/>
  <c r="O40" i="3" s="1"/>
  <c r="Q40" i="3" s="1"/>
  <c r="N41" i="3"/>
  <c r="O41" i="3" s="1"/>
  <c r="Q41" i="3" s="1"/>
  <c r="N42" i="3"/>
  <c r="O42" i="3" s="1"/>
  <c r="Q42" i="3" s="1"/>
  <c r="N43" i="3"/>
  <c r="P43" i="3" s="1"/>
  <c r="N44" i="3"/>
  <c r="O44" i="3" s="1"/>
  <c r="Q44" i="3" s="1"/>
  <c r="N45" i="3"/>
  <c r="P45" i="3" s="1"/>
  <c r="N46" i="3"/>
  <c r="O46" i="3" s="1"/>
  <c r="Q46" i="3" s="1"/>
  <c r="N47" i="3"/>
  <c r="P47" i="3" s="1"/>
  <c r="N48" i="3"/>
  <c r="O48" i="3" s="1"/>
  <c r="Q48" i="3" s="1"/>
  <c r="N49" i="3"/>
  <c r="O49" i="3" s="1"/>
  <c r="Q49" i="3" s="1"/>
  <c r="N50" i="3"/>
  <c r="O50" i="3" s="1"/>
  <c r="Q50" i="3" s="1"/>
  <c r="N51" i="3"/>
  <c r="P51" i="3" s="1"/>
  <c r="N52" i="3"/>
  <c r="O52" i="3" s="1"/>
  <c r="Q52" i="3" s="1"/>
  <c r="N53" i="3"/>
  <c r="P53" i="3" s="1"/>
  <c r="N54" i="3"/>
  <c r="P54" i="3" s="1"/>
  <c r="N55" i="3"/>
  <c r="P55" i="3" s="1"/>
  <c r="N56" i="3"/>
  <c r="O56" i="3" s="1"/>
  <c r="Q56" i="3" s="1"/>
  <c r="O2" i="2"/>
  <c r="Q2" i="2" s="1"/>
  <c r="O3" i="2"/>
  <c r="Q3" i="2" s="1"/>
  <c r="O4" i="2"/>
  <c r="P4" i="2" s="1"/>
  <c r="R4" i="2" s="1"/>
  <c r="O5" i="2"/>
  <c r="P5" i="2" s="1"/>
  <c r="R5" i="2" s="1"/>
  <c r="O6" i="2"/>
  <c r="P6" i="2" s="1"/>
  <c r="R6" i="2" s="1"/>
  <c r="O7" i="2"/>
  <c r="P7" i="2" s="1"/>
  <c r="R7" i="2" s="1"/>
  <c r="O8" i="2"/>
  <c r="P8" i="2" s="1"/>
  <c r="R8" i="2" s="1"/>
  <c r="O9" i="2"/>
  <c r="P9" i="2" s="1"/>
  <c r="R9" i="2" s="1"/>
  <c r="O10" i="2"/>
  <c r="P10" i="2" s="1"/>
  <c r="R10" i="2" s="1"/>
  <c r="O11" i="2"/>
  <c r="Q11" i="2" s="1"/>
  <c r="O12" i="2"/>
  <c r="P12" i="2" s="1"/>
  <c r="R12" i="2" s="1"/>
  <c r="O13" i="2"/>
  <c r="P13" i="2" s="1"/>
  <c r="R13" i="2" s="1"/>
  <c r="O14" i="2"/>
  <c r="P14" i="2" s="1"/>
  <c r="R14" i="2" s="1"/>
  <c r="O15" i="2"/>
  <c r="P15" i="2" s="1"/>
  <c r="R15" i="2" s="1"/>
  <c r="O16" i="2"/>
  <c r="P16" i="2" s="1"/>
  <c r="R16" i="2" s="1"/>
  <c r="O17" i="2"/>
  <c r="P17" i="2" s="1"/>
  <c r="R17" i="2" s="1"/>
  <c r="O18" i="2"/>
  <c r="P18" i="2" s="1"/>
  <c r="R18" i="2" s="1"/>
  <c r="O19" i="2"/>
  <c r="Q19" i="2" s="1"/>
  <c r="O20" i="2"/>
  <c r="P20" i="2" s="1"/>
  <c r="R20" i="2" s="1"/>
  <c r="O21" i="2"/>
  <c r="P21" i="2" s="1"/>
  <c r="R21" i="2" s="1"/>
  <c r="O22" i="2"/>
  <c r="P22" i="2" s="1"/>
  <c r="R22" i="2" s="1"/>
  <c r="O23" i="2"/>
  <c r="P23" i="2" s="1"/>
  <c r="R23" i="2" s="1"/>
  <c r="O24" i="2"/>
  <c r="P24" i="2" s="1"/>
  <c r="R24" i="2" s="1"/>
  <c r="O25" i="2"/>
  <c r="P25" i="2" s="1"/>
  <c r="R25" i="2" s="1"/>
  <c r="O26" i="2"/>
  <c r="P26" i="2" s="1"/>
  <c r="R26" i="2" s="1"/>
  <c r="O27" i="2"/>
  <c r="Q27" i="2" s="1"/>
  <c r="O28" i="2"/>
  <c r="P28" i="2" s="1"/>
  <c r="R28" i="2" s="1"/>
  <c r="O2" i="1"/>
  <c r="P2" i="1" s="1"/>
  <c r="R2" i="1" s="1"/>
  <c r="O3" i="1"/>
  <c r="P3" i="1" s="1"/>
  <c r="R3" i="1" s="1"/>
  <c r="O4" i="1"/>
  <c r="P4" i="1" s="1"/>
  <c r="R4" i="1" s="1"/>
  <c r="O5" i="1"/>
  <c r="P5" i="1" s="1"/>
  <c r="R5" i="1" s="1"/>
  <c r="O6" i="1"/>
  <c r="P6" i="1" s="1"/>
  <c r="R6" i="1" s="1"/>
  <c r="O7" i="1"/>
  <c r="P7" i="1" s="1"/>
  <c r="R7" i="1" s="1"/>
  <c r="O8" i="1"/>
  <c r="P8" i="1" s="1"/>
  <c r="R8" i="1" s="1"/>
  <c r="O9" i="1"/>
  <c r="P9" i="1" s="1"/>
  <c r="R9" i="1" s="1"/>
  <c r="O10" i="1"/>
  <c r="P10" i="1" s="1"/>
  <c r="R10" i="1" s="1"/>
  <c r="O11" i="1"/>
  <c r="P11" i="1" s="1"/>
  <c r="R11" i="1" s="1"/>
  <c r="O12" i="1"/>
  <c r="P12" i="1" s="1"/>
  <c r="R12" i="1" s="1"/>
  <c r="O13" i="1"/>
  <c r="P13" i="1" s="1"/>
  <c r="R13" i="1" s="1"/>
  <c r="O14" i="1"/>
  <c r="P14" i="1" s="1"/>
  <c r="R14" i="1" s="1"/>
  <c r="O15" i="1"/>
  <c r="P15" i="1" s="1"/>
  <c r="R15" i="1" s="1"/>
  <c r="O16" i="1"/>
  <c r="P16" i="1" s="1"/>
  <c r="R16" i="1" s="1"/>
  <c r="O17" i="1"/>
  <c r="P17" i="1" s="1"/>
  <c r="R17" i="1" s="1"/>
  <c r="O18" i="1"/>
  <c r="P18" i="1" s="1"/>
  <c r="R18" i="1" s="1"/>
  <c r="O19" i="1"/>
  <c r="P19" i="1" s="1"/>
  <c r="R19" i="1" s="1"/>
  <c r="O20" i="1"/>
  <c r="P20" i="1" s="1"/>
  <c r="R20" i="1" s="1"/>
  <c r="O21" i="1"/>
  <c r="P21" i="1" s="1"/>
  <c r="R21" i="1" s="1"/>
  <c r="O22" i="1"/>
  <c r="P22" i="1" s="1"/>
  <c r="R22" i="1" s="1"/>
  <c r="O23" i="1"/>
  <c r="P23" i="1" s="1"/>
  <c r="R23" i="1" s="1"/>
  <c r="O24" i="1"/>
  <c r="P24" i="1" s="1"/>
  <c r="R24" i="1" s="1"/>
  <c r="O25" i="1"/>
  <c r="P25" i="1" s="1"/>
  <c r="R25" i="1" s="1"/>
  <c r="O26" i="1"/>
  <c r="P26" i="1" s="1"/>
  <c r="R26" i="1" s="1"/>
  <c r="K2" i="5"/>
  <c r="L2" i="5" s="1"/>
  <c r="K3" i="5"/>
  <c r="L3" i="5" s="1"/>
  <c r="K4" i="5"/>
  <c r="L4" i="5" s="1"/>
  <c r="K5" i="5"/>
  <c r="M5" i="5" s="1"/>
  <c r="K6" i="5"/>
  <c r="M6" i="5" s="1"/>
  <c r="K7" i="5"/>
  <c r="M7" i="5" s="1"/>
  <c r="K8" i="5"/>
  <c r="M8" i="5" s="1"/>
  <c r="K9" i="5"/>
  <c r="M9" i="5" s="1"/>
  <c r="K10" i="5"/>
  <c r="L10" i="5" s="1"/>
  <c r="K11" i="5"/>
  <c r="L11" i="5" s="1"/>
  <c r="K12" i="5"/>
  <c r="L12" i="5" s="1"/>
  <c r="K13" i="5"/>
  <c r="M13" i="5" s="1"/>
  <c r="K14" i="5"/>
  <c r="M14" i="5" s="1"/>
  <c r="K15" i="5"/>
  <c r="M15" i="5" s="1"/>
  <c r="K16" i="5"/>
  <c r="M16" i="5" s="1"/>
  <c r="K17" i="5"/>
  <c r="M17" i="5" s="1"/>
  <c r="K18" i="5"/>
  <c r="L18" i="5" s="1"/>
  <c r="K19" i="5"/>
  <c r="L19" i="5" s="1"/>
  <c r="K20" i="5"/>
  <c r="L20" i="5" s="1"/>
  <c r="K21" i="5"/>
  <c r="M21" i="5" s="1"/>
  <c r="K22" i="5"/>
  <c r="M22" i="5" s="1"/>
  <c r="K23" i="5"/>
  <c r="M23" i="5" s="1"/>
  <c r="K24" i="5"/>
  <c r="M24" i="5" s="1"/>
  <c r="K25" i="5"/>
  <c r="M25" i="5" s="1"/>
  <c r="K26" i="5"/>
  <c r="L26" i="5" s="1"/>
  <c r="K27" i="5"/>
  <c r="L27" i="5" s="1"/>
  <c r="K28" i="5"/>
  <c r="L28" i="5" s="1"/>
  <c r="K29" i="5"/>
  <c r="M29" i="5" s="1"/>
  <c r="K30" i="5"/>
  <c r="M30" i="5" s="1"/>
  <c r="K31" i="5"/>
  <c r="M31" i="5" s="1"/>
  <c r="K32" i="5"/>
  <c r="M32" i="5" s="1"/>
  <c r="K33" i="5"/>
  <c r="M33" i="5" s="1"/>
  <c r="K34" i="5"/>
  <c r="L34" i="5" s="1"/>
  <c r="K35" i="5"/>
  <c r="L35" i="5" s="1"/>
  <c r="K36" i="5"/>
  <c r="L36" i="5" s="1"/>
  <c r="K37" i="5"/>
  <c r="M37" i="5" s="1"/>
  <c r="K38" i="5"/>
  <c r="M38" i="5" s="1"/>
  <c r="K39" i="5"/>
  <c r="M39" i="5" s="1"/>
  <c r="K40" i="5"/>
  <c r="M40" i="5" s="1"/>
  <c r="K41" i="5"/>
  <c r="M41" i="5" s="1"/>
  <c r="K42" i="5"/>
  <c r="L42" i="5" s="1"/>
  <c r="K43" i="5"/>
  <c r="L43" i="5" s="1"/>
  <c r="K44" i="5"/>
  <c r="L44" i="5" s="1"/>
  <c r="K45" i="5"/>
  <c r="M45" i="5" s="1"/>
  <c r="K46" i="5"/>
  <c r="M46" i="5" s="1"/>
  <c r="K47" i="5"/>
  <c r="M47" i="5" s="1"/>
  <c r="K48" i="5"/>
  <c r="M48" i="5" s="1"/>
  <c r="K49" i="5"/>
  <c r="M49" i="5" s="1"/>
  <c r="K50" i="5"/>
  <c r="L50" i="5" s="1"/>
  <c r="K51" i="5"/>
  <c r="L51" i="5" s="1"/>
  <c r="K52" i="5"/>
  <c r="L52" i="5" s="1"/>
  <c r="K53" i="5"/>
  <c r="M53" i="5" s="1"/>
  <c r="K54" i="5"/>
  <c r="M54" i="5" s="1"/>
  <c r="K55" i="5"/>
  <c r="M55" i="5" s="1"/>
  <c r="K56" i="5"/>
  <c r="M56" i="5" s="1"/>
  <c r="K57" i="5"/>
  <c r="M57" i="5" s="1"/>
  <c r="K58" i="5"/>
  <c r="L58" i="5" s="1"/>
  <c r="K59" i="5"/>
  <c r="L59" i="5" s="1"/>
  <c r="K60" i="5"/>
  <c r="L60" i="5" s="1"/>
  <c r="K61" i="5"/>
  <c r="M61" i="5" s="1"/>
  <c r="K62" i="5"/>
  <c r="M62" i="5" s="1"/>
  <c r="K63" i="5"/>
  <c r="M63" i="5" s="1"/>
  <c r="K64" i="5"/>
  <c r="M64" i="5" s="1"/>
  <c r="K65" i="5"/>
  <c r="M65" i="5" s="1"/>
  <c r="K66" i="5"/>
  <c r="L66" i="5" s="1"/>
  <c r="K67" i="5"/>
  <c r="L67" i="5" s="1"/>
  <c r="K68" i="5"/>
  <c r="L68" i="5" s="1"/>
  <c r="K2" i="4"/>
  <c r="M2" i="4" s="1"/>
  <c r="K3" i="4"/>
  <c r="M3" i="4" s="1"/>
  <c r="K4" i="4"/>
  <c r="M4" i="4" s="1"/>
  <c r="K5" i="4"/>
  <c r="L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L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L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L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L37" i="4" s="1"/>
  <c r="K38" i="4"/>
  <c r="L38" i="4" s="1"/>
  <c r="K39" i="4"/>
  <c r="M39" i="4" s="1"/>
  <c r="K40" i="4"/>
  <c r="M40" i="4" s="1"/>
  <c r="K41" i="4"/>
  <c r="M41" i="4" s="1"/>
  <c r="K42" i="4"/>
  <c r="M42" i="4" s="1"/>
  <c r="K43" i="4"/>
  <c r="M43" i="4" s="1"/>
  <c r="K44" i="4"/>
  <c r="M44" i="4" s="1"/>
  <c r="K45" i="4"/>
  <c r="L45" i="4" s="1"/>
  <c r="K46" i="4"/>
  <c r="L46" i="4" s="1"/>
  <c r="K47" i="4"/>
  <c r="M47" i="4" s="1"/>
  <c r="K48" i="4"/>
  <c r="M48" i="4" s="1"/>
  <c r="K49" i="4"/>
  <c r="M49" i="4" s="1"/>
  <c r="K50" i="4"/>
  <c r="M50" i="4" s="1"/>
  <c r="K51" i="4"/>
  <c r="M51" i="4" s="1"/>
  <c r="K52" i="4"/>
  <c r="M52" i="4" s="1"/>
  <c r="K53" i="4"/>
  <c r="L53" i="4" s="1"/>
  <c r="K54" i="4"/>
  <c r="L54" i="4" s="1"/>
  <c r="K55" i="4"/>
  <c r="M55" i="4" s="1"/>
  <c r="K56" i="4"/>
  <c r="M56" i="4" s="1"/>
  <c r="K57" i="4"/>
  <c r="M57" i="4" s="1"/>
  <c r="K58" i="4"/>
  <c r="M58" i="4" s="1"/>
  <c r="K59" i="4"/>
  <c r="M59" i="4" s="1"/>
  <c r="K60" i="4"/>
  <c r="M60" i="4" s="1"/>
  <c r="K61" i="4"/>
  <c r="L61" i="4" s="1"/>
  <c r="K62" i="4"/>
  <c r="L62" i="4" s="1"/>
  <c r="K63" i="4"/>
  <c r="M63" i="4" s="1"/>
  <c r="K64" i="4"/>
  <c r="M64" i="4" s="1"/>
  <c r="K65" i="4"/>
  <c r="M65" i="4" s="1"/>
  <c r="K66" i="4"/>
  <c r="M66" i="4" s="1"/>
  <c r="K67" i="4"/>
  <c r="M67" i="4" s="1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M8" i="3" s="1"/>
  <c r="K9" i="3"/>
  <c r="M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M16" i="3" s="1"/>
  <c r="K17" i="3"/>
  <c r="M17" i="3" s="1"/>
  <c r="K18" i="3"/>
  <c r="L18" i="3" s="1"/>
  <c r="K19" i="3"/>
  <c r="M19" i="3" s="1"/>
  <c r="K20" i="3"/>
  <c r="L20" i="3" s="1"/>
  <c r="K21" i="3"/>
  <c r="L21" i="3" s="1"/>
  <c r="K22" i="3"/>
  <c r="L22" i="3" s="1"/>
  <c r="K23" i="3"/>
  <c r="L23" i="3" s="1"/>
  <c r="K24" i="3"/>
  <c r="M24" i="3" s="1"/>
  <c r="K25" i="3"/>
  <c r="M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M32" i="3" s="1"/>
  <c r="K33" i="3"/>
  <c r="M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M40" i="3" s="1"/>
  <c r="K41" i="3"/>
  <c r="M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M48" i="3" s="1"/>
  <c r="K49" i="3"/>
  <c r="M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M56" i="3" s="1"/>
  <c r="L2" i="2"/>
  <c r="N2" i="2" s="1"/>
  <c r="L3" i="2"/>
  <c r="N3" i="2" s="1"/>
  <c r="L4" i="2"/>
  <c r="N4" i="2" s="1"/>
  <c r="L5" i="2"/>
  <c r="N5" i="2" s="1"/>
  <c r="L6" i="2"/>
  <c r="N6" i="2" s="1"/>
  <c r="L7" i="2"/>
  <c r="M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M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M23" i="2" s="1"/>
  <c r="L24" i="2"/>
  <c r="N24" i="2" s="1"/>
  <c r="L25" i="2"/>
  <c r="N25" i="2" s="1"/>
  <c r="L26" i="2"/>
  <c r="N26" i="2" s="1"/>
  <c r="L27" i="2"/>
  <c r="N27" i="2" s="1"/>
  <c r="L28" i="2"/>
  <c r="N28" i="2" s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M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M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M25" i="1" s="1"/>
  <c r="L26" i="1"/>
  <c r="N26" i="1" s="1"/>
  <c r="H69" i="5"/>
  <c r="F69" i="5"/>
  <c r="G9" i="6" s="1"/>
  <c r="C69" i="5"/>
  <c r="D9" i="6" s="1"/>
  <c r="J69" i="5"/>
  <c r="H68" i="4"/>
  <c r="F68" i="4"/>
  <c r="G8" i="6" s="1"/>
  <c r="C68" i="4"/>
  <c r="D8" i="6" s="1"/>
  <c r="J68" i="4"/>
  <c r="H57" i="3"/>
  <c r="C57" i="3"/>
  <c r="D7" i="6" s="1"/>
  <c r="F57" i="3"/>
  <c r="G7" i="6" s="1"/>
  <c r="J57" i="3"/>
  <c r="C29" i="2"/>
  <c r="D6" i="6" s="1"/>
  <c r="H29" i="2"/>
  <c r="F29" i="2"/>
  <c r="G6" i="6" s="1"/>
  <c r="K29" i="2"/>
  <c r="H27" i="1"/>
  <c r="C27" i="1"/>
  <c r="D5" i="6" s="1"/>
  <c r="F27" i="1"/>
  <c r="G5" i="6" s="1"/>
  <c r="K27" i="1"/>
  <c r="O29" i="3" l="1"/>
  <c r="Q29" i="3" s="1"/>
  <c r="O27" i="3"/>
  <c r="Q27" i="3" s="1"/>
  <c r="P14" i="3"/>
  <c r="P13" i="3"/>
  <c r="O45" i="3"/>
  <c r="Q45" i="3" s="1"/>
  <c r="P38" i="3"/>
  <c r="O43" i="3"/>
  <c r="Q43" i="3" s="1"/>
  <c r="P37" i="3"/>
  <c r="P6" i="3"/>
  <c r="L19" i="3"/>
  <c r="O11" i="3"/>
  <c r="Q11" i="3" s="1"/>
  <c r="P5" i="3"/>
  <c r="M30" i="3"/>
  <c r="P46" i="3"/>
  <c r="M14" i="3"/>
  <c r="Q25" i="2"/>
  <c r="Q21" i="2"/>
  <c r="Q13" i="2"/>
  <c r="P11" i="2"/>
  <c r="R11" i="2" s="1"/>
  <c r="O23" i="3"/>
  <c r="Q23" i="3" s="1"/>
  <c r="O54" i="3"/>
  <c r="Q54" i="3" s="1"/>
  <c r="O22" i="3"/>
  <c r="Q22" i="3" s="1"/>
  <c r="M11" i="3"/>
  <c r="O53" i="3"/>
  <c r="Q53" i="3" s="1"/>
  <c r="O21" i="3"/>
  <c r="Q21" i="3" s="1"/>
  <c r="P30" i="3"/>
  <c r="O55" i="3"/>
  <c r="Q55" i="3" s="1"/>
  <c r="O51" i="3"/>
  <c r="Q51" i="3" s="1"/>
  <c r="O35" i="3"/>
  <c r="Q35" i="3" s="1"/>
  <c r="O19" i="3"/>
  <c r="Q19" i="3" s="1"/>
  <c r="O3" i="3"/>
  <c r="Q3" i="3" s="1"/>
  <c r="O47" i="3"/>
  <c r="Q47" i="3" s="1"/>
  <c r="O31" i="3"/>
  <c r="Q31" i="3" s="1"/>
  <c r="O15" i="3"/>
  <c r="Q15" i="3" s="1"/>
  <c r="O39" i="3"/>
  <c r="Q39" i="3" s="1"/>
  <c r="O7" i="3"/>
  <c r="Q7" i="3" s="1"/>
  <c r="Q10" i="2"/>
  <c r="P19" i="2"/>
  <c r="R19" i="2" s="1"/>
  <c r="Q9" i="2"/>
  <c r="P27" i="2"/>
  <c r="R27" i="2" s="1"/>
  <c r="Q18" i="2"/>
  <c r="Q26" i="2"/>
  <c r="Q17" i="2"/>
  <c r="P3" i="2"/>
  <c r="R3" i="2" s="1"/>
  <c r="Q28" i="2"/>
  <c r="R27" i="1"/>
  <c r="P27" i="1"/>
  <c r="B14" i="6" s="1"/>
  <c r="Q19" i="1"/>
  <c r="O9" i="4"/>
  <c r="Q9" i="4" s="1"/>
  <c r="O57" i="4"/>
  <c r="Q57" i="4" s="1"/>
  <c r="P38" i="4"/>
  <c r="O49" i="4"/>
  <c r="Q49" i="4" s="1"/>
  <c r="O41" i="4"/>
  <c r="Q41" i="4" s="1"/>
  <c r="O33" i="4"/>
  <c r="Q33" i="4" s="1"/>
  <c r="O25" i="4"/>
  <c r="Q25" i="4" s="1"/>
  <c r="O17" i="4"/>
  <c r="Q17" i="4" s="1"/>
  <c r="P62" i="4"/>
  <c r="P54" i="4"/>
  <c r="O65" i="4"/>
  <c r="Q65" i="4" s="1"/>
  <c r="P46" i="4"/>
  <c r="Q11" i="1"/>
  <c r="Q25" i="1"/>
  <c r="Q17" i="1"/>
  <c r="Q9" i="1"/>
  <c r="Q24" i="1"/>
  <c r="Q16" i="1"/>
  <c r="Q8" i="1"/>
  <c r="Q3" i="1"/>
  <c r="Q18" i="1"/>
  <c r="Q10" i="1"/>
  <c r="Q23" i="1"/>
  <c r="Q15" i="1"/>
  <c r="Q7" i="1"/>
  <c r="Q26" i="1"/>
  <c r="Q2" i="1"/>
  <c r="Q22" i="1"/>
  <c r="Q14" i="1"/>
  <c r="Q6" i="1"/>
  <c r="Q21" i="1"/>
  <c r="Q13" i="1"/>
  <c r="Q5" i="1"/>
  <c r="Q20" i="1"/>
  <c r="Q12" i="1"/>
  <c r="Q4" i="1"/>
  <c r="Q23" i="2"/>
  <c r="Q15" i="2"/>
  <c r="Q7" i="2"/>
  <c r="Q22" i="2"/>
  <c r="Q14" i="2"/>
  <c r="Q6" i="2"/>
  <c r="Q5" i="2"/>
  <c r="P2" i="2"/>
  <c r="Q24" i="2"/>
  <c r="Q20" i="2"/>
  <c r="Q16" i="2"/>
  <c r="Q12" i="2"/>
  <c r="Q8" i="2"/>
  <c r="Q4" i="2"/>
  <c r="N23" i="2"/>
  <c r="M55" i="3"/>
  <c r="P52" i="3"/>
  <c r="P44" i="3"/>
  <c r="P36" i="3"/>
  <c r="P28" i="3"/>
  <c r="P20" i="3"/>
  <c r="P12" i="3"/>
  <c r="P4" i="3"/>
  <c r="M54" i="3"/>
  <c r="M3" i="3"/>
  <c r="M51" i="3"/>
  <c r="P50" i="3"/>
  <c r="P42" i="3"/>
  <c r="P34" i="3"/>
  <c r="P26" i="3"/>
  <c r="P18" i="3"/>
  <c r="P10" i="3"/>
  <c r="P2" i="3"/>
  <c r="M46" i="3"/>
  <c r="P49" i="3"/>
  <c r="P41" i="3"/>
  <c r="P33" i="3"/>
  <c r="P25" i="3"/>
  <c r="P17" i="3"/>
  <c r="P9" i="3"/>
  <c r="M35" i="3"/>
  <c r="P56" i="3"/>
  <c r="P48" i="3"/>
  <c r="P40" i="3"/>
  <c r="P32" i="3"/>
  <c r="P24" i="3"/>
  <c r="P16" i="3"/>
  <c r="P8" i="3"/>
  <c r="M31" i="3"/>
  <c r="L9" i="5"/>
  <c r="O65" i="5"/>
  <c r="Q65" i="5" s="1"/>
  <c r="O57" i="5"/>
  <c r="Q57" i="5" s="1"/>
  <c r="O49" i="5"/>
  <c r="Q49" i="5" s="1"/>
  <c r="O41" i="5"/>
  <c r="Q41" i="5" s="1"/>
  <c r="O33" i="5"/>
  <c r="Q33" i="5" s="1"/>
  <c r="O25" i="5"/>
  <c r="Q25" i="5" s="1"/>
  <c r="O17" i="5"/>
  <c r="Q17" i="5" s="1"/>
  <c r="O9" i="5"/>
  <c r="Q9" i="5" s="1"/>
  <c r="P63" i="5"/>
  <c r="P55" i="5"/>
  <c r="P47" i="5"/>
  <c r="P39" i="5"/>
  <c r="P31" i="5"/>
  <c r="P23" i="5"/>
  <c r="P15" i="5"/>
  <c r="P7" i="5"/>
  <c r="L55" i="5"/>
  <c r="M58" i="5"/>
  <c r="O64" i="5"/>
  <c r="Q64" i="5" s="1"/>
  <c r="O56" i="5"/>
  <c r="Q56" i="5" s="1"/>
  <c r="O48" i="5"/>
  <c r="Q48" i="5" s="1"/>
  <c r="O40" i="5"/>
  <c r="Q40" i="5" s="1"/>
  <c r="O32" i="5"/>
  <c r="Q32" i="5" s="1"/>
  <c r="O24" i="5"/>
  <c r="Q24" i="5" s="1"/>
  <c r="O16" i="5"/>
  <c r="O8" i="5"/>
  <c r="Q8" i="5" s="1"/>
  <c r="P62" i="5"/>
  <c r="P54" i="5"/>
  <c r="P46" i="5"/>
  <c r="P38" i="5"/>
  <c r="P30" i="5"/>
  <c r="P22" i="5"/>
  <c r="P14" i="5"/>
  <c r="P6" i="5"/>
  <c r="L49" i="5"/>
  <c r="M50" i="5"/>
  <c r="P61" i="5"/>
  <c r="P53" i="5"/>
  <c r="P45" i="5"/>
  <c r="P37" i="5"/>
  <c r="P29" i="5"/>
  <c r="P21" i="5"/>
  <c r="P13" i="5"/>
  <c r="P5" i="5"/>
  <c r="L47" i="5"/>
  <c r="M26" i="5"/>
  <c r="P68" i="5"/>
  <c r="P60" i="5"/>
  <c r="P52" i="5"/>
  <c r="P44" i="5"/>
  <c r="P36" i="5"/>
  <c r="P28" i="5"/>
  <c r="P20" i="5"/>
  <c r="P12" i="5"/>
  <c r="P4" i="5"/>
  <c r="L41" i="5"/>
  <c r="M18" i="5"/>
  <c r="P67" i="5"/>
  <c r="P59" i="5"/>
  <c r="P51" i="5"/>
  <c r="P43" i="5"/>
  <c r="P35" i="5"/>
  <c r="P27" i="5"/>
  <c r="P19" i="5"/>
  <c r="P11" i="5"/>
  <c r="P3" i="5"/>
  <c r="L23" i="5"/>
  <c r="P66" i="5"/>
  <c r="P58" i="5"/>
  <c r="P50" i="5"/>
  <c r="P42" i="5"/>
  <c r="P34" i="5"/>
  <c r="P26" i="5"/>
  <c r="P18" i="5"/>
  <c r="P10" i="5"/>
  <c r="P2" i="5"/>
  <c r="L17" i="5"/>
  <c r="L15" i="5"/>
  <c r="O63" i="4"/>
  <c r="Q63" i="4" s="1"/>
  <c r="O55" i="4"/>
  <c r="Q55" i="4" s="1"/>
  <c r="O47" i="4"/>
  <c r="Q47" i="4" s="1"/>
  <c r="O39" i="4"/>
  <c r="Q39" i="4" s="1"/>
  <c r="O31" i="4"/>
  <c r="Q31" i="4" s="1"/>
  <c r="O23" i="4"/>
  <c r="Q23" i="4" s="1"/>
  <c r="O15" i="4"/>
  <c r="Q15" i="4" s="1"/>
  <c r="O7" i="4"/>
  <c r="Q7" i="4" s="1"/>
  <c r="P67" i="4"/>
  <c r="P59" i="4"/>
  <c r="P51" i="4"/>
  <c r="P43" i="4"/>
  <c r="P35" i="4"/>
  <c r="P27" i="4"/>
  <c r="P19" i="4"/>
  <c r="P11" i="4"/>
  <c r="P3" i="4"/>
  <c r="O30" i="4"/>
  <c r="Q30" i="4" s="1"/>
  <c r="O22" i="4"/>
  <c r="Q22" i="4" s="1"/>
  <c r="O14" i="4"/>
  <c r="Q14" i="4" s="1"/>
  <c r="O6" i="4"/>
  <c r="Q6" i="4" s="1"/>
  <c r="P66" i="4"/>
  <c r="P58" i="4"/>
  <c r="P50" i="4"/>
  <c r="P42" i="4"/>
  <c r="P34" i="4"/>
  <c r="P26" i="4"/>
  <c r="P18" i="4"/>
  <c r="P10" i="4"/>
  <c r="P2" i="4"/>
  <c r="O61" i="4"/>
  <c r="Q61" i="4" s="1"/>
  <c r="O53" i="4"/>
  <c r="Q53" i="4" s="1"/>
  <c r="O45" i="4"/>
  <c r="Q45" i="4" s="1"/>
  <c r="O37" i="4"/>
  <c r="Q37" i="4" s="1"/>
  <c r="O29" i="4"/>
  <c r="Q29" i="4" s="1"/>
  <c r="O21" i="4"/>
  <c r="Q21" i="4" s="1"/>
  <c r="O13" i="4"/>
  <c r="Q13" i="4" s="1"/>
  <c r="O5" i="4"/>
  <c r="Q5" i="4" s="1"/>
  <c r="O60" i="4"/>
  <c r="Q60" i="4" s="1"/>
  <c r="O52" i="4"/>
  <c r="Q52" i="4" s="1"/>
  <c r="O44" i="4"/>
  <c r="Q44" i="4" s="1"/>
  <c r="O36" i="4"/>
  <c r="Q36" i="4" s="1"/>
  <c r="O28" i="4"/>
  <c r="Q28" i="4" s="1"/>
  <c r="O20" i="4"/>
  <c r="Q20" i="4" s="1"/>
  <c r="O12" i="4"/>
  <c r="Q12" i="4" s="1"/>
  <c r="O4" i="4"/>
  <c r="P64" i="4"/>
  <c r="P56" i="4"/>
  <c r="P48" i="4"/>
  <c r="P40" i="4"/>
  <c r="P32" i="4"/>
  <c r="P24" i="4"/>
  <c r="P16" i="4"/>
  <c r="P8" i="4"/>
  <c r="M52" i="5"/>
  <c r="M20" i="5"/>
  <c r="M12" i="5"/>
  <c r="M44" i="5"/>
  <c r="L39" i="5"/>
  <c r="L7" i="5"/>
  <c r="M42" i="5"/>
  <c r="M10" i="5"/>
  <c r="L65" i="5"/>
  <c r="L33" i="5"/>
  <c r="M68" i="5"/>
  <c r="M36" i="5"/>
  <c r="M4" i="5"/>
  <c r="L63" i="5"/>
  <c r="L31" i="5"/>
  <c r="M66" i="5"/>
  <c r="M34" i="5"/>
  <c r="M2" i="5"/>
  <c r="L57" i="5"/>
  <c r="L25" i="5"/>
  <c r="M60" i="5"/>
  <c r="M28" i="5"/>
  <c r="L30" i="4"/>
  <c r="L22" i="4"/>
  <c r="L14" i="4"/>
  <c r="L6" i="4"/>
  <c r="L40" i="3"/>
  <c r="M7" i="3"/>
  <c r="L56" i="3"/>
  <c r="L33" i="3"/>
  <c r="M47" i="3"/>
  <c r="M27" i="3"/>
  <c r="M6" i="3"/>
  <c r="L41" i="3"/>
  <c r="L32" i="3"/>
  <c r="M23" i="3"/>
  <c r="L49" i="3"/>
  <c r="L8" i="3"/>
  <c r="L57" i="3" s="1"/>
  <c r="C7" i="6" s="1"/>
  <c r="M43" i="3"/>
  <c r="M22" i="3"/>
  <c r="L17" i="3"/>
  <c r="L16" i="3"/>
  <c r="L9" i="3"/>
  <c r="L48" i="3"/>
  <c r="L25" i="3"/>
  <c r="M39" i="3"/>
  <c r="L24" i="3"/>
  <c r="M38" i="3"/>
  <c r="M15" i="3"/>
  <c r="N15" i="2"/>
  <c r="M25" i="2"/>
  <c r="N7" i="2"/>
  <c r="M22" i="2"/>
  <c r="M6" i="2"/>
  <c r="M17" i="2"/>
  <c r="M14" i="2"/>
  <c r="M9" i="2"/>
  <c r="M24" i="1"/>
  <c r="M16" i="1"/>
  <c r="M8" i="1"/>
  <c r="N25" i="1"/>
  <c r="N17" i="1"/>
  <c r="N9" i="1"/>
  <c r="L64" i="5"/>
  <c r="L56" i="5"/>
  <c r="L48" i="5"/>
  <c r="L40" i="5"/>
  <c r="L32" i="5"/>
  <c r="L24" i="5"/>
  <c r="L16" i="5"/>
  <c r="L8" i="5"/>
  <c r="M67" i="5"/>
  <c r="M59" i="5"/>
  <c r="M51" i="5"/>
  <c r="M43" i="5"/>
  <c r="M35" i="5"/>
  <c r="M27" i="5"/>
  <c r="M19" i="5"/>
  <c r="M11" i="5"/>
  <c r="M3" i="5"/>
  <c r="L62" i="5"/>
  <c r="L54" i="5"/>
  <c r="L46" i="5"/>
  <c r="L38" i="5"/>
  <c r="L30" i="5"/>
  <c r="L22" i="5"/>
  <c r="L14" i="5"/>
  <c r="L6" i="5"/>
  <c r="L61" i="5"/>
  <c r="L53" i="5"/>
  <c r="L45" i="5"/>
  <c r="L37" i="5"/>
  <c r="L29" i="5"/>
  <c r="L21" i="5"/>
  <c r="L13" i="5"/>
  <c r="L5" i="5"/>
  <c r="L60" i="4"/>
  <c r="L52" i="4"/>
  <c r="L44" i="4"/>
  <c r="L36" i="4"/>
  <c r="L28" i="4"/>
  <c r="L20" i="4"/>
  <c r="L12" i="4"/>
  <c r="L4" i="4"/>
  <c r="M62" i="4"/>
  <c r="M54" i="4"/>
  <c r="M46" i="4"/>
  <c r="M38" i="4"/>
  <c r="L67" i="4"/>
  <c r="L59" i="4"/>
  <c r="L51" i="4"/>
  <c r="L43" i="4"/>
  <c r="L35" i="4"/>
  <c r="L27" i="4"/>
  <c r="L19" i="4"/>
  <c r="L11" i="4"/>
  <c r="L3" i="4"/>
  <c r="M61" i="4"/>
  <c r="M53" i="4"/>
  <c r="M45" i="4"/>
  <c r="M37" i="4"/>
  <c r="M29" i="4"/>
  <c r="M21" i="4"/>
  <c r="M13" i="4"/>
  <c r="M5" i="4"/>
  <c r="L66" i="4"/>
  <c r="L58" i="4"/>
  <c r="L50" i="4"/>
  <c r="L42" i="4"/>
  <c r="L34" i="4"/>
  <c r="L26" i="4"/>
  <c r="L18" i="4"/>
  <c r="L10" i="4"/>
  <c r="L2" i="4"/>
  <c r="L65" i="4"/>
  <c r="L57" i="4"/>
  <c r="L49" i="4"/>
  <c r="L41" i="4"/>
  <c r="L33" i="4"/>
  <c r="L25" i="4"/>
  <c r="L17" i="4"/>
  <c r="L9" i="4"/>
  <c r="L64" i="4"/>
  <c r="L56" i="4"/>
  <c r="L48" i="4"/>
  <c r="L40" i="4"/>
  <c r="L32" i="4"/>
  <c r="L24" i="4"/>
  <c r="L16" i="4"/>
  <c r="L8" i="4"/>
  <c r="L63" i="4"/>
  <c r="L55" i="4"/>
  <c r="L47" i="4"/>
  <c r="L39" i="4"/>
  <c r="L31" i="4"/>
  <c r="L23" i="4"/>
  <c r="L15" i="4"/>
  <c r="L7" i="4"/>
  <c r="M53" i="3"/>
  <c r="M45" i="3"/>
  <c r="M37" i="3"/>
  <c r="M29" i="3"/>
  <c r="M21" i="3"/>
  <c r="M13" i="3"/>
  <c r="M5" i="3"/>
  <c r="M52" i="3"/>
  <c r="M44" i="3"/>
  <c r="M36" i="3"/>
  <c r="M28" i="3"/>
  <c r="M20" i="3"/>
  <c r="M12" i="3"/>
  <c r="M4" i="3"/>
  <c r="M50" i="3"/>
  <c r="M42" i="3"/>
  <c r="M34" i="3"/>
  <c r="M26" i="3"/>
  <c r="M18" i="3"/>
  <c r="M10" i="3"/>
  <c r="M2" i="3"/>
  <c r="M21" i="2"/>
  <c r="M13" i="2"/>
  <c r="M5" i="2"/>
  <c r="M28" i="2"/>
  <c r="M20" i="2"/>
  <c r="M12" i="2"/>
  <c r="M4" i="2"/>
  <c r="M27" i="2"/>
  <c r="M19" i="2"/>
  <c r="M11" i="2"/>
  <c r="M3" i="2"/>
  <c r="M26" i="2"/>
  <c r="M18" i="2"/>
  <c r="M10" i="2"/>
  <c r="M2" i="2"/>
  <c r="M24" i="2"/>
  <c r="M16" i="2"/>
  <c r="M8" i="2"/>
  <c r="M23" i="1"/>
  <c r="M15" i="1"/>
  <c r="M7" i="1"/>
  <c r="M22" i="1"/>
  <c r="M14" i="1"/>
  <c r="M6" i="1"/>
  <c r="M21" i="1"/>
  <c r="M13" i="1"/>
  <c r="M5" i="1"/>
  <c r="M20" i="1"/>
  <c r="M12" i="1"/>
  <c r="M4" i="1"/>
  <c r="M19" i="1"/>
  <c r="M11" i="1"/>
  <c r="M3" i="1"/>
  <c r="M26" i="1"/>
  <c r="M18" i="1"/>
  <c r="M10" i="1"/>
  <c r="M2" i="1"/>
  <c r="N27" i="1" l="1"/>
  <c r="B5" i="6" s="1"/>
  <c r="Q57" i="3"/>
  <c r="O57" i="3"/>
  <c r="B16" i="6" s="1"/>
  <c r="Q29" i="2"/>
  <c r="P29" i="2"/>
  <c r="B15" i="6" s="1"/>
  <c r="R2" i="2"/>
  <c r="R29" i="2" s="1"/>
  <c r="C14" i="6"/>
  <c r="O69" i="5"/>
  <c r="B18" i="6" s="1"/>
  <c r="Q16" i="5"/>
  <c r="Q69" i="5" s="1"/>
  <c r="O68" i="4"/>
  <c r="B17" i="6" s="1"/>
  <c r="Q4" i="4"/>
  <c r="Q68" i="4" s="1"/>
  <c r="Q27" i="1"/>
  <c r="N29" i="2"/>
  <c r="B6" i="6" s="1"/>
  <c r="P57" i="3"/>
  <c r="L69" i="5"/>
  <c r="C9" i="6" s="1"/>
  <c r="P69" i="5"/>
  <c r="P68" i="4"/>
  <c r="M68" i="4"/>
  <c r="B8" i="6" s="1"/>
  <c r="M57" i="3"/>
  <c r="B7" i="6" s="1"/>
  <c r="M69" i="5"/>
  <c r="B9" i="6" s="1"/>
  <c r="L68" i="4"/>
  <c r="C8" i="6" s="1"/>
  <c r="M29" i="2"/>
  <c r="C6" i="6" s="1"/>
  <c r="M27" i="1"/>
  <c r="C5" i="6" s="1"/>
  <c r="C16" i="6" l="1"/>
  <c r="C15" i="6"/>
  <c r="C18" i="6"/>
  <c r="C17" i="6"/>
</calcChain>
</file>

<file path=xl/sharedStrings.xml><?xml version="1.0" encoding="utf-8"?>
<sst xmlns="http://schemas.openxmlformats.org/spreadsheetml/2006/main" count="1662" uniqueCount="268">
  <si>
    <t>Andrade, Ivan</t>
  </si>
  <si>
    <t>MOZ</t>
  </si>
  <si>
    <t>M</t>
  </si>
  <si>
    <t>i</t>
  </si>
  <si>
    <t>Alice, Mateus Felizardo Viageiro</t>
  </si>
  <si>
    <t>M   FM        FA,FI</t>
  </si>
  <si>
    <t>Calicoca, Wilton Inacio</t>
  </si>
  <si>
    <t>M   CM</t>
  </si>
  <si>
    <t>Paiva, Donaldo</t>
  </si>
  <si>
    <t>Maia, Mariano Tesoura De</t>
  </si>
  <si>
    <t>Chunguane, Ilidio Alberto</t>
  </si>
  <si>
    <t>Chambule, Pedro Lucas</t>
  </si>
  <si>
    <t>Abrantes, Persson</t>
  </si>
  <si>
    <t>Cossa, Pedro Ventura</t>
  </si>
  <si>
    <t>Botao Milton</t>
  </si>
  <si>
    <t>Vilhete, Vania Fausto Da T.</t>
  </si>
  <si>
    <t>F   WIM  WIM  FI</t>
  </si>
  <si>
    <t>w</t>
  </si>
  <si>
    <t>Sande, Avertino</t>
  </si>
  <si>
    <t>Belmiro Mendes Mahota</t>
  </si>
  <si>
    <t>Namaela, Malena Cidalia Rafael</t>
  </si>
  <si>
    <t>F</t>
  </si>
  <si>
    <t>wi</t>
  </si>
  <si>
    <t>Mahota, Josefa Mendes Lucas</t>
  </si>
  <si>
    <t>Vasco Mateus Felizardo Viageiro</t>
  </si>
  <si>
    <t>Silva, Jesse Mitchel</t>
  </si>
  <si>
    <t>Curia Joana</t>
  </si>
  <si>
    <t>Tivane, Graca Da Felecidade Kuma</t>
  </si>
  <si>
    <t>Castro, Neusa Aridas De</t>
  </si>
  <si>
    <t>F   WCM  WCM</t>
  </si>
  <si>
    <t>Malenda, Ana</t>
  </si>
  <si>
    <t>Ossifo Maria</t>
  </si>
  <si>
    <t>Farnela, Nuzela Zacarias Musindo</t>
  </si>
  <si>
    <t>Tchabana, Alice Eliseu</t>
  </si>
  <si>
    <t>Admira Antonio</t>
  </si>
  <si>
    <t>M             NI</t>
  </si>
  <si>
    <t>Hayssan Abdul Arnaldo Afu</t>
  </si>
  <si>
    <t>Sitoe Sheila</t>
  </si>
  <si>
    <t>Afu, Rachid Abdul Arnaldo</t>
  </si>
  <si>
    <t>Brumo, Marques Victor Brigida</t>
  </si>
  <si>
    <t>M   FM        NI</t>
  </si>
  <si>
    <t>Celso Andre Manjate</t>
  </si>
  <si>
    <t>Cherene, Joao Jefu</t>
  </si>
  <si>
    <t>Chitlhango, Idelmiro Salomao</t>
  </si>
  <si>
    <t>Danca, Pedro Alson Bernardo</t>
  </si>
  <si>
    <t>Duarte, Madalena</t>
  </si>
  <si>
    <t>Efentakis Theodora</t>
  </si>
  <si>
    <t>Efentakis, Katina</t>
  </si>
  <si>
    <t>Gafar, Izdine</t>
  </si>
  <si>
    <t>Gilberto Gil Uamusse</t>
  </si>
  <si>
    <t>Hedrice Mario Sande</t>
  </si>
  <si>
    <t>Idalmish Rufino Andre</t>
  </si>
  <si>
    <t>Jamal, Hamid Harmon Gulamo</t>
  </si>
  <si>
    <t>Jefo, Suzete Vicente</t>
  </si>
  <si>
    <t>Joao Farisse</t>
  </si>
  <si>
    <t>Kiluva Duarte Biquiza</t>
  </si>
  <si>
    <t>Langa, Mario Emerson</t>
  </si>
  <si>
    <t>Mabote, Sa Adolfo</t>
  </si>
  <si>
    <t>Macuacua, Marcos Simao</t>
  </si>
  <si>
    <t>Mahota Jr, Guimaraes Mendes</t>
  </si>
  <si>
    <t>M             FI</t>
  </si>
  <si>
    <t>Massungue, Osvaldo</t>
  </si>
  <si>
    <t>Naira Sinoia</t>
  </si>
  <si>
    <t>Napoleao, Lourenco</t>
  </si>
  <si>
    <t>Poyiatzis,Alexandros Michali Ribeiro e Silva</t>
  </si>
  <si>
    <t>Rafael Chirinza</t>
  </si>
  <si>
    <t>Sitoe, Cheila Andre</t>
  </si>
  <si>
    <t>Sitoe, Sheila</t>
  </si>
  <si>
    <t>F   WIM  WIM</t>
  </si>
  <si>
    <t>Zavala, Fernando</t>
  </si>
  <si>
    <t>ID Number</t>
  </si>
  <si>
    <t>Name</t>
  </si>
  <si>
    <t>Fed</t>
  </si>
  <si>
    <t>Sex Tit  WTit OTit</t>
  </si>
  <si>
    <t>FOA DEC19</t>
  </si>
  <si>
    <t>Gms</t>
  </si>
  <si>
    <t>K</t>
  </si>
  <si>
    <t>B-day</t>
  </si>
  <si>
    <t>Flag</t>
  </si>
  <si>
    <t>Abdul Remane</t>
  </si>
  <si>
    <t>Adriano Tirano Walate</t>
  </si>
  <si>
    <t>Alvaro, Julinho Henriques</t>
  </si>
  <si>
    <t>Andre, Leidy Rufino</t>
  </si>
  <si>
    <t>Antonio Junior Mandava</t>
  </si>
  <si>
    <t>Como, Carlos Augusto</t>
  </si>
  <si>
    <t>Iradna Matimbe</t>
  </si>
  <si>
    <t>Jefu, Alex Laitone</t>
  </si>
  <si>
    <t>Mauride, Valdo Sinoia</t>
  </si>
  <si>
    <t>Mutumane Carlos</t>
  </si>
  <si>
    <t>Viola, Napoleao D Henriques</t>
  </si>
  <si>
    <t>FOA NOV20</t>
  </si>
  <si>
    <t>M   FM</t>
  </si>
  <si>
    <t>Matequenha, Francisco</t>
  </si>
  <si>
    <t>Year</t>
  </si>
  <si>
    <t>Liga</t>
  </si>
  <si>
    <t>A</t>
  </si>
  <si>
    <t>B</t>
  </si>
  <si>
    <t>Senior Femenino</t>
  </si>
  <si>
    <t>Senior F</t>
  </si>
  <si>
    <t>Total</t>
  </si>
  <si>
    <t>Ano</t>
  </si>
  <si>
    <t>Atletas Registrados Na Fide</t>
  </si>
  <si>
    <t>Sexo</t>
  </si>
  <si>
    <t>Masculino</t>
  </si>
  <si>
    <t>Feminino</t>
  </si>
  <si>
    <t>Idade</t>
  </si>
  <si>
    <t>Juniores</t>
  </si>
  <si>
    <t>Seniores</t>
  </si>
  <si>
    <t>Rating Juniores</t>
  </si>
  <si>
    <t>Arbitros</t>
  </si>
  <si>
    <t>Treinadores</t>
  </si>
  <si>
    <t>Feminino
(Total)</t>
  </si>
  <si>
    <t>Masculino
(Total)</t>
  </si>
  <si>
    <t>Rating Geral
(Média)</t>
  </si>
  <si>
    <t>Rating Top 10
(Média)</t>
  </si>
  <si>
    <t>Feminos Top 10
(Média)</t>
  </si>
  <si>
    <t>Nr Atletas
(Total)</t>
  </si>
  <si>
    <t>Rating
(Total)</t>
  </si>
  <si>
    <t>FOA SRtng</t>
  </si>
  <si>
    <t>SGm</t>
  </si>
  <si>
    <t>SK</t>
  </si>
  <si>
    <t>RRtng</t>
  </si>
  <si>
    <t>RGm</t>
  </si>
  <si>
    <t>Rk BRtng BGm BK</t>
  </si>
  <si>
    <t>20 2005  0   20</t>
  </si>
  <si>
    <t>Adamo, Virgilia Herculano</t>
  </si>
  <si>
    <t>Akeelah Dabula</t>
  </si>
  <si>
    <t>Alberto, Nelinho Candido</t>
  </si>
  <si>
    <t>Alexandre Jr, Armindo</t>
  </si>
  <si>
    <t>Ali, Sinoia Mauride</t>
  </si>
  <si>
    <t>20 2189  0   20</t>
  </si>
  <si>
    <t>Alsenio B. Luis</t>
  </si>
  <si>
    <t>Amy Francisca Constantino</t>
  </si>
  <si>
    <t>Andelo Armindo Macanja</t>
  </si>
  <si>
    <t>Andrea Lopes</t>
  </si>
  <si>
    <t>Angelica Leonardo Macitela</t>
  </si>
  <si>
    <t>Ariana Franca Kon</t>
  </si>
  <si>
    <t>Ateneia Adriano</t>
  </si>
  <si>
    <t>BAPTISTA SEIXAS ZEFANIAS MATULA</t>
  </si>
  <si>
    <t>20 1592  0   20</t>
  </si>
  <si>
    <t>Bernardo, Arlindo</t>
  </si>
  <si>
    <t>Biquiza, Kiluva Duarte</t>
  </si>
  <si>
    <t>20 1961  0   20</t>
  </si>
  <si>
    <t>Botao, Aline Kiara</t>
  </si>
  <si>
    <t>Botao, Edwin Nairo</t>
  </si>
  <si>
    <t>Bulande, Bento</t>
  </si>
  <si>
    <t>Carlos Isac Silva</t>
  </si>
  <si>
    <t>Carlos Manuel</t>
  </si>
  <si>
    <t>Carmen Jeny Carsane</t>
  </si>
  <si>
    <t>Casimiro Gerente</t>
  </si>
  <si>
    <t>1461  0   20</t>
  </si>
  <si>
    <t>Cesario Angelino Micas Machava</t>
  </si>
  <si>
    <t>Chantel Alexandre Fondo</t>
  </si>
  <si>
    <t>Chavana, Yanic Feliciana</t>
  </si>
  <si>
    <t>Chilp da Ilda Joao</t>
  </si>
  <si>
    <t>Chirindza, Elvito Orlando</t>
  </si>
  <si>
    <t>Da Graca, Maria Joaquina</t>
  </si>
  <si>
    <t>Damiao, Jose Jorge</t>
  </si>
  <si>
    <t>Danca, Bernardo Joao</t>
  </si>
  <si>
    <t>Daniel Andre Zandamela Massango</t>
  </si>
  <si>
    <t>De Deus, Gilberto</t>
  </si>
  <si>
    <t>Denise Balane</t>
  </si>
  <si>
    <t>Dilan de Jesus Macie</t>
  </si>
  <si>
    <t>Dionisio Antonio Mariano</t>
  </si>
  <si>
    <t>Divalson Jose macuacua</t>
  </si>
  <si>
    <t>Domingos Filipe Andrade</t>
  </si>
  <si>
    <t>Edilson Guirengane</t>
  </si>
  <si>
    <t>Egidio Celso Chivambo</t>
  </si>
  <si>
    <t>Eline Jaime</t>
  </si>
  <si>
    <t>Elvis Chivavele</t>
  </si>
  <si>
    <t>Emilton Alexandre</t>
  </si>
  <si>
    <t>Emmanuel de Marques Mondlane Mavalale Malua</t>
  </si>
  <si>
    <t>Euler Salomao</t>
  </si>
  <si>
    <t>Fernanda Manuela Tondo</t>
  </si>
  <si>
    <t>Fernando Julio Batissone</t>
  </si>
  <si>
    <t>Fernando Zacarias Cau</t>
  </si>
  <si>
    <t>Foliche Armindo</t>
  </si>
  <si>
    <t>Fyra Andre Sechene</t>
  </si>
  <si>
    <t>Gabriela Evaristo Riane</t>
  </si>
  <si>
    <t>Garrafao,Jaime Francisco</t>
  </si>
  <si>
    <t>Gaspar, Mariamo Joao</t>
  </si>
  <si>
    <t>Gil, Armando Augusto</t>
  </si>
  <si>
    <t>Gloria Louis Mondlhane</t>
  </si>
  <si>
    <t>Gustavo, Filipe Francisco</t>
  </si>
  <si>
    <t>haiden Rogerio Ngulela</t>
  </si>
  <si>
    <t>Helder Macuacua</t>
  </si>
  <si>
    <t>Helena Nelson Guivale</t>
  </si>
  <si>
    <t>Helio Estevao Namaja</t>
  </si>
  <si>
    <t>Ibraimo, Amad Sadique</t>
  </si>
  <si>
    <t>Inacio Paulino Sousa Sunza</t>
  </si>
  <si>
    <t>Ismael Chirombo Cordar</t>
  </si>
  <si>
    <t>Jan Kruger</t>
  </si>
  <si>
    <t>Jesse Kruger</t>
  </si>
  <si>
    <t>Jo-Anne Neil</t>
  </si>
  <si>
    <t>Joao Paulo Juliasse Malemia</t>
  </si>
  <si>
    <t>Joao Sabonete Sobrinho Andrade Junior</t>
  </si>
  <si>
    <t>Joao Victor Paulino</t>
  </si>
  <si>
    <t>Jordao Matavele</t>
  </si>
  <si>
    <t>Jubilio Alberto Mahassule</t>
  </si>
  <si>
    <t>Junior, Moises</t>
  </si>
  <si>
    <t>Kaluany de Jesus Bango</t>
  </si>
  <si>
    <t>Kelven Tamela</t>
  </si>
  <si>
    <t>Kiara Langa</t>
  </si>
  <si>
    <t>Langa, Antonio Andre</t>
  </si>
  <si>
    <t>Langa, Domingos</t>
  </si>
  <si>
    <t>Leonildo Patricio Bernardo Danca</t>
  </si>
  <si>
    <t>Luna Suelley Sigauque Buene</t>
  </si>
  <si>
    <t>Luveve, Sergio Luis</t>
  </si>
  <si>
    <t>Mabunda, Winner Maria</t>
  </si>
  <si>
    <t>Machirica, Rodolfo Brito</t>
  </si>
  <si>
    <t>Maganha Joao Verniz</t>
  </si>
  <si>
    <t>1740  0   20</t>
  </si>
  <si>
    <t>Mairosse, Maira M.</t>
  </si>
  <si>
    <t>Malaige, Antonio Alberto</t>
  </si>
  <si>
    <t>M             IA</t>
  </si>
  <si>
    <t>Maluleque, Edmundo</t>
  </si>
  <si>
    <t>Manane Jose</t>
  </si>
  <si>
    <t>Manjate, Gil Filipe</t>
  </si>
  <si>
    <t>Manuel Antonio Jemusse</t>
  </si>
  <si>
    <t>Mariano, Gerson</t>
  </si>
  <si>
    <t>Mariterry Mac dos Santos</t>
  </si>
  <si>
    <t>Massave, Ercilio</t>
  </si>
  <si>
    <t>Massimbe, Felizardo Ntswambeni</t>
  </si>
  <si>
    <t>1633  0   20</t>
  </si>
  <si>
    <t>Matos Sande Oscar</t>
  </si>
  <si>
    <t>Mazembe, Cidalia</t>
  </si>
  <si>
    <t>Melvin David Zandamela</t>
  </si>
  <si>
    <t>Milikely Wendy Santaca Matuce</t>
  </si>
  <si>
    <t>Moises, Adriano dos Santos</t>
  </si>
  <si>
    <t>Munguambe, Liandy</t>
  </si>
  <si>
    <t>Mya Emilia Constantino</t>
  </si>
  <si>
    <t>Naira Adelino Paruma</t>
  </si>
  <si>
    <t>Naira Sitoi</t>
  </si>
  <si>
    <t>Nash de Melo</t>
  </si>
  <si>
    <t>Neima da Telsa Emidio</t>
  </si>
  <si>
    <t>Nhacula, Orlando</t>
  </si>
  <si>
    <t>1908  0   20</t>
  </si>
  <si>
    <t>Nhavoto, Paulo</t>
  </si>
  <si>
    <t>Nkanda, Michell</t>
  </si>
  <si>
    <t>20 2269  0   20</t>
  </si>
  <si>
    <t>Palorio Paulo Cuco</t>
  </si>
  <si>
    <t>Panhassy Mutequia</t>
  </si>
  <si>
    <t>Paulino David Amoda</t>
  </si>
  <si>
    <t>Pedro Francisco Madengo</t>
  </si>
  <si>
    <t>Pier Hugo Muianga</t>
  </si>
  <si>
    <t>Pinto Alves Manhica</t>
  </si>
  <si>
    <t>20 1530  0   20</t>
  </si>
  <si>
    <t>Rocadia Aires Dos Nascimentos</t>
  </si>
  <si>
    <t>Salela, Cesar</t>
  </si>
  <si>
    <t>Salvador Macuacua</t>
  </si>
  <si>
    <t>Serrao, Adilson</t>
  </si>
  <si>
    <t>Sneips Feliciana Chavana</t>
  </si>
  <si>
    <t>Soca, Roberto Tiago</t>
  </si>
  <si>
    <t>M             FA</t>
  </si>
  <si>
    <t>Sousa, Nelson Paulino</t>
  </si>
  <si>
    <t>Stilia I.A.Santos</t>
  </si>
  <si>
    <t>Sunguiyama, Alvaro Khan</t>
  </si>
  <si>
    <t>Taibo, Harrison</t>
  </si>
  <si>
    <t>Taremba, Edson</t>
  </si>
  <si>
    <t>Telmino Z.Vilanculos</t>
  </si>
  <si>
    <t>Theo Pietro Jeremias Joao</t>
  </si>
  <si>
    <t>Tivane Oluwashina</t>
  </si>
  <si>
    <t>Vanisio Samuel</t>
  </si>
  <si>
    <t>Vaughn Paul Soares Simango</t>
  </si>
  <si>
    <t>Vicente, Custodio</t>
  </si>
  <si>
    <t>20 1704  0   20</t>
  </si>
  <si>
    <t>Xavier Zandamela</t>
  </si>
  <si>
    <t>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</si>
</sst>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2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0" fontId="2" fillId="0" borderId="6" xfId="0" applyFont="1" applyFill="1" applyBorder="1"/>
    <xf numFmtId="1" fontId="0" fillId="0" borderId="6" xfId="0" applyNumberFormat="1" applyFill="1" applyBorder="1" applyAlignment="1">
      <alignment horizontal="center"/>
    </xf>
    <xf numFmtId="0" fontId="2" fillId="0" borderId="3" xfId="0" applyFont="1" applyFill="1" applyBorder="1"/>
    <xf numFmtId="1" fontId="0" fillId="0" borderId="3" xfId="0" applyNumberForma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/>
    <xf numFmtId="0" fontId="0" fillId="3" borderId="7" xfId="0" applyFill="1" applyBorder="1"/>
    <xf numFmtId="0" fontId="0" fillId="0" borderId="7" xfId="0" applyBorder="1"/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8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11E6BA-DC3D-4B7F-8DA6-5DE2C58DA90D}" name="Tabela38" displayName="Tabela38" ref="A1:L199" totalsRowCount="1" headerRowDxfId="81" dataDxfId="79" headerRowBorderDxfId="80" tableBorderDxfId="78" totalsRowBorderDxfId="77">
  <autoFilter ref="A1:L198" xr:uid="{E08A5286-54FB-497D-A19A-ACFDB78D6332}"/>
  <sortState xmlns:xlrd2="http://schemas.microsoft.com/office/spreadsheetml/2017/richdata2" ref="A2:L198">
    <sortCondition descending="1" ref="E1:E198"/>
  </sortState>
  <tableColumns count="12">
    <tableColumn id="1" xr3:uid="{28266828-A562-4A58-BE9C-5AB0F07256A1}" name="ID Number" totalsRowLabel="Total" dataDxfId="76" totalsRowDxfId="75"/>
    <tableColumn id="2" xr3:uid="{285B8955-E8B8-4718-B41A-98D0869F490E}" name="Name" dataDxfId="74" totalsRowDxfId="73"/>
    <tableColumn id="3" xr3:uid="{226904CB-BBD4-48D5-A9F6-B6D9D7CFAB12}" name="Fed" dataDxfId="72" totalsRowDxfId="71"/>
    <tableColumn id="4" xr3:uid="{8EE316A9-BD8C-4EF9-9BF1-84435CD9EDB2}" name="Sex Tit  WTit OTit" totalsRowFunction="count" dataDxfId="70" totalsRowDxfId="69"/>
    <tableColumn id="5" xr3:uid="{233B2049-2CEC-48D1-B300-C9192313FCF5}" name="FOA SRtng" totalsRowFunction="count" dataDxfId="68" totalsRowDxfId="67"/>
    <tableColumn id="6" xr3:uid="{2E201DE6-4E97-4256-BEEF-362DAB961230}" name="SGm" dataDxfId="66" totalsRowDxfId="65"/>
    <tableColumn id="7" xr3:uid="{D5147020-E692-40E7-95E4-EA586A542E2A}" name="SK" dataDxfId="64" totalsRowDxfId="63"/>
    <tableColumn id="8" xr3:uid="{A94F5174-C8DF-4BA5-9FFE-88AB120C6134}" name="RRtng" dataDxfId="62" totalsRowDxfId="61"/>
    <tableColumn id="9" xr3:uid="{08E3E987-6B1D-45C1-B68F-E8EEF443F537}" name="RGm" dataDxfId="60" totalsRowDxfId="59"/>
    <tableColumn id="10" xr3:uid="{1A78F47B-4414-4330-808B-5F80B2C8D2C4}" name="Rk BRtng BGm BK" dataDxfId="58" totalsRowDxfId="57"/>
    <tableColumn id="11" xr3:uid="{C6249800-A83C-49DC-8D75-B47345E73245}" name="B-day" dataDxfId="56" totalsRowDxfId="55"/>
    <tableColumn id="12" xr3:uid="{C6868757-1D47-45C7-A76B-530E5718253F}" name="Flag" dataDxfId="54" totalsRow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11739E-0A36-4598-A5E8-02FDD04FD7C6}" name="Tabela1" displayName="Tabela1" ref="A1:R27" totalsRowCount="1">
  <autoFilter ref="A1:R26" xr:uid="{C0202270-4FF4-4F8F-A49D-68826B21647C}"/>
  <sortState xmlns:xlrd2="http://schemas.microsoft.com/office/spreadsheetml/2017/richdata2" ref="A2:J26">
    <sortCondition descending="1" ref="F1:F26"/>
  </sortState>
  <tableColumns count="18">
    <tableColumn id="1" xr3:uid="{DBF1D2FE-CA82-45EF-A1A4-B592A86F5AD6}" name="Year" totalsRowLabel="Total"/>
    <tableColumn id="2" xr3:uid="{1C5AB98F-8A6B-40B0-B573-8925B212BC74}" name="ID Number"/>
    <tableColumn id="3" xr3:uid="{8F06355C-980B-4705-9F7D-A8AEB6BFA44B}" name="Name" totalsRowFunction="count"/>
    <tableColumn id="4" xr3:uid="{4EE0D399-C0BF-4044-A443-68F77867D8BC}" name="Fed"/>
    <tableColumn id="5" xr3:uid="{4DCEDA4F-5264-45E8-A871-23AEA3FD6380}" name="Sex Tit  WTit OTit"/>
    <tableColumn id="6" xr3:uid="{3CE97F61-3A62-48EA-9808-D42D230F36BC}" name="FOA DEC19" totalsRowFunction="average" totalsRowDxfId="52"/>
    <tableColumn id="7" xr3:uid="{9A6E1C5C-6614-41D7-99BF-067EA4D4BB8D}" name="Gms"/>
    <tableColumn id="8" xr3:uid="{CFAF48C6-A1AE-4218-804C-058147341439}" name="K" totalsRowFunction="average" totalsRowDxfId="51"/>
    <tableColumn id="9" xr3:uid="{D82EA978-C9F2-4853-A293-C18ECEEB348E}" name="B-day"/>
    <tableColumn id="10" xr3:uid="{9EBB896E-3BDA-4D2B-BB20-F586677AF736}" name="Flag"/>
    <tableColumn id="11" xr3:uid="{188C8A05-8473-42BB-B4C1-51756700CC9C}" name="Liga" totalsRowFunction="count"/>
    <tableColumn id="12" xr3:uid="{6ED0B3CE-D9CE-40B7-A514-A2D7665A5FF1}" name="Sexo" dataDxfId="50">
      <calculatedColumnFormula>LEFT(Tabela1[[#This Row],[Sex Tit  WTit OTit]],1)</calculatedColumnFormula>
    </tableColumn>
    <tableColumn id="13" xr3:uid="{6D758605-3F37-40BD-8DF8-3A1D1BDB940C}" name="Masculino" totalsRowFunction="sum" dataDxfId="49">
      <calculatedColumnFormula>IF(Tabela1[[#This Row],[Sexo]]="M",1,0)</calculatedColumnFormula>
    </tableColumn>
    <tableColumn id="14" xr3:uid="{21D78B7F-8F01-4F83-B1D7-57A7B7496BFB}" name="Feminino" totalsRowFunction="sum" dataDxfId="48">
      <calculatedColumnFormula>IF(Tabela1[[#This Row],[Sexo]]="F",1,0)</calculatedColumnFormula>
    </tableColumn>
    <tableColumn id="15" xr3:uid="{0B44683A-94C1-4BE4-97D4-8EFF371CCD36}" name="Idade" dataDxfId="47">
      <calculatedColumnFormula>2016-Tabela1[[#This Row],[B-day]]</calculatedColumnFormula>
    </tableColumn>
    <tableColumn id="16" xr3:uid="{0B0F9769-3F5A-4E0E-AD24-1D68576BDC32}" name="Juniores" totalsRowFunction="sum" dataDxfId="46">
      <calculatedColumnFormula>IF(Tabela1[[#This Row],[Idade]]&lt;21,1,0)</calculatedColumnFormula>
    </tableColumn>
    <tableColumn id="17" xr3:uid="{B4BE9ECF-BA78-4916-A0A2-3D9FFDDF75E1}" name="Seniores" totalsRowFunction="sum" dataDxfId="45">
      <calculatedColumnFormula>IF(Tabela1[[#This Row],[Idade]]&gt;20,1,0)</calculatedColumnFormula>
    </tableColumn>
    <tableColumn id="18" xr3:uid="{58AD9882-65AA-49EB-BD5A-1DB7DECA1FF1}" name="Rating Juniores" totalsRowFunction="sum" dataDxfId="44">
      <calculatedColumnFormula>IF(Tabela1[[#This Row],[Juniores]]=1,Tabela1[[#This Row],[B-day]],0)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877D46-B355-430A-9930-320788C9EFDE}" name="Tabela2" displayName="Tabela2" ref="A1:R29" totalsRowCount="1" headerRowDxfId="43" headerRowBorderDxfId="42" tableBorderDxfId="41">
  <autoFilter ref="A1:R28" xr:uid="{84E3307B-8BF2-4665-8C9C-F902EA9902A2}"/>
  <sortState xmlns:xlrd2="http://schemas.microsoft.com/office/spreadsheetml/2017/richdata2" ref="A2:J28">
    <sortCondition descending="1" ref="F1:F28"/>
  </sortState>
  <tableColumns count="18">
    <tableColumn id="1" xr3:uid="{6E58AC0F-B84E-4926-8258-B504E8AC69A8}" name="Year" totalsRowLabel="Total"/>
    <tableColumn id="2" xr3:uid="{A09198F0-A012-46CE-A06F-8EDA05A9AB94}" name="ID Number"/>
    <tableColumn id="3" xr3:uid="{D00DD6F0-0123-4024-AFDE-E76C1B55D91D}" name="Name" totalsRowFunction="count"/>
    <tableColumn id="4" xr3:uid="{5DC4139D-BE46-40A2-9C5E-372EF88F3F9C}" name="Fed"/>
    <tableColumn id="5" xr3:uid="{6C3DCD3F-3759-4CE4-B0C2-0C87B1E43694}" name="Sex Tit  WTit OTit"/>
    <tableColumn id="6" xr3:uid="{85FF3F1E-BC2D-4B53-BF00-695600F147C1}" name="FOA DEC19" totalsRowFunction="average" totalsRowDxfId="40"/>
    <tableColumn id="7" xr3:uid="{A35EB56D-5B6E-4227-8635-92C243FA6A4D}" name="Gms"/>
    <tableColumn id="8" xr3:uid="{5024DF2D-7FF5-413C-9D47-7B9FF2DB32BD}" name="K" totalsRowFunction="average" totalsRowDxfId="39"/>
    <tableColumn id="9" xr3:uid="{A5BED784-2EB7-4DD6-9D3B-45B5DD179EF0}" name="B-day"/>
    <tableColumn id="10" xr3:uid="{853DC598-3253-4DB0-B98F-4DF693BBFAC3}" name="Flag"/>
    <tableColumn id="11" xr3:uid="{7C6879A8-E141-4845-8085-399F6B8721CE}" name="Liga" totalsRowFunction="count"/>
    <tableColumn id="12" xr3:uid="{F782B869-57DE-4288-B7E0-F2158BDA32CE}" name="Sexo" dataDxfId="38">
      <calculatedColumnFormula>LEFT(Tabela2[[#This Row],[Sex Tit  WTit OTit]],1)</calculatedColumnFormula>
    </tableColumn>
    <tableColumn id="13" xr3:uid="{C586BED6-D291-4889-A9E8-DA5FBB1E5365}" name="Masculino" totalsRowFunction="sum" dataDxfId="37">
      <calculatedColumnFormula>IF(Tabela2[[#This Row],[Sexo]]="M",1,0)</calculatedColumnFormula>
    </tableColumn>
    <tableColumn id="14" xr3:uid="{1AA76D0C-E543-425A-B1F6-FE9F5F6F8008}" name="Feminino" totalsRowFunction="sum" dataDxfId="36">
      <calculatedColumnFormula>IF(Tabela2[[#This Row],[Sexo]]="F",1,0)</calculatedColumnFormula>
    </tableColumn>
    <tableColumn id="15" xr3:uid="{A4AFC9A3-E656-4047-A307-1A66C4F453C3}" name="Idade" dataDxfId="35">
      <calculatedColumnFormula>2017-Tabela2[[#This Row],[B-day]]</calculatedColumnFormula>
    </tableColumn>
    <tableColumn id="16" xr3:uid="{66DAD82A-01C3-47DC-856E-0883AA820E96}" name="Juniores" totalsRowFunction="sum" dataDxfId="34">
      <calculatedColumnFormula>IF(Tabela2[[#This Row],[Idade]]&lt;21,1,0)</calculatedColumnFormula>
    </tableColumn>
    <tableColumn id="17" xr3:uid="{8A273015-C95D-4C9B-84B4-8A8570328FFB}" name="Seniores" totalsRowFunction="sum" dataDxfId="33">
      <calculatedColumnFormula>IF(Tabela2[[#This Row],[Idade]]&gt;20,1,0)</calculatedColumnFormula>
    </tableColumn>
    <tableColumn id="18" xr3:uid="{F0C349B6-5200-4E2A-94C1-6C4FFBB62BF0}" name="Rating Juniores" totalsRowFunction="sum" dataDxfId="32">
      <calculatedColumnFormula>IF(Tabela2[[#This Row],[Juniores]]=1,Tabela2[[#This Row],[B-day]],0)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BA3488-4E40-455B-A47B-23FCD79618E7}" name="Tabela3" displayName="Tabela3" ref="A1:Q57" totalsRowCount="1" headerRowDxfId="31" headerRowBorderDxfId="30" tableBorderDxfId="29">
  <autoFilter ref="A1:Q56" xr:uid="{38F7D706-DE53-47D8-AD60-1248C3F35E13}"/>
  <sortState xmlns:xlrd2="http://schemas.microsoft.com/office/spreadsheetml/2017/richdata2" ref="A2:J56">
    <sortCondition descending="1" ref="F1:F56"/>
  </sortState>
  <tableColumns count="17">
    <tableColumn id="1" xr3:uid="{E7803516-F491-4297-8DF0-9F5C1EFC5B76}" name="Year" totalsRowLabel="Total"/>
    <tableColumn id="2" xr3:uid="{124420B3-0299-47EB-A06A-730654EB2692}" name="ID Number"/>
    <tableColumn id="3" xr3:uid="{57A188EF-4BA1-4E4C-B711-DC5ACD8B1ADB}" name="Name" totalsRowFunction="count"/>
    <tableColumn id="4" xr3:uid="{C4006192-3ADA-4A57-8704-1A8EC22D81D1}" name="Fed"/>
    <tableColumn id="5" xr3:uid="{B8D73ADD-9F17-4379-AA58-09E79ED40FF2}" name="Sex Tit  WTit OTit"/>
    <tableColumn id="6" xr3:uid="{531DBF52-9535-4DDC-A680-B55682EB815E}" name="FOA DEC19" totalsRowFunction="average" totalsRowDxfId="28"/>
    <tableColumn id="7" xr3:uid="{50D4BBF1-E8CB-47FE-A6C0-DA8027397296}" name="Gms"/>
    <tableColumn id="8" xr3:uid="{E8C5F3EB-680C-49A5-A2D8-0A14866F70A2}" name="K" totalsRowFunction="average" totalsRowDxfId="27"/>
    <tableColumn id="9" xr3:uid="{6A5C79B3-6A58-4F32-ABF4-67DA0CC5ABCE}" name="B-day"/>
    <tableColumn id="10" xr3:uid="{248D0954-4F42-4DE8-ACE2-6D46BE4FBBC7}" name="Flag" totalsRowFunction="count"/>
    <tableColumn id="11" xr3:uid="{F00AFF91-933C-44CE-8987-D75E9DA7A25D}" name="Sexo" dataDxfId="26">
      <calculatedColumnFormula>LEFT(Tabela3[[#This Row],[Sex Tit  WTit OTit]],1)</calculatedColumnFormula>
    </tableColumn>
    <tableColumn id="12" xr3:uid="{2A176A83-AC86-40C2-AF17-0B0B3E0CF14A}" name="Masculino" totalsRowFunction="sum" dataDxfId="25">
      <calculatedColumnFormula>IF(Tabela3[[#This Row],[Sexo]]="M",1,0)</calculatedColumnFormula>
    </tableColumn>
    <tableColumn id="13" xr3:uid="{B6687A96-32A9-49C7-BE20-7B897A26F778}" name="Feminino" totalsRowFunction="sum" dataDxfId="24">
      <calculatedColumnFormula>IF(Tabela3[[#This Row],[Sexo]]="F",1,0)</calculatedColumnFormula>
    </tableColumn>
    <tableColumn id="14" xr3:uid="{015B5B4B-12C5-494F-9534-E7795EC86383}" name="Idade" dataDxfId="23">
      <calculatedColumnFormula>2018-Tabela3[[#This Row],[B-day]]</calculatedColumnFormula>
    </tableColumn>
    <tableColumn id="15" xr3:uid="{747D356D-DE70-4552-A42A-A4B24B83913E}" name="Juniores" totalsRowFunction="sum" dataDxfId="22">
      <calculatedColumnFormula>IF(Tabela3[[#This Row],[Idade]]&lt;21,1,0)</calculatedColumnFormula>
    </tableColumn>
    <tableColumn id="16" xr3:uid="{D30A8505-01F3-4B03-9473-D397A4B85AB9}" name="Seniores" totalsRowFunction="sum" dataDxfId="21">
      <calculatedColumnFormula>IF(Tabela3[[#This Row],[Idade]]&gt;20,1,0)</calculatedColumnFormula>
    </tableColumn>
    <tableColumn id="17" xr3:uid="{477E14EB-12B5-4DB8-9482-2B6ADD3B94A1}" name="Rating Juniores" totalsRowFunction="sum" dataDxfId="20">
      <calculatedColumnFormula>IF(Tabela3[[#This Row],[Juniores]]=1,Tabela3[[#This Row],[B-day]],0)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8039D1-0FF3-4F4E-9928-3420F80973A1}" name="Tabela4" displayName="Tabela4" ref="A1:Q68" totalsRowCount="1">
  <autoFilter ref="A1:Q67" xr:uid="{CA1F15EE-0C7C-4317-9D01-BEF3E6DA7C34}"/>
  <sortState xmlns:xlrd2="http://schemas.microsoft.com/office/spreadsheetml/2017/richdata2" ref="A20:Q67">
    <sortCondition descending="1" ref="F1:F67"/>
  </sortState>
  <tableColumns count="17">
    <tableColumn id="1" xr3:uid="{60F62904-4F13-4AB1-BFDF-91D75B09A961}" name="Year" totalsRowLabel="Total"/>
    <tableColumn id="2" xr3:uid="{C801590A-811D-4969-91F2-A5638CCA92AC}" name="ID Number"/>
    <tableColumn id="3" xr3:uid="{0549ED79-DDC7-4D7C-A264-53A158FDEEE2}" name="Name" totalsRowFunction="count"/>
    <tableColumn id="4" xr3:uid="{7DAF8542-AD4F-430E-8216-3B3C4F6E9859}" name="Fed"/>
    <tableColumn id="5" xr3:uid="{5596287D-1289-4A2B-AA5B-71ACC28D6750}" name="Sex Tit  WTit OTit"/>
    <tableColumn id="6" xr3:uid="{514FC9D7-A938-4552-A97B-CB2FF9B62A6F}" name="FOA DEC19" totalsRowFunction="average" totalsRowDxfId="19"/>
    <tableColumn id="7" xr3:uid="{EE4F0F32-05ED-4FA2-B2A8-A5704DE8022B}" name="Gms" totalsRowDxfId="18"/>
    <tableColumn id="8" xr3:uid="{56833D38-2E6D-45C8-93CD-64D850F5B898}" name="K" totalsRowFunction="average" totalsRowDxfId="17"/>
    <tableColumn id="9" xr3:uid="{64A067F6-85EF-465A-A04E-F6A7F01F6B65}" name="B-day"/>
    <tableColumn id="10" xr3:uid="{307D74DC-6D96-4F8E-8B6C-41D8A6BB211E}" name="Flag" totalsRowFunction="count"/>
    <tableColumn id="11" xr3:uid="{00BDF1AC-42F4-4866-9D1E-720F666EF31A}" name="Sexo" dataDxfId="16">
      <calculatedColumnFormula>LEFT(Tabela4[[#This Row],[Sex Tit  WTit OTit]],1)</calculatedColumnFormula>
    </tableColumn>
    <tableColumn id="12" xr3:uid="{F92D32C1-DA5C-40B1-BAE3-21C2F57D31D9}" name="Masculino" totalsRowFunction="sum" dataDxfId="15">
      <calculatedColumnFormula>IF(Tabela4[[#This Row],[Sexo]]="M",1,0)</calculatedColumnFormula>
    </tableColumn>
    <tableColumn id="13" xr3:uid="{235B688E-0C0A-4D31-BD7D-BA9BE47D2BCA}" name="Feminino" totalsRowFunction="sum" dataDxfId="14">
      <calculatedColumnFormula>IF(Tabela4[[#This Row],[Sexo]]="F",1,0)</calculatedColumnFormula>
    </tableColumn>
    <tableColumn id="14" xr3:uid="{5FA2CE6D-A31E-47F5-924C-1C871985B01C}" name="Idade" dataDxfId="13">
      <calculatedColumnFormula>2019-Tabela4[[#This Row],[B-day]]</calculatedColumnFormula>
    </tableColumn>
    <tableColumn id="15" xr3:uid="{9F43423B-98C7-4D90-BAA7-DC3B7D6BF504}" name="Juniores" totalsRowFunction="sum" dataDxfId="12">
      <calculatedColumnFormula>IF(Tabela4[[#This Row],[Idade]]&lt;21,1,0)</calculatedColumnFormula>
    </tableColumn>
    <tableColumn id="16" xr3:uid="{D1EB532C-586C-4ADB-A7B5-91FB24D944CA}" name="Seniores" totalsRowFunction="sum" dataDxfId="11">
      <calculatedColumnFormula>IF(Tabela4[[#This Row],[Idade]]&gt;20,1,0)</calculatedColumnFormula>
    </tableColumn>
    <tableColumn id="17" xr3:uid="{8C615D57-34E9-4F19-A60E-5CAC3CD0E2DE}" name="Rating Juniores" totalsRowFunction="sum" dataDxfId="10">
      <calculatedColumnFormula>IF(Tabela4[[#This Row],[Juniores]]=1,Tabela4[[#This Row],[B-day]],0)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D9D21A-75A2-4EFC-AB4D-C31B4492A5BB}" name="Tabela5" displayName="Tabela5" ref="A1:Q69" totalsRowCount="1">
  <autoFilter ref="A1:Q68" xr:uid="{50D825DE-6B0C-4FC7-9429-F5158644BC99}"/>
  <sortState xmlns:xlrd2="http://schemas.microsoft.com/office/spreadsheetml/2017/richdata2" ref="A2:J68">
    <sortCondition descending="1" ref="F1:F68"/>
  </sortState>
  <tableColumns count="17">
    <tableColumn id="1" xr3:uid="{E494FABD-7294-4523-BB22-ECC74CB108C6}" name="Year" totalsRowLabel="Total"/>
    <tableColumn id="2" xr3:uid="{A2397E14-5B63-413E-86B4-B133A2C4BC2B}" name="ID Number"/>
    <tableColumn id="3" xr3:uid="{294D1D73-751C-41C7-9999-ECA414C4C73E}" name="Name" totalsRowFunction="count"/>
    <tableColumn id="4" xr3:uid="{39C1B3FF-C2EF-4F9F-92F0-5231F9FD94A3}" name="Fed"/>
    <tableColumn id="5" xr3:uid="{18364DE7-6CAA-49DD-9FCC-62FF1E72E4B1}" name="Sex Tit  WTit OTit"/>
    <tableColumn id="6" xr3:uid="{B39146EA-54A1-4018-B0FA-39DA5BA1C898}" name="FOA NOV20" totalsRowFunction="average" totalsRowDxfId="9"/>
    <tableColumn id="7" xr3:uid="{89294BC0-D5DC-47F6-9B35-4E2E688AE740}" name="Gms" totalsRowDxfId="8"/>
    <tableColumn id="8" xr3:uid="{E5F8611F-D151-4DFF-95AC-777BC6442623}" name="K" totalsRowFunction="average" totalsRowDxfId="7"/>
    <tableColumn id="9" xr3:uid="{7DC4BD6B-3CDC-41EF-ADB8-F2162AFEF7AF}" name="B-day"/>
    <tableColumn id="10" xr3:uid="{9C198BF7-0DEB-4186-8AC0-45D3956E5715}" name="Flag" totalsRowFunction="count"/>
    <tableColumn id="11" xr3:uid="{D50ABEB4-DC3E-462C-875D-67404CD66DCB}" name="Sexo" dataDxfId="6">
      <calculatedColumnFormula>LEFT(Tabela5[[#This Row],[Sex Tit  WTit OTit]],1)</calculatedColumnFormula>
    </tableColumn>
    <tableColumn id="12" xr3:uid="{82493BD6-F0D3-455F-8C4C-9BE51E2192A4}" name="Masculino" totalsRowFunction="sum" dataDxfId="5">
      <calculatedColumnFormula>IF(Tabela5[[#This Row],[Sexo]]="M",1,0)</calculatedColumnFormula>
    </tableColumn>
    <tableColumn id="13" xr3:uid="{1DA8AC1B-F0E4-479A-BFD2-288233466940}" name="Feminino" totalsRowFunction="sum" dataDxfId="4">
      <calculatedColumnFormula>IF(Tabela5[[#This Row],[Sexo]]="F",1,0)</calculatedColumnFormula>
    </tableColumn>
    <tableColumn id="14" xr3:uid="{51A77907-8194-41AC-89F2-8D608B5502E3}" name="Idade" dataDxfId="3">
      <calculatedColumnFormula>2020-Tabela5[[#This Row],[B-day]]</calculatedColumnFormula>
    </tableColumn>
    <tableColumn id="15" xr3:uid="{6B7D887D-5ED6-484E-B354-47CCBBCC8194}" name="Juniores" totalsRowFunction="sum" dataDxfId="2">
      <calculatedColumnFormula>IF(Tabela5[[#This Row],[Idade]]&lt;21,1,0)</calculatedColumnFormula>
    </tableColumn>
    <tableColumn id="16" xr3:uid="{798263C0-1B86-4F69-87F2-56F24115C8B9}" name="Seniores" totalsRowFunction="sum" dataDxfId="1">
      <calculatedColumnFormula>IF(Tabela5[[#This Row],[Idade]]&gt;20,1,0)</calculatedColumnFormula>
    </tableColumn>
    <tableColumn id="17" xr3:uid="{CB1841DC-98C3-455D-A0A2-532BC170A8F7}" name="Rating Juniores" totalsRowFunction="sum" dataDxfId="0">
      <calculatedColumnFormula>IF(Tabela5[[#This Row],[Juniores]]=1,Tabela5[[#This Row],[B-day]],0)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A6B3-9087-4E59-8217-4096747AA89D}">
  <dimension ref="A1:I28"/>
  <sheetViews>
    <sheetView showGridLines="0" topLeftCell="A12" zoomScale="81" workbookViewId="0">
      <selection activeCell="C28" sqref="A21:C28"/>
    </sheetView>
  </sheetViews>
  <sheetFormatPr defaultRowHeight="15" x14ac:dyDescent="0.25"/>
  <cols>
    <col min="2" max="2" width="9.42578125" bestFit="1" customWidth="1"/>
    <col min="3" max="3" width="10" bestFit="1" customWidth="1"/>
    <col min="4" max="4" width="12.7109375" bestFit="1" customWidth="1"/>
    <col min="5" max="7" width="12.7109375" customWidth="1"/>
    <col min="8" max="8" width="12.7109375" bestFit="1" customWidth="1"/>
    <col min="9" max="9" width="12.7109375" style="4" customWidth="1"/>
    <col min="10" max="10" width="8.140625" bestFit="1" customWidth="1"/>
    <col min="11" max="11" width="11.5703125" bestFit="1" customWidth="1"/>
  </cols>
  <sheetData>
    <row r="1" spans="1:7" x14ac:dyDescent="0.25">
      <c r="A1" t="s">
        <v>101</v>
      </c>
    </row>
    <row r="3" spans="1:7" x14ac:dyDescent="0.25">
      <c r="A3" s="29" t="s">
        <v>100</v>
      </c>
      <c r="B3" s="28" t="s">
        <v>111</v>
      </c>
      <c r="C3" s="28" t="s">
        <v>112</v>
      </c>
      <c r="D3" s="27" t="s">
        <v>99</v>
      </c>
      <c r="E3" s="28" t="s">
        <v>114</v>
      </c>
      <c r="F3" s="28" t="s">
        <v>115</v>
      </c>
      <c r="G3" s="28" t="s">
        <v>113</v>
      </c>
    </row>
    <row r="4" spans="1:7" x14ac:dyDescent="0.25">
      <c r="A4" s="30"/>
      <c r="B4" s="27"/>
      <c r="C4" s="27"/>
      <c r="D4" s="27"/>
      <c r="E4" s="27"/>
      <c r="F4" s="28"/>
      <c r="G4" s="27"/>
    </row>
    <row r="5" spans="1:7" x14ac:dyDescent="0.25">
      <c r="A5" s="6">
        <v>2016</v>
      </c>
      <c r="B5" s="7">
        <f>Tabela1[[#Totals],[Feminino]]</f>
        <v>12</v>
      </c>
      <c r="C5" s="7">
        <f>Tabela1[[#Totals],[Masculino]]</f>
        <v>13</v>
      </c>
      <c r="D5" s="7">
        <f>Tabela1[[#Totals],[Name]]</f>
        <v>25</v>
      </c>
      <c r="E5" s="7">
        <v>2076</v>
      </c>
      <c r="F5" s="7">
        <v>1508</v>
      </c>
      <c r="G5" s="8">
        <f>Tabela1[[#Totals],[FOA DEC19]]</f>
        <v>1726.96</v>
      </c>
    </row>
    <row r="6" spans="1:7" x14ac:dyDescent="0.25">
      <c r="A6" s="6">
        <v>2017</v>
      </c>
      <c r="B6" s="7">
        <f>Tabela2[[#Totals],[Feminino]]</f>
        <v>13</v>
      </c>
      <c r="C6" s="7">
        <f>Tabela2[[#Totals],[Masculino]]</f>
        <v>14</v>
      </c>
      <c r="D6" s="7">
        <f>Tabela2[[#Totals],[Name]]</f>
        <v>27</v>
      </c>
      <c r="E6" s="7">
        <v>2079</v>
      </c>
      <c r="F6" s="7">
        <v>1506</v>
      </c>
      <c r="G6" s="8">
        <f>Tabela2[[#Totals],[FOA DEC19]]</f>
        <v>1691.9259259259259</v>
      </c>
    </row>
    <row r="7" spans="1:7" x14ac:dyDescent="0.25">
      <c r="A7" s="6">
        <v>2018</v>
      </c>
      <c r="B7" s="7">
        <f>Tabela3[[#Totals],[Feminino]]</f>
        <v>21</v>
      </c>
      <c r="C7" s="7">
        <f>Tabela3[[#Totals],[Masculino]]</f>
        <v>34</v>
      </c>
      <c r="D7" s="7">
        <f>Tabela3[[#Totals],[Name]]</f>
        <v>55</v>
      </c>
      <c r="E7" s="7">
        <v>2075</v>
      </c>
      <c r="F7" s="7">
        <v>1529</v>
      </c>
      <c r="G7" s="8">
        <f>Tabela3[[#Totals],[FOA DEC19]]</f>
        <v>1618.9636363636364</v>
      </c>
    </row>
    <row r="8" spans="1:7" x14ac:dyDescent="0.25">
      <c r="A8" s="6">
        <v>2019</v>
      </c>
      <c r="B8" s="7">
        <f>Tabela4[[#Totals],[Feminino]]</f>
        <v>23</v>
      </c>
      <c r="C8" s="7">
        <f>Tabela4[[#Totals],[Masculino]]</f>
        <v>43</v>
      </c>
      <c r="D8" s="7">
        <f>Tabela4[[#Totals],[Name]]</f>
        <v>66</v>
      </c>
      <c r="E8" s="7">
        <v>2061</v>
      </c>
      <c r="F8" s="7">
        <v>1544</v>
      </c>
      <c r="G8" s="8">
        <f>Tabela4[[#Totals],[FOA DEC19]]</f>
        <v>1593.030303030303</v>
      </c>
    </row>
    <row r="9" spans="1:7" x14ac:dyDescent="0.25">
      <c r="A9" s="9">
        <v>2020</v>
      </c>
      <c r="B9" s="10">
        <f>Tabela5[[#Totals],[Feminino]]</f>
        <v>23</v>
      </c>
      <c r="C9" s="10">
        <f>Tabela5[[#Totals],[Masculino]]</f>
        <v>44</v>
      </c>
      <c r="D9" s="10">
        <f>Tabela5[[#Totals],[Name]]</f>
        <v>67</v>
      </c>
      <c r="E9" s="10">
        <v>2055</v>
      </c>
      <c r="F9" s="10">
        <v>1542</v>
      </c>
      <c r="G9" s="11">
        <f>Tabela5[[#Totals],[FOA NOV20]]</f>
        <v>1588.5820895522388</v>
      </c>
    </row>
    <row r="12" spans="1:7" x14ac:dyDescent="0.25">
      <c r="A12" s="27" t="s">
        <v>106</v>
      </c>
      <c r="B12" s="27"/>
      <c r="C12" s="27"/>
    </row>
    <row r="13" spans="1:7" ht="45" x14ac:dyDescent="0.25">
      <c r="A13" s="22" t="s">
        <v>100</v>
      </c>
      <c r="B13" s="16" t="s">
        <v>116</v>
      </c>
      <c r="C13" s="16" t="s">
        <v>117</v>
      </c>
    </row>
    <row r="14" spans="1:7" x14ac:dyDescent="0.25">
      <c r="A14" s="12">
        <v>2016</v>
      </c>
      <c r="B14" s="18">
        <f>Tabela1[[#Totals],[Juniores]]</f>
        <v>8</v>
      </c>
      <c r="C14" s="13">
        <f>Tabela1[[#Totals],[Rating Juniores]]/Tabela1[[#Totals],[Juniores]]</f>
        <v>1999.375</v>
      </c>
    </row>
    <row r="15" spans="1:7" x14ac:dyDescent="0.25">
      <c r="A15" s="12">
        <v>2017</v>
      </c>
      <c r="B15" s="18">
        <f>Tabela2[[#Totals],[Juniores]]</f>
        <v>9</v>
      </c>
      <c r="C15" s="13">
        <f>Tabela2[[#Totals],[Rating Juniores]]/Tabela2[[#Totals],[Juniores]]</f>
        <v>2000</v>
      </c>
    </row>
    <row r="16" spans="1:7" x14ac:dyDescent="0.25">
      <c r="A16" s="12">
        <v>2018</v>
      </c>
      <c r="B16" s="18">
        <f>Tabela3[[#Totals],[Juniores]]</f>
        <v>22</v>
      </c>
      <c r="C16" s="13">
        <f>Tabela3[[#Totals],[Rating Juniores]]/Tabela3[[#Totals],[Juniores]]</f>
        <v>2001.1818181818182</v>
      </c>
    </row>
    <row r="17" spans="1:3" x14ac:dyDescent="0.25">
      <c r="A17" s="12">
        <v>2019</v>
      </c>
      <c r="B17" s="18">
        <f>Tabela4[[#Totals],[Juniores]]</f>
        <v>24</v>
      </c>
      <c r="C17" s="13">
        <f>Tabela4[[#Totals],[Rating Juniores]]/Tabela4[[#Totals],[Juniores]]</f>
        <v>2001.3333333333333</v>
      </c>
    </row>
    <row r="18" spans="1:3" x14ac:dyDescent="0.25">
      <c r="A18" s="14">
        <v>2020</v>
      </c>
      <c r="B18" s="20">
        <f>Tabela5[[#Totals],[Juniores]]</f>
        <v>17</v>
      </c>
      <c r="C18" s="15">
        <f>Tabela5[[#Totals],[Rating Juniores]]/Tabela5[[#Totals],[Juniores]]</f>
        <v>2002.2941176470588</v>
      </c>
    </row>
    <row r="21" spans="1:3" x14ac:dyDescent="0.25">
      <c r="A21" s="27" t="s">
        <v>100</v>
      </c>
      <c r="B21" s="28" t="s">
        <v>109</v>
      </c>
      <c r="C21" s="28" t="s">
        <v>110</v>
      </c>
    </row>
    <row r="22" spans="1:3" x14ac:dyDescent="0.25">
      <c r="A22" s="27"/>
      <c r="B22" s="28"/>
      <c r="C22" s="28"/>
    </row>
    <row r="23" spans="1:3" x14ac:dyDescent="0.25">
      <c r="A23" s="27"/>
      <c r="B23" s="28"/>
      <c r="C23" s="28"/>
    </row>
    <row r="24" spans="1:3" x14ac:dyDescent="0.25">
      <c r="A24" s="17">
        <v>2016</v>
      </c>
      <c r="B24" s="18">
        <v>2</v>
      </c>
      <c r="C24" s="18">
        <v>3</v>
      </c>
    </row>
    <row r="25" spans="1:3" x14ac:dyDescent="0.25">
      <c r="A25" s="17">
        <v>2017</v>
      </c>
      <c r="B25" s="18">
        <v>4</v>
      </c>
      <c r="C25" s="18">
        <v>5</v>
      </c>
    </row>
    <row r="26" spans="1:3" x14ac:dyDescent="0.25">
      <c r="A26" s="17">
        <v>2018</v>
      </c>
      <c r="B26" s="18">
        <v>4</v>
      </c>
      <c r="C26" s="18">
        <v>5</v>
      </c>
    </row>
    <row r="27" spans="1:3" x14ac:dyDescent="0.25">
      <c r="A27" s="17">
        <v>2019</v>
      </c>
      <c r="B27" s="18">
        <v>4</v>
      </c>
      <c r="C27" s="18">
        <v>5</v>
      </c>
    </row>
    <row r="28" spans="1:3" x14ac:dyDescent="0.25">
      <c r="A28" s="19">
        <v>2020</v>
      </c>
      <c r="B28" s="20">
        <v>4</v>
      </c>
      <c r="C28" s="21">
        <v>5</v>
      </c>
    </row>
  </sheetData>
  <mergeCells count="11">
    <mergeCell ref="D3:D4"/>
    <mergeCell ref="E3:E4"/>
    <mergeCell ref="F3:F4"/>
    <mergeCell ref="G3:G4"/>
    <mergeCell ref="A21:A23"/>
    <mergeCell ref="A12:C12"/>
    <mergeCell ref="A3:A4"/>
    <mergeCell ref="B21:B23"/>
    <mergeCell ref="C21:C23"/>
    <mergeCell ref="B3:B4"/>
    <mergeCell ref="C3:C4"/>
  </mergeCells>
  <pageMargins left="0.7" right="0.7" top="0.75" bottom="0.75" header="0.3" footer="0.3"/>
  <pageSetup orientation="portrait" r:id="rId1"/>
  <headerFooter>
    <oddHeader>&amp;C&amp;"Calibri"&amp;9&amp;K000000Informação de uso Público&amp;1#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6B8E-B621-495B-A92B-BB1C70FFB005}">
  <dimension ref="A1:L199"/>
  <sheetViews>
    <sheetView tabSelected="1" workbookViewId="0">
      <selection activeCell="B180" sqref="B180"/>
    </sheetView>
  </sheetViews>
  <sheetFormatPr defaultRowHeight="15" x14ac:dyDescent="0.25"/>
  <cols>
    <col min="1" max="1" width="12.7109375" customWidth="1"/>
    <col min="2" max="2" width="46.28515625" bestFit="1" customWidth="1"/>
    <col min="4" max="4" width="18.28515625" customWidth="1"/>
    <col min="5" max="5" width="12.28515625" customWidth="1"/>
    <col min="10" max="10" width="18.28515625" customWidth="1"/>
  </cols>
  <sheetData>
    <row r="1" spans="1:12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77</v>
      </c>
      <c r="L1" s="2" t="s">
        <v>78</v>
      </c>
    </row>
    <row r="2" spans="1:12" x14ac:dyDescent="0.25">
      <c r="A2" s="24">
        <v>14801345</v>
      </c>
      <c r="B2" s="24" t="s">
        <v>64</v>
      </c>
      <c r="C2" s="24" t="s">
        <v>1</v>
      </c>
      <c r="D2" s="24" t="s">
        <v>267</v>
      </c>
      <c r="E2" s="24">
        <v>1439</v>
      </c>
      <c r="F2" s="24">
        <v>0</v>
      </c>
      <c r="G2" s="24">
        <v>40</v>
      </c>
      <c r="H2" s="24">
        <v>1455</v>
      </c>
      <c r="I2" s="24">
        <v>0</v>
      </c>
      <c r="J2" s="24" t="s">
        <v>246</v>
      </c>
      <c r="K2" s="24">
        <v>1997</v>
      </c>
      <c r="L2" s="24"/>
    </row>
    <row r="3" spans="1:12" x14ac:dyDescent="0.25">
      <c r="A3" s="23">
        <v>14800098</v>
      </c>
      <c r="B3" s="23" t="s">
        <v>8</v>
      </c>
      <c r="C3" s="23" t="s">
        <v>1</v>
      </c>
      <c r="D3" s="23" t="s">
        <v>7</v>
      </c>
      <c r="E3" s="23">
        <v>2230</v>
      </c>
      <c r="F3" s="23">
        <v>0</v>
      </c>
      <c r="G3" s="23">
        <v>20</v>
      </c>
      <c r="H3" s="23">
        <v>2162</v>
      </c>
      <c r="I3" s="23">
        <v>0</v>
      </c>
      <c r="J3" s="23" t="s">
        <v>239</v>
      </c>
      <c r="K3" s="23">
        <v>1991</v>
      </c>
      <c r="L3" s="23"/>
    </row>
    <row r="4" spans="1:12" x14ac:dyDescent="0.25">
      <c r="A4" s="23">
        <v>14800047</v>
      </c>
      <c r="B4" s="23" t="s">
        <v>4</v>
      </c>
      <c r="C4" s="23" t="s">
        <v>1</v>
      </c>
      <c r="D4" s="23" t="s">
        <v>5</v>
      </c>
      <c r="E4" s="23">
        <v>2202</v>
      </c>
      <c r="F4" s="23">
        <v>0</v>
      </c>
      <c r="G4" s="23">
        <v>20</v>
      </c>
      <c r="H4" s="23">
        <v>2191</v>
      </c>
      <c r="I4" s="23">
        <v>0</v>
      </c>
      <c r="J4" s="23" t="s">
        <v>130</v>
      </c>
      <c r="K4" s="23">
        <v>1980</v>
      </c>
      <c r="L4" s="23" t="s">
        <v>3</v>
      </c>
    </row>
    <row r="5" spans="1:12" x14ac:dyDescent="0.25">
      <c r="A5" s="24">
        <v>14800039</v>
      </c>
      <c r="B5" s="24" t="s">
        <v>0</v>
      </c>
      <c r="C5" s="24" t="s">
        <v>1</v>
      </c>
      <c r="D5" s="24" t="s">
        <v>2</v>
      </c>
      <c r="E5" s="24">
        <v>2186</v>
      </c>
      <c r="F5" s="24">
        <v>0</v>
      </c>
      <c r="G5" s="24">
        <v>20</v>
      </c>
      <c r="H5" s="24"/>
      <c r="I5" s="24"/>
      <c r="J5" s="24"/>
      <c r="K5" s="24">
        <v>1982</v>
      </c>
      <c r="L5" s="24" t="s">
        <v>3</v>
      </c>
    </row>
    <row r="6" spans="1:12" x14ac:dyDescent="0.25">
      <c r="A6" s="24">
        <v>14800268</v>
      </c>
      <c r="B6" s="24" t="s">
        <v>6</v>
      </c>
      <c r="C6" s="24" t="s">
        <v>1</v>
      </c>
      <c r="D6" s="24" t="s">
        <v>91</v>
      </c>
      <c r="E6" s="24">
        <v>2122</v>
      </c>
      <c r="F6" s="24">
        <v>0</v>
      </c>
      <c r="G6" s="24">
        <v>20</v>
      </c>
      <c r="H6" s="24"/>
      <c r="I6" s="24"/>
      <c r="J6" s="24"/>
      <c r="K6" s="24">
        <v>1984</v>
      </c>
      <c r="L6" s="24"/>
    </row>
    <row r="7" spans="1:12" x14ac:dyDescent="0.25">
      <c r="A7" s="24">
        <v>14800063</v>
      </c>
      <c r="B7" s="24" t="s">
        <v>12</v>
      </c>
      <c r="C7" s="24" t="s">
        <v>1</v>
      </c>
      <c r="D7" s="24" t="s">
        <v>7</v>
      </c>
      <c r="E7" s="24">
        <v>2018</v>
      </c>
      <c r="F7" s="24">
        <v>0</v>
      </c>
      <c r="G7" s="24">
        <v>20</v>
      </c>
      <c r="H7" s="24">
        <v>1993</v>
      </c>
      <c r="I7" s="24">
        <v>0</v>
      </c>
      <c r="J7" s="24" t="s">
        <v>124</v>
      </c>
      <c r="K7" s="24">
        <v>1990</v>
      </c>
      <c r="L7" s="24"/>
    </row>
    <row r="8" spans="1:12" x14ac:dyDescent="0.25">
      <c r="A8" s="24">
        <v>14800012</v>
      </c>
      <c r="B8" s="24" t="s">
        <v>11</v>
      </c>
      <c r="C8" s="24" t="s">
        <v>1</v>
      </c>
      <c r="D8" s="24" t="s">
        <v>7</v>
      </c>
      <c r="E8" s="24">
        <v>2004</v>
      </c>
      <c r="F8" s="24">
        <v>0</v>
      </c>
      <c r="G8" s="24">
        <v>20</v>
      </c>
      <c r="H8" s="24"/>
      <c r="I8" s="24"/>
      <c r="J8" s="24"/>
      <c r="K8" s="24">
        <v>1972</v>
      </c>
      <c r="L8" s="24" t="s">
        <v>3</v>
      </c>
    </row>
    <row r="9" spans="1:12" x14ac:dyDescent="0.25">
      <c r="A9" s="23">
        <v>14800276</v>
      </c>
      <c r="B9" s="23" t="s">
        <v>10</v>
      </c>
      <c r="C9" s="23" t="s">
        <v>1</v>
      </c>
      <c r="D9" s="23" t="s">
        <v>7</v>
      </c>
      <c r="E9" s="23">
        <v>1997</v>
      </c>
      <c r="F9" s="23">
        <v>0</v>
      </c>
      <c r="G9" s="23">
        <v>20</v>
      </c>
      <c r="H9" s="23"/>
      <c r="I9" s="23"/>
      <c r="J9" s="23"/>
      <c r="K9" s="23">
        <v>1976</v>
      </c>
      <c r="L9" s="23"/>
    </row>
    <row r="10" spans="1:12" x14ac:dyDescent="0.25">
      <c r="A10" s="23">
        <v>14800071</v>
      </c>
      <c r="B10" s="23" t="s">
        <v>13</v>
      </c>
      <c r="C10" s="23" t="s">
        <v>1</v>
      </c>
      <c r="D10" s="23" t="s">
        <v>2</v>
      </c>
      <c r="E10" s="23">
        <v>1941</v>
      </c>
      <c r="F10" s="23">
        <v>0</v>
      </c>
      <c r="G10" s="23">
        <v>20</v>
      </c>
      <c r="H10" s="23"/>
      <c r="I10" s="23"/>
      <c r="J10" s="23"/>
      <c r="K10" s="23">
        <v>1984</v>
      </c>
      <c r="L10" s="23" t="s">
        <v>3</v>
      </c>
    </row>
    <row r="11" spans="1:12" x14ac:dyDescent="0.25">
      <c r="A11" s="23">
        <v>14800136</v>
      </c>
      <c r="B11" s="23" t="s">
        <v>9</v>
      </c>
      <c r="C11" s="23" t="s">
        <v>1</v>
      </c>
      <c r="D11" s="23" t="s">
        <v>2</v>
      </c>
      <c r="E11" s="23">
        <v>1941</v>
      </c>
      <c r="F11" s="23">
        <v>0</v>
      </c>
      <c r="G11" s="23">
        <v>20</v>
      </c>
      <c r="H11" s="23"/>
      <c r="I11" s="23"/>
      <c r="J11" s="23"/>
      <c r="K11" s="23">
        <v>1983</v>
      </c>
      <c r="L11" s="23"/>
    </row>
    <row r="12" spans="1:12" x14ac:dyDescent="0.25">
      <c r="A12" s="23">
        <v>14800500</v>
      </c>
      <c r="B12" s="23" t="s">
        <v>48</v>
      </c>
      <c r="C12" s="23" t="s">
        <v>1</v>
      </c>
      <c r="D12" s="23" t="s">
        <v>2</v>
      </c>
      <c r="E12" s="23">
        <v>1912</v>
      </c>
      <c r="F12" s="23">
        <v>0</v>
      </c>
      <c r="G12" s="23">
        <v>20</v>
      </c>
      <c r="H12" s="23"/>
      <c r="I12" s="23"/>
      <c r="J12" s="23"/>
      <c r="K12" s="23">
        <v>1993</v>
      </c>
      <c r="L12" s="23"/>
    </row>
    <row r="13" spans="1:12" x14ac:dyDescent="0.25">
      <c r="A13" s="23">
        <v>14801256</v>
      </c>
      <c r="B13" s="23" t="s">
        <v>59</v>
      </c>
      <c r="C13" s="23" t="s">
        <v>1</v>
      </c>
      <c r="D13" s="23" t="s">
        <v>2</v>
      </c>
      <c r="E13" s="23">
        <v>1895</v>
      </c>
      <c r="F13" s="23">
        <v>0</v>
      </c>
      <c r="G13" s="23">
        <v>40</v>
      </c>
      <c r="H13" s="23"/>
      <c r="I13" s="23"/>
      <c r="J13" s="23" t="s">
        <v>211</v>
      </c>
      <c r="K13" s="23">
        <v>1988</v>
      </c>
      <c r="L13" s="23"/>
    </row>
    <row r="14" spans="1:12" x14ac:dyDescent="0.25">
      <c r="A14" s="23">
        <v>14800403</v>
      </c>
      <c r="B14" s="23" t="s">
        <v>24</v>
      </c>
      <c r="C14" s="23" t="s">
        <v>1</v>
      </c>
      <c r="D14" s="23" t="s">
        <v>2</v>
      </c>
      <c r="E14" s="23">
        <v>1862</v>
      </c>
      <c r="F14" s="23">
        <v>0</v>
      </c>
      <c r="G14" s="23">
        <v>40</v>
      </c>
      <c r="H14" s="23"/>
      <c r="I14" s="23"/>
      <c r="J14" s="23"/>
      <c r="K14" s="23">
        <v>2003</v>
      </c>
      <c r="L14" s="23"/>
    </row>
    <row r="15" spans="1:12" x14ac:dyDescent="0.25">
      <c r="A15" s="23">
        <v>14800284</v>
      </c>
      <c r="B15" s="23" t="s">
        <v>18</v>
      </c>
      <c r="C15" s="23" t="s">
        <v>1</v>
      </c>
      <c r="D15" s="23" t="s">
        <v>2</v>
      </c>
      <c r="E15" s="23">
        <v>1852</v>
      </c>
      <c r="F15" s="23">
        <v>0</v>
      </c>
      <c r="G15" s="23">
        <v>40</v>
      </c>
      <c r="H15" s="23"/>
      <c r="I15" s="23"/>
      <c r="J15" s="23"/>
      <c r="K15" s="23">
        <v>1994</v>
      </c>
      <c r="L15" s="23"/>
    </row>
    <row r="16" spans="1:12" x14ac:dyDescent="0.25">
      <c r="A16" s="23">
        <v>14800489</v>
      </c>
      <c r="B16" s="23" t="s">
        <v>14</v>
      </c>
      <c r="C16" s="23" t="s">
        <v>1</v>
      </c>
      <c r="D16" s="23" t="s">
        <v>35</v>
      </c>
      <c r="E16" s="23">
        <v>1845</v>
      </c>
      <c r="F16" s="23">
        <v>0</v>
      </c>
      <c r="G16" s="23">
        <v>20</v>
      </c>
      <c r="H16" s="23">
        <v>1949</v>
      </c>
      <c r="I16" s="23">
        <v>0</v>
      </c>
      <c r="J16" s="23" t="s">
        <v>142</v>
      </c>
      <c r="K16" s="23">
        <v>1983</v>
      </c>
      <c r="L16" s="23"/>
    </row>
    <row r="17" spans="1:12" x14ac:dyDescent="0.25">
      <c r="A17" s="23">
        <v>14801558</v>
      </c>
      <c r="B17" s="23" t="s">
        <v>42</v>
      </c>
      <c r="C17" s="23" t="s">
        <v>1</v>
      </c>
      <c r="D17" s="23" t="s">
        <v>2</v>
      </c>
      <c r="E17" s="23">
        <v>1838</v>
      </c>
      <c r="F17" s="23">
        <v>0</v>
      </c>
      <c r="G17" s="23">
        <v>40</v>
      </c>
      <c r="H17" s="23"/>
      <c r="I17" s="23"/>
      <c r="J17" s="23"/>
      <c r="K17" s="23">
        <v>1981</v>
      </c>
      <c r="L17" s="23"/>
    </row>
    <row r="18" spans="1:12" x14ac:dyDescent="0.25">
      <c r="A18" s="23">
        <v>14801248</v>
      </c>
      <c r="B18" s="23" t="s">
        <v>58</v>
      </c>
      <c r="C18" s="23" t="s">
        <v>1</v>
      </c>
      <c r="D18" s="23" t="s">
        <v>2</v>
      </c>
      <c r="E18" s="23">
        <v>1822</v>
      </c>
      <c r="F18" s="23">
        <v>0</v>
      </c>
      <c r="G18" s="23">
        <v>40</v>
      </c>
      <c r="H18" s="23"/>
      <c r="I18" s="23"/>
      <c r="J18" s="23"/>
      <c r="K18" s="23">
        <v>1998</v>
      </c>
      <c r="L18" s="23"/>
    </row>
    <row r="19" spans="1:12" x14ac:dyDescent="0.25">
      <c r="A19" s="24">
        <v>14801302</v>
      </c>
      <c r="B19" s="24" t="s">
        <v>63</v>
      </c>
      <c r="C19" s="24" t="s">
        <v>1</v>
      </c>
      <c r="D19" s="24" t="s">
        <v>2</v>
      </c>
      <c r="E19" s="24">
        <v>1807</v>
      </c>
      <c r="F19" s="24">
        <v>0</v>
      </c>
      <c r="G19" s="24">
        <v>40</v>
      </c>
      <c r="H19" s="24"/>
      <c r="I19" s="24"/>
      <c r="J19" s="24"/>
      <c r="K19" s="24">
        <v>1995</v>
      </c>
      <c r="L19" s="24"/>
    </row>
    <row r="20" spans="1:12" x14ac:dyDescent="0.25">
      <c r="A20" s="24">
        <v>14800144</v>
      </c>
      <c r="B20" s="24" t="s">
        <v>15</v>
      </c>
      <c r="C20" s="24" t="s">
        <v>1</v>
      </c>
      <c r="D20" s="24" t="s">
        <v>68</v>
      </c>
      <c r="E20" s="24">
        <v>1799</v>
      </c>
      <c r="F20" s="24">
        <v>0</v>
      </c>
      <c r="G20" s="24">
        <v>20</v>
      </c>
      <c r="H20" s="24">
        <v>1756</v>
      </c>
      <c r="I20" s="24">
        <v>0</v>
      </c>
      <c r="J20" s="24" t="s">
        <v>265</v>
      </c>
      <c r="K20" s="24">
        <v>1985</v>
      </c>
      <c r="L20" s="24" t="s">
        <v>17</v>
      </c>
    </row>
    <row r="21" spans="1:12" x14ac:dyDescent="0.25">
      <c r="A21" s="23">
        <v>14800756</v>
      </c>
      <c r="B21" s="23" t="s">
        <v>49</v>
      </c>
      <c r="C21" s="23" t="s">
        <v>1</v>
      </c>
      <c r="D21" s="23" t="s">
        <v>2</v>
      </c>
      <c r="E21" s="23">
        <v>1790</v>
      </c>
      <c r="F21" s="23">
        <v>0</v>
      </c>
      <c r="G21" s="23">
        <v>40</v>
      </c>
      <c r="H21" s="23"/>
      <c r="I21" s="23"/>
      <c r="J21" s="23"/>
      <c r="K21" s="23">
        <v>1990</v>
      </c>
      <c r="L21" s="23"/>
    </row>
    <row r="22" spans="1:12" x14ac:dyDescent="0.25">
      <c r="A22" s="23">
        <v>14800764</v>
      </c>
      <c r="B22" s="23" t="s">
        <v>65</v>
      </c>
      <c r="C22" s="23" t="s">
        <v>1</v>
      </c>
      <c r="D22" s="23" t="s">
        <v>2</v>
      </c>
      <c r="E22" s="23">
        <v>1748</v>
      </c>
      <c r="F22" s="23">
        <v>0</v>
      </c>
      <c r="G22" s="23">
        <v>40</v>
      </c>
      <c r="H22" s="23"/>
      <c r="I22" s="23"/>
      <c r="J22" s="23"/>
      <c r="K22" s="23">
        <v>1996</v>
      </c>
      <c r="L22" s="23"/>
    </row>
    <row r="23" spans="1:12" x14ac:dyDescent="0.25">
      <c r="A23" s="24">
        <v>14800802</v>
      </c>
      <c r="B23" s="24" t="s">
        <v>41</v>
      </c>
      <c r="C23" s="24" t="s">
        <v>1</v>
      </c>
      <c r="D23" s="24" t="s">
        <v>2</v>
      </c>
      <c r="E23" s="24">
        <v>1721</v>
      </c>
      <c r="F23" s="24">
        <v>0</v>
      </c>
      <c r="G23" s="24">
        <v>40</v>
      </c>
      <c r="H23" s="24"/>
      <c r="I23" s="24"/>
      <c r="J23" s="24"/>
      <c r="K23" s="24">
        <v>2001</v>
      </c>
      <c r="L23" s="24"/>
    </row>
    <row r="24" spans="1:12" x14ac:dyDescent="0.25">
      <c r="A24" s="24">
        <v>14801167</v>
      </c>
      <c r="B24" s="24" t="s">
        <v>44</v>
      </c>
      <c r="C24" s="24" t="s">
        <v>1</v>
      </c>
      <c r="D24" s="24" t="s">
        <v>2</v>
      </c>
      <c r="E24" s="24">
        <v>1661</v>
      </c>
      <c r="F24" s="24">
        <v>0</v>
      </c>
      <c r="G24" s="24">
        <v>40</v>
      </c>
      <c r="H24" s="24"/>
      <c r="I24" s="24"/>
      <c r="J24" s="24"/>
      <c r="K24" s="24">
        <v>1999</v>
      </c>
      <c r="L24" s="24"/>
    </row>
    <row r="25" spans="1:12" x14ac:dyDescent="0.25">
      <c r="A25" s="24">
        <v>14800438</v>
      </c>
      <c r="B25" s="24" t="s">
        <v>19</v>
      </c>
      <c r="C25" s="24" t="s">
        <v>1</v>
      </c>
      <c r="D25" s="24" t="s">
        <v>2</v>
      </c>
      <c r="E25" s="24">
        <v>1659</v>
      </c>
      <c r="F25" s="24">
        <v>0</v>
      </c>
      <c r="G25" s="24">
        <v>40</v>
      </c>
      <c r="H25" s="24">
        <v>1687</v>
      </c>
      <c r="I25" s="24">
        <v>0</v>
      </c>
      <c r="J25" s="24" t="s">
        <v>139</v>
      </c>
      <c r="K25" s="24">
        <v>1999</v>
      </c>
      <c r="L25" s="24" t="s">
        <v>3</v>
      </c>
    </row>
    <row r="26" spans="1:12" x14ac:dyDescent="0.25">
      <c r="A26" s="24">
        <v>14801019</v>
      </c>
      <c r="B26" s="24" t="s">
        <v>50</v>
      </c>
      <c r="C26" s="24" t="s">
        <v>1</v>
      </c>
      <c r="D26" s="24" t="s">
        <v>2</v>
      </c>
      <c r="E26" s="24">
        <v>1629</v>
      </c>
      <c r="F26" s="24">
        <v>0</v>
      </c>
      <c r="G26" s="24">
        <v>40</v>
      </c>
      <c r="H26" s="24"/>
      <c r="I26" s="24"/>
      <c r="J26" s="24"/>
      <c r="K26" s="24">
        <v>2002</v>
      </c>
      <c r="L26" s="24" t="s">
        <v>3</v>
      </c>
    </row>
    <row r="27" spans="1:12" x14ac:dyDescent="0.25">
      <c r="A27" s="23">
        <v>14800446</v>
      </c>
      <c r="B27" s="23" t="s">
        <v>80</v>
      </c>
      <c r="C27" s="23" t="s">
        <v>1</v>
      </c>
      <c r="D27" s="23" t="s">
        <v>2</v>
      </c>
      <c r="E27" s="23">
        <v>1620</v>
      </c>
      <c r="F27" s="23">
        <v>0</v>
      </c>
      <c r="G27" s="23">
        <v>40</v>
      </c>
      <c r="H27" s="23"/>
      <c r="I27" s="23"/>
      <c r="J27" s="23"/>
      <c r="K27" s="23">
        <v>1998</v>
      </c>
      <c r="L27" s="23"/>
    </row>
    <row r="28" spans="1:12" x14ac:dyDescent="0.25">
      <c r="A28" s="24">
        <v>14801574</v>
      </c>
      <c r="B28" s="24" t="s">
        <v>43</v>
      </c>
      <c r="C28" s="24" t="s">
        <v>1</v>
      </c>
      <c r="D28" s="24" t="s">
        <v>2</v>
      </c>
      <c r="E28" s="24">
        <v>1612</v>
      </c>
      <c r="F28" s="24">
        <v>0</v>
      </c>
      <c r="G28" s="24">
        <v>40</v>
      </c>
      <c r="H28" s="24"/>
      <c r="I28" s="24"/>
      <c r="J28" s="24"/>
      <c r="K28" s="24">
        <v>1992</v>
      </c>
      <c r="L28" s="24" t="s">
        <v>3</v>
      </c>
    </row>
    <row r="29" spans="1:12" x14ac:dyDescent="0.25">
      <c r="A29" s="23">
        <v>14801930</v>
      </c>
      <c r="B29" s="23" t="s">
        <v>81</v>
      </c>
      <c r="C29" s="23" t="s">
        <v>1</v>
      </c>
      <c r="D29" s="23" t="s">
        <v>2</v>
      </c>
      <c r="E29" s="23">
        <v>1603</v>
      </c>
      <c r="F29" s="23">
        <v>0</v>
      </c>
      <c r="G29" s="23">
        <v>40</v>
      </c>
      <c r="H29" s="23"/>
      <c r="I29" s="23"/>
      <c r="J29" s="23"/>
      <c r="K29" s="23">
        <v>1999</v>
      </c>
      <c r="L29" s="23"/>
    </row>
    <row r="30" spans="1:12" x14ac:dyDescent="0.25">
      <c r="A30" s="24">
        <v>14800780</v>
      </c>
      <c r="B30" s="24" t="s">
        <v>66</v>
      </c>
      <c r="C30" s="24" t="s">
        <v>1</v>
      </c>
      <c r="D30" s="24" t="s">
        <v>29</v>
      </c>
      <c r="E30" s="24">
        <v>1588</v>
      </c>
      <c r="F30" s="24">
        <v>0</v>
      </c>
      <c r="G30" s="24">
        <v>20</v>
      </c>
      <c r="H30" s="24"/>
      <c r="I30" s="24"/>
      <c r="J30" s="24"/>
      <c r="K30" s="24">
        <v>1999</v>
      </c>
      <c r="L30" s="24" t="s">
        <v>17</v>
      </c>
    </row>
    <row r="31" spans="1:12" x14ac:dyDescent="0.25">
      <c r="A31" s="23">
        <v>14800306</v>
      </c>
      <c r="B31" s="23" t="s">
        <v>20</v>
      </c>
      <c r="C31" s="23" t="s">
        <v>1</v>
      </c>
      <c r="D31" s="23" t="s">
        <v>21</v>
      </c>
      <c r="E31" s="23">
        <v>1587</v>
      </c>
      <c r="F31" s="23">
        <v>0</v>
      </c>
      <c r="G31" s="23">
        <v>40</v>
      </c>
      <c r="H31" s="23"/>
      <c r="I31" s="23"/>
      <c r="J31" s="23"/>
      <c r="K31" s="23">
        <v>1997</v>
      </c>
      <c r="L31" s="23" t="s">
        <v>22</v>
      </c>
    </row>
    <row r="32" spans="1:12" x14ac:dyDescent="0.25">
      <c r="A32" s="24">
        <v>14801230</v>
      </c>
      <c r="B32" s="24" t="s">
        <v>86</v>
      </c>
      <c r="C32" s="24" t="s">
        <v>1</v>
      </c>
      <c r="D32" s="24" t="s">
        <v>2</v>
      </c>
      <c r="E32" s="24">
        <v>1580</v>
      </c>
      <c r="F32" s="24">
        <v>0</v>
      </c>
      <c r="G32" s="24">
        <v>40</v>
      </c>
      <c r="H32" s="24"/>
      <c r="I32" s="24"/>
      <c r="J32" s="24"/>
      <c r="K32" s="24">
        <v>2000</v>
      </c>
      <c r="L32" s="24"/>
    </row>
    <row r="33" spans="1:12" x14ac:dyDescent="0.25">
      <c r="A33" s="24">
        <v>14800713</v>
      </c>
      <c r="B33" s="24" t="s">
        <v>83</v>
      </c>
      <c r="C33" s="24" t="s">
        <v>1</v>
      </c>
      <c r="D33" s="24" t="s">
        <v>2</v>
      </c>
      <c r="E33" s="24">
        <v>1576</v>
      </c>
      <c r="F33" s="24">
        <v>0</v>
      </c>
      <c r="G33" s="24">
        <v>40</v>
      </c>
      <c r="H33" s="24"/>
      <c r="I33" s="24"/>
      <c r="J33" s="24"/>
      <c r="K33" s="24">
        <v>1980</v>
      </c>
      <c r="L33" s="24"/>
    </row>
    <row r="34" spans="1:12" x14ac:dyDescent="0.25">
      <c r="A34" s="23">
        <v>14800730</v>
      </c>
      <c r="B34" s="23" t="s">
        <v>54</v>
      </c>
      <c r="C34" s="23" t="s">
        <v>1</v>
      </c>
      <c r="D34" s="23" t="s">
        <v>2</v>
      </c>
      <c r="E34" s="23">
        <v>1574</v>
      </c>
      <c r="F34" s="23">
        <v>0</v>
      </c>
      <c r="G34" s="23">
        <v>40</v>
      </c>
      <c r="H34" s="23"/>
      <c r="I34" s="23"/>
      <c r="J34" s="23"/>
      <c r="K34" s="23">
        <v>2004</v>
      </c>
      <c r="L34" s="23"/>
    </row>
    <row r="35" spans="1:12" x14ac:dyDescent="0.25">
      <c r="A35" s="23">
        <v>14801663</v>
      </c>
      <c r="B35" s="23" t="s">
        <v>61</v>
      </c>
      <c r="C35" s="23" t="s">
        <v>1</v>
      </c>
      <c r="D35" s="23" t="s">
        <v>2</v>
      </c>
      <c r="E35" s="23">
        <v>1546</v>
      </c>
      <c r="F35" s="23">
        <v>0</v>
      </c>
      <c r="G35" s="23">
        <v>40</v>
      </c>
      <c r="H35" s="23"/>
      <c r="I35" s="23"/>
      <c r="J35" s="23"/>
      <c r="K35" s="23">
        <v>1979</v>
      </c>
      <c r="L35" s="23" t="s">
        <v>3</v>
      </c>
    </row>
    <row r="36" spans="1:12" x14ac:dyDescent="0.25">
      <c r="A36" s="23">
        <v>14800101</v>
      </c>
      <c r="B36" s="23" t="s">
        <v>25</v>
      </c>
      <c r="C36" s="23" t="s">
        <v>1</v>
      </c>
      <c r="D36" s="23" t="s">
        <v>21</v>
      </c>
      <c r="E36" s="23">
        <v>1535</v>
      </c>
      <c r="F36" s="23">
        <v>0</v>
      </c>
      <c r="G36" s="23">
        <v>40</v>
      </c>
      <c r="H36" s="23"/>
      <c r="I36" s="23"/>
      <c r="J36" s="23"/>
      <c r="K36" s="23">
        <v>1998</v>
      </c>
      <c r="L36" s="23" t="s">
        <v>22</v>
      </c>
    </row>
    <row r="37" spans="1:12" x14ac:dyDescent="0.25">
      <c r="A37" s="24">
        <v>14801310</v>
      </c>
      <c r="B37" s="24" t="s">
        <v>56</v>
      </c>
      <c r="C37" s="24" t="s">
        <v>1</v>
      </c>
      <c r="D37" s="24" t="s">
        <v>2</v>
      </c>
      <c r="E37" s="24">
        <v>1529</v>
      </c>
      <c r="F37" s="24">
        <v>0</v>
      </c>
      <c r="G37" s="24">
        <v>40</v>
      </c>
      <c r="H37" s="24"/>
      <c r="I37" s="24"/>
      <c r="J37" s="24"/>
      <c r="K37" s="24">
        <v>1994</v>
      </c>
      <c r="L37" s="24"/>
    </row>
    <row r="38" spans="1:12" x14ac:dyDescent="0.25">
      <c r="A38" s="24">
        <v>14800128</v>
      </c>
      <c r="B38" s="24" t="s">
        <v>39</v>
      </c>
      <c r="C38" s="24" t="s">
        <v>1</v>
      </c>
      <c r="D38" s="24" t="s">
        <v>2</v>
      </c>
      <c r="E38" s="24">
        <v>1525</v>
      </c>
      <c r="F38" s="24">
        <v>0</v>
      </c>
      <c r="G38" s="24">
        <v>40</v>
      </c>
      <c r="H38" s="24"/>
      <c r="I38" s="24"/>
      <c r="J38" s="24"/>
      <c r="K38" s="24">
        <v>0</v>
      </c>
      <c r="L38" s="24" t="s">
        <v>3</v>
      </c>
    </row>
    <row r="39" spans="1:12" x14ac:dyDescent="0.25">
      <c r="A39" s="24">
        <v>14800152</v>
      </c>
      <c r="B39" s="24" t="s">
        <v>23</v>
      </c>
      <c r="C39" s="24" t="s">
        <v>1</v>
      </c>
      <c r="D39" s="24" t="s">
        <v>21</v>
      </c>
      <c r="E39" s="24">
        <v>1516</v>
      </c>
      <c r="F39" s="24">
        <v>0</v>
      </c>
      <c r="G39" s="24">
        <v>40</v>
      </c>
      <c r="H39" s="24"/>
      <c r="I39" s="24"/>
      <c r="J39" s="24"/>
      <c r="K39" s="24">
        <v>1995</v>
      </c>
      <c r="L39" s="24" t="s">
        <v>22</v>
      </c>
    </row>
    <row r="40" spans="1:12" x14ac:dyDescent="0.25">
      <c r="A40" s="23">
        <v>14800250</v>
      </c>
      <c r="B40" s="23" t="s">
        <v>28</v>
      </c>
      <c r="C40" s="23" t="s">
        <v>1</v>
      </c>
      <c r="D40" s="23" t="s">
        <v>29</v>
      </c>
      <c r="E40" s="23">
        <v>1512</v>
      </c>
      <c r="F40" s="23">
        <v>0</v>
      </c>
      <c r="G40" s="23">
        <v>20</v>
      </c>
      <c r="H40" s="23"/>
      <c r="I40" s="23"/>
      <c r="J40" s="23" t="s">
        <v>150</v>
      </c>
      <c r="K40" s="23">
        <v>1995</v>
      </c>
      <c r="L40" s="23" t="s">
        <v>17</v>
      </c>
    </row>
    <row r="41" spans="1:12" x14ac:dyDescent="0.25">
      <c r="A41" s="24">
        <v>14801485</v>
      </c>
      <c r="B41" s="24" t="s">
        <v>84</v>
      </c>
      <c r="C41" s="24" t="s">
        <v>1</v>
      </c>
      <c r="D41" s="24" t="s">
        <v>2</v>
      </c>
      <c r="E41" s="24">
        <v>1511</v>
      </c>
      <c r="F41" s="24">
        <v>0</v>
      </c>
      <c r="G41" s="24">
        <v>40</v>
      </c>
      <c r="H41" s="24"/>
      <c r="I41" s="24"/>
      <c r="J41" s="24"/>
      <c r="K41" s="24">
        <v>1998</v>
      </c>
      <c r="L41" s="24"/>
    </row>
    <row r="42" spans="1:12" x14ac:dyDescent="0.25">
      <c r="A42" s="24">
        <v>14801159</v>
      </c>
      <c r="B42" s="24" t="s">
        <v>57</v>
      </c>
      <c r="C42" s="24" t="s">
        <v>1</v>
      </c>
      <c r="D42" s="24" t="s">
        <v>2</v>
      </c>
      <c r="E42" s="24">
        <v>1504</v>
      </c>
      <c r="F42" s="24">
        <v>0</v>
      </c>
      <c r="G42" s="24">
        <v>40</v>
      </c>
      <c r="H42" s="24"/>
      <c r="I42" s="24"/>
      <c r="J42" s="24"/>
      <c r="K42" s="24">
        <v>1956</v>
      </c>
      <c r="L42" s="24" t="s">
        <v>3</v>
      </c>
    </row>
    <row r="43" spans="1:12" x14ac:dyDescent="0.25">
      <c r="A43" s="23">
        <v>14801922</v>
      </c>
      <c r="B43" s="23" t="s">
        <v>82</v>
      </c>
      <c r="C43" s="23" t="s">
        <v>1</v>
      </c>
      <c r="D43" s="23" t="s">
        <v>21</v>
      </c>
      <c r="E43" s="23">
        <v>1497</v>
      </c>
      <c r="F43" s="23">
        <v>0</v>
      </c>
      <c r="G43" s="23">
        <v>40</v>
      </c>
      <c r="H43" s="23"/>
      <c r="I43" s="23"/>
      <c r="J43" s="23"/>
      <c r="K43" s="23">
        <v>1999</v>
      </c>
      <c r="L43" s="23" t="s">
        <v>17</v>
      </c>
    </row>
    <row r="44" spans="1:12" x14ac:dyDescent="0.25">
      <c r="A44" s="23">
        <v>14801221</v>
      </c>
      <c r="B44" s="23" t="s">
        <v>52</v>
      </c>
      <c r="C44" s="23" t="s">
        <v>1</v>
      </c>
      <c r="D44" s="23" t="s">
        <v>2</v>
      </c>
      <c r="E44" s="23">
        <v>1495</v>
      </c>
      <c r="F44" s="23">
        <v>0</v>
      </c>
      <c r="G44" s="23">
        <v>40</v>
      </c>
      <c r="H44" s="23"/>
      <c r="I44" s="23"/>
      <c r="J44" s="23"/>
      <c r="K44" s="23">
        <v>1999</v>
      </c>
      <c r="L44" s="23" t="s">
        <v>3</v>
      </c>
    </row>
    <row r="45" spans="1:12" x14ac:dyDescent="0.25">
      <c r="A45" s="24">
        <v>14800454</v>
      </c>
      <c r="B45" s="24" t="s">
        <v>26</v>
      </c>
      <c r="C45" s="24" t="s">
        <v>1</v>
      </c>
      <c r="D45" s="24" t="s">
        <v>21</v>
      </c>
      <c r="E45" s="24">
        <v>1492</v>
      </c>
      <c r="F45" s="24">
        <v>0</v>
      </c>
      <c r="G45" s="24">
        <v>40</v>
      </c>
      <c r="H45" s="24"/>
      <c r="I45" s="24"/>
      <c r="J45" s="24"/>
      <c r="K45" s="24">
        <v>1999</v>
      </c>
      <c r="L45" s="24" t="s">
        <v>22</v>
      </c>
    </row>
    <row r="46" spans="1:12" x14ac:dyDescent="0.25">
      <c r="A46" s="23">
        <v>14801817</v>
      </c>
      <c r="B46" s="23" t="s">
        <v>89</v>
      </c>
      <c r="C46" s="23" t="s">
        <v>1</v>
      </c>
      <c r="D46" s="23" t="s">
        <v>2</v>
      </c>
      <c r="E46" s="23">
        <v>1486</v>
      </c>
      <c r="F46" s="23">
        <v>0</v>
      </c>
      <c r="G46" s="23">
        <v>40</v>
      </c>
      <c r="H46" s="23"/>
      <c r="I46" s="23"/>
      <c r="J46" s="23"/>
      <c r="K46" s="23">
        <v>1987</v>
      </c>
      <c r="L46" s="23"/>
    </row>
    <row r="47" spans="1:12" x14ac:dyDescent="0.25">
      <c r="A47" s="24">
        <v>14801906</v>
      </c>
      <c r="B47" s="24" t="s">
        <v>92</v>
      </c>
      <c r="C47" s="24" t="s">
        <v>1</v>
      </c>
      <c r="D47" s="24" t="s">
        <v>2</v>
      </c>
      <c r="E47" s="24">
        <v>1483</v>
      </c>
      <c r="F47" s="24">
        <v>0</v>
      </c>
      <c r="G47" s="24">
        <v>40</v>
      </c>
      <c r="H47" s="24"/>
      <c r="I47" s="24"/>
      <c r="J47" s="24" t="s">
        <v>223</v>
      </c>
      <c r="K47" s="24">
        <v>1995</v>
      </c>
      <c r="L47" s="24"/>
    </row>
    <row r="48" spans="1:12" x14ac:dyDescent="0.25">
      <c r="A48" s="23">
        <v>14800187</v>
      </c>
      <c r="B48" s="23" t="s">
        <v>27</v>
      </c>
      <c r="C48" s="23" t="s">
        <v>1</v>
      </c>
      <c r="D48" s="23" t="s">
        <v>21</v>
      </c>
      <c r="E48" s="23">
        <v>1472</v>
      </c>
      <c r="F48" s="23">
        <v>0</v>
      </c>
      <c r="G48" s="23">
        <v>40</v>
      </c>
      <c r="H48" s="23"/>
      <c r="I48" s="23"/>
      <c r="J48" s="23"/>
      <c r="K48" s="23">
        <v>1994</v>
      </c>
      <c r="L48" s="23" t="s">
        <v>22</v>
      </c>
    </row>
    <row r="49" spans="1:12" x14ac:dyDescent="0.25">
      <c r="A49" s="24">
        <v>14800292</v>
      </c>
      <c r="B49" s="24" t="s">
        <v>32</v>
      </c>
      <c r="C49" s="24" t="s">
        <v>1</v>
      </c>
      <c r="D49" s="24" t="s">
        <v>29</v>
      </c>
      <c r="E49" s="24">
        <v>1431</v>
      </c>
      <c r="F49" s="24">
        <v>0</v>
      </c>
      <c r="G49" s="24">
        <v>20</v>
      </c>
      <c r="H49" s="24"/>
      <c r="I49" s="24"/>
      <c r="J49" s="24"/>
      <c r="K49" s="24">
        <v>1998</v>
      </c>
      <c r="L49" s="24" t="s">
        <v>17</v>
      </c>
    </row>
    <row r="50" spans="1:12" x14ac:dyDescent="0.25">
      <c r="A50" s="24">
        <v>14800527</v>
      </c>
      <c r="B50" s="24" t="s">
        <v>88</v>
      </c>
      <c r="C50" s="24" t="s">
        <v>1</v>
      </c>
      <c r="D50" s="24" t="s">
        <v>2</v>
      </c>
      <c r="E50" s="24">
        <v>1409</v>
      </c>
      <c r="F50" s="24">
        <v>0</v>
      </c>
      <c r="G50" s="24">
        <v>40</v>
      </c>
      <c r="H50" s="24"/>
      <c r="I50" s="24"/>
      <c r="J50" s="24"/>
      <c r="K50" s="24">
        <v>1997</v>
      </c>
      <c r="L50" s="24"/>
    </row>
    <row r="51" spans="1:12" x14ac:dyDescent="0.25">
      <c r="A51" s="24">
        <v>14800462</v>
      </c>
      <c r="B51" s="24" t="s">
        <v>31</v>
      </c>
      <c r="C51" s="24" t="s">
        <v>1</v>
      </c>
      <c r="D51" s="24" t="s">
        <v>21</v>
      </c>
      <c r="E51" s="24">
        <v>1390</v>
      </c>
      <c r="F51" s="24">
        <v>0</v>
      </c>
      <c r="G51" s="24">
        <v>40</v>
      </c>
      <c r="H51" s="24"/>
      <c r="I51" s="24"/>
      <c r="J51" s="24"/>
      <c r="K51" s="24">
        <v>1991</v>
      </c>
      <c r="L51" s="24" t="s">
        <v>22</v>
      </c>
    </row>
    <row r="52" spans="1:12" x14ac:dyDescent="0.25">
      <c r="A52" s="24">
        <v>14801183</v>
      </c>
      <c r="B52" s="24" t="s">
        <v>87</v>
      </c>
      <c r="C52" s="24" t="s">
        <v>1</v>
      </c>
      <c r="D52" s="24" t="s">
        <v>2</v>
      </c>
      <c r="E52" s="24">
        <v>1385</v>
      </c>
      <c r="F52" s="24">
        <v>0</v>
      </c>
      <c r="G52" s="24">
        <v>40</v>
      </c>
      <c r="H52" s="24"/>
      <c r="I52" s="24"/>
      <c r="J52" s="24"/>
      <c r="K52" s="24">
        <v>2001</v>
      </c>
      <c r="L52" s="24"/>
    </row>
    <row r="53" spans="1:12" x14ac:dyDescent="0.25">
      <c r="A53" s="23">
        <v>14801523</v>
      </c>
      <c r="B53" s="23" t="s">
        <v>69</v>
      </c>
      <c r="C53" s="23" t="s">
        <v>1</v>
      </c>
      <c r="D53" s="23" t="s">
        <v>2</v>
      </c>
      <c r="E53" s="23">
        <v>1382</v>
      </c>
      <c r="F53" s="23">
        <v>0</v>
      </c>
      <c r="G53" s="23">
        <v>40</v>
      </c>
      <c r="H53" s="23"/>
      <c r="I53" s="23"/>
      <c r="J53" s="23"/>
      <c r="K53" s="23">
        <v>1995</v>
      </c>
      <c r="L53" s="23" t="s">
        <v>3</v>
      </c>
    </row>
    <row r="54" spans="1:12" x14ac:dyDescent="0.25">
      <c r="A54" s="23">
        <v>14800659</v>
      </c>
      <c r="B54" s="23" t="s">
        <v>47</v>
      </c>
      <c r="C54" s="23" t="s">
        <v>1</v>
      </c>
      <c r="D54" s="23" t="s">
        <v>21</v>
      </c>
      <c r="E54" s="23">
        <v>1376</v>
      </c>
      <c r="F54" s="23">
        <v>0</v>
      </c>
      <c r="G54" s="23">
        <v>40</v>
      </c>
      <c r="H54" s="23"/>
      <c r="I54" s="23"/>
      <c r="J54" s="23"/>
      <c r="K54" s="23">
        <v>2002</v>
      </c>
      <c r="L54" s="23" t="s">
        <v>17</v>
      </c>
    </row>
    <row r="55" spans="1:12" x14ac:dyDescent="0.25">
      <c r="A55" s="23">
        <v>14801280</v>
      </c>
      <c r="B55" s="23" t="s">
        <v>53</v>
      </c>
      <c r="C55" s="23" t="s">
        <v>1</v>
      </c>
      <c r="D55" s="23" t="s">
        <v>21</v>
      </c>
      <c r="E55" s="23">
        <v>1373</v>
      </c>
      <c r="F55" s="23">
        <v>0</v>
      </c>
      <c r="G55" s="23">
        <v>40</v>
      </c>
      <c r="H55" s="23"/>
      <c r="I55" s="23"/>
      <c r="J55" s="23"/>
      <c r="K55" s="23">
        <v>1996</v>
      </c>
      <c r="L55" s="23" t="s">
        <v>17</v>
      </c>
    </row>
    <row r="56" spans="1:12" x14ac:dyDescent="0.25">
      <c r="A56" s="23">
        <v>14801043</v>
      </c>
      <c r="B56" s="23" t="s">
        <v>51</v>
      </c>
      <c r="C56" s="23" t="s">
        <v>1</v>
      </c>
      <c r="D56" s="23" t="s">
        <v>21</v>
      </c>
      <c r="E56" s="23">
        <v>1364</v>
      </c>
      <c r="F56" s="23">
        <v>0</v>
      </c>
      <c r="G56" s="23">
        <v>40</v>
      </c>
      <c r="H56" s="23"/>
      <c r="I56" s="23"/>
      <c r="J56" s="23"/>
      <c r="K56" s="23">
        <v>2002</v>
      </c>
      <c r="L56" s="23" t="s">
        <v>17</v>
      </c>
    </row>
    <row r="57" spans="1:12" x14ac:dyDescent="0.25">
      <c r="A57" s="24">
        <v>14800209</v>
      </c>
      <c r="B57" s="24" t="s">
        <v>30</v>
      </c>
      <c r="C57" s="24" t="s">
        <v>1</v>
      </c>
      <c r="D57" s="24" t="s">
        <v>21</v>
      </c>
      <c r="E57" s="24">
        <v>1355</v>
      </c>
      <c r="F57" s="24">
        <v>0</v>
      </c>
      <c r="G57" s="24">
        <v>40</v>
      </c>
      <c r="H57" s="24"/>
      <c r="I57" s="24"/>
      <c r="J57" s="24"/>
      <c r="K57" s="24">
        <v>0</v>
      </c>
      <c r="L57" s="24" t="s">
        <v>17</v>
      </c>
    </row>
    <row r="58" spans="1:12" x14ac:dyDescent="0.25">
      <c r="A58" s="23">
        <v>14800470</v>
      </c>
      <c r="B58" s="23" t="s">
        <v>67</v>
      </c>
      <c r="C58" s="23" t="s">
        <v>1</v>
      </c>
      <c r="D58" s="23" t="s">
        <v>21</v>
      </c>
      <c r="E58" s="23">
        <v>1322</v>
      </c>
      <c r="F58" s="23">
        <v>0</v>
      </c>
      <c r="G58" s="23">
        <v>20</v>
      </c>
      <c r="H58" s="23"/>
      <c r="I58" s="23"/>
      <c r="J58" s="23"/>
      <c r="K58" s="23">
        <v>1996</v>
      </c>
      <c r="L58" s="23" t="s">
        <v>17</v>
      </c>
    </row>
    <row r="59" spans="1:12" x14ac:dyDescent="0.25">
      <c r="A59" s="24">
        <v>14800632</v>
      </c>
      <c r="B59" s="24" t="s">
        <v>38</v>
      </c>
      <c r="C59" s="24" t="s">
        <v>1</v>
      </c>
      <c r="D59" s="24" t="s">
        <v>2</v>
      </c>
      <c r="E59" s="24">
        <v>1270</v>
      </c>
      <c r="F59" s="24">
        <v>0</v>
      </c>
      <c r="G59" s="24">
        <v>40</v>
      </c>
      <c r="H59" s="24"/>
      <c r="I59" s="24"/>
      <c r="J59" s="24"/>
      <c r="K59" s="24">
        <v>2002</v>
      </c>
      <c r="L59" s="24" t="s">
        <v>3</v>
      </c>
    </row>
    <row r="60" spans="1:12" x14ac:dyDescent="0.25">
      <c r="A60" s="24">
        <v>14801582</v>
      </c>
      <c r="B60" s="24" t="s">
        <v>45</v>
      </c>
      <c r="C60" s="24" t="s">
        <v>1</v>
      </c>
      <c r="D60" s="24" t="s">
        <v>21</v>
      </c>
      <c r="E60" s="24">
        <v>1268</v>
      </c>
      <c r="F60" s="24">
        <v>0</v>
      </c>
      <c r="G60" s="24">
        <v>40</v>
      </c>
      <c r="H60" s="24"/>
      <c r="I60" s="24"/>
      <c r="J60" s="24"/>
      <c r="K60" s="24">
        <v>2000</v>
      </c>
      <c r="L60" s="24" t="s">
        <v>17</v>
      </c>
    </row>
    <row r="61" spans="1:12" x14ac:dyDescent="0.25">
      <c r="A61" s="23">
        <v>14800918</v>
      </c>
      <c r="B61" s="23" t="s">
        <v>79</v>
      </c>
      <c r="C61" s="23" t="s">
        <v>1</v>
      </c>
      <c r="D61" s="23" t="s">
        <v>2</v>
      </c>
      <c r="E61" s="23">
        <v>1267</v>
      </c>
      <c r="F61" s="23">
        <v>0</v>
      </c>
      <c r="G61" s="23">
        <v>40</v>
      </c>
      <c r="H61" s="23"/>
      <c r="I61" s="23"/>
      <c r="J61" s="23"/>
      <c r="K61" s="23">
        <v>2001</v>
      </c>
      <c r="L61" s="23"/>
    </row>
    <row r="62" spans="1:12" x14ac:dyDescent="0.25">
      <c r="A62" s="23">
        <v>14800675</v>
      </c>
      <c r="B62" s="23" t="s">
        <v>33</v>
      </c>
      <c r="C62" s="23" t="s">
        <v>1</v>
      </c>
      <c r="D62" s="23" t="s">
        <v>21</v>
      </c>
      <c r="E62" s="23">
        <v>1258</v>
      </c>
      <c r="F62" s="23">
        <v>0</v>
      </c>
      <c r="G62" s="23">
        <v>40</v>
      </c>
      <c r="H62" s="23"/>
      <c r="I62" s="23"/>
      <c r="J62" s="23"/>
      <c r="K62" s="23">
        <v>2000</v>
      </c>
      <c r="L62" s="23" t="s">
        <v>22</v>
      </c>
    </row>
    <row r="63" spans="1:12" x14ac:dyDescent="0.25">
      <c r="A63" s="23">
        <v>14800373</v>
      </c>
      <c r="B63" s="23" t="s">
        <v>36</v>
      </c>
      <c r="C63" s="23" t="s">
        <v>1</v>
      </c>
      <c r="D63" s="23" t="s">
        <v>2</v>
      </c>
      <c r="E63" s="23">
        <v>1213</v>
      </c>
      <c r="F63" s="23">
        <v>0</v>
      </c>
      <c r="G63" s="23">
        <v>40</v>
      </c>
      <c r="H63" s="23"/>
      <c r="I63" s="23"/>
      <c r="J63" s="23"/>
      <c r="K63" s="23">
        <v>2005</v>
      </c>
      <c r="L63" s="23"/>
    </row>
    <row r="64" spans="1:12" x14ac:dyDescent="0.25">
      <c r="A64" s="23">
        <v>14801000</v>
      </c>
      <c r="B64" s="23" t="s">
        <v>55</v>
      </c>
      <c r="C64" s="23" t="s">
        <v>1</v>
      </c>
      <c r="D64" s="23" t="s">
        <v>21</v>
      </c>
      <c r="E64" s="23">
        <v>1161</v>
      </c>
      <c r="F64" s="23">
        <v>0</v>
      </c>
      <c r="G64" s="23">
        <v>40</v>
      </c>
      <c r="H64" s="23"/>
      <c r="I64" s="23"/>
      <c r="J64" s="23"/>
      <c r="K64" s="23">
        <v>2005</v>
      </c>
      <c r="L64" s="23" t="s">
        <v>22</v>
      </c>
    </row>
    <row r="65" spans="1:12" x14ac:dyDescent="0.25">
      <c r="A65" s="24">
        <v>14800608</v>
      </c>
      <c r="B65" s="24" t="s">
        <v>34</v>
      </c>
      <c r="C65" s="24" t="s">
        <v>1</v>
      </c>
      <c r="D65" s="24" t="s">
        <v>21</v>
      </c>
      <c r="E65" s="24">
        <v>1152</v>
      </c>
      <c r="F65" s="24">
        <v>0</v>
      </c>
      <c r="G65" s="24">
        <v>40</v>
      </c>
      <c r="H65" s="24"/>
      <c r="I65" s="24"/>
      <c r="J65" s="24"/>
      <c r="K65" s="24">
        <v>2001</v>
      </c>
      <c r="L65" s="24" t="s">
        <v>22</v>
      </c>
    </row>
    <row r="66" spans="1:12" x14ac:dyDescent="0.25">
      <c r="A66" s="24">
        <v>14801078</v>
      </c>
      <c r="B66" s="24" t="s">
        <v>46</v>
      </c>
      <c r="C66" s="24" t="s">
        <v>1</v>
      </c>
      <c r="D66" s="24" t="s">
        <v>21</v>
      </c>
      <c r="E66" s="24">
        <v>1147</v>
      </c>
      <c r="F66" s="24">
        <v>0</v>
      </c>
      <c r="G66" s="24">
        <v>40</v>
      </c>
      <c r="H66" s="24"/>
      <c r="I66" s="24"/>
      <c r="J66" s="24"/>
      <c r="K66" s="24">
        <v>2003</v>
      </c>
      <c r="L66" s="24" t="s">
        <v>17</v>
      </c>
    </row>
    <row r="67" spans="1:12" x14ac:dyDescent="0.25">
      <c r="A67" s="23">
        <v>14801027</v>
      </c>
      <c r="B67" s="23" t="s">
        <v>62</v>
      </c>
      <c r="C67" s="23" t="s">
        <v>1</v>
      </c>
      <c r="D67" s="23" t="s">
        <v>21</v>
      </c>
      <c r="E67" s="23">
        <v>1116</v>
      </c>
      <c r="F67" s="23">
        <v>0</v>
      </c>
      <c r="G67" s="23">
        <v>40</v>
      </c>
      <c r="H67" s="23"/>
      <c r="I67" s="23"/>
      <c r="J67" s="23"/>
      <c r="K67" s="23">
        <v>2007</v>
      </c>
      <c r="L67" s="23" t="s">
        <v>17</v>
      </c>
    </row>
    <row r="68" spans="1:12" x14ac:dyDescent="0.25">
      <c r="A68" s="23">
        <v>14800829</v>
      </c>
      <c r="B68" s="23" t="s">
        <v>85</v>
      </c>
      <c r="C68" s="23" t="s">
        <v>1</v>
      </c>
      <c r="D68" s="23" t="s">
        <v>21</v>
      </c>
      <c r="E68" s="23">
        <v>1033</v>
      </c>
      <c r="F68" s="23">
        <v>0</v>
      </c>
      <c r="G68" s="23">
        <v>40</v>
      </c>
      <c r="H68" s="23"/>
      <c r="I68" s="23"/>
      <c r="J68" s="23"/>
      <c r="K68" s="23">
        <v>1995</v>
      </c>
      <c r="L68" s="23" t="s">
        <v>17</v>
      </c>
    </row>
    <row r="69" spans="1:12" x14ac:dyDescent="0.25">
      <c r="A69" s="23">
        <v>14800748</v>
      </c>
      <c r="B69" s="23" t="s">
        <v>125</v>
      </c>
      <c r="C69" s="23" t="s">
        <v>1</v>
      </c>
      <c r="D69" s="23" t="s">
        <v>21</v>
      </c>
      <c r="E69" s="23">
        <v>0</v>
      </c>
      <c r="F69" s="23"/>
      <c r="G69" s="23"/>
      <c r="H69" s="23"/>
      <c r="I69" s="23"/>
      <c r="J69" s="23"/>
      <c r="K69" s="23">
        <v>2001</v>
      </c>
      <c r="L69" s="23" t="s">
        <v>17</v>
      </c>
    </row>
    <row r="70" spans="1:12" x14ac:dyDescent="0.25">
      <c r="A70" s="23">
        <v>14801540</v>
      </c>
      <c r="B70" s="23" t="s">
        <v>126</v>
      </c>
      <c r="C70" s="23" t="s">
        <v>1</v>
      </c>
      <c r="D70" s="23" t="s">
        <v>21</v>
      </c>
      <c r="E70" s="23">
        <v>0</v>
      </c>
      <c r="F70" s="23"/>
      <c r="G70" s="23"/>
      <c r="H70" s="23"/>
      <c r="I70" s="23"/>
      <c r="J70" s="23"/>
      <c r="K70" s="23">
        <v>2011</v>
      </c>
      <c r="L70" s="23" t="s">
        <v>17</v>
      </c>
    </row>
    <row r="71" spans="1:12" x14ac:dyDescent="0.25">
      <c r="A71" s="24">
        <v>14801191</v>
      </c>
      <c r="B71" s="24" t="s">
        <v>127</v>
      </c>
      <c r="C71" s="24" t="s">
        <v>1</v>
      </c>
      <c r="D71" s="24" t="s">
        <v>2</v>
      </c>
      <c r="E71" s="23">
        <v>0</v>
      </c>
      <c r="F71" s="24"/>
      <c r="G71" s="24"/>
      <c r="H71" s="24"/>
      <c r="I71" s="24"/>
      <c r="J71" s="24"/>
      <c r="K71" s="24">
        <v>1998</v>
      </c>
      <c r="L71" s="24"/>
    </row>
    <row r="72" spans="1:12" x14ac:dyDescent="0.25">
      <c r="A72" s="23">
        <v>14800667</v>
      </c>
      <c r="B72" s="23" t="s">
        <v>128</v>
      </c>
      <c r="C72" s="23" t="s">
        <v>1</v>
      </c>
      <c r="D72" s="23" t="s">
        <v>2</v>
      </c>
      <c r="E72" s="23">
        <v>0</v>
      </c>
      <c r="F72" s="23"/>
      <c r="G72" s="23"/>
      <c r="H72" s="23"/>
      <c r="I72" s="23"/>
      <c r="J72" s="23"/>
      <c r="K72" s="23">
        <v>2000</v>
      </c>
      <c r="L72" s="23"/>
    </row>
    <row r="73" spans="1:12" x14ac:dyDescent="0.25">
      <c r="A73" s="24">
        <v>14801175</v>
      </c>
      <c r="B73" s="24" t="s">
        <v>129</v>
      </c>
      <c r="C73" s="24" t="s">
        <v>1</v>
      </c>
      <c r="D73" s="24" t="s">
        <v>2</v>
      </c>
      <c r="E73" s="23">
        <v>0</v>
      </c>
      <c r="F73" s="24"/>
      <c r="G73" s="24"/>
      <c r="H73" s="24"/>
      <c r="I73" s="24"/>
      <c r="J73" s="24"/>
      <c r="K73" s="24">
        <v>1980</v>
      </c>
      <c r="L73" s="24"/>
    </row>
    <row r="74" spans="1:12" x14ac:dyDescent="0.25">
      <c r="A74" s="24">
        <v>14800969</v>
      </c>
      <c r="B74" s="24" t="s">
        <v>131</v>
      </c>
      <c r="C74" s="24" t="s">
        <v>1</v>
      </c>
      <c r="D74" s="24" t="s">
        <v>2</v>
      </c>
      <c r="E74" s="23">
        <v>0</v>
      </c>
      <c r="F74" s="24"/>
      <c r="G74" s="24"/>
      <c r="H74" s="24"/>
      <c r="I74" s="24"/>
      <c r="J74" s="24"/>
      <c r="K74" s="24">
        <v>1979</v>
      </c>
      <c r="L74" s="24"/>
    </row>
    <row r="75" spans="1:12" x14ac:dyDescent="0.25">
      <c r="A75" s="24">
        <v>14801779</v>
      </c>
      <c r="B75" s="24" t="s">
        <v>132</v>
      </c>
      <c r="C75" s="24" t="s">
        <v>1</v>
      </c>
      <c r="D75" s="24" t="s">
        <v>21</v>
      </c>
      <c r="E75" s="23">
        <v>0</v>
      </c>
      <c r="F75" s="24"/>
      <c r="G75" s="24"/>
      <c r="H75" s="24"/>
      <c r="I75" s="24"/>
      <c r="J75" s="24"/>
      <c r="K75" s="24">
        <v>2010</v>
      </c>
      <c r="L75" s="24" t="s">
        <v>17</v>
      </c>
    </row>
    <row r="76" spans="1:12" x14ac:dyDescent="0.25">
      <c r="A76" s="23">
        <v>14800721</v>
      </c>
      <c r="B76" s="23" t="s">
        <v>133</v>
      </c>
      <c r="C76" s="23" t="s">
        <v>1</v>
      </c>
      <c r="D76" s="23" t="s">
        <v>2</v>
      </c>
      <c r="E76" s="23">
        <v>0</v>
      </c>
      <c r="F76" s="23"/>
      <c r="G76" s="23"/>
      <c r="H76" s="23"/>
      <c r="I76" s="23"/>
      <c r="J76" s="23"/>
      <c r="K76" s="23">
        <v>2000</v>
      </c>
      <c r="L76" s="23"/>
    </row>
    <row r="77" spans="1:12" x14ac:dyDescent="0.25">
      <c r="A77" s="24">
        <v>14800586</v>
      </c>
      <c r="B77" s="24" t="s">
        <v>134</v>
      </c>
      <c r="C77" s="24" t="s">
        <v>1</v>
      </c>
      <c r="D77" s="24" t="s">
        <v>21</v>
      </c>
      <c r="E77" s="23">
        <v>0</v>
      </c>
      <c r="F77" s="24"/>
      <c r="G77" s="24"/>
      <c r="H77" s="24"/>
      <c r="I77" s="24"/>
      <c r="J77" s="24"/>
      <c r="K77" s="24">
        <v>2004</v>
      </c>
      <c r="L77" s="24" t="s">
        <v>17</v>
      </c>
    </row>
    <row r="78" spans="1:12" x14ac:dyDescent="0.25">
      <c r="A78" s="23">
        <v>14801965</v>
      </c>
      <c r="B78" s="23" t="s">
        <v>135</v>
      </c>
      <c r="C78" s="23" t="s">
        <v>1</v>
      </c>
      <c r="D78" s="23" t="s">
        <v>21</v>
      </c>
      <c r="E78" s="23">
        <v>0</v>
      </c>
      <c r="F78" s="23"/>
      <c r="G78" s="23"/>
      <c r="H78" s="23"/>
      <c r="I78" s="23"/>
      <c r="J78" s="23"/>
      <c r="K78" s="23">
        <v>1995</v>
      </c>
      <c r="L78" s="23" t="s">
        <v>17</v>
      </c>
    </row>
    <row r="79" spans="1:12" x14ac:dyDescent="0.25">
      <c r="A79" s="23">
        <v>14800381</v>
      </c>
      <c r="B79" s="23" t="s">
        <v>136</v>
      </c>
      <c r="C79" s="23" t="s">
        <v>1</v>
      </c>
      <c r="D79" s="23" t="s">
        <v>21</v>
      </c>
      <c r="E79" s="23">
        <v>0</v>
      </c>
      <c r="F79" s="23"/>
      <c r="G79" s="23"/>
      <c r="H79" s="23"/>
      <c r="I79" s="23"/>
      <c r="J79" s="23"/>
      <c r="K79" s="23">
        <v>2004</v>
      </c>
      <c r="L79" s="23" t="s">
        <v>17</v>
      </c>
    </row>
    <row r="80" spans="1:12" x14ac:dyDescent="0.25">
      <c r="A80" s="24">
        <v>14800837</v>
      </c>
      <c r="B80" s="24" t="s">
        <v>137</v>
      </c>
      <c r="C80" s="24" t="s">
        <v>1</v>
      </c>
      <c r="D80" s="24" t="s">
        <v>21</v>
      </c>
      <c r="E80" s="23">
        <v>0</v>
      </c>
      <c r="F80" s="24"/>
      <c r="G80" s="24"/>
      <c r="H80" s="24"/>
      <c r="I80" s="24"/>
      <c r="J80" s="24"/>
      <c r="K80" s="24">
        <v>2001</v>
      </c>
      <c r="L80" s="24" t="s">
        <v>17</v>
      </c>
    </row>
    <row r="81" spans="1:12" x14ac:dyDescent="0.25">
      <c r="A81" s="23">
        <v>14802007</v>
      </c>
      <c r="B81" s="23" t="s">
        <v>138</v>
      </c>
      <c r="C81" s="23" t="s">
        <v>1</v>
      </c>
      <c r="D81" s="23" t="s">
        <v>2</v>
      </c>
      <c r="E81" s="23">
        <v>0</v>
      </c>
      <c r="F81" s="23"/>
      <c r="G81" s="23"/>
      <c r="H81" s="23"/>
      <c r="I81" s="23"/>
      <c r="J81" s="23"/>
      <c r="K81" s="23">
        <v>2000</v>
      </c>
      <c r="L81" s="23"/>
    </row>
    <row r="82" spans="1:12" x14ac:dyDescent="0.25">
      <c r="A82" s="23">
        <v>14801426</v>
      </c>
      <c r="B82" s="23" t="s">
        <v>140</v>
      </c>
      <c r="C82" s="23" t="s">
        <v>1</v>
      </c>
      <c r="D82" s="23" t="s">
        <v>2</v>
      </c>
      <c r="E82" s="23">
        <v>0</v>
      </c>
      <c r="F82" s="23"/>
      <c r="G82" s="23"/>
      <c r="H82" s="23"/>
      <c r="I82" s="23"/>
      <c r="J82" s="23"/>
      <c r="K82" s="23">
        <v>1963</v>
      </c>
      <c r="L82" s="23"/>
    </row>
    <row r="83" spans="1:12" x14ac:dyDescent="0.25">
      <c r="A83" s="24">
        <v>14800640</v>
      </c>
      <c r="B83" s="24" t="s">
        <v>141</v>
      </c>
      <c r="C83" s="24" t="s">
        <v>1</v>
      </c>
      <c r="D83" s="24" t="s">
        <v>21</v>
      </c>
      <c r="E83" s="23">
        <v>0</v>
      </c>
      <c r="F83" s="24"/>
      <c r="G83" s="24"/>
      <c r="H83" s="24"/>
      <c r="I83" s="24"/>
      <c r="J83" s="24"/>
      <c r="K83" s="24">
        <v>2005</v>
      </c>
      <c r="L83" s="24" t="s">
        <v>17</v>
      </c>
    </row>
    <row r="84" spans="1:12" x14ac:dyDescent="0.25">
      <c r="A84" s="24">
        <v>14801590</v>
      </c>
      <c r="B84" s="24" t="s">
        <v>143</v>
      </c>
      <c r="C84" s="24" t="s">
        <v>1</v>
      </c>
      <c r="D84" s="24" t="s">
        <v>21</v>
      </c>
      <c r="E84" s="23">
        <v>0</v>
      </c>
      <c r="F84" s="24"/>
      <c r="G84" s="24"/>
      <c r="H84" s="24"/>
      <c r="I84" s="24"/>
      <c r="J84" s="24"/>
      <c r="K84" s="24">
        <v>2009</v>
      </c>
      <c r="L84" s="24" t="s">
        <v>17</v>
      </c>
    </row>
    <row r="85" spans="1:12" x14ac:dyDescent="0.25">
      <c r="A85" s="23">
        <v>14801604</v>
      </c>
      <c r="B85" s="23" t="s">
        <v>144</v>
      </c>
      <c r="C85" s="23" t="s">
        <v>1</v>
      </c>
      <c r="D85" s="23" t="s">
        <v>2</v>
      </c>
      <c r="E85" s="23">
        <v>0</v>
      </c>
      <c r="F85" s="23"/>
      <c r="G85" s="23"/>
      <c r="H85" s="23"/>
      <c r="I85" s="23"/>
      <c r="J85" s="23"/>
      <c r="K85" s="23">
        <v>2012</v>
      </c>
      <c r="L85" s="23"/>
    </row>
    <row r="86" spans="1:12" x14ac:dyDescent="0.25">
      <c r="A86" s="23">
        <v>14801655</v>
      </c>
      <c r="B86" s="23" t="s">
        <v>145</v>
      </c>
      <c r="C86" s="23" t="s">
        <v>1</v>
      </c>
      <c r="D86" s="23" t="s">
        <v>2</v>
      </c>
      <c r="E86" s="23">
        <v>0</v>
      </c>
      <c r="F86" s="23"/>
      <c r="G86" s="23"/>
      <c r="H86" s="23"/>
      <c r="I86" s="23"/>
      <c r="J86" s="23"/>
      <c r="K86" s="23">
        <v>1971</v>
      </c>
      <c r="L86" s="23"/>
    </row>
    <row r="87" spans="1:12" x14ac:dyDescent="0.25">
      <c r="A87" s="23">
        <v>14800900</v>
      </c>
      <c r="B87" s="23" t="s">
        <v>146</v>
      </c>
      <c r="C87" s="23" t="s">
        <v>1</v>
      </c>
      <c r="D87" s="23" t="s">
        <v>2</v>
      </c>
      <c r="E87" s="23">
        <v>0</v>
      </c>
      <c r="F87" s="23"/>
      <c r="G87" s="23"/>
      <c r="H87" s="23"/>
      <c r="I87" s="23"/>
      <c r="J87" s="23"/>
      <c r="K87" s="23">
        <v>1990</v>
      </c>
      <c r="L87" s="23"/>
    </row>
    <row r="88" spans="1:12" x14ac:dyDescent="0.25">
      <c r="A88" s="24">
        <v>14800977</v>
      </c>
      <c r="B88" s="24" t="s">
        <v>147</v>
      </c>
      <c r="C88" s="24" t="s">
        <v>1</v>
      </c>
      <c r="D88" s="24" t="s">
        <v>2</v>
      </c>
      <c r="E88" s="23">
        <v>0</v>
      </c>
      <c r="F88" s="24"/>
      <c r="G88" s="24"/>
      <c r="H88" s="24"/>
      <c r="I88" s="24"/>
      <c r="J88" s="24"/>
      <c r="K88" s="24">
        <v>1993</v>
      </c>
      <c r="L88" s="24"/>
    </row>
    <row r="89" spans="1:12" x14ac:dyDescent="0.25">
      <c r="A89" s="23">
        <v>14801760</v>
      </c>
      <c r="B89" s="23" t="s">
        <v>148</v>
      </c>
      <c r="C89" s="23" t="s">
        <v>1</v>
      </c>
      <c r="D89" s="23" t="s">
        <v>2</v>
      </c>
      <c r="E89" s="23">
        <v>0</v>
      </c>
      <c r="F89" s="23"/>
      <c r="G89" s="23"/>
      <c r="H89" s="23"/>
      <c r="I89" s="23"/>
      <c r="J89" s="23"/>
      <c r="K89" s="23">
        <v>2011</v>
      </c>
      <c r="L89" s="23"/>
    </row>
    <row r="90" spans="1:12" x14ac:dyDescent="0.25">
      <c r="A90" s="24">
        <v>14801396</v>
      </c>
      <c r="B90" s="24" t="s">
        <v>149</v>
      </c>
      <c r="C90" s="24" t="s">
        <v>1</v>
      </c>
      <c r="D90" s="24" t="s">
        <v>2</v>
      </c>
      <c r="E90" s="23">
        <v>0</v>
      </c>
      <c r="F90" s="24"/>
      <c r="G90" s="24"/>
      <c r="H90" s="24"/>
      <c r="I90" s="24"/>
      <c r="J90" s="24"/>
      <c r="K90" s="24">
        <v>1993</v>
      </c>
      <c r="L90" s="24"/>
    </row>
    <row r="91" spans="1:12" x14ac:dyDescent="0.25">
      <c r="A91" s="23">
        <v>14802031</v>
      </c>
      <c r="B91" s="23" t="s">
        <v>151</v>
      </c>
      <c r="C91" s="23" t="s">
        <v>1</v>
      </c>
      <c r="D91" s="23" t="s">
        <v>2</v>
      </c>
      <c r="E91" s="23">
        <v>0</v>
      </c>
      <c r="F91" s="23"/>
      <c r="G91" s="23"/>
      <c r="H91" s="23"/>
      <c r="I91" s="23"/>
      <c r="J91" s="23"/>
      <c r="K91" s="23">
        <v>1995</v>
      </c>
      <c r="L91" s="23"/>
    </row>
    <row r="92" spans="1:12" x14ac:dyDescent="0.25">
      <c r="A92" s="23">
        <v>14801736</v>
      </c>
      <c r="B92" s="23" t="s">
        <v>152</v>
      </c>
      <c r="C92" s="23" t="s">
        <v>1</v>
      </c>
      <c r="D92" s="23" t="s">
        <v>21</v>
      </c>
      <c r="E92" s="23">
        <v>0</v>
      </c>
      <c r="F92" s="23"/>
      <c r="G92" s="23"/>
      <c r="H92" s="23"/>
      <c r="I92" s="23"/>
      <c r="J92" s="23"/>
      <c r="K92" s="23">
        <v>2006</v>
      </c>
      <c r="L92" s="23" t="s">
        <v>17</v>
      </c>
    </row>
    <row r="93" spans="1:12" x14ac:dyDescent="0.25">
      <c r="A93" s="24">
        <v>14801094</v>
      </c>
      <c r="B93" s="24" t="s">
        <v>153</v>
      </c>
      <c r="C93" s="24" t="s">
        <v>1</v>
      </c>
      <c r="D93" s="24" t="s">
        <v>21</v>
      </c>
      <c r="E93" s="23">
        <v>0</v>
      </c>
      <c r="F93" s="24"/>
      <c r="G93" s="24"/>
      <c r="H93" s="24"/>
      <c r="I93" s="24"/>
      <c r="J93" s="24"/>
      <c r="K93" s="24">
        <v>2005</v>
      </c>
      <c r="L93" s="24" t="s">
        <v>17</v>
      </c>
    </row>
    <row r="94" spans="1:12" x14ac:dyDescent="0.25">
      <c r="A94" s="24">
        <v>14800861</v>
      </c>
      <c r="B94" s="24" t="s">
        <v>154</v>
      </c>
      <c r="C94" s="24" t="s">
        <v>1</v>
      </c>
      <c r="D94" s="24" t="s">
        <v>2</v>
      </c>
      <c r="E94" s="23">
        <v>0</v>
      </c>
      <c r="F94" s="24"/>
      <c r="G94" s="24"/>
      <c r="H94" s="24"/>
      <c r="I94" s="24"/>
      <c r="J94" s="24"/>
      <c r="K94" s="24">
        <v>2000</v>
      </c>
      <c r="L94" s="24"/>
    </row>
    <row r="95" spans="1:12" x14ac:dyDescent="0.25">
      <c r="A95" s="23">
        <v>14801213</v>
      </c>
      <c r="B95" s="23" t="s">
        <v>155</v>
      </c>
      <c r="C95" s="23" t="s">
        <v>1</v>
      </c>
      <c r="D95" s="23" t="s">
        <v>2</v>
      </c>
      <c r="E95" s="23">
        <v>0</v>
      </c>
      <c r="F95" s="23"/>
      <c r="G95" s="23"/>
      <c r="H95" s="23"/>
      <c r="I95" s="23"/>
      <c r="J95" s="23"/>
      <c r="K95" s="23">
        <v>1994</v>
      </c>
      <c r="L95" s="23"/>
    </row>
    <row r="96" spans="1:12" x14ac:dyDescent="0.25">
      <c r="A96" s="23">
        <v>14801981</v>
      </c>
      <c r="B96" s="23" t="s">
        <v>156</v>
      </c>
      <c r="C96" s="23" t="s">
        <v>1</v>
      </c>
      <c r="D96" s="23" t="s">
        <v>21</v>
      </c>
      <c r="E96" s="23">
        <v>0</v>
      </c>
      <c r="F96" s="23"/>
      <c r="G96" s="23"/>
      <c r="H96" s="23"/>
      <c r="I96" s="23"/>
      <c r="J96" s="23"/>
      <c r="K96" s="23">
        <v>1994</v>
      </c>
      <c r="L96" s="23" t="s">
        <v>17</v>
      </c>
    </row>
    <row r="97" spans="1:12" x14ac:dyDescent="0.25">
      <c r="A97" s="24">
        <v>14800322</v>
      </c>
      <c r="B97" s="24" t="s">
        <v>157</v>
      </c>
      <c r="C97" s="24" t="s">
        <v>1</v>
      </c>
      <c r="D97" s="24" t="s">
        <v>2</v>
      </c>
      <c r="E97" s="23">
        <v>0</v>
      </c>
      <c r="F97" s="24"/>
      <c r="G97" s="24"/>
      <c r="H97" s="24"/>
      <c r="I97" s="24"/>
      <c r="J97" s="24"/>
      <c r="K97" s="24">
        <v>0</v>
      </c>
      <c r="L97" s="24"/>
    </row>
    <row r="98" spans="1:12" x14ac:dyDescent="0.25">
      <c r="A98" s="23">
        <v>14801450</v>
      </c>
      <c r="B98" s="23" t="s">
        <v>158</v>
      </c>
      <c r="C98" s="23" t="s">
        <v>1</v>
      </c>
      <c r="D98" s="23" t="s">
        <v>2</v>
      </c>
      <c r="E98" s="23">
        <v>0</v>
      </c>
      <c r="F98" s="23"/>
      <c r="G98" s="23"/>
      <c r="H98" s="23"/>
      <c r="I98" s="23"/>
      <c r="J98" s="23"/>
      <c r="K98" s="23">
        <v>1968</v>
      </c>
      <c r="L98" s="23"/>
    </row>
    <row r="99" spans="1:12" x14ac:dyDescent="0.25">
      <c r="A99" s="23">
        <v>14801620</v>
      </c>
      <c r="B99" s="23" t="s">
        <v>159</v>
      </c>
      <c r="C99" s="23" t="s">
        <v>1</v>
      </c>
      <c r="D99" s="23" t="s">
        <v>2</v>
      </c>
      <c r="E99" s="23">
        <v>0</v>
      </c>
      <c r="F99" s="23"/>
      <c r="G99" s="23"/>
      <c r="H99" s="23"/>
      <c r="I99" s="23"/>
      <c r="J99" s="23"/>
      <c r="K99" s="23">
        <v>2013</v>
      </c>
      <c r="L99" s="23"/>
    </row>
    <row r="100" spans="1:12" x14ac:dyDescent="0.25">
      <c r="A100" s="24">
        <v>14801442</v>
      </c>
      <c r="B100" s="24" t="s">
        <v>160</v>
      </c>
      <c r="C100" s="24" t="s">
        <v>1</v>
      </c>
      <c r="D100" s="24" t="s">
        <v>2</v>
      </c>
      <c r="E100" s="23">
        <v>0</v>
      </c>
      <c r="F100" s="24"/>
      <c r="G100" s="24"/>
      <c r="H100" s="24"/>
      <c r="I100" s="24"/>
      <c r="J100" s="24"/>
      <c r="K100" s="24">
        <v>1981</v>
      </c>
      <c r="L100" s="24"/>
    </row>
    <row r="101" spans="1:12" x14ac:dyDescent="0.25">
      <c r="A101" s="23">
        <v>14800420</v>
      </c>
      <c r="B101" s="23" t="s">
        <v>161</v>
      </c>
      <c r="C101" s="23" t="s">
        <v>1</v>
      </c>
      <c r="D101" s="23" t="s">
        <v>21</v>
      </c>
      <c r="E101" s="23">
        <v>0</v>
      </c>
      <c r="F101" s="23"/>
      <c r="G101" s="23"/>
      <c r="H101" s="23"/>
      <c r="I101" s="23"/>
      <c r="J101" s="23"/>
      <c r="K101" s="23">
        <v>2001</v>
      </c>
      <c r="L101" s="23" t="s">
        <v>17</v>
      </c>
    </row>
    <row r="102" spans="1:12" x14ac:dyDescent="0.25">
      <c r="A102" s="24">
        <v>14801744</v>
      </c>
      <c r="B102" s="24" t="s">
        <v>162</v>
      </c>
      <c r="C102" s="24" t="s">
        <v>1</v>
      </c>
      <c r="D102" s="24" t="s">
        <v>2</v>
      </c>
      <c r="E102" s="23">
        <v>0</v>
      </c>
      <c r="F102" s="24"/>
      <c r="G102" s="24"/>
      <c r="H102" s="24"/>
      <c r="I102" s="24"/>
      <c r="J102" s="24"/>
      <c r="K102" s="24">
        <v>2008</v>
      </c>
      <c r="L102" s="24"/>
    </row>
    <row r="103" spans="1:12" x14ac:dyDescent="0.25">
      <c r="A103" s="23">
        <v>14801973</v>
      </c>
      <c r="B103" s="23" t="s">
        <v>163</v>
      </c>
      <c r="C103" s="23" t="s">
        <v>1</v>
      </c>
      <c r="D103" s="23" t="s">
        <v>2</v>
      </c>
      <c r="E103" s="23">
        <v>0</v>
      </c>
      <c r="F103" s="23"/>
      <c r="G103" s="23"/>
      <c r="H103" s="23"/>
      <c r="I103" s="23"/>
      <c r="J103" s="23"/>
      <c r="K103" s="23">
        <v>1986</v>
      </c>
      <c r="L103" s="23"/>
    </row>
    <row r="104" spans="1:12" x14ac:dyDescent="0.25">
      <c r="A104" s="24">
        <v>14801060</v>
      </c>
      <c r="B104" s="24" t="s">
        <v>164</v>
      </c>
      <c r="C104" s="24" t="s">
        <v>1</v>
      </c>
      <c r="D104" s="24" t="s">
        <v>2</v>
      </c>
      <c r="E104" s="23">
        <v>0</v>
      </c>
      <c r="F104" s="24"/>
      <c r="G104" s="24"/>
      <c r="H104" s="24"/>
      <c r="I104" s="24"/>
      <c r="J104" s="24"/>
      <c r="K104" s="24">
        <v>2003</v>
      </c>
      <c r="L104" s="24"/>
    </row>
    <row r="105" spans="1:12" x14ac:dyDescent="0.25">
      <c r="A105" s="23">
        <v>14801949</v>
      </c>
      <c r="B105" s="23" t="s">
        <v>165</v>
      </c>
      <c r="C105" s="23" t="s">
        <v>1</v>
      </c>
      <c r="D105" s="23" t="s">
        <v>2</v>
      </c>
      <c r="E105" s="23">
        <v>0</v>
      </c>
      <c r="F105" s="23"/>
      <c r="G105" s="23"/>
      <c r="H105" s="23"/>
      <c r="I105" s="23"/>
      <c r="J105" s="23"/>
      <c r="K105" s="23">
        <v>1995</v>
      </c>
      <c r="L105" s="23"/>
    </row>
    <row r="106" spans="1:12" x14ac:dyDescent="0.25">
      <c r="A106" s="23">
        <v>14800799</v>
      </c>
      <c r="B106" s="23" t="s">
        <v>166</v>
      </c>
      <c r="C106" s="23" t="s">
        <v>1</v>
      </c>
      <c r="D106" s="23" t="s">
        <v>2</v>
      </c>
      <c r="E106" s="23">
        <v>0</v>
      </c>
      <c r="F106" s="23"/>
      <c r="G106" s="23"/>
      <c r="H106" s="23"/>
      <c r="I106" s="23"/>
      <c r="J106" s="23"/>
      <c r="K106" s="23">
        <v>1999</v>
      </c>
      <c r="L106" s="23"/>
    </row>
    <row r="107" spans="1:12" x14ac:dyDescent="0.25">
      <c r="A107" s="24">
        <v>14800390</v>
      </c>
      <c r="B107" s="24" t="s">
        <v>167</v>
      </c>
      <c r="C107" s="24" t="s">
        <v>1</v>
      </c>
      <c r="D107" s="24" t="s">
        <v>2</v>
      </c>
      <c r="E107" s="23">
        <v>0</v>
      </c>
      <c r="F107" s="24"/>
      <c r="G107" s="24"/>
      <c r="H107" s="24"/>
      <c r="I107" s="24"/>
      <c r="J107" s="24"/>
      <c r="K107" s="24">
        <v>1985</v>
      </c>
      <c r="L107" s="24"/>
    </row>
    <row r="108" spans="1:12" x14ac:dyDescent="0.25">
      <c r="A108" s="23">
        <v>14800560</v>
      </c>
      <c r="B108" s="23" t="s">
        <v>168</v>
      </c>
      <c r="C108" s="23" t="s">
        <v>1</v>
      </c>
      <c r="D108" s="23" t="s">
        <v>21</v>
      </c>
      <c r="E108" s="23">
        <v>0</v>
      </c>
      <c r="F108" s="23"/>
      <c r="G108" s="23"/>
      <c r="H108" s="23"/>
      <c r="I108" s="23"/>
      <c r="J108" s="23"/>
      <c r="K108" s="23">
        <v>2009</v>
      </c>
      <c r="L108" s="23" t="s">
        <v>17</v>
      </c>
    </row>
    <row r="109" spans="1:12" x14ac:dyDescent="0.25">
      <c r="A109" s="24">
        <v>14800942</v>
      </c>
      <c r="B109" s="24" t="s">
        <v>169</v>
      </c>
      <c r="C109" s="24" t="s">
        <v>1</v>
      </c>
      <c r="D109" s="24" t="s">
        <v>2</v>
      </c>
      <c r="E109" s="23">
        <v>0</v>
      </c>
      <c r="F109" s="24"/>
      <c r="G109" s="24"/>
      <c r="H109" s="24"/>
      <c r="I109" s="24"/>
      <c r="J109" s="24"/>
      <c r="K109" s="24">
        <v>2001</v>
      </c>
      <c r="L109" s="24"/>
    </row>
    <row r="110" spans="1:12" x14ac:dyDescent="0.25">
      <c r="A110" s="23">
        <v>14800845</v>
      </c>
      <c r="B110" s="23" t="s">
        <v>170</v>
      </c>
      <c r="C110" s="23" t="s">
        <v>1</v>
      </c>
      <c r="D110" s="23" t="s">
        <v>2</v>
      </c>
      <c r="E110" s="23">
        <v>0</v>
      </c>
      <c r="F110" s="23"/>
      <c r="G110" s="23"/>
      <c r="H110" s="23"/>
      <c r="I110" s="23"/>
      <c r="J110" s="23"/>
      <c r="K110" s="23">
        <v>1997</v>
      </c>
      <c r="L110" s="23"/>
    </row>
    <row r="111" spans="1:12" x14ac:dyDescent="0.25">
      <c r="A111" s="24">
        <v>14801639</v>
      </c>
      <c r="B111" s="24" t="s">
        <v>171</v>
      </c>
      <c r="C111" s="24" t="s">
        <v>1</v>
      </c>
      <c r="D111" s="24" t="s">
        <v>2</v>
      </c>
      <c r="E111" s="23">
        <v>0</v>
      </c>
      <c r="F111" s="24"/>
      <c r="G111" s="24"/>
      <c r="H111" s="24"/>
      <c r="I111" s="24"/>
      <c r="J111" s="24"/>
      <c r="K111" s="24">
        <v>2005</v>
      </c>
      <c r="L111" s="24"/>
    </row>
    <row r="112" spans="1:12" x14ac:dyDescent="0.25">
      <c r="A112" s="23">
        <v>14800888</v>
      </c>
      <c r="B112" s="23" t="s">
        <v>172</v>
      </c>
      <c r="C112" s="23" t="s">
        <v>1</v>
      </c>
      <c r="D112" s="23" t="s">
        <v>2</v>
      </c>
      <c r="E112" s="23">
        <v>0</v>
      </c>
      <c r="F112" s="23"/>
      <c r="G112" s="23"/>
      <c r="H112" s="23"/>
      <c r="I112" s="23"/>
      <c r="J112" s="23"/>
      <c r="K112" s="23">
        <v>1998</v>
      </c>
      <c r="L112" s="23"/>
    </row>
    <row r="113" spans="1:12" x14ac:dyDescent="0.25">
      <c r="A113" s="23">
        <v>14801787</v>
      </c>
      <c r="B113" s="23" t="s">
        <v>173</v>
      </c>
      <c r="C113" s="23" t="s">
        <v>1</v>
      </c>
      <c r="D113" s="23" t="s">
        <v>21</v>
      </c>
      <c r="E113" s="23">
        <v>0</v>
      </c>
      <c r="F113" s="23"/>
      <c r="G113" s="23"/>
      <c r="H113" s="23"/>
      <c r="I113" s="23"/>
      <c r="J113" s="23"/>
      <c r="K113" s="23">
        <v>2012</v>
      </c>
      <c r="L113" s="23" t="s">
        <v>17</v>
      </c>
    </row>
    <row r="114" spans="1:12" x14ac:dyDescent="0.25">
      <c r="A114" s="24">
        <v>14801868</v>
      </c>
      <c r="B114" s="24" t="s">
        <v>174</v>
      </c>
      <c r="C114" s="24" t="s">
        <v>1</v>
      </c>
      <c r="D114" s="24" t="s">
        <v>2</v>
      </c>
      <c r="E114" s="23">
        <v>0</v>
      </c>
      <c r="F114" s="24"/>
      <c r="G114" s="24"/>
      <c r="H114" s="24"/>
      <c r="I114" s="24"/>
      <c r="J114" s="24"/>
      <c r="K114" s="24">
        <v>2003</v>
      </c>
      <c r="L114" s="24"/>
    </row>
    <row r="115" spans="1:12" x14ac:dyDescent="0.25">
      <c r="A115" s="23">
        <v>14801990</v>
      </c>
      <c r="B115" s="23" t="s">
        <v>175</v>
      </c>
      <c r="C115" s="23" t="s">
        <v>1</v>
      </c>
      <c r="D115" s="23" t="s">
        <v>2</v>
      </c>
      <c r="E115" s="23">
        <v>0</v>
      </c>
      <c r="F115" s="23"/>
      <c r="G115" s="23"/>
      <c r="H115" s="23"/>
      <c r="I115" s="23"/>
      <c r="J115" s="23"/>
      <c r="K115" s="23">
        <v>1992</v>
      </c>
      <c r="L115" s="23"/>
    </row>
    <row r="116" spans="1:12" x14ac:dyDescent="0.25">
      <c r="A116" s="24">
        <v>14800497</v>
      </c>
      <c r="B116" s="24" t="s">
        <v>176</v>
      </c>
      <c r="C116" s="24" t="s">
        <v>1</v>
      </c>
      <c r="D116" s="24" t="s">
        <v>2</v>
      </c>
      <c r="E116" s="23">
        <v>0</v>
      </c>
      <c r="F116" s="24"/>
      <c r="G116" s="24"/>
      <c r="H116" s="24"/>
      <c r="I116" s="24"/>
      <c r="J116" s="24"/>
      <c r="K116" s="24">
        <v>1989</v>
      </c>
      <c r="L116" s="24"/>
    </row>
    <row r="117" spans="1:12" x14ac:dyDescent="0.25">
      <c r="A117" s="23">
        <v>14801825</v>
      </c>
      <c r="B117" s="23" t="s">
        <v>177</v>
      </c>
      <c r="C117" s="23" t="s">
        <v>1</v>
      </c>
      <c r="D117" s="23" t="s">
        <v>21</v>
      </c>
      <c r="E117" s="23">
        <v>0</v>
      </c>
      <c r="F117" s="23"/>
      <c r="G117" s="23"/>
      <c r="H117" s="23"/>
      <c r="I117" s="23"/>
      <c r="J117" s="23"/>
      <c r="K117" s="23">
        <v>2004</v>
      </c>
      <c r="L117" s="23" t="s">
        <v>17</v>
      </c>
    </row>
    <row r="118" spans="1:12" x14ac:dyDescent="0.25">
      <c r="A118" s="24">
        <v>14801035</v>
      </c>
      <c r="B118" s="24" t="s">
        <v>178</v>
      </c>
      <c r="C118" s="24" t="s">
        <v>1</v>
      </c>
      <c r="D118" s="24" t="s">
        <v>21</v>
      </c>
      <c r="E118" s="23">
        <v>0</v>
      </c>
      <c r="F118" s="24"/>
      <c r="G118" s="24"/>
      <c r="H118" s="24"/>
      <c r="I118" s="24"/>
      <c r="J118" s="24"/>
      <c r="K118" s="24">
        <v>2002</v>
      </c>
      <c r="L118" s="24" t="s">
        <v>17</v>
      </c>
    </row>
    <row r="119" spans="1:12" x14ac:dyDescent="0.25">
      <c r="A119" s="24">
        <v>14801140</v>
      </c>
      <c r="B119" s="24" t="s">
        <v>179</v>
      </c>
      <c r="C119" s="24" t="s">
        <v>1</v>
      </c>
      <c r="D119" s="24" t="s">
        <v>2</v>
      </c>
      <c r="E119" s="23">
        <v>0</v>
      </c>
      <c r="F119" s="24"/>
      <c r="G119" s="24"/>
      <c r="H119" s="24"/>
      <c r="I119" s="24"/>
      <c r="J119" s="24"/>
      <c r="K119" s="24">
        <v>1965</v>
      </c>
      <c r="L119" s="24"/>
    </row>
    <row r="120" spans="1:12" x14ac:dyDescent="0.25">
      <c r="A120" s="23">
        <v>14801299</v>
      </c>
      <c r="B120" s="23" t="s">
        <v>180</v>
      </c>
      <c r="C120" s="23" t="s">
        <v>1</v>
      </c>
      <c r="D120" s="23" t="s">
        <v>21</v>
      </c>
      <c r="E120" s="23">
        <v>0</v>
      </c>
      <c r="F120" s="23"/>
      <c r="G120" s="23"/>
      <c r="H120" s="23"/>
      <c r="I120" s="23"/>
      <c r="J120" s="23"/>
      <c r="K120" s="23">
        <v>1996</v>
      </c>
      <c r="L120" s="23" t="s">
        <v>17</v>
      </c>
    </row>
    <row r="121" spans="1:12" x14ac:dyDescent="0.25">
      <c r="A121" s="24">
        <v>14801400</v>
      </c>
      <c r="B121" s="24" t="s">
        <v>181</v>
      </c>
      <c r="C121" s="24" t="s">
        <v>1</v>
      </c>
      <c r="D121" s="24" t="s">
        <v>2</v>
      </c>
      <c r="E121" s="23">
        <v>0</v>
      </c>
      <c r="F121" s="24"/>
      <c r="G121" s="24"/>
      <c r="H121" s="24"/>
      <c r="I121" s="24"/>
      <c r="J121" s="24"/>
      <c r="K121" s="24">
        <v>1998</v>
      </c>
      <c r="L121" s="24"/>
    </row>
    <row r="122" spans="1:12" x14ac:dyDescent="0.25">
      <c r="A122" s="24">
        <v>14800330</v>
      </c>
      <c r="B122" s="24" t="s">
        <v>182</v>
      </c>
      <c r="C122" s="24" t="s">
        <v>1</v>
      </c>
      <c r="D122" s="24" t="s">
        <v>21</v>
      </c>
      <c r="E122" s="23">
        <v>0</v>
      </c>
      <c r="F122" s="24"/>
      <c r="G122" s="24"/>
      <c r="H122" s="24"/>
      <c r="I122" s="24"/>
      <c r="J122" s="24"/>
      <c r="K122" s="24">
        <v>0</v>
      </c>
      <c r="L122" s="24" t="s">
        <v>17</v>
      </c>
    </row>
    <row r="123" spans="1:12" x14ac:dyDescent="0.25">
      <c r="A123" s="23">
        <v>14801477</v>
      </c>
      <c r="B123" s="23" t="s">
        <v>183</v>
      </c>
      <c r="C123" s="23" t="s">
        <v>1</v>
      </c>
      <c r="D123" s="23" t="s">
        <v>2</v>
      </c>
      <c r="E123" s="23">
        <v>0</v>
      </c>
      <c r="F123" s="23"/>
      <c r="G123" s="23"/>
      <c r="H123" s="23"/>
      <c r="I123" s="23"/>
      <c r="J123" s="23"/>
      <c r="K123" s="23">
        <v>1999</v>
      </c>
      <c r="L123" s="23"/>
    </row>
    <row r="124" spans="1:12" x14ac:dyDescent="0.25">
      <c r="A124" s="24">
        <v>14801710</v>
      </c>
      <c r="B124" s="24" t="s">
        <v>184</v>
      </c>
      <c r="C124" s="24" t="s">
        <v>1</v>
      </c>
      <c r="D124" s="24" t="s">
        <v>2</v>
      </c>
      <c r="E124" s="23">
        <v>0</v>
      </c>
      <c r="F124" s="24"/>
      <c r="G124" s="24"/>
      <c r="H124" s="24"/>
      <c r="I124" s="24"/>
      <c r="J124" s="24"/>
      <c r="K124" s="24">
        <v>2007</v>
      </c>
      <c r="L124" s="24"/>
    </row>
    <row r="125" spans="1:12" x14ac:dyDescent="0.25">
      <c r="A125" s="23">
        <v>14800934</v>
      </c>
      <c r="B125" s="23" t="s">
        <v>185</v>
      </c>
      <c r="C125" s="23" t="s">
        <v>1</v>
      </c>
      <c r="D125" s="23" t="s">
        <v>2</v>
      </c>
      <c r="E125" s="23">
        <v>0</v>
      </c>
      <c r="F125" s="23"/>
      <c r="G125" s="23"/>
      <c r="H125" s="23"/>
      <c r="I125" s="23"/>
      <c r="J125" s="23"/>
      <c r="K125" s="23">
        <v>1994</v>
      </c>
      <c r="L125" s="23"/>
    </row>
    <row r="126" spans="1:12" x14ac:dyDescent="0.25">
      <c r="A126" s="24">
        <v>14801850</v>
      </c>
      <c r="B126" s="24" t="s">
        <v>186</v>
      </c>
      <c r="C126" s="24" t="s">
        <v>1</v>
      </c>
      <c r="D126" s="24" t="s">
        <v>21</v>
      </c>
      <c r="E126" s="23">
        <v>0</v>
      </c>
      <c r="F126" s="24"/>
      <c r="G126" s="24"/>
      <c r="H126" s="24"/>
      <c r="I126" s="24"/>
      <c r="J126" s="24"/>
      <c r="K126" s="24">
        <v>2001</v>
      </c>
      <c r="L126" s="24" t="s">
        <v>17</v>
      </c>
    </row>
    <row r="127" spans="1:12" x14ac:dyDescent="0.25">
      <c r="A127" s="23">
        <v>14802015</v>
      </c>
      <c r="B127" s="23" t="s">
        <v>187</v>
      </c>
      <c r="C127" s="23" t="s">
        <v>1</v>
      </c>
      <c r="D127" s="23" t="s">
        <v>2</v>
      </c>
      <c r="E127" s="23">
        <v>0</v>
      </c>
      <c r="F127" s="23"/>
      <c r="G127" s="23"/>
      <c r="H127" s="23"/>
      <c r="I127" s="23"/>
      <c r="J127" s="23"/>
      <c r="K127" s="23">
        <v>1997</v>
      </c>
      <c r="L127" s="23"/>
    </row>
    <row r="128" spans="1:12" x14ac:dyDescent="0.25">
      <c r="A128" s="24">
        <v>14800195</v>
      </c>
      <c r="B128" s="24" t="s">
        <v>188</v>
      </c>
      <c r="C128" s="24" t="s">
        <v>1</v>
      </c>
      <c r="D128" s="24" t="s">
        <v>2</v>
      </c>
      <c r="E128" s="23">
        <v>0</v>
      </c>
      <c r="F128" s="24"/>
      <c r="G128" s="24"/>
      <c r="H128" s="24"/>
      <c r="I128" s="24"/>
      <c r="J128" s="24"/>
      <c r="K128" s="24">
        <v>1971</v>
      </c>
      <c r="L128" s="24"/>
    </row>
    <row r="129" spans="1:12" x14ac:dyDescent="0.25">
      <c r="A129" s="24">
        <v>14801361</v>
      </c>
      <c r="B129" s="24" t="s">
        <v>189</v>
      </c>
      <c r="C129" s="24" t="s">
        <v>1</v>
      </c>
      <c r="D129" s="24" t="s">
        <v>2</v>
      </c>
      <c r="E129" s="23">
        <v>0</v>
      </c>
      <c r="F129" s="24"/>
      <c r="G129" s="24"/>
      <c r="H129" s="24"/>
      <c r="I129" s="24"/>
      <c r="J129" s="24"/>
      <c r="K129" s="24">
        <v>2000</v>
      </c>
      <c r="L129" s="24"/>
    </row>
    <row r="130" spans="1:12" x14ac:dyDescent="0.25">
      <c r="A130" s="24">
        <v>14801388</v>
      </c>
      <c r="B130" s="24" t="s">
        <v>190</v>
      </c>
      <c r="C130" s="24" t="s">
        <v>1</v>
      </c>
      <c r="D130" s="24" t="s">
        <v>2</v>
      </c>
      <c r="E130" s="23">
        <v>0</v>
      </c>
      <c r="F130" s="24"/>
      <c r="G130" s="24"/>
      <c r="H130" s="24"/>
      <c r="I130" s="24"/>
      <c r="J130" s="24"/>
      <c r="K130" s="24">
        <v>1966</v>
      </c>
      <c r="L130" s="24"/>
    </row>
    <row r="131" spans="1:12" x14ac:dyDescent="0.25">
      <c r="A131" s="24">
        <v>14800551</v>
      </c>
      <c r="B131" s="24" t="s">
        <v>191</v>
      </c>
      <c r="C131" s="24" t="s">
        <v>1</v>
      </c>
      <c r="D131" s="24" t="s">
        <v>2</v>
      </c>
      <c r="E131" s="23">
        <v>0</v>
      </c>
      <c r="F131" s="24"/>
      <c r="G131" s="24"/>
      <c r="H131" s="24"/>
      <c r="I131" s="24"/>
      <c r="J131" s="24"/>
      <c r="K131" s="24">
        <v>2003</v>
      </c>
      <c r="L131" s="24"/>
    </row>
    <row r="132" spans="1:12" x14ac:dyDescent="0.25">
      <c r="A132" s="23">
        <v>14800578</v>
      </c>
      <c r="B132" s="23" t="s">
        <v>192</v>
      </c>
      <c r="C132" s="23" t="s">
        <v>1</v>
      </c>
      <c r="D132" s="23" t="s">
        <v>21</v>
      </c>
      <c r="E132" s="23">
        <v>0</v>
      </c>
      <c r="F132" s="23"/>
      <c r="G132" s="23"/>
      <c r="H132" s="23"/>
      <c r="I132" s="23"/>
      <c r="J132" s="23"/>
      <c r="K132" s="23">
        <v>2007</v>
      </c>
      <c r="L132" s="23" t="s">
        <v>17</v>
      </c>
    </row>
    <row r="133" spans="1:12" x14ac:dyDescent="0.25">
      <c r="A133" s="24">
        <v>14800616</v>
      </c>
      <c r="B133" s="24" t="s">
        <v>193</v>
      </c>
      <c r="C133" s="24" t="s">
        <v>1</v>
      </c>
      <c r="D133" s="24" t="s">
        <v>21</v>
      </c>
      <c r="E133" s="23">
        <v>0</v>
      </c>
      <c r="F133" s="24"/>
      <c r="G133" s="24"/>
      <c r="H133" s="24"/>
      <c r="I133" s="24"/>
      <c r="J133" s="24"/>
      <c r="K133" s="24">
        <v>1999</v>
      </c>
      <c r="L133" s="24" t="s">
        <v>17</v>
      </c>
    </row>
    <row r="134" spans="1:12" x14ac:dyDescent="0.25">
      <c r="A134" s="24">
        <v>14801370</v>
      </c>
      <c r="B134" s="24" t="s">
        <v>194</v>
      </c>
      <c r="C134" s="24" t="s">
        <v>1</v>
      </c>
      <c r="D134" s="24" t="s">
        <v>2</v>
      </c>
      <c r="E134" s="23">
        <v>0</v>
      </c>
      <c r="F134" s="24"/>
      <c r="G134" s="24"/>
      <c r="H134" s="24"/>
      <c r="I134" s="24"/>
      <c r="J134" s="24"/>
      <c r="K134" s="24">
        <v>1998</v>
      </c>
      <c r="L134" s="24"/>
    </row>
    <row r="135" spans="1:12" x14ac:dyDescent="0.25">
      <c r="A135" s="23">
        <v>14801884</v>
      </c>
      <c r="B135" s="23" t="s">
        <v>195</v>
      </c>
      <c r="C135" s="23" t="s">
        <v>1</v>
      </c>
      <c r="D135" s="23" t="s">
        <v>2</v>
      </c>
      <c r="E135" s="23">
        <v>0</v>
      </c>
      <c r="F135" s="23"/>
      <c r="G135" s="23"/>
      <c r="H135" s="23"/>
      <c r="I135" s="23"/>
      <c r="J135" s="23"/>
      <c r="K135" s="23">
        <v>2002</v>
      </c>
      <c r="L135" s="23"/>
    </row>
    <row r="136" spans="1:12" x14ac:dyDescent="0.25">
      <c r="A136" s="24">
        <v>14801353</v>
      </c>
      <c r="B136" s="24" t="s">
        <v>196</v>
      </c>
      <c r="C136" s="24" t="s">
        <v>1</v>
      </c>
      <c r="D136" s="24" t="s">
        <v>2</v>
      </c>
      <c r="E136" s="23">
        <v>0</v>
      </c>
      <c r="F136" s="24"/>
      <c r="G136" s="24"/>
      <c r="H136" s="24"/>
      <c r="I136" s="24"/>
      <c r="J136" s="24"/>
      <c r="K136" s="24">
        <v>1992</v>
      </c>
      <c r="L136" s="24"/>
    </row>
    <row r="137" spans="1:12" x14ac:dyDescent="0.25">
      <c r="A137" s="23">
        <v>14800896</v>
      </c>
      <c r="B137" s="23" t="s">
        <v>197</v>
      </c>
      <c r="C137" s="23" t="s">
        <v>1</v>
      </c>
      <c r="D137" s="23" t="s">
        <v>2</v>
      </c>
      <c r="E137" s="23">
        <v>0</v>
      </c>
      <c r="F137" s="23"/>
      <c r="G137" s="23"/>
      <c r="H137" s="23"/>
      <c r="I137" s="23"/>
      <c r="J137" s="23"/>
      <c r="K137" s="23">
        <v>1987</v>
      </c>
      <c r="L137" s="23"/>
    </row>
    <row r="138" spans="1:12" x14ac:dyDescent="0.25">
      <c r="A138" s="24">
        <v>14802023</v>
      </c>
      <c r="B138" s="24" t="s">
        <v>198</v>
      </c>
      <c r="C138" s="24" t="s">
        <v>1</v>
      </c>
      <c r="D138" s="24" t="s">
        <v>2</v>
      </c>
      <c r="E138" s="23">
        <v>0</v>
      </c>
      <c r="F138" s="24"/>
      <c r="G138" s="24"/>
      <c r="H138" s="24"/>
      <c r="I138" s="24"/>
      <c r="J138" s="24"/>
      <c r="K138" s="24">
        <v>2000</v>
      </c>
      <c r="L138" s="24"/>
    </row>
    <row r="139" spans="1:12" x14ac:dyDescent="0.25">
      <c r="A139" s="23">
        <v>14800110</v>
      </c>
      <c r="B139" s="23" t="s">
        <v>199</v>
      </c>
      <c r="C139" s="23" t="s">
        <v>1</v>
      </c>
      <c r="D139" s="23" t="s">
        <v>2</v>
      </c>
      <c r="E139" s="23">
        <v>0</v>
      </c>
      <c r="F139" s="23"/>
      <c r="G139" s="23"/>
      <c r="H139" s="23"/>
      <c r="I139" s="23"/>
      <c r="J139" s="23"/>
      <c r="K139" s="23">
        <v>1997</v>
      </c>
      <c r="L139" s="23"/>
    </row>
    <row r="140" spans="1:12" x14ac:dyDescent="0.25">
      <c r="A140" s="24">
        <v>14801680</v>
      </c>
      <c r="B140" s="24" t="s">
        <v>200</v>
      </c>
      <c r="C140" s="24" t="s">
        <v>1</v>
      </c>
      <c r="D140" s="24" t="s">
        <v>21</v>
      </c>
      <c r="E140" s="23">
        <v>0</v>
      </c>
      <c r="F140" s="24"/>
      <c r="G140" s="24"/>
      <c r="H140" s="24"/>
      <c r="I140" s="24"/>
      <c r="J140" s="24"/>
      <c r="K140" s="24">
        <v>2010</v>
      </c>
      <c r="L140" s="24" t="s">
        <v>17</v>
      </c>
    </row>
    <row r="141" spans="1:12" x14ac:dyDescent="0.25">
      <c r="A141" s="23">
        <v>14800543</v>
      </c>
      <c r="B141" s="23" t="s">
        <v>201</v>
      </c>
      <c r="C141" s="23" t="s">
        <v>1</v>
      </c>
      <c r="D141" s="23" t="s">
        <v>2</v>
      </c>
      <c r="E141" s="23">
        <v>0</v>
      </c>
      <c r="F141" s="23"/>
      <c r="G141" s="23"/>
      <c r="H141" s="23"/>
      <c r="I141" s="23"/>
      <c r="J141" s="23"/>
      <c r="K141" s="23">
        <v>2005</v>
      </c>
      <c r="L141" s="23"/>
    </row>
    <row r="142" spans="1:12" x14ac:dyDescent="0.25">
      <c r="A142" s="24">
        <v>14800411</v>
      </c>
      <c r="B142" s="24" t="s">
        <v>202</v>
      </c>
      <c r="C142" s="24" t="s">
        <v>1</v>
      </c>
      <c r="D142" s="24" t="s">
        <v>21</v>
      </c>
      <c r="E142" s="23">
        <v>0</v>
      </c>
      <c r="F142" s="24"/>
      <c r="G142" s="24"/>
      <c r="H142" s="24"/>
      <c r="I142" s="24"/>
      <c r="J142" s="24"/>
      <c r="K142" s="24">
        <v>2003</v>
      </c>
      <c r="L142" s="24" t="s">
        <v>17</v>
      </c>
    </row>
    <row r="143" spans="1:12" x14ac:dyDescent="0.25">
      <c r="A143" s="24">
        <v>14801671</v>
      </c>
      <c r="B143" s="24" t="s">
        <v>203</v>
      </c>
      <c r="C143" s="24" t="s">
        <v>1</v>
      </c>
      <c r="D143" s="24" t="s">
        <v>2</v>
      </c>
      <c r="E143" s="23">
        <v>0</v>
      </c>
      <c r="F143" s="24"/>
      <c r="G143" s="24"/>
      <c r="H143" s="24"/>
      <c r="I143" s="24"/>
      <c r="J143" s="24"/>
      <c r="K143" s="24">
        <v>1982</v>
      </c>
      <c r="L143" s="24"/>
    </row>
    <row r="144" spans="1:12" x14ac:dyDescent="0.25">
      <c r="A144" s="23">
        <v>14800683</v>
      </c>
      <c r="B144" s="23" t="s">
        <v>204</v>
      </c>
      <c r="C144" s="23" t="s">
        <v>1</v>
      </c>
      <c r="D144" s="23" t="s">
        <v>2</v>
      </c>
      <c r="E144" s="23">
        <v>0</v>
      </c>
      <c r="F144" s="23"/>
      <c r="G144" s="23"/>
      <c r="H144" s="23"/>
      <c r="I144" s="23"/>
      <c r="J144" s="23"/>
      <c r="K144" s="23">
        <v>1958</v>
      </c>
      <c r="L144" s="23"/>
    </row>
    <row r="145" spans="1:12" x14ac:dyDescent="0.25">
      <c r="A145" s="23">
        <v>14801876</v>
      </c>
      <c r="B145" s="23" t="s">
        <v>205</v>
      </c>
      <c r="C145" s="23" t="s">
        <v>1</v>
      </c>
      <c r="D145" s="23" t="s">
        <v>2</v>
      </c>
      <c r="E145" s="23">
        <v>0</v>
      </c>
      <c r="F145" s="23"/>
      <c r="G145" s="23"/>
      <c r="H145" s="23"/>
      <c r="I145" s="23"/>
      <c r="J145" s="23"/>
      <c r="K145" s="23">
        <v>2003</v>
      </c>
      <c r="L145" s="23"/>
    </row>
    <row r="146" spans="1:12" x14ac:dyDescent="0.25">
      <c r="A146" s="24">
        <v>14801566</v>
      </c>
      <c r="B146" s="24" t="s">
        <v>206</v>
      </c>
      <c r="C146" s="24" t="s">
        <v>1</v>
      </c>
      <c r="D146" s="24" t="s">
        <v>21</v>
      </c>
      <c r="E146" s="23">
        <v>0</v>
      </c>
      <c r="F146" s="24"/>
      <c r="G146" s="24"/>
      <c r="H146" s="24"/>
      <c r="I146" s="24"/>
      <c r="J146" s="24"/>
      <c r="K146" s="24">
        <v>2011</v>
      </c>
      <c r="L146" s="24" t="s">
        <v>17</v>
      </c>
    </row>
    <row r="147" spans="1:12" x14ac:dyDescent="0.25">
      <c r="A147" s="23">
        <v>14800365</v>
      </c>
      <c r="B147" s="23" t="s">
        <v>207</v>
      </c>
      <c r="C147" s="23" t="s">
        <v>1</v>
      </c>
      <c r="D147" s="23" t="s">
        <v>2</v>
      </c>
      <c r="E147" s="23">
        <v>0</v>
      </c>
      <c r="F147" s="23"/>
      <c r="G147" s="23"/>
      <c r="H147" s="23"/>
      <c r="I147" s="23"/>
      <c r="J147" s="23"/>
      <c r="K147" s="23">
        <v>0</v>
      </c>
      <c r="L147" s="23"/>
    </row>
    <row r="148" spans="1:12" x14ac:dyDescent="0.25">
      <c r="A148" s="23">
        <v>14801116</v>
      </c>
      <c r="B148" s="23" t="s">
        <v>208</v>
      </c>
      <c r="C148" s="23" t="s">
        <v>1</v>
      </c>
      <c r="D148" s="23" t="s">
        <v>21</v>
      </c>
      <c r="E148" s="23">
        <v>0</v>
      </c>
      <c r="F148" s="23"/>
      <c r="G148" s="23"/>
      <c r="H148" s="23"/>
      <c r="I148" s="23"/>
      <c r="J148" s="23"/>
      <c r="K148" s="23">
        <v>2009</v>
      </c>
      <c r="L148" s="23" t="s">
        <v>17</v>
      </c>
    </row>
    <row r="149" spans="1:12" x14ac:dyDescent="0.25">
      <c r="A149" s="24">
        <v>14801086</v>
      </c>
      <c r="B149" s="24" t="s">
        <v>209</v>
      </c>
      <c r="C149" s="24" t="s">
        <v>1</v>
      </c>
      <c r="D149" s="24" t="s">
        <v>2</v>
      </c>
      <c r="E149" s="23">
        <v>0</v>
      </c>
      <c r="F149" s="24"/>
      <c r="G149" s="24"/>
      <c r="H149" s="24"/>
      <c r="I149" s="24"/>
      <c r="J149" s="24"/>
      <c r="K149" s="24">
        <v>1990</v>
      </c>
      <c r="L149" s="24"/>
    </row>
    <row r="150" spans="1:12" x14ac:dyDescent="0.25">
      <c r="A150" s="24">
        <v>14800772</v>
      </c>
      <c r="B150" s="24" t="s">
        <v>210</v>
      </c>
      <c r="C150" s="24" t="s">
        <v>1</v>
      </c>
      <c r="D150" s="24" t="s">
        <v>2</v>
      </c>
      <c r="E150" s="23">
        <v>0</v>
      </c>
      <c r="F150" s="24"/>
      <c r="G150" s="24"/>
      <c r="H150" s="24"/>
      <c r="I150" s="24"/>
      <c r="J150" s="24"/>
      <c r="K150" s="24">
        <v>1997</v>
      </c>
      <c r="L150" s="24"/>
    </row>
    <row r="151" spans="1:12" x14ac:dyDescent="0.25">
      <c r="A151" s="24">
        <v>14800055</v>
      </c>
      <c r="B151" s="24" t="s">
        <v>212</v>
      </c>
      <c r="C151" s="24" t="s">
        <v>1</v>
      </c>
      <c r="D151" s="24" t="s">
        <v>21</v>
      </c>
      <c r="E151" s="23">
        <v>0</v>
      </c>
      <c r="F151" s="24"/>
      <c r="G151" s="24"/>
      <c r="H151" s="24"/>
      <c r="I151" s="24"/>
      <c r="J151" s="24"/>
      <c r="K151" s="24">
        <v>1991</v>
      </c>
      <c r="L151" s="24" t="s">
        <v>17</v>
      </c>
    </row>
    <row r="152" spans="1:12" x14ac:dyDescent="0.25">
      <c r="A152" s="23">
        <v>14800233</v>
      </c>
      <c r="B152" s="23" t="s">
        <v>213</v>
      </c>
      <c r="C152" s="23" t="s">
        <v>1</v>
      </c>
      <c r="D152" s="23" t="s">
        <v>214</v>
      </c>
      <c r="E152" s="23">
        <v>0</v>
      </c>
      <c r="F152" s="23"/>
      <c r="G152" s="23"/>
      <c r="H152" s="23"/>
      <c r="I152" s="23"/>
      <c r="J152" s="23"/>
      <c r="K152" s="23">
        <v>1979</v>
      </c>
      <c r="L152" s="23"/>
    </row>
    <row r="153" spans="1:12" x14ac:dyDescent="0.25">
      <c r="A153" s="23">
        <v>14801132</v>
      </c>
      <c r="B153" s="23" t="s">
        <v>215</v>
      </c>
      <c r="C153" s="23" t="s">
        <v>1</v>
      </c>
      <c r="D153" s="23" t="s">
        <v>2</v>
      </c>
      <c r="E153" s="23">
        <v>0</v>
      </c>
      <c r="F153" s="23"/>
      <c r="G153" s="23"/>
      <c r="H153" s="23"/>
      <c r="I153" s="23"/>
      <c r="J153" s="23"/>
      <c r="K153" s="23">
        <v>1977</v>
      </c>
      <c r="L153" s="23"/>
    </row>
    <row r="154" spans="1:12" x14ac:dyDescent="0.25">
      <c r="A154" s="24">
        <v>14800519</v>
      </c>
      <c r="B154" s="24" t="s">
        <v>216</v>
      </c>
      <c r="C154" s="24" t="s">
        <v>1</v>
      </c>
      <c r="D154" s="24" t="s">
        <v>2</v>
      </c>
      <c r="E154" s="23">
        <v>0</v>
      </c>
      <c r="F154" s="24"/>
      <c r="G154" s="24"/>
      <c r="H154" s="24"/>
      <c r="I154" s="24"/>
      <c r="J154" s="24"/>
      <c r="K154" s="24">
        <v>1988</v>
      </c>
      <c r="L154" s="24"/>
    </row>
    <row r="155" spans="1:12" x14ac:dyDescent="0.25">
      <c r="A155" s="23">
        <v>14800020</v>
      </c>
      <c r="B155" s="23" t="s">
        <v>217</v>
      </c>
      <c r="C155" s="23" t="s">
        <v>1</v>
      </c>
      <c r="D155" s="23" t="s">
        <v>2</v>
      </c>
      <c r="E155" s="23">
        <v>0</v>
      </c>
      <c r="F155" s="23"/>
      <c r="G155" s="23"/>
      <c r="H155" s="23"/>
      <c r="I155" s="23"/>
      <c r="J155" s="23"/>
      <c r="K155" s="23">
        <v>0</v>
      </c>
      <c r="L155" s="23"/>
    </row>
    <row r="156" spans="1:12" x14ac:dyDescent="0.25">
      <c r="A156" s="24">
        <v>14802040</v>
      </c>
      <c r="B156" s="24" t="s">
        <v>218</v>
      </c>
      <c r="C156" s="24" t="s">
        <v>1</v>
      </c>
      <c r="D156" s="24" t="s">
        <v>2</v>
      </c>
      <c r="E156" s="23">
        <v>0</v>
      </c>
      <c r="F156" s="24"/>
      <c r="G156" s="24"/>
      <c r="H156" s="24"/>
      <c r="I156" s="24"/>
      <c r="J156" s="24"/>
      <c r="K156" s="24">
        <v>1992</v>
      </c>
      <c r="L156" s="24"/>
    </row>
    <row r="157" spans="1:12" x14ac:dyDescent="0.25">
      <c r="A157" s="23">
        <v>14801434</v>
      </c>
      <c r="B157" s="23" t="s">
        <v>219</v>
      </c>
      <c r="C157" s="23" t="s">
        <v>1</v>
      </c>
      <c r="D157" s="23" t="s">
        <v>2</v>
      </c>
      <c r="E157" s="23">
        <v>0</v>
      </c>
      <c r="F157" s="23"/>
      <c r="G157" s="23"/>
      <c r="H157" s="23"/>
      <c r="I157" s="23"/>
      <c r="J157" s="23"/>
      <c r="K157" s="23">
        <v>1989</v>
      </c>
      <c r="L157" s="23"/>
    </row>
    <row r="158" spans="1:12" x14ac:dyDescent="0.25">
      <c r="A158" s="24">
        <v>14801647</v>
      </c>
      <c r="B158" s="24" t="s">
        <v>220</v>
      </c>
      <c r="C158" s="24" t="s">
        <v>1</v>
      </c>
      <c r="D158" s="24" t="s">
        <v>2</v>
      </c>
      <c r="E158" s="23">
        <v>0</v>
      </c>
      <c r="F158" s="24"/>
      <c r="G158" s="24"/>
      <c r="H158" s="24"/>
      <c r="I158" s="24"/>
      <c r="J158" s="24"/>
      <c r="K158" s="24">
        <v>2005</v>
      </c>
      <c r="L158" s="24"/>
    </row>
    <row r="159" spans="1:12" x14ac:dyDescent="0.25">
      <c r="A159" s="23">
        <v>14801329</v>
      </c>
      <c r="B159" s="23" t="s">
        <v>221</v>
      </c>
      <c r="C159" s="23" t="s">
        <v>1</v>
      </c>
      <c r="D159" s="23" t="s">
        <v>2</v>
      </c>
      <c r="E159" s="23">
        <v>0</v>
      </c>
      <c r="F159" s="23"/>
      <c r="G159" s="23"/>
      <c r="H159" s="23"/>
      <c r="I159" s="23"/>
      <c r="J159" s="23"/>
      <c r="K159" s="23">
        <v>2001</v>
      </c>
      <c r="L159" s="23"/>
    </row>
    <row r="160" spans="1:12" x14ac:dyDescent="0.25">
      <c r="A160" s="24">
        <v>14801272</v>
      </c>
      <c r="B160" s="24" t="s">
        <v>222</v>
      </c>
      <c r="C160" s="24" t="s">
        <v>1</v>
      </c>
      <c r="D160" s="24" t="s">
        <v>2</v>
      </c>
      <c r="E160" s="23">
        <v>0</v>
      </c>
      <c r="F160" s="24"/>
      <c r="G160" s="24"/>
      <c r="H160" s="24"/>
      <c r="I160" s="24"/>
      <c r="J160" s="24"/>
      <c r="K160" s="24">
        <v>1994</v>
      </c>
      <c r="L160" s="24"/>
    </row>
    <row r="161" spans="1:12" x14ac:dyDescent="0.25">
      <c r="A161" s="23">
        <v>14801051</v>
      </c>
      <c r="B161" s="23" t="s">
        <v>224</v>
      </c>
      <c r="C161" s="23" t="s">
        <v>1</v>
      </c>
      <c r="D161" s="23" t="s">
        <v>2</v>
      </c>
      <c r="E161" s="23">
        <v>0</v>
      </c>
      <c r="F161" s="23"/>
      <c r="G161" s="23"/>
      <c r="H161" s="23"/>
      <c r="I161" s="23"/>
      <c r="J161" s="23"/>
      <c r="K161" s="23">
        <v>2002</v>
      </c>
      <c r="L161" s="23"/>
    </row>
    <row r="162" spans="1:12" x14ac:dyDescent="0.25">
      <c r="A162" s="23">
        <v>14800691</v>
      </c>
      <c r="B162" s="23" t="s">
        <v>225</v>
      </c>
      <c r="C162" s="23" t="s">
        <v>1</v>
      </c>
      <c r="D162" s="23" t="s">
        <v>2</v>
      </c>
      <c r="E162" s="23">
        <v>0</v>
      </c>
      <c r="F162" s="23"/>
      <c r="G162" s="23"/>
      <c r="H162" s="23"/>
      <c r="I162" s="23"/>
      <c r="J162" s="23"/>
      <c r="K162" s="23">
        <v>0</v>
      </c>
      <c r="L162" s="23"/>
    </row>
    <row r="163" spans="1:12" x14ac:dyDescent="0.25">
      <c r="A163" s="24">
        <v>14801752</v>
      </c>
      <c r="B163" s="24" t="s">
        <v>226</v>
      </c>
      <c r="C163" s="24" t="s">
        <v>1</v>
      </c>
      <c r="D163" s="24" t="s">
        <v>2</v>
      </c>
      <c r="E163" s="23">
        <v>0</v>
      </c>
      <c r="F163" s="24"/>
      <c r="G163" s="24"/>
      <c r="H163" s="24"/>
      <c r="I163" s="24"/>
      <c r="J163" s="24"/>
      <c r="K163" s="24">
        <v>2007</v>
      </c>
      <c r="L163" s="24"/>
    </row>
    <row r="164" spans="1:12" x14ac:dyDescent="0.25">
      <c r="A164" s="23">
        <v>14801701</v>
      </c>
      <c r="B164" s="23" t="s">
        <v>227</v>
      </c>
      <c r="C164" s="23" t="s">
        <v>1</v>
      </c>
      <c r="D164" s="23" t="s">
        <v>2</v>
      </c>
      <c r="E164" s="23">
        <v>0</v>
      </c>
      <c r="F164" s="23"/>
      <c r="G164" s="23"/>
      <c r="H164" s="23"/>
      <c r="I164" s="23"/>
      <c r="J164" s="23"/>
      <c r="K164" s="23">
        <v>2007</v>
      </c>
      <c r="L164" s="23"/>
    </row>
    <row r="165" spans="1:12" x14ac:dyDescent="0.25">
      <c r="A165" s="24">
        <v>14801418</v>
      </c>
      <c r="B165" s="24" t="s">
        <v>228</v>
      </c>
      <c r="C165" s="24" t="s">
        <v>1</v>
      </c>
      <c r="D165" s="24" t="s">
        <v>2</v>
      </c>
      <c r="E165" s="23">
        <v>0</v>
      </c>
      <c r="F165" s="24"/>
      <c r="G165" s="24"/>
      <c r="H165" s="24"/>
      <c r="I165" s="24"/>
      <c r="J165" s="24"/>
      <c r="K165" s="24">
        <v>1963</v>
      </c>
      <c r="L165" s="24"/>
    </row>
    <row r="166" spans="1:12" x14ac:dyDescent="0.25">
      <c r="A166" s="23">
        <v>14801108</v>
      </c>
      <c r="B166" s="23" t="s">
        <v>229</v>
      </c>
      <c r="C166" s="23" t="s">
        <v>1</v>
      </c>
      <c r="D166" s="23" t="s">
        <v>2</v>
      </c>
      <c r="E166" s="23">
        <v>0</v>
      </c>
      <c r="F166" s="23"/>
      <c r="G166" s="23"/>
      <c r="H166" s="23"/>
      <c r="I166" s="23"/>
      <c r="J166" s="23"/>
      <c r="K166" s="23">
        <v>2007</v>
      </c>
      <c r="L166" s="23"/>
    </row>
    <row r="167" spans="1:12" x14ac:dyDescent="0.25">
      <c r="A167" s="23">
        <v>14801809</v>
      </c>
      <c r="B167" s="23" t="s">
        <v>230</v>
      </c>
      <c r="C167" s="23" t="s">
        <v>1</v>
      </c>
      <c r="D167" s="23" t="s">
        <v>21</v>
      </c>
      <c r="E167" s="23">
        <v>0</v>
      </c>
      <c r="F167" s="23"/>
      <c r="G167" s="23"/>
      <c r="H167" s="23"/>
      <c r="I167" s="23"/>
      <c r="J167" s="23"/>
      <c r="K167" s="23">
        <v>2012</v>
      </c>
      <c r="L167" s="23" t="s">
        <v>17</v>
      </c>
    </row>
    <row r="168" spans="1:12" x14ac:dyDescent="0.25">
      <c r="A168" s="24">
        <v>14801841</v>
      </c>
      <c r="B168" s="24" t="s">
        <v>231</v>
      </c>
      <c r="C168" s="24" t="s">
        <v>1</v>
      </c>
      <c r="D168" s="24" t="s">
        <v>21</v>
      </c>
      <c r="E168" s="23">
        <v>0</v>
      </c>
      <c r="F168" s="24"/>
      <c r="G168" s="24"/>
      <c r="H168" s="24"/>
      <c r="I168" s="24"/>
      <c r="J168" s="24"/>
      <c r="K168" s="24">
        <v>2003</v>
      </c>
      <c r="L168" s="24" t="s">
        <v>17</v>
      </c>
    </row>
    <row r="169" spans="1:12" x14ac:dyDescent="0.25">
      <c r="A169" s="24">
        <v>14800594</v>
      </c>
      <c r="B169" s="24" t="s">
        <v>232</v>
      </c>
      <c r="C169" s="24" t="s">
        <v>1</v>
      </c>
      <c r="D169" s="24" t="s">
        <v>21</v>
      </c>
      <c r="E169" s="23">
        <v>0</v>
      </c>
      <c r="F169" s="24"/>
      <c r="G169" s="24"/>
      <c r="H169" s="24"/>
      <c r="I169" s="24"/>
      <c r="J169" s="24"/>
      <c r="K169" s="24">
        <v>2003</v>
      </c>
      <c r="L169" s="24" t="s">
        <v>17</v>
      </c>
    </row>
    <row r="170" spans="1:12" x14ac:dyDescent="0.25">
      <c r="A170" s="23">
        <v>14801957</v>
      </c>
      <c r="B170" s="23" t="s">
        <v>233</v>
      </c>
      <c r="C170" s="23" t="s">
        <v>1</v>
      </c>
      <c r="D170" s="23" t="s">
        <v>21</v>
      </c>
      <c r="E170" s="23">
        <v>0</v>
      </c>
      <c r="F170" s="23"/>
      <c r="G170" s="23"/>
      <c r="H170" s="23"/>
      <c r="I170" s="23"/>
      <c r="J170" s="23"/>
      <c r="K170" s="23">
        <v>2004</v>
      </c>
      <c r="L170" s="23" t="s">
        <v>17</v>
      </c>
    </row>
    <row r="171" spans="1:12" x14ac:dyDescent="0.25">
      <c r="A171" s="24">
        <v>14800853</v>
      </c>
      <c r="B171" s="24" t="s">
        <v>234</v>
      </c>
      <c r="C171" s="24" t="s">
        <v>1</v>
      </c>
      <c r="D171" s="24" t="s">
        <v>2</v>
      </c>
      <c r="E171" s="23">
        <v>0</v>
      </c>
      <c r="F171" s="24"/>
      <c r="G171" s="24"/>
      <c r="H171" s="24"/>
      <c r="I171" s="24"/>
      <c r="J171" s="24"/>
      <c r="K171" s="24">
        <v>2002</v>
      </c>
      <c r="L171" s="24"/>
    </row>
    <row r="172" spans="1:12" x14ac:dyDescent="0.25">
      <c r="A172" s="23">
        <v>14801337</v>
      </c>
      <c r="B172" s="23" t="s">
        <v>235</v>
      </c>
      <c r="C172" s="23" t="s">
        <v>1</v>
      </c>
      <c r="D172" s="23" t="s">
        <v>2</v>
      </c>
      <c r="E172" s="23">
        <v>0</v>
      </c>
      <c r="F172" s="23"/>
      <c r="G172" s="23"/>
      <c r="H172" s="23"/>
      <c r="I172" s="23"/>
      <c r="J172" s="23" t="s">
        <v>236</v>
      </c>
      <c r="K172" s="23">
        <v>1979</v>
      </c>
      <c r="L172" s="23"/>
    </row>
    <row r="173" spans="1:12" x14ac:dyDescent="0.25">
      <c r="A173" s="24">
        <v>14801515</v>
      </c>
      <c r="B173" s="24" t="s">
        <v>237</v>
      </c>
      <c r="C173" s="24" t="s">
        <v>1</v>
      </c>
      <c r="D173" s="24" t="s">
        <v>2</v>
      </c>
      <c r="E173" s="23">
        <v>0</v>
      </c>
      <c r="F173" s="24"/>
      <c r="G173" s="24"/>
      <c r="H173" s="24"/>
      <c r="I173" s="24"/>
      <c r="J173" s="24"/>
      <c r="K173" s="24">
        <v>1988</v>
      </c>
      <c r="L173" s="24"/>
    </row>
    <row r="174" spans="1:12" x14ac:dyDescent="0.25">
      <c r="A174" s="23">
        <v>14801264</v>
      </c>
      <c r="B174" s="23" t="s">
        <v>238</v>
      </c>
      <c r="C174" s="23" t="s">
        <v>1</v>
      </c>
      <c r="D174" s="23" t="s">
        <v>2</v>
      </c>
      <c r="E174" s="23">
        <v>0</v>
      </c>
      <c r="F174" s="23"/>
      <c r="G174" s="23"/>
      <c r="H174" s="23"/>
      <c r="I174" s="23"/>
      <c r="J174" s="23"/>
      <c r="K174" s="23">
        <v>1986</v>
      </c>
      <c r="L174" s="23"/>
    </row>
    <row r="175" spans="1:12" x14ac:dyDescent="0.25">
      <c r="A175" s="24">
        <v>14800926</v>
      </c>
      <c r="B175" s="24" t="s">
        <v>240</v>
      </c>
      <c r="C175" s="24" t="s">
        <v>1</v>
      </c>
      <c r="D175" s="24" t="s">
        <v>2</v>
      </c>
      <c r="E175" s="23">
        <v>0</v>
      </c>
      <c r="F175" s="24"/>
      <c r="G175" s="24"/>
      <c r="H175" s="24"/>
      <c r="I175" s="24"/>
      <c r="J175" s="24"/>
      <c r="K175" s="24">
        <v>2003</v>
      </c>
      <c r="L175" s="24"/>
    </row>
    <row r="176" spans="1:12" x14ac:dyDescent="0.25">
      <c r="A176" s="23">
        <v>14800624</v>
      </c>
      <c r="B176" s="23" t="s">
        <v>241</v>
      </c>
      <c r="C176" s="23" t="s">
        <v>1</v>
      </c>
      <c r="D176" s="23" t="s">
        <v>2</v>
      </c>
      <c r="E176" s="23">
        <v>0</v>
      </c>
      <c r="F176" s="23"/>
      <c r="G176" s="23"/>
      <c r="H176" s="23"/>
      <c r="I176" s="23"/>
      <c r="J176" s="23"/>
      <c r="K176" s="23">
        <v>1979</v>
      </c>
      <c r="L176" s="23"/>
    </row>
    <row r="177" spans="1:12" x14ac:dyDescent="0.25">
      <c r="A177" s="24">
        <v>14801892</v>
      </c>
      <c r="B177" s="24" t="s">
        <v>242</v>
      </c>
      <c r="C177" s="24" t="s">
        <v>1</v>
      </c>
      <c r="D177" s="24" t="s">
        <v>2</v>
      </c>
      <c r="E177" s="23">
        <v>0</v>
      </c>
      <c r="F177" s="24"/>
      <c r="G177" s="24"/>
      <c r="H177" s="24"/>
      <c r="I177" s="24"/>
      <c r="J177" s="24"/>
      <c r="K177" s="24">
        <v>1978</v>
      </c>
      <c r="L177" s="24"/>
    </row>
    <row r="178" spans="1:12" x14ac:dyDescent="0.25">
      <c r="A178" s="23">
        <v>14801507</v>
      </c>
      <c r="B178" s="23" t="s">
        <v>243</v>
      </c>
      <c r="C178" s="23" t="s">
        <v>1</v>
      </c>
      <c r="D178" s="23" t="s">
        <v>2</v>
      </c>
      <c r="E178" s="23">
        <v>0</v>
      </c>
      <c r="F178" s="23"/>
      <c r="G178" s="23"/>
      <c r="H178" s="23"/>
      <c r="I178" s="23"/>
      <c r="J178" s="23"/>
      <c r="K178" s="23">
        <v>1991</v>
      </c>
      <c r="L178" s="23"/>
    </row>
    <row r="179" spans="1:12" x14ac:dyDescent="0.25">
      <c r="A179" s="24">
        <v>14801531</v>
      </c>
      <c r="B179" s="24" t="s">
        <v>244</v>
      </c>
      <c r="C179" s="24" t="s">
        <v>1</v>
      </c>
      <c r="D179" s="24" t="s">
        <v>2</v>
      </c>
      <c r="E179" s="23">
        <v>0</v>
      </c>
      <c r="F179" s="24"/>
      <c r="G179" s="24"/>
      <c r="H179" s="24"/>
      <c r="I179" s="24"/>
      <c r="J179" s="24"/>
      <c r="K179" s="24">
        <v>2011</v>
      </c>
      <c r="L179" s="24"/>
    </row>
    <row r="180" spans="1:12" x14ac:dyDescent="0.25">
      <c r="A180" s="23">
        <v>14801728</v>
      </c>
      <c r="B180" s="23" t="s">
        <v>245</v>
      </c>
      <c r="C180" s="23" t="s">
        <v>1</v>
      </c>
      <c r="D180" s="23" t="s">
        <v>2</v>
      </c>
      <c r="E180" s="23">
        <v>0</v>
      </c>
      <c r="F180" s="23"/>
      <c r="G180" s="23"/>
      <c r="H180" s="23"/>
      <c r="I180" s="23"/>
      <c r="J180" s="23"/>
      <c r="K180" s="23">
        <v>2008</v>
      </c>
      <c r="L180" s="23"/>
    </row>
    <row r="181" spans="1:12" x14ac:dyDescent="0.25">
      <c r="A181" s="24">
        <v>14801833</v>
      </c>
      <c r="B181" s="24" t="s">
        <v>247</v>
      </c>
      <c r="C181" s="24" t="s">
        <v>1</v>
      </c>
      <c r="D181" s="24" t="s">
        <v>21</v>
      </c>
      <c r="E181" s="23">
        <v>0</v>
      </c>
      <c r="F181" s="24"/>
      <c r="G181" s="24"/>
      <c r="H181" s="24"/>
      <c r="I181" s="24"/>
      <c r="J181" s="24"/>
      <c r="K181" s="24">
        <v>2004</v>
      </c>
      <c r="L181" s="24" t="s">
        <v>17</v>
      </c>
    </row>
    <row r="182" spans="1:12" x14ac:dyDescent="0.25">
      <c r="A182" s="23">
        <v>14801914</v>
      </c>
      <c r="B182" s="23" t="s">
        <v>248</v>
      </c>
      <c r="C182" s="23" t="s">
        <v>1</v>
      </c>
      <c r="D182" s="23" t="s">
        <v>2</v>
      </c>
      <c r="E182" s="23">
        <v>0</v>
      </c>
      <c r="F182" s="23"/>
      <c r="G182" s="23"/>
      <c r="H182" s="23"/>
      <c r="I182" s="23"/>
      <c r="J182" s="23"/>
      <c r="K182" s="23">
        <v>1981</v>
      </c>
      <c r="L182" s="23"/>
    </row>
    <row r="183" spans="1:12" x14ac:dyDescent="0.25">
      <c r="A183" s="24">
        <v>14800950</v>
      </c>
      <c r="B183" s="24" t="s">
        <v>249</v>
      </c>
      <c r="C183" s="24" t="s">
        <v>1</v>
      </c>
      <c r="D183" s="24" t="s">
        <v>2</v>
      </c>
      <c r="E183" s="23">
        <v>0</v>
      </c>
      <c r="F183" s="24"/>
      <c r="G183" s="24"/>
      <c r="H183" s="24"/>
      <c r="I183" s="24"/>
      <c r="J183" s="24"/>
      <c r="K183" s="24">
        <v>1990</v>
      </c>
      <c r="L183" s="24"/>
    </row>
    <row r="184" spans="1:12" x14ac:dyDescent="0.25">
      <c r="A184" s="24">
        <v>14800705</v>
      </c>
      <c r="B184" s="24" t="s">
        <v>250</v>
      </c>
      <c r="C184" s="24" t="s">
        <v>1</v>
      </c>
      <c r="D184" s="24" t="s">
        <v>2</v>
      </c>
      <c r="E184" s="23">
        <v>0</v>
      </c>
      <c r="F184" s="24"/>
      <c r="G184" s="24"/>
      <c r="H184" s="24"/>
      <c r="I184" s="24"/>
      <c r="J184" s="24"/>
      <c r="K184" s="24">
        <v>1982</v>
      </c>
      <c r="L184" s="24"/>
    </row>
    <row r="185" spans="1:12" x14ac:dyDescent="0.25">
      <c r="A185" s="24">
        <v>14801612</v>
      </c>
      <c r="B185" s="24" t="s">
        <v>251</v>
      </c>
      <c r="C185" s="24" t="s">
        <v>1</v>
      </c>
      <c r="D185" s="24" t="s">
        <v>2</v>
      </c>
      <c r="E185" s="23">
        <v>0</v>
      </c>
      <c r="F185" s="24"/>
      <c r="G185" s="24"/>
      <c r="H185" s="24"/>
      <c r="I185" s="24"/>
      <c r="J185" s="24"/>
      <c r="K185" s="24">
        <v>2009</v>
      </c>
      <c r="L185" s="24"/>
    </row>
    <row r="186" spans="1:12" x14ac:dyDescent="0.25">
      <c r="A186" s="23">
        <v>14800357</v>
      </c>
      <c r="B186" s="23" t="s">
        <v>252</v>
      </c>
      <c r="C186" s="23" t="s">
        <v>1</v>
      </c>
      <c r="D186" s="23" t="s">
        <v>253</v>
      </c>
      <c r="E186" s="23">
        <v>0</v>
      </c>
      <c r="F186" s="23"/>
      <c r="G186" s="23"/>
      <c r="H186" s="23"/>
      <c r="I186" s="23"/>
      <c r="J186" s="23"/>
      <c r="K186" s="23">
        <v>0</v>
      </c>
      <c r="L186" s="23"/>
    </row>
    <row r="187" spans="1:12" x14ac:dyDescent="0.25">
      <c r="A187" s="24">
        <v>14801205</v>
      </c>
      <c r="B187" s="24" t="s">
        <v>254</v>
      </c>
      <c r="C187" s="24" t="s">
        <v>1</v>
      </c>
      <c r="D187" s="24" t="s">
        <v>2</v>
      </c>
      <c r="E187" s="23">
        <v>0</v>
      </c>
      <c r="F187" s="24"/>
      <c r="G187" s="24"/>
      <c r="H187" s="24"/>
      <c r="I187" s="24"/>
      <c r="J187" s="24"/>
      <c r="K187" s="24">
        <v>1995</v>
      </c>
      <c r="L187" s="24"/>
    </row>
    <row r="188" spans="1:12" x14ac:dyDescent="0.25">
      <c r="A188" s="23">
        <v>14800870</v>
      </c>
      <c r="B188" s="23" t="s">
        <v>255</v>
      </c>
      <c r="C188" s="23" t="s">
        <v>1</v>
      </c>
      <c r="D188" s="23" t="s">
        <v>2</v>
      </c>
      <c r="E188" s="23">
        <v>0</v>
      </c>
      <c r="F188" s="23"/>
      <c r="G188" s="23"/>
      <c r="H188" s="23"/>
      <c r="I188" s="23"/>
      <c r="J188" s="23"/>
      <c r="K188" s="23">
        <v>2001</v>
      </c>
      <c r="L188" s="23"/>
    </row>
    <row r="189" spans="1:12" x14ac:dyDescent="0.25">
      <c r="A189" s="24">
        <v>14801469</v>
      </c>
      <c r="B189" s="24" t="s">
        <v>256</v>
      </c>
      <c r="C189" s="24" t="s">
        <v>1</v>
      </c>
      <c r="D189" s="24" t="s">
        <v>2</v>
      </c>
      <c r="E189" s="23">
        <v>0</v>
      </c>
      <c r="F189" s="24"/>
      <c r="G189" s="24"/>
      <c r="H189" s="24"/>
      <c r="I189" s="24"/>
      <c r="J189" s="24"/>
      <c r="K189" s="24">
        <v>2001</v>
      </c>
      <c r="L189" s="24"/>
    </row>
    <row r="190" spans="1:12" x14ac:dyDescent="0.25">
      <c r="A190" s="23">
        <v>14801124</v>
      </c>
      <c r="B190" s="23" t="s">
        <v>257</v>
      </c>
      <c r="C190" s="23" t="s">
        <v>1</v>
      </c>
      <c r="D190" s="23" t="s">
        <v>2</v>
      </c>
      <c r="E190" s="23">
        <v>0</v>
      </c>
      <c r="F190" s="23"/>
      <c r="G190" s="23"/>
      <c r="H190" s="23"/>
      <c r="I190" s="23"/>
      <c r="J190" s="23"/>
      <c r="K190" s="23">
        <v>2009</v>
      </c>
      <c r="L190" s="23"/>
    </row>
    <row r="191" spans="1:12" x14ac:dyDescent="0.25">
      <c r="A191" s="24">
        <v>14801493</v>
      </c>
      <c r="B191" s="24" t="s">
        <v>258</v>
      </c>
      <c r="C191" s="24" t="s">
        <v>1</v>
      </c>
      <c r="D191" s="24" t="s">
        <v>2</v>
      </c>
      <c r="E191" s="23">
        <v>0</v>
      </c>
      <c r="F191" s="24"/>
      <c r="G191" s="24"/>
      <c r="H191" s="24"/>
      <c r="I191" s="24"/>
      <c r="J191" s="24"/>
      <c r="K191" s="24">
        <v>1993</v>
      </c>
      <c r="L191" s="24"/>
    </row>
    <row r="192" spans="1:12" x14ac:dyDescent="0.25">
      <c r="A192" s="24">
        <v>14800985</v>
      </c>
      <c r="B192" s="24" t="s">
        <v>259</v>
      </c>
      <c r="C192" s="24" t="s">
        <v>1</v>
      </c>
      <c r="D192" s="24" t="s">
        <v>2</v>
      </c>
      <c r="E192" s="23">
        <v>0</v>
      </c>
      <c r="F192" s="24"/>
      <c r="G192" s="24"/>
      <c r="H192" s="24"/>
      <c r="I192" s="24"/>
      <c r="J192" s="24"/>
      <c r="K192" s="24">
        <v>1999</v>
      </c>
      <c r="L192" s="24"/>
    </row>
    <row r="193" spans="1:12" x14ac:dyDescent="0.25">
      <c r="A193" s="23">
        <v>14801795</v>
      </c>
      <c r="B193" s="23" t="s">
        <v>260</v>
      </c>
      <c r="C193" s="23" t="s">
        <v>1</v>
      </c>
      <c r="D193" s="23" t="s">
        <v>2</v>
      </c>
      <c r="E193" s="23">
        <v>0</v>
      </c>
      <c r="F193" s="23"/>
      <c r="G193" s="23"/>
      <c r="H193" s="23"/>
      <c r="I193" s="23"/>
      <c r="J193" s="23"/>
      <c r="K193" s="23">
        <v>2010</v>
      </c>
      <c r="L193" s="23"/>
    </row>
    <row r="194" spans="1:12" x14ac:dyDescent="0.25">
      <c r="A194" s="24">
        <v>14800535</v>
      </c>
      <c r="B194" s="24" t="s">
        <v>261</v>
      </c>
      <c r="C194" s="24" t="s">
        <v>1</v>
      </c>
      <c r="D194" s="24" t="s">
        <v>2</v>
      </c>
      <c r="E194" s="23">
        <v>0</v>
      </c>
      <c r="F194" s="24"/>
      <c r="G194" s="24"/>
      <c r="H194" s="24"/>
      <c r="I194" s="24"/>
      <c r="J194" s="24"/>
      <c r="K194" s="24">
        <v>1991</v>
      </c>
      <c r="L194" s="24"/>
    </row>
    <row r="195" spans="1:12" x14ac:dyDescent="0.25">
      <c r="A195" s="24">
        <v>14800993</v>
      </c>
      <c r="B195" s="24" t="s">
        <v>262</v>
      </c>
      <c r="C195" s="24" t="s">
        <v>1</v>
      </c>
      <c r="D195" s="24" t="s">
        <v>2</v>
      </c>
      <c r="E195" s="23">
        <v>0</v>
      </c>
      <c r="F195" s="24"/>
      <c r="G195" s="24"/>
      <c r="H195" s="24"/>
      <c r="I195" s="24"/>
      <c r="J195" s="24"/>
      <c r="K195" s="24">
        <v>2001</v>
      </c>
      <c r="L195" s="24"/>
    </row>
    <row r="196" spans="1:12" x14ac:dyDescent="0.25">
      <c r="A196" s="24">
        <v>14801698</v>
      </c>
      <c r="B196" s="24" t="s">
        <v>263</v>
      </c>
      <c r="C196" s="24" t="s">
        <v>1</v>
      </c>
      <c r="D196" s="24" t="s">
        <v>2</v>
      </c>
      <c r="E196" s="23">
        <v>0</v>
      </c>
      <c r="F196" s="24"/>
      <c r="G196" s="24"/>
      <c r="H196" s="24"/>
      <c r="I196" s="24"/>
      <c r="J196" s="24"/>
      <c r="K196" s="24">
        <v>2010</v>
      </c>
      <c r="L196" s="24"/>
    </row>
    <row r="197" spans="1:12" x14ac:dyDescent="0.25">
      <c r="A197" s="23">
        <v>14800314</v>
      </c>
      <c r="B197" s="23" t="s">
        <v>264</v>
      </c>
      <c r="C197" s="23" t="s">
        <v>1</v>
      </c>
      <c r="D197" s="23" t="s">
        <v>253</v>
      </c>
      <c r="E197" s="23">
        <v>0</v>
      </c>
      <c r="F197" s="23"/>
      <c r="G197" s="23"/>
      <c r="H197" s="23"/>
      <c r="I197" s="23"/>
      <c r="J197" s="23"/>
      <c r="K197" s="23">
        <v>0</v>
      </c>
      <c r="L197" s="23"/>
    </row>
    <row r="198" spans="1:12" x14ac:dyDescent="0.25">
      <c r="A198" s="26">
        <v>14800810</v>
      </c>
      <c r="B198" s="26" t="s">
        <v>266</v>
      </c>
      <c r="C198" s="26" t="s">
        <v>1</v>
      </c>
      <c r="D198" s="26" t="s">
        <v>2</v>
      </c>
      <c r="E198" s="25">
        <v>0</v>
      </c>
      <c r="F198" s="26"/>
      <c r="G198" s="26"/>
      <c r="H198" s="26"/>
      <c r="I198" s="26"/>
      <c r="J198" s="26"/>
      <c r="K198" s="26">
        <v>1995</v>
      </c>
      <c r="L198" s="26"/>
    </row>
    <row r="199" spans="1:12" x14ac:dyDescent="0.25">
      <c r="A199" s="25" t="s">
        <v>99</v>
      </c>
      <c r="B199" s="25"/>
      <c r="C199" s="25"/>
      <c r="D199" s="25">
        <f>SUBTOTAL(103,Tabela38[Sex Tit  WTit OTit])</f>
        <v>197</v>
      </c>
      <c r="E199" s="25">
        <f>SUBTOTAL(103,Tabela38[FOA SRtng])</f>
        <v>197</v>
      </c>
      <c r="F199" s="25"/>
      <c r="G199" s="25"/>
      <c r="H199" s="25"/>
      <c r="I199" s="25"/>
      <c r="J199" s="25"/>
      <c r="K199" s="25"/>
      <c r="L199" s="25"/>
    </row>
  </sheetData>
  <pageMargins left="0.7" right="0.7" top="0.75" bottom="0.75" header="0.3" footer="0.3"/>
  <pageSetup orientation="portrait" r:id="rId1"/>
  <headerFooter>
    <oddHeader>&amp;C&amp;"Calibri"&amp;9&amp;K000000Informação de uso Público&amp;1#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BB67-751E-4E2D-B269-2D215B4C1029}">
  <dimension ref="A1:R27"/>
  <sheetViews>
    <sheetView topLeftCell="D1" workbookViewId="0">
      <selection activeCell="I11" sqref="I11"/>
    </sheetView>
  </sheetViews>
  <sheetFormatPr defaultRowHeight="15" x14ac:dyDescent="0.25"/>
  <cols>
    <col min="2" max="2" width="12.85546875" bestFit="1" customWidth="1"/>
    <col min="3" max="3" width="31.7109375" bestFit="1" customWidth="1"/>
    <col min="4" max="4" width="10.140625" customWidth="1"/>
    <col min="5" max="5" width="18.5703125" bestFit="1" customWidth="1"/>
    <col min="7" max="10" width="10.28515625" customWidth="1"/>
    <col min="11" max="11" width="16.28515625" bestFit="1" customWidth="1"/>
  </cols>
  <sheetData>
    <row r="1" spans="1:18" x14ac:dyDescent="0.25">
      <c r="A1" t="s">
        <v>93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94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</row>
    <row r="2" spans="1:18" x14ac:dyDescent="0.25">
      <c r="A2">
        <v>2016</v>
      </c>
      <c r="B2">
        <v>14800039</v>
      </c>
      <c r="C2" t="s">
        <v>0</v>
      </c>
      <c r="D2" t="s">
        <v>1</v>
      </c>
      <c r="E2" t="s">
        <v>2</v>
      </c>
      <c r="F2">
        <v>2186</v>
      </c>
      <c r="G2">
        <v>0</v>
      </c>
      <c r="H2">
        <v>20</v>
      </c>
      <c r="I2">
        <v>1982</v>
      </c>
      <c r="J2" t="s">
        <v>3</v>
      </c>
      <c r="L2" t="str">
        <f>LEFT(Tabela1[[#This Row],[Sex Tit  WTit OTit]],1)</f>
        <v>M</v>
      </c>
      <c r="M2">
        <f>IF(Tabela1[[#This Row],[Sexo]]="M",1,0)</f>
        <v>1</v>
      </c>
      <c r="N2">
        <f>IF(Tabela1[[#This Row],[Sexo]]="F",1,0)</f>
        <v>0</v>
      </c>
      <c r="O2" s="5">
        <f>2016-Tabela1[[#This Row],[B-day]]</f>
        <v>34</v>
      </c>
      <c r="P2" s="5">
        <f>IF(Tabela1[[#This Row],[Idade]]&lt;21,1,0)</f>
        <v>0</v>
      </c>
      <c r="Q2" s="5">
        <f>IF(Tabela1[[#This Row],[Idade]]&gt;20,1,0)</f>
        <v>1</v>
      </c>
      <c r="R2" s="5">
        <f>IF(Tabela1[[#This Row],[Juniores]]=1,Tabela1[[#This Row],[B-day]],0)</f>
        <v>0</v>
      </c>
    </row>
    <row r="3" spans="1:18" x14ac:dyDescent="0.25">
      <c r="A3">
        <v>2016</v>
      </c>
      <c r="B3">
        <v>14800047</v>
      </c>
      <c r="C3" t="s">
        <v>4</v>
      </c>
      <c r="D3" t="s">
        <v>1</v>
      </c>
      <c r="E3" t="s">
        <v>5</v>
      </c>
      <c r="F3">
        <v>2173</v>
      </c>
      <c r="G3">
        <v>0</v>
      </c>
      <c r="H3">
        <v>20</v>
      </c>
      <c r="I3">
        <v>1980</v>
      </c>
      <c r="K3" t="s">
        <v>95</v>
      </c>
      <c r="L3" t="str">
        <f>LEFT(Tabela1[[#This Row],[Sex Tit  WTit OTit]],1)</f>
        <v>M</v>
      </c>
      <c r="M3">
        <f>IF(Tabela1[[#This Row],[Sexo]]="M",1,0)</f>
        <v>1</v>
      </c>
      <c r="N3">
        <f>IF(Tabela1[[#This Row],[Sexo]]="F",1,0)</f>
        <v>0</v>
      </c>
      <c r="O3" s="5">
        <f>2016-Tabela1[[#This Row],[B-day]]</f>
        <v>36</v>
      </c>
      <c r="P3" s="5">
        <f>IF(Tabela1[[#This Row],[Idade]]&lt;21,1,0)</f>
        <v>0</v>
      </c>
      <c r="Q3" s="5">
        <f>IF(Tabela1[[#This Row],[Idade]]&gt;20,1,0)</f>
        <v>1</v>
      </c>
      <c r="R3" s="5">
        <f>IF(Tabela1[[#This Row],[Juniores]]=1,Tabela1[[#This Row],[B-day]],0)</f>
        <v>0</v>
      </c>
    </row>
    <row r="4" spans="1:18" x14ac:dyDescent="0.25">
      <c r="A4">
        <v>2016</v>
      </c>
      <c r="B4">
        <v>14800268</v>
      </c>
      <c r="C4" t="s">
        <v>6</v>
      </c>
      <c r="D4" t="s">
        <v>1</v>
      </c>
      <c r="E4" t="s">
        <v>7</v>
      </c>
      <c r="F4" s="1">
        <v>2165</v>
      </c>
      <c r="G4">
        <v>0</v>
      </c>
      <c r="H4">
        <v>20</v>
      </c>
      <c r="I4">
        <v>1984</v>
      </c>
      <c r="K4" t="s">
        <v>95</v>
      </c>
      <c r="L4" t="str">
        <f>LEFT(Tabela1[[#This Row],[Sex Tit  WTit OTit]],1)</f>
        <v>M</v>
      </c>
      <c r="M4">
        <f>IF(Tabela1[[#This Row],[Sexo]]="M",1,0)</f>
        <v>1</v>
      </c>
      <c r="N4">
        <f>IF(Tabela1[[#This Row],[Sexo]]="F",1,0)</f>
        <v>0</v>
      </c>
      <c r="O4" s="5">
        <f>2016-Tabela1[[#This Row],[B-day]]</f>
        <v>32</v>
      </c>
      <c r="P4" s="5">
        <f>IF(Tabela1[[#This Row],[Idade]]&lt;21,1,0)</f>
        <v>0</v>
      </c>
      <c r="Q4" s="5">
        <f>IF(Tabela1[[#This Row],[Idade]]&gt;20,1,0)</f>
        <v>1</v>
      </c>
      <c r="R4" s="5">
        <f>IF(Tabela1[[#This Row],[Juniores]]=1,Tabela1[[#This Row],[B-day]],0)</f>
        <v>0</v>
      </c>
    </row>
    <row r="5" spans="1:18" x14ac:dyDescent="0.25">
      <c r="A5">
        <v>2016</v>
      </c>
      <c r="B5">
        <v>14800098</v>
      </c>
      <c r="C5" t="s">
        <v>8</v>
      </c>
      <c r="D5" t="s">
        <v>1</v>
      </c>
      <c r="E5" t="s">
        <v>7</v>
      </c>
      <c r="F5">
        <v>2159</v>
      </c>
      <c r="G5">
        <v>0</v>
      </c>
      <c r="H5">
        <v>20</v>
      </c>
      <c r="I5">
        <v>1991</v>
      </c>
      <c r="K5" t="s">
        <v>95</v>
      </c>
      <c r="L5" t="str">
        <f>LEFT(Tabela1[[#This Row],[Sex Tit  WTit OTit]],1)</f>
        <v>M</v>
      </c>
      <c r="M5">
        <f>IF(Tabela1[[#This Row],[Sexo]]="M",1,0)</f>
        <v>1</v>
      </c>
      <c r="N5">
        <f>IF(Tabela1[[#This Row],[Sexo]]="F",1,0)</f>
        <v>0</v>
      </c>
      <c r="O5" s="5">
        <f>2016-Tabela1[[#This Row],[B-day]]</f>
        <v>25</v>
      </c>
      <c r="P5" s="5">
        <f>IF(Tabela1[[#This Row],[Idade]]&lt;21,1,0)</f>
        <v>0</v>
      </c>
      <c r="Q5" s="5">
        <f>IF(Tabela1[[#This Row],[Idade]]&gt;20,1,0)</f>
        <v>1</v>
      </c>
      <c r="R5" s="5">
        <f>IF(Tabela1[[#This Row],[Juniores]]=1,Tabela1[[#This Row],[B-day]],0)</f>
        <v>0</v>
      </c>
    </row>
    <row r="6" spans="1:18" x14ac:dyDescent="0.25">
      <c r="A6">
        <v>2016</v>
      </c>
      <c r="B6">
        <v>14800136</v>
      </c>
      <c r="C6" t="s">
        <v>9</v>
      </c>
      <c r="D6" t="s">
        <v>1</v>
      </c>
      <c r="E6" t="s">
        <v>2</v>
      </c>
      <c r="F6">
        <v>2092</v>
      </c>
      <c r="G6">
        <v>0</v>
      </c>
      <c r="H6">
        <v>40</v>
      </c>
      <c r="I6">
        <v>1983</v>
      </c>
      <c r="J6" t="s">
        <v>3</v>
      </c>
      <c r="L6" t="str">
        <f>LEFT(Tabela1[[#This Row],[Sex Tit  WTit OTit]],1)</f>
        <v>M</v>
      </c>
      <c r="M6">
        <f>IF(Tabela1[[#This Row],[Sexo]]="M",1,0)</f>
        <v>1</v>
      </c>
      <c r="N6">
        <f>IF(Tabela1[[#This Row],[Sexo]]="F",1,0)</f>
        <v>0</v>
      </c>
      <c r="O6" s="5">
        <f>2016-Tabela1[[#This Row],[B-day]]</f>
        <v>33</v>
      </c>
      <c r="P6" s="5">
        <f>IF(Tabela1[[#This Row],[Idade]]&lt;21,1,0)</f>
        <v>0</v>
      </c>
      <c r="Q6" s="5">
        <f>IF(Tabela1[[#This Row],[Idade]]&gt;20,1,0)</f>
        <v>1</v>
      </c>
      <c r="R6" s="5">
        <f>IF(Tabela1[[#This Row],[Juniores]]=1,Tabela1[[#This Row],[B-day]],0)</f>
        <v>0</v>
      </c>
    </row>
    <row r="7" spans="1:18" x14ac:dyDescent="0.25">
      <c r="A7">
        <v>2016</v>
      </c>
      <c r="B7">
        <v>14800276</v>
      </c>
      <c r="C7" t="s">
        <v>10</v>
      </c>
      <c r="D7" t="s">
        <v>1</v>
      </c>
      <c r="E7" t="s">
        <v>7</v>
      </c>
      <c r="F7">
        <v>2080</v>
      </c>
      <c r="G7">
        <v>0</v>
      </c>
      <c r="H7">
        <v>40</v>
      </c>
      <c r="I7">
        <v>1976</v>
      </c>
      <c r="K7" t="s">
        <v>95</v>
      </c>
      <c r="L7" t="str">
        <f>LEFT(Tabela1[[#This Row],[Sex Tit  WTit OTit]],1)</f>
        <v>M</v>
      </c>
      <c r="M7">
        <f>IF(Tabela1[[#This Row],[Sexo]]="M",1,0)</f>
        <v>1</v>
      </c>
      <c r="N7">
        <f>IF(Tabela1[[#This Row],[Sexo]]="F",1,0)</f>
        <v>0</v>
      </c>
      <c r="O7" s="5">
        <f>2016-Tabela1[[#This Row],[B-day]]</f>
        <v>40</v>
      </c>
      <c r="P7" s="5">
        <f>IF(Tabela1[[#This Row],[Idade]]&lt;21,1,0)</f>
        <v>0</v>
      </c>
      <c r="Q7" s="5">
        <f>IF(Tabela1[[#This Row],[Idade]]&gt;20,1,0)</f>
        <v>1</v>
      </c>
      <c r="R7" s="5">
        <f>IF(Tabela1[[#This Row],[Juniores]]=1,Tabela1[[#This Row],[B-day]],0)</f>
        <v>0</v>
      </c>
    </row>
    <row r="8" spans="1:18" x14ac:dyDescent="0.25">
      <c r="A8">
        <v>2016</v>
      </c>
      <c r="B8">
        <v>14800012</v>
      </c>
      <c r="C8" t="s">
        <v>11</v>
      </c>
      <c r="D8" t="s">
        <v>1</v>
      </c>
      <c r="E8" t="s">
        <v>7</v>
      </c>
      <c r="F8">
        <v>2065</v>
      </c>
      <c r="G8">
        <v>0</v>
      </c>
      <c r="H8">
        <v>40</v>
      </c>
      <c r="I8">
        <v>1972</v>
      </c>
      <c r="J8" t="s">
        <v>3</v>
      </c>
      <c r="K8" t="s">
        <v>96</v>
      </c>
      <c r="L8" t="str">
        <f>LEFT(Tabela1[[#This Row],[Sex Tit  WTit OTit]],1)</f>
        <v>M</v>
      </c>
      <c r="M8">
        <f>IF(Tabela1[[#This Row],[Sexo]]="M",1,0)</f>
        <v>1</v>
      </c>
      <c r="N8">
        <f>IF(Tabela1[[#This Row],[Sexo]]="F",1,0)</f>
        <v>0</v>
      </c>
      <c r="O8" s="5">
        <f>2016-Tabela1[[#This Row],[B-day]]</f>
        <v>44</v>
      </c>
      <c r="P8" s="5">
        <f>IF(Tabela1[[#This Row],[Idade]]&lt;21,1,0)</f>
        <v>0</v>
      </c>
      <c r="Q8" s="5">
        <f>IF(Tabela1[[#This Row],[Idade]]&gt;20,1,0)</f>
        <v>1</v>
      </c>
      <c r="R8" s="5">
        <f>IF(Tabela1[[#This Row],[Juniores]]=1,Tabela1[[#This Row],[B-day]],0)</f>
        <v>0</v>
      </c>
    </row>
    <row r="9" spans="1:18" x14ac:dyDescent="0.25">
      <c r="A9">
        <v>2016</v>
      </c>
      <c r="B9">
        <v>14800063</v>
      </c>
      <c r="C9" t="s">
        <v>12</v>
      </c>
      <c r="D9" t="s">
        <v>1</v>
      </c>
      <c r="E9" t="s">
        <v>7</v>
      </c>
      <c r="F9">
        <v>2010</v>
      </c>
      <c r="G9">
        <v>0</v>
      </c>
      <c r="H9">
        <v>20</v>
      </c>
      <c r="I9">
        <v>1990</v>
      </c>
      <c r="K9" t="s">
        <v>95</v>
      </c>
      <c r="L9" t="str">
        <f>LEFT(Tabela1[[#This Row],[Sex Tit  WTit OTit]],1)</f>
        <v>M</v>
      </c>
      <c r="M9">
        <f>IF(Tabela1[[#This Row],[Sexo]]="M",1,0)</f>
        <v>1</v>
      </c>
      <c r="N9">
        <f>IF(Tabela1[[#This Row],[Sexo]]="F",1,0)</f>
        <v>0</v>
      </c>
      <c r="O9" s="5">
        <f>2016-Tabela1[[#This Row],[B-day]]</f>
        <v>26</v>
      </c>
      <c r="P9" s="5">
        <f>IF(Tabela1[[#This Row],[Idade]]&lt;21,1,0)</f>
        <v>0</v>
      </c>
      <c r="Q9" s="5">
        <f>IF(Tabela1[[#This Row],[Idade]]&gt;20,1,0)</f>
        <v>1</v>
      </c>
      <c r="R9" s="5">
        <f>IF(Tabela1[[#This Row],[Juniores]]=1,Tabela1[[#This Row],[B-day]],0)</f>
        <v>0</v>
      </c>
    </row>
    <row r="10" spans="1:18" x14ac:dyDescent="0.25">
      <c r="A10">
        <v>2016</v>
      </c>
      <c r="B10">
        <v>14800071</v>
      </c>
      <c r="C10" t="s">
        <v>13</v>
      </c>
      <c r="D10" t="s">
        <v>1</v>
      </c>
      <c r="E10" t="s">
        <v>2</v>
      </c>
      <c r="F10">
        <v>1941</v>
      </c>
      <c r="G10">
        <v>0</v>
      </c>
      <c r="H10">
        <v>20</v>
      </c>
      <c r="I10">
        <v>1984</v>
      </c>
      <c r="J10" t="s">
        <v>3</v>
      </c>
      <c r="L10" t="str">
        <f>LEFT(Tabela1[[#This Row],[Sex Tit  WTit OTit]],1)</f>
        <v>M</v>
      </c>
      <c r="M10">
        <f>IF(Tabela1[[#This Row],[Sexo]]="M",1,0)</f>
        <v>1</v>
      </c>
      <c r="N10">
        <f>IF(Tabela1[[#This Row],[Sexo]]="F",1,0)</f>
        <v>0</v>
      </c>
      <c r="O10" s="5">
        <f>2016-Tabela1[[#This Row],[B-day]]</f>
        <v>32</v>
      </c>
      <c r="P10" s="5">
        <f>IF(Tabela1[[#This Row],[Idade]]&lt;21,1,0)</f>
        <v>0</v>
      </c>
      <c r="Q10" s="5">
        <f>IF(Tabela1[[#This Row],[Idade]]&gt;20,1,0)</f>
        <v>1</v>
      </c>
      <c r="R10" s="5">
        <f>IF(Tabela1[[#This Row],[Juniores]]=1,Tabela1[[#This Row],[B-day]],0)</f>
        <v>0</v>
      </c>
    </row>
    <row r="11" spans="1:18" x14ac:dyDescent="0.25">
      <c r="A11">
        <v>2016</v>
      </c>
      <c r="B11">
        <v>14800489</v>
      </c>
      <c r="C11" t="s">
        <v>14</v>
      </c>
      <c r="D11" t="s">
        <v>1</v>
      </c>
      <c r="E11" t="s">
        <v>2</v>
      </c>
      <c r="F11">
        <v>1896</v>
      </c>
      <c r="G11">
        <v>0</v>
      </c>
      <c r="H11">
        <v>40</v>
      </c>
      <c r="I11">
        <v>1983</v>
      </c>
      <c r="K11" t="s">
        <v>95</v>
      </c>
      <c r="L11" t="str">
        <f>LEFT(Tabela1[[#This Row],[Sex Tit  WTit OTit]],1)</f>
        <v>M</v>
      </c>
      <c r="M11">
        <f>IF(Tabela1[[#This Row],[Sexo]]="M",1,0)</f>
        <v>1</v>
      </c>
      <c r="N11">
        <f>IF(Tabela1[[#This Row],[Sexo]]="F",1,0)</f>
        <v>0</v>
      </c>
      <c r="O11" s="5">
        <f>2016-Tabela1[[#This Row],[B-day]]</f>
        <v>33</v>
      </c>
      <c r="P11" s="5">
        <f>IF(Tabela1[[#This Row],[Idade]]&lt;21,1,0)</f>
        <v>0</v>
      </c>
      <c r="Q11" s="5">
        <f>IF(Tabela1[[#This Row],[Idade]]&gt;20,1,0)</f>
        <v>1</v>
      </c>
      <c r="R11" s="5">
        <f>IF(Tabela1[[#This Row],[Juniores]]=1,Tabela1[[#This Row],[B-day]],0)</f>
        <v>0</v>
      </c>
    </row>
    <row r="12" spans="1:18" x14ac:dyDescent="0.25">
      <c r="A12">
        <v>2016</v>
      </c>
      <c r="B12">
        <v>14800144</v>
      </c>
      <c r="C12" t="s">
        <v>15</v>
      </c>
      <c r="D12" t="s">
        <v>1</v>
      </c>
      <c r="E12" t="s">
        <v>16</v>
      </c>
      <c r="F12">
        <v>1759</v>
      </c>
      <c r="G12">
        <v>0</v>
      </c>
      <c r="H12">
        <v>20</v>
      </c>
      <c r="I12">
        <v>1985</v>
      </c>
      <c r="J12" t="s">
        <v>17</v>
      </c>
      <c r="K12" t="s">
        <v>97</v>
      </c>
      <c r="L12" t="str">
        <f>LEFT(Tabela1[[#This Row],[Sex Tit  WTit OTit]],1)</f>
        <v>F</v>
      </c>
      <c r="M12">
        <f>IF(Tabela1[[#This Row],[Sexo]]="M",1,0)</f>
        <v>0</v>
      </c>
      <c r="N12">
        <f>IF(Tabela1[[#This Row],[Sexo]]="F",1,0)</f>
        <v>1</v>
      </c>
      <c r="O12" s="5">
        <f>2016-Tabela1[[#This Row],[B-day]]</f>
        <v>31</v>
      </c>
      <c r="P12" s="5">
        <f>IF(Tabela1[[#This Row],[Idade]]&lt;21,1,0)</f>
        <v>0</v>
      </c>
      <c r="Q12" s="5">
        <f>IF(Tabela1[[#This Row],[Idade]]&gt;20,1,0)</f>
        <v>1</v>
      </c>
      <c r="R12" s="5">
        <f>IF(Tabela1[[#This Row],[Juniores]]=1,Tabela1[[#This Row],[B-day]],0)</f>
        <v>0</v>
      </c>
    </row>
    <row r="13" spans="1:18" x14ac:dyDescent="0.25">
      <c r="A13">
        <v>2016</v>
      </c>
      <c r="B13">
        <v>14800284</v>
      </c>
      <c r="C13" t="s">
        <v>18</v>
      </c>
      <c r="D13" t="s">
        <v>1</v>
      </c>
      <c r="E13" t="s">
        <v>2</v>
      </c>
      <c r="F13">
        <v>1734</v>
      </c>
      <c r="G13">
        <v>0</v>
      </c>
      <c r="H13">
        <v>40</v>
      </c>
      <c r="I13">
        <v>1994</v>
      </c>
      <c r="J13" t="s">
        <v>3</v>
      </c>
      <c r="L13" t="str">
        <f>LEFT(Tabela1[[#This Row],[Sex Tit  WTit OTit]],1)</f>
        <v>M</v>
      </c>
      <c r="M13">
        <f>IF(Tabela1[[#This Row],[Sexo]]="M",1,0)</f>
        <v>1</v>
      </c>
      <c r="N13">
        <f>IF(Tabela1[[#This Row],[Sexo]]="F",1,0)</f>
        <v>0</v>
      </c>
      <c r="O13" s="5">
        <f>2016-Tabela1[[#This Row],[B-day]]</f>
        <v>22</v>
      </c>
      <c r="P13" s="5">
        <f>IF(Tabela1[[#This Row],[Idade]]&lt;21,1,0)</f>
        <v>0</v>
      </c>
      <c r="Q13" s="5">
        <f>IF(Tabela1[[#This Row],[Idade]]&gt;20,1,0)</f>
        <v>1</v>
      </c>
      <c r="R13" s="5">
        <f>IF(Tabela1[[#This Row],[Juniores]]=1,Tabela1[[#This Row],[B-day]],0)</f>
        <v>0</v>
      </c>
    </row>
    <row r="14" spans="1:18" x14ac:dyDescent="0.25">
      <c r="A14">
        <v>2016</v>
      </c>
      <c r="B14">
        <v>14800438</v>
      </c>
      <c r="C14" t="s">
        <v>19</v>
      </c>
      <c r="D14" t="s">
        <v>1</v>
      </c>
      <c r="E14" t="s">
        <v>2</v>
      </c>
      <c r="F14">
        <v>1659</v>
      </c>
      <c r="G14">
        <v>0</v>
      </c>
      <c r="H14">
        <v>40</v>
      </c>
      <c r="I14">
        <v>1999</v>
      </c>
      <c r="J14" t="s">
        <v>3</v>
      </c>
      <c r="L14" t="str">
        <f>LEFT(Tabela1[[#This Row],[Sex Tit  WTit OTit]],1)</f>
        <v>M</v>
      </c>
      <c r="M14">
        <f>IF(Tabela1[[#This Row],[Sexo]]="M",1,0)</f>
        <v>1</v>
      </c>
      <c r="N14">
        <f>IF(Tabela1[[#This Row],[Sexo]]="F",1,0)</f>
        <v>0</v>
      </c>
      <c r="O14" s="5">
        <f>2016-Tabela1[[#This Row],[B-day]]</f>
        <v>17</v>
      </c>
      <c r="P14" s="5">
        <f>IF(Tabela1[[#This Row],[Idade]]&lt;21,1,0)</f>
        <v>1</v>
      </c>
      <c r="Q14" s="5">
        <f>IF(Tabela1[[#This Row],[Idade]]&gt;20,1,0)</f>
        <v>0</v>
      </c>
      <c r="R14" s="5">
        <f>IF(Tabela1[[#This Row],[Juniores]]=1,Tabela1[[#This Row],[B-day]],0)</f>
        <v>1999</v>
      </c>
    </row>
    <row r="15" spans="1:18" x14ac:dyDescent="0.25">
      <c r="A15">
        <v>2016</v>
      </c>
      <c r="B15">
        <v>14800306</v>
      </c>
      <c r="C15" t="s">
        <v>20</v>
      </c>
      <c r="D15" t="s">
        <v>1</v>
      </c>
      <c r="E15" t="s">
        <v>21</v>
      </c>
      <c r="F15">
        <v>1587</v>
      </c>
      <c r="G15">
        <v>0</v>
      </c>
      <c r="H15">
        <v>40</v>
      </c>
      <c r="I15">
        <v>1997</v>
      </c>
      <c r="J15" t="s">
        <v>22</v>
      </c>
      <c r="L15" t="str">
        <f>LEFT(Tabela1[[#This Row],[Sex Tit  WTit OTit]],1)</f>
        <v>F</v>
      </c>
      <c r="M15">
        <f>IF(Tabela1[[#This Row],[Sexo]]="M",1,0)</f>
        <v>0</v>
      </c>
      <c r="N15">
        <f>IF(Tabela1[[#This Row],[Sexo]]="F",1,0)</f>
        <v>1</v>
      </c>
      <c r="O15" s="5">
        <f>2016-Tabela1[[#This Row],[B-day]]</f>
        <v>19</v>
      </c>
      <c r="P15" s="5">
        <f>IF(Tabela1[[#This Row],[Idade]]&lt;21,1,0)</f>
        <v>1</v>
      </c>
      <c r="Q15" s="5">
        <f>IF(Tabela1[[#This Row],[Idade]]&gt;20,1,0)</f>
        <v>0</v>
      </c>
      <c r="R15" s="5">
        <f>IF(Tabela1[[#This Row],[Juniores]]=1,Tabela1[[#This Row],[B-day]],0)</f>
        <v>1997</v>
      </c>
    </row>
    <row r="16" spans="1:18" x14ac:dyDescent="0.25">
      <c r="A16">
        <v>2016</v>
      </c>
      <c r="B16">
        <v>14800152</v>
      </c>
      <c r="C16" t="s">
        <v>23</v>
      </c>
      <c r="D16" t="s">
        <v>1</v>
      </c>
      <c r="E16" t="s">
        <v>21</v>
      </c>
      <c r="F16">
        <v>1556</v>
      </c>
      <c r="G16">
        <v>0</v>
      </c>
      <c r="H16">
        <v>40</v>
      </c>
      <c r="I16">
        <v>1995</v>
      </c>
      <c r="J16" t="s">
        <v>22</v>
      </c>
      <c r="L16" t="str">
        <f>LEFT(Tabela1[[#This Row],[Sex Tit  WTit OTit]],1)</f>
        <v>F</v>
      </c>
      <c r="M16">
        <f>IF(Tabela1[[#This Row],[Sexo]]="M",1,0)</f>
        <v>0</v>
      </c>
      <c r="N16">
        <f>IF(Tabela1[[#This Row],[Sexo]]="F",1,0)</f>
        <v>1</v>
      </c>
      <c r="O16" s="5">
        <f>2016-Tabela1[[#This Row],[B-day]]</f>
        <v>21</v>
      </c>
      <c r="P16" s="5">
        <f>IF(Tabela1[[#This Row],[Idade]]&lt;21,1,0)</f>
        <v>0</v>
      </c>
      <c r="Q16" s="5">
        <f>IF(Tabela1[[#This Row],[Idade]]&gt;20,1,0)</f>
        <v>1</v>
      </c>
      <c r="R16" s="5">
        <f>IF(Tabela1[[#This Row],[Juniores]]=1,Tabela1[[#This Row],[B-day]],0)</f>
        <v>0</v>
      </c>
    </row>
    <row r="17" spans="1:18" x14ac:dyDescent="0.25">
      <c r="A17">
        <v>2016</v>
      </c>
      <c r="B17">
        <v>14800403</v>
      </c>
      <c r="C17" t="s">
        <v>24</v>
      </c>
      <c r="D17" t="s">
        <v>1</v>
      </c>
      <c r="E17" t="s">
        <v>2</v>
      </c>
      <c r="F17">
        <v>1552</v>
      </c>
      <c r="G17">
        <v>0</v>
      </c>
      <c r="H17">
        <v>40</v>
      </c>
      <c r="I17">
        <v>2003</v>
      </c>
      <c r="L17" t="str">
        <f>LEFT(Tabela1[[#This Row],[Sex Tit  WTit OTit]],1)</f>
        <v>M</v>
      </c>
      <c r="M17">
        <f>IF(Tabela1[[#This Row],[Sexo]]="M",1,0)</f>
        <v>1</v>
      </c>
      <c r="N17">
        <f>IF(Tabela1[[#This Row],[Sexo]]="F",1,0)</f>
        <v>0</v>
      </c>
      <c r="O17" s="5">
        <f>2016-Tabela1[[#This Row],[B-day]]</f>
        <v>13</v>
      </c>
      <c r="P17" s="5">
        <f>IF(Tabela1[[#This Row],[Idade]]&lt;21,1,0)</f>
        <v>1</v>
      </c>
      <c r="Q17" s="5">
        <f>IF(Tabela1[[#This Row],[Idade]]&gt;20,1,0)</f>
        <v>0</v>
      </c>
      <c r="R17" s="5">
        <f>IF(Tabela1[[#This Row],[Juniores]]=1,Tabela1[[#This Row],[B-day]],0)</f>
        <v>2003</v>
      </c>
    </row>
    <row r="18" spans="1:18" x14ac:dyDescent="0.25">
      <c r="A18">
        <v>2016</v>
      </c>
      <c r="B18">
        <v>14800101</v>
      </c>
      <c r="C18" t="s">
        <v>25</v>
      </c>
      <c r="D18" t="s">
        <v>1</v>
      </c>
      <c r="E18" t="s">
        <v>21</v>
      </c>
      <c r="F18">
        <v>1535</v>
      </c>
      <c r="G18">
        <v>0</v>
      </c>
      <c r="H18">
        <v>40</v>
      </c>
      <c r="I18">
        <v>1998</v>
      </c>
      <c r="J18" t="s">
        <v>22</v>
      </c>
      <c r="L18" t="str">
        <f>LEFT(Tabela1[[#This Row],[Sex Tit  WTit OTit]],1)</f>
        <v>F</v>
      </c>
      <c r="M18">
        <f>IF(Tabela1[[#This Row],[Sexo]]="M",1,0)</f>
        <v>0</v>
      </c>
      <c r="N18">
        <f>IF(Tabela1[[#This Row],[Sexo]]="F",1,0)</f>
        <v>1</v>
      </c>
      <c r="O18" s="5">
        <f>2016-Tabela1[[#This Row],[B-day]]</f>
        <v>18</v>
      </c>
      <c r="P18" s="5">
        <f>IF(Tabela1[[#This Row],[Idade]]&lt;21,1,0)</f>
        <v>1</v>
      </c>
      <c r="Q18" s="5">
        <f>IF(Tabela1[[#This Row],[Idade]]&gt;20,1,0)</f>
        <v>0</v>
      </c>
      <c r="R18" s="5">
        <f>IF(Tabela1[[#This Row],[Juniores]]=1,Tabela1[[#This Row],[B-day]],0)</f>
        <v>1998</v>
      </c>
    </row>
    <row r="19" spans="1:18" x14ac:dyDescent="0.25">
      <c r="A19">
        <v>2016</v>
      </c>
      <c r="B19">
        <v>14800454</v>
      </c>
      <c r="C19" t="s">
        <v>26</v>
      </c>
      <c r="D19" t="s">
        <v>1</v>
      </c>
      <c r="E19" t="s">
        <v>21</v>
      </c>
      <c r="F19">
        <v>1492</v>
      </c>
      <c r="G19">
        <v>0</v>
      </c>
      <c r="H19">
        <v>40</v>
      </c>
      <c r="I19">
        <v>1999</v>
      </c>
      <c r="J19" t="s">
        <v>17</v>
      </c>
      <c r="L19" t="str">
        <f>LEFT(Tabela1[[#This Row],[Sex Tit  WTit OTit]],1)</f>
        <v>F</v>
      </c>
      <c r="M19">
        <f>IF(Tabela1[[#This Row],[Sexo]]="M",1,0)</f>
        <v>0</v>
      </c>
      <c r="N19">
        <f>IF(Tabela1[[#This Row],[Sexo]]="F",1,0)</f>
        <v>1</v>
      </c>
      <c r="O19" s="5">
        <f>2016-Tabela1[[#This Row],[B-day]]</f>
        <v>17</v>
      </c>
      <c r="P19" s="5">
        <f>IF(Tabela1[[#This Row],[Idade]]&lt;21,1,0)</f>
        <v>1</v>
      </c>
      <c r="Q19" s="5">
        <f>IF(Tabela1[[#This Row],[Idade]]&gt;20,1,0)</f>
        <v>0</v>
      </c>
      <c r="R19" s="5">
        <f>IF(Tabela1[[#This Row],[Juniores]]=1,Tabela1[[#This Row],[B-day]],0)</f>
        <v>1999</v>
      </c>
    </row>
    <row r="20" spans="1:18" x14ac:dyDescent="0.25">
      <c r="A20">
        <v>2016</v>
      </c>
      <c r="B20">
        <v>14800187</v>
      </c>
      <c r="C20" t="s">
        <v>27</v>
      </c>
      <c r="D20" t="s">
        <v>1</v>
      </c>
      <c r="E20" t="s">
        <v>21</v>
      </c>
      <c r="F20">
        <v>1472</v>
      </c>
      <c r="G20">
        <v>0</v>
      </c>
      <c r="H20">
        <v>40</v>
      </c>
      <c r="I20">
        <v>1994</v>
      </c>
      <c r="J20" t="s">
        <v>22</v>
      </c>
      <c r="L20" t="str">
        <f>LEFT(Tabela1[[#This Row],[Sex Tit  WTit OTit]],1)</f>
        <v>F</v>
      </c>
      <c r="M20">
        <f>IF(Tabela1[[#This Row],[Sexo]]="M",1,0)</f>
        <v>0</v>
      </c>
      <c r="N20">
        <f>IF(Tabela1[[#This Row],[Sexo]]="F",1,0)</f>
        <v>1</v>
      </c>
      <c r="O20" s="5">
        <f>2016-Tabela1[[#This Row],[B-day]]</f>
        <v>22</v>
      </c>
      <c r="P20" s="5">
        <f>IF(Tabela1[[#This Row],[Idade]]&lt;21,1,0)</f>
        <v>0</v>
      </c>
      <c r="Q20" s="5">
        <f>IF(Tabela1[[#This Row],[Idade]]&gt;20,1,0)</f>
        <v>1</v>
      </c>
      <c r="R20" s="5">
        <f>IF(Tabela1[[#This Row],[Juniores]]=1,Tabela1[[#This Row],[B-day]],0)</f>
        <v>0</v>
      </c>
    </row>
    <row r="21" spans="1:18" x14ac:dyDescent="0.25">
      <c r="A21">
        <v>2016</v>
      </c>
      <c r="B21">
        <v>14800250</v>
      </c>
      <c r="C21" t="s">
        <v>28</v>
      </c>
      <c r="D21" t="s">
        <v>1</v>
      </c>
      <c r="E21" t="s">
        <v>29</v>
      </c>
      <c r="F21">
        <v>1470</v>
      </c>
      <c r="G21">
        <v>0</v>
      </c>
      <c r="H21">
        <v>20</v>
      </c>
      <c r="I21">
        <v>1995</v>
      </c>
      <c r="J21" t="s">
        <v>17</v>
      </c>
      <c r="K21" t="s">
        <v>97</v>
      </c>
      <c r="L21" t="str">
        <f>LEFT(Tabela1[[#This Row],[Sex Tit  WTit OTit]],1)</f>
        <v>F</v>
      </c>
      <c r="M21">
        <f>IF(Tabela1[[#This Row],[Sexo]]="M",1,0)</f>
        <v>0</v>
      </c>
      <c r="N21">
        <f>IF(Tabela1[[#This Row],[Sexo]]="F",1,0)</f>
        <v>1</v>
      </c>
      <c r="O21" s="5">
        <f>2016-Tabela1[[#This Row],[B-day]]</f>
        <v>21</v>
      </c>
      <c r="P21" s="5">
        <f>IF(Tabela1[[#This Row],[Idade]]&lt;21,1,0)</f>
        <v>0</v>
      </c>
      <c r="Q21" s="5">
        <f>IF(Tabela1[[#This Row],[Idade]]&gt;20,1,0)</f>
        <v>1</v>
      </c>
      <c r="R21" s="5">
        <f>IF(Tabela1[[#This Row],[Juniores]]=1,Tabela1[[#This Row],[B-day]],0)</f>
        <v>0</v>
      </c>
    </row>
    <row r="22" spans="1:18" x14ac:dyDescent="0.25">
      <c r="A22">
        <v>2016</v>
      </c>
      <c r="B22">
        <v>14800209</v>
      </c>
      <c r="C22" t="s">
        <v>30</v>
      </c>
      <c r="D22" t="s">
        <v>1</v>
      </c>
      <c r="E22" t="s">
        <v>21</v>
      </c>
      <c r="F22">
        <v>1453</v>
      </c>
      <c r="G22">
        <v>0</v>
      </c>
      <c r="H22">
        <v>40</v>
      </c>
      <c r="I22">
        <v>0</v>
      </c>
      <c r="J22" t="s">
        <v>22</v>
      </c>
      <c r="L22" t="str">
        <f>LEFT(Tabela1[[#This Row],[Sex Tit  WTit OTit]],1)</f>
        <v>F</v>
      </c>
      <c r="M22">
        <f>IF(Tabela1[[#This Row],[Sexo]]="M",1,0)</f>
        <v>0</v>
      </c>
      <c r="N22">
        <f>IF(Tabela1[[#This Row],[Sexo]]="F",1,0)</f>
        <v>1</v>
      </c>
      <c r="O22" s="5">
        <f>2016-Tabela1[[#This Row],[B-day]]</f>
        <v>2016</v>
      </c>
      <c r="P22" s="5">
        <f>IF(Tabela1[[#This Row],[Idade]]&lt;21,1,0)</f>
        <v>0</v>
      </c>
      <c r="Q22" s="5">
        <f>IF(Tabela1[[#This Row],[Idade]]&gt;20,1,0)</f>
        <v>1</v>
      </c>
      <c r="R22" s="5">
        <f>IF(Tabela1[[#This Row],[Juniores]]=1,Tabela1[[#This Row],[B-day]],0)</f>
        <v>0</v>
      </c>
    </row>
    <row r="23" spans="1:18" x14ac:dyDescent="0.25">
      <c r="A23">
        <v>2016</v>
      </c>
      <c r="B23">
        <v>14800462</v>
      </c>
      <c r="C23" t="s">
        <v>31</v>
      </c>
      <c r="D23" t="s">
        <v>1</v>
      </c>
      <c r="E23" t="s">
        <v>21</v>
      </c>
      <c r="F23">
        <v>1390</v>
      </c>
      <c r="G23">
        <v>0</v>
      </c>
      <c r="H23">
        <v>40</v>
      </c>
      <c r="I23">
        <v>1991</v>
      </c>
      <c r="J23" t="s">
        <v>17</v>
      </c>
      <c r="L23" t="str">
        <f>LEFT(Tabela1[[#This Row],[Sex Tit  WTit OTit]],1)</f>
        <v>F</v>
      </c>
      <c r="M23">
        <f>IF(Tabela1[[#This Row],[Sexo]]="M",1,0)</f>
        <v>0</v>
      </c>
      <c r="N23">
        <f>IF(Tabela1[[#This Row],[Sexo]]="F",1,0)</f>
        <v>1</v>
      </c>
      <c r="O23" s="5">
        <f>2016-Tabela1[[#This Row],[B-day]]</f>
        <v>25</v>
      </c>
      <c r="P23" s="5">
        <f>IF(Tabela1[[#This Row],[Idade]]&lt;21,1,0)</f>
        <v>0</v>
      </c>
      <c r="Q23" s="5">
        <f>IF(Tabela1[[#This Row],[Idade]]&gt;20,1,0)</f>
        <v>1</v>
      </c>
      <c r="R23" s="5">
        <f>IF(Tabela1[[#This Row],[Juniores]]=1,Tabela1[[#This Row],[B-day]],0)</f>
        <v>0</v>
      </c>
    </row>
    <row r="24" spans="1:18" x14ac:dyDescent="0.25">
      <c r="A24">
        <v>2016</v>
      </c>
      <c r="B24">
        <v>14800292</v>
      </c>
      <c r="C24" t="s">
        <v>32</v>
      </c>
      <c r="D24" t="s">
        <v>1</v>
      </c>
      <c r="E24" t="s">
        <v>29</v>
      </c>
      <c r="F24">
        <v>1366</v>
      </c>
      <c r="G24">
        <v>0</v>
      </c>
      <c r="H24">
        <v>40</v>
      </c>
      <c r="I24">
        <v>1998</v>
      </c>
      <c r="J24" t="s">
        <v>17</v>
      </c>
      <c r="L24" t="str">
        <f>LEFT(Tabela1[[#This Row],[Sex Tit  WTit OTit]],1)</f>
        <v>F</v>
      </c>
      <c r="M24">
        <f>IF(Tabela1[[#This Row],[Sexo]]="M",1,0)</f>
        <v>0</v>
      </c>
      <c r="N24">
        <f>IF(Tabela1[[#This Row],[Sexo]]="F",1,0)</f>
        <v>1</v>
      </c>
      <c r="O24" s="5">
        <f>2016-Tabela1[[#This Row],[B-day]]</f>
        <v>18</v>
      </c>
      <c r="P24" s="5">
        <f>IF(Tabela1[[#This Row],[Idade]]&lt;21,1,0)</f>
        <v>1</v>
      </c>
      <c r="Q24" s="5">
        <f>IF(Tabela1[[#This Row],[Idade]]&gt;20,1,0)</f>
        <v>0</v>
      </c>
      <c r="R24" s="5">
        <f>IF(Tabela1[[#This Row],[Juniores]]=1,Tabela1[[#This Row],[B-day]],0)</f>
        <v>1998</v>
      </c>
    </row>
    <row r="25" spans="1:18" x14ac:dyDescent="0.25">
      <c r="A25">
        <v>2016</v>
      </c>
      <c r="B25">
        <v>14800675</v>
      </c>
      <c r="C25" t="s">
        <v>33</v>
      </c>
      <c r="D25" t="s">
        <v>1</v>
      </c>
      <c r="E25" t="s">
        <v>21</v>
      </c>
      <c r="F25">
        <v>1230</v>
      </c>
      <c r="G25">
        <v>0</v>
      </c>
      <c r="H25">
        <v>40</v>
      </c>
      <c r="I25">
        <v>2000</v>
      </c>
      <c r="J25" t="s">
        <v>17</v>
      </c>
      <c r="L25" t="str">
        <f>LEFT(Tabela1[[#This Row],[Sex Tit  WTit OTit]],1)</f>
        <v>F</v>
      </c>
      <c r="M25">
        <f>IF(Tabela1[[#This Row],[Sexo]]="M",1,0)</f>
        <v>0</v>
      </c>
      <c r="N25">
        <f>IF(Tabela1[[#This Row],[Sexo]]="F",1,0)</f>
        <v>1</v>
      </c>
      <c r="O25" s="5">
        <f>2016-Tabela1[[#This Row],[B-day]]</f>
        <v>16</v>
      </c>
      <c r="P25" s="5">
        <f>IF(Tabela1[[#This Row],[Idade]]&lt;21,1,0)</f>
        <v>1</v>
      </c>
      <c r="Q25" s="5">
        <f>IF(Tabela1[[#This Row],[Idade]]&gt;20,1,0)</f>
        <v>0</v>
      </c>
      <c r="R25" s="5">
        <f>IF(Tabela1[[#This Row],[Juniores]]=1,Tabela1[[#This Row],[B-day]],0)</f>
        <v>2000</v>
      </c>
    </row>
    <row r="26" spans="1:18" x14ac:dyDescent="0.25">
      <c r="A26">
        <v>2016</v>
      </c>
      <c r="B26">
        <v>14800608</v>
      </c>
      <c r="C26" t="s">
        <v>34</v>
      </c>
      <c r="D26" t="s">
        <v>1</v>
      </c>
      <c r="E26" t="s">
        <v>21</v>
      </c>
      <c r="F26">
        <v>1152</v>
      </c>
      <c r="G26">
        <v>0</v>
      </c>
      <c r="H26">
        <v>40</v>
      </c>
      <c r="I26">
        <v>2001</v>
      </c>
      <c r="J26" t="s">
        <v>17</v>
      </c>
      <c r="L26" t="str">
        <f>LEFT(Tabela1[[#This Row],[Sex Tit  WTit OTit]],1)</f>
        <v>F</v>
      </c>
      <c r="M26">
        <f>IF(Tabela1[[#This Row],[Sexo]]="M",1,0)</f>
        <v>0</v>
      </c>
      <c r="N26">
        <f>IF(Tabela1[[#This Row],[Sexo]]="F",1,0)</f>
        <v>1</v>
      </c>
      <c r="O26" s="5">
        <f>2016-Tabela1[[#This Row],[B-day]]</f>
        <v>15</v>
      </c>
      <c r="P26" s="5">
        <f>IF(Tabela1[[#This Row],[Idade]]&lt;21,1,0)</f>
        <v>1</v>
      </c>
      <c r="Q26" s="5">
        <f>IF(Tabela1[[#This Row],[Idade]]&gt;20,1,0)</f>
        <v>0</v>
      </c>
      <c r="R26" s="5">
        <f>IF(Tabela1[[#This Row],[Juniores]]=1,Tabela1[[#This Row],[B-day]],0)</f>
        <v>2001</v>
      </c>
    </row>
    <row r="27" spans="1:18" x14ac:dyDescent="0.25">
      <c r="A27" t="s">
        <v>99</v>
      </c>
      <c r="C27">
        <f>SUBTOTAL(103,Tabela1[Name])</f>
        <v>25</v>
      </c>
      <c r="F27" s="3">
        <f>SUBTOTAL(101,Tabela1[FOA DEC19])</f>
        <v>1726.96</v>
      </c>
      <c r="H27" s="3">
        <f>SUBTOTAL(101,Tabela1[K])</f>
        <v>33.6</v>
      </c>
      <c r="K27">
        <f>SUBTOTAL(103,Tabela1[Liga])</f>
        <v>9</v>
      </c>
      <c r="M27">
        <f>SUBTOTAL(109,Tabela1[Masculino])</f>
        <v>13</v>
      </c>
      <c r="N27">
        <f>SUBTOTAL(109,Tabela1[Feminino])</f>
        <v>12</v>
      </c>
      <c r="P27">
        <f>SUBTOTAL(109,Tabela1[Juniores])</f>
        <v>8</v>
      </c>
      <c r="Q27">
        <f>SUBTOTAL(109,Tabela1[Seniores])</f>
        <v>17</v>
      </c>
      <c r="R27">
        <f>SUBTOTAL(109,Tabela1[Rating Juniores])</f>
        <v>15995</v>
      </c>
    </row>
  </sheetData>
  <pageMargins left="0.7" right="0.7" top="0.75" bottom="0.75" header="0.3" footer="0.3"/>
  <pageSetup orientation="portrait" horizontalDpi="300" verticalDpi="300" r:id="rId1"/>
  <headerFooter>
    <oddHeader>&amp;C&amp;"Calibri"&amp;9&amp;K000000Informação de uso Público&amp;1#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8974-88C0-4971-882B-BA7ED0A060C5}">
  <dimension ref="A1:R29"/>
  <sheetViews>
    <sheetView topLeftCell="D1" workbookViewId="0">
      <selection activeCell="F2" sqref="F2:F27"/>
    </sheetView>
  </sheetViews>
  <sheetFormatPr defaultRowHeight="15" x14ac:dyDescent="0.25"/>
  <cols>
    <col min="2" max="2" width="12.85546875" bestFit="1" customWidth="1"/>
    <col min="3" max="3" width="31.7109375" bestFit="1" customWidth="1"/>
    <col min="4" max="4" width="10.140625" customWidth="1"/>
    <col min="5" max="5" width="18.5703125" bestFit="1" customWidth="1"/>
    <col min="7" max="10" width="10.28515625" customWidth="1"/>
  </cols>
  <sheetData>
    <row r="1" spans="1:18" x14ac:dyDescent="0.25">
      <c r="A1" t="s">
        <v>93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s="2" t="s">
        <v>94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</row>
    <row r="2" spans="1:18" x14ac:dyDescent="0.25">
      <c r="A2">
        <v>2017</v>
      </c>
      <c r="B2">
        <v>14800047</v>
      </c>
      <c r="C2" t="s">
        <v>4</v>
      </c>
      <c r="D2" t="s">
        <v>1</v>
      </c>
      <c r="E2" t="s">
        <v>5</v>
      </c>
      <c r="F2">
        <v>2193</v>
      </c>
      <c r="G2">
        <v>0</v>
      </c>
      <c r="H2">
        <v>20</v>
      </c>
      <c r="I2">
        <v>1980</v>
      </c>
      <c r="K2" t="s">
        <v>95</v>
      </c>
      <c r="L2" t="str">
        <f>LEFT(Tabela2[[#This Row],[Sex Tit  WTit OTit]],1)</f>
        <v>M</v>
      </c>
      <c r="M2">
        <f>IF(Tabela2[[#This Row],[Sexo]]="M",1,0)</f>
        <v>1</v>
      </c>
      <c r="N2">
        <f>IF(Tabela2[[#This Row],[Sexo]]="F",1,0)</f>
        <v>0</v>
      </c>
      <c r="O2" s="5">
        <f>2017-Tabela2[[#This Row],[B-day]]</f>
        <v>37</v>
      </c>
      <c r="P2" s="5">
        <f>IF(Tabela2[[#This Row],[Idade]]&lt;21,1,0)</f>
        <v>0</v>
      </c>
      <c r="Q2" s="5">
        <f>IF(Tabela2[[#This Row],[Idade]]&gt;20,1,0)</f>
        <v>1</v>
      </c>
      <c r="R2" s="5">
        <f>IF(Tabela2[[#This Row],[Juniores]]=1,Tabela2[[#This Row],[B-day]],0)</f>
        <v>0</v>
      </c>
    </row>
    <row r="3" spans="1:18" x14ac:dyDescent="0.25">
      <c r="A3">
        <v>2017</v>
      </c>
      <c r="B3">
        <v>14800039</v>
      </c>
      <c r="C3" t="s">
        <v>0</v>
      </c>
      <c r="D3" t="s">
        <v>1</v>
      </c>
      <c r="E3" t="s">
        <v>2</v>
      </c>
      <c r="F3">
        <v>2186</v>
      </c>
      <c r="G3">
        <v>0</v>
      </c>
      <c r="H3">
        <v>20</v>
      </c>
      <c r="I3">
        <v>1982</v>
      </c>
      <c r="J3" t="s">
        <v>3</v>
      </c>
      <c r="L3" t="str">
        <f>LEFT(Tabela2[[#This Row],[Sex Tit  WTit OTit]],1)</f>
        <v>M</v>
      </c>
      <c r="M3">
        <f>IF(Tabela2[[#This Row],[Sexo]]="M",1,0)</f>
        <v>1</v>
      </c>
      <c r="N3">
        <f>IF(Tabela2[[#This Row],[Sexo]]="F",1,0)</f>
        <v>0</v>
      </c>
      <c r="O3" s="5">
        <f>2017-Tabela2[[#This Row],[B-day]]</f>
        <v>35</v>
      </c>
      <c r="P3" s="5">
        <f>IF(Tabela2[[#This Row],[Idade]]&lt;21,1,0)</f>
        <v>0</v>
      </c>
      <c r="Q3" s="5">
        <f>IF(Tabela2[[#This Row],[Idade]]&gt;20,1,0)</f>
        <v>1</v>
      </c>
      <c r="R3" s="5">
        <f>IF(Tabela2[[#This Row],[Juniores]]=1,Tabela2[[#This Row],[B-day]],0)</f>
        <v>0</v>
      </c>
    </row>
    <row r="4" spans="1:18" x14ac:dyDescent="0.25">
      <c r="A4">
        <v>2017</v>
      </c>
      <c r="B4">
        <v>14800268</v>
      </c>
      <c r="C4" t="s">
        <v>6</v>
      </c>
      <c r="D4" t="s">
        <v>1</v>
      </c>
      <c r="E4" t="s">
        <v>7</v>
      </c>
      <c r="F4">
        <v>2156</v>
      </c>
      <c r="G4">
        <v>0</v>
      </c>
      <c r="H4">
        <v>20</v>
      </c>
      <c r="I4">
        <v>1984</v>
      </c>
      <c r="K4" t="s">
        <v>95</v>
      </c>
      <c r="L4" t="str">
        <f>LEFT(Tabela2[[#This Row],[Sex Tit  WTit OTit]],1)</f>
        <v>M</v>
      </c>
      <c r="M4">
        <f>IF(Tabela2[[#This Row],[Sexo]]="M",1,0)</f>
        <v>1</v>
      </c>
      <c r="N4">
        <f>IF(Tabela2[[#This Row],[Sexo]]="F",1,0)</f>
        <v>0</v>
      </c>
      <c r="O4" s="5">
        <f>2017-Tabela2[[#This Row],[B-day]]</f>
        <v>33</v>
      </c>
      <c r="P4" s="5">
        <f>IF(Tabela2[[#This Row],[Idade]]&lt;21,1,0)</f>
        <v>0</v>
      </c>
      <c r="Q4" s="5">
        <f>IF(Tabela2[[#This Row],[Idade]]&gt;20,1,0)</f>
        <v>1</v>
      </c>
      <c r="R4" s="5">
        <f>IF(Tabela2[[#This Row],[Juniores]]=1,Tabela2[[#This Row],[B-day]],0)</f>
        <v>0</v>
      </c>
    </row>
    <row r="5" spans="1:18" x14ac:dyDescent="0.25">
      <c r="A5">
        <v>2017</v>
      </c>
      <c r="B5">
        <v>14800098</v>
      </c>
      <c r="C5" t="s">
        <v>8</v>
      </c>
      <c r="D5" t="s">
        <v>1</v>
      </c>
      <c r="E5" t="s">
        <v>7</v>
      </c>
      <c r="F5">
        <v>2155</v>
      </c>
      <c r="G5">
        <v>5</v>
      </c>
      <c r="H5">
        <v>20</v>
      </c>
      <c r="I5">
        <v>1991</v>
      </c>
      <c r="K5" t="s">
        <v>95</v>
      </c>
      <c r="L5" t="str">
        <f>LEFT(Tabela2[[#This Row],[Sex Tit  WTit OTit]],1)</f>
        <v>M</v>
      </c>
      <c r="M5">
        <f>IF(Tabela2[[#This Row],[Sexo]]="M",1,0)</f>
        <v>1</v>
      </c>
      <c r="N5">
        <f>IF(Tabela2[[#This Row],[Sexo]]="F",1,0)</f>
        <v>0</v>
      </c>
      <c r="O5" s="5">
        <f>2017-Tabela2[[#This Row],[B-day]]</f>
        <v>26</v>
      </c>
      <c r="P5" s="5">
        <f>IF(Tabela2[[#This Row],[Idade]]&lt;21,1,0)</f>
        <v>0</v>
      </c>
      <c r="Q5" s="5">
        <f>IF(Tabela2[[#This Row],[Idade]]&gt;20,1,0)</f>
        <v>1</v>
      </c>
      <c r="R5" s="5">
        <f>IF(Tabela2[[#This Row],[Juniores]]=1,Tabela2[[#This Row],[B-day]],0)</f>
        <v>0</v>
      </c>
    </row>
    <row r="6" spans="1:18" x14ac:dyDescent="0.25">
      <c r="A6">
        <v>2017</v>
      </c>
      <c r="B6">
        <v>14800276</v>
      </c>
      <c r="C6" t="s">
        <v>10</v>
      </c>
      <c r="D6" t="s">
        <v>1</v>
      </c>
      <c r="E6" t="s">
        <v>7</v>
      </c>
      <c r="F6">
        <v>2080</v>
      </c>
      <c r="G6">
        <v>0</v>
      </c>
      <c r="H6">
        <v>40</v>
      </c>
      <c r="I6">
        <v>1976</v>
      </c>
      <c r="J6" t="s">
        <v>3</v>
      </c>
      <c r="K6" t="s">
        <v>95</v>
      </c>
      <c r="L6" t="str">
        <f>LEFT(Tabela2[[#This Row],[Sex Tit  WTit OTit]],1)</f>
        <v>M</v>
      </c>
      <c r="M6">
        <f>IF(Tabela2[[#This Row],[Sexo]]="M",1,0)</f>
        <v>1</v>
      </c>
      <c r="N6">
        <f>IF(Tabela2[[#This Row],[Sexo]]="F",1,0)</f>
        <v>0</v>
      </c>
      <c r="O6" s="5">
        <f>2017-Tabela2[[#This Row],[B-day]]</f>
        <v>41</v>
      </c>
      <c r="P6" s="5">
        <f>IF(Tabela2[[#This Row],[Idade]]&lt;21,1,0)</f>
        <v>0</v>
      </c>
      <c r="Q6" s="5">
        <f>IF(Tabela2[[#This Row],[Idade]]&gt;20,1,0)</f>
        <v>1</v>
      </c>
      <c r="R6" s="5">
        <f>IF(Tabela2[[#This Row],[Juniores]]=1,Tabela2[[#This Row],[B-day]],0)</f>
        <v>0</v>
      </c>
    </row>
    <row r="7" spans="1:18" x14ac:dyDescent="0.25">
      <c r="A7">
        <v>2017</v>
      </c>
      <c r="B7">
        <v>14800136</v>
      </c>
      <c r="C7" t="s">
        <v>9</v>
      </c>
      <c r="D7" t="s">
        <v>1</v>
      </c>
      <c r="E7" t="s">
        <v>2</v>
      </c>
      <c r="F7">
        <v>2079</v>
      </c>
      <c r="G7">
        <v>2</v>
      </c>
      <c r="H7">
        <v>40</v>
      </c>
      <c r="I7">
        <v>1983</v>
      </c>
      <c r="L7" t="str">
        <f>LEFT(Tabela2[[#This Row],[Sex Tit  WTit OTit]],1)</f>
        <v>M</v>
      </c>
      <c r="M7">
        <f>IF(Tabela2[[#This Row],[Sexo]]="M",1,0)</f>
        <v>1</v>
      </c>
      <c r="N7">
        <f>IF(Tabela2[[#This Row],[Sexo]]="F",1,0)</f>
        <v>0</v>
      </c>
      <c r="O7" s="5">
        <f>2017-Tabela2[[#This Row],[B-day]]</f>
        <v>34</v>
      </c>
      <c r="P7" s="5">
        <f>IF(Tabela2[[#This Row],[Idade]]&lt;21,1,0)</f>
        <v>0</v>
      </c>
      <c r="Q7" s="5">
        <f>IF(Tabela2[[#This Row],[Idade]]&gt;20,1,0)</f>
        <v>1</v>
      </c>
      <c r="R7" s="5">
        <f>IF(Tabela2[[#This Row],[Juniores]]=1,Tabela2[[#This Row],[B-day]],0)</f>
        <v>0</v>
      </c>
    </row>
    <row r="8" spans="1:18" x14ac:dyDescent="0.25">
      <c r="A8">
        <v>2017</v>
      </c>
      <c r="B8">
        <v>14800012</v>
      </c>
      <c r="C8" t="s">
        <v>11</v>
      </c>
      <c r="D8" t="s">
        <v>1</v>
      </c>
      <c r="E8" t="s">
        <v>7</v>
      </c>
      <c r="F8">
        <v>2065</v>
      </c>
      <c r="G8">
        <v>0</v>
      </c>
      <c r="H8">
        <v>40</v>
      </c>
      <c r="I8">
        <v>1972</v>
      </c>
      <c r="J8" t="s">
        <v>3</v>
      </c>
      <c r="K8" t="s">
        <v>95</v>
      </c>
      <c r="L8" t="str">
        <f>LEFT(Tabela2[[#This Row],[Sex Tit  WTit OTit]],1)</f>
        <v>M</v>
      </c>
      <c r="M8">
        <f>IF(Tabela2[[#This Row],[Sexo]]="M",1,0)</f>
        <v>1</v>
      </c>
      <c r="N8">
        <f>IF(Tabela2[[#This Row],[Sexo]]="F",1,0)</f>
        <v>0</v>
      </c>
      <c r="O8" s="5">
        <f>2017-Tabela2[[#This Row],[B-day]]</f>
        <v>45</v>
      </c>
      <c r="P8" s="5">
        <f>IF(Tabela2[[#This Row],[Idade]]&lt;21,1,0)</f>
        <v>0</v>
      </c>
      <c r="Q8" s="5">
        <f>IF(Tabela2[[#This Row],[Idade]]&gt;20,1,0)</f>
        <v>1</v>
      </c>
      <c r="R8" s="5">
        <f>IF(Tabela2[[#This Row],[Juniores]]=1,Tabela2[[#This Row],[B-day]],0)</f>
        <v>0</v>
      </c>
    </row>
    <row r="9" spans="1:18" x14ac:dyDescent="0.25">
      <c r="A9">
        <v>2017</v>
      </c>
      <c r="B9">
        <v>14800063</v>
      </c>
      <c r="C9" t="s">
        <v>12</v>
      </c>
      <c r="D9" t="s">
        <v>1</v>
      </c>
      <c r="E9" t="s">
        <v>7</v>
      </c>
      <c r="F9">
        <v>2024</v>
      </c>
      <c r="G9">
        <v>2</v>
      </c>
      <c r="H9">
        <v>20</v>
      </c>
      <c r="I9">
        <v>1990</v>
      </c>
      <c r="L9" t="str">
        <f>LEFT(Tabela2[[#This Row],[Sex Tit  WTit OTit]],1)</f>
        <v>M</v>
      </c>
      <c r="M9">
        <f>IF(Tabela2[[#This Row],[Sexo]]="M",1,0)</f>
        <v>1</v>
      </c>
      <c r="N9">
        <f>IF(Tabela2[[#This Row],[Sexo]]="F",1,0)</f>
        <v>0</v>
      </c>
      <c r="O9" s="5">
        <f>2017-Tabela2[[#This Row],[B-day]]</f>
        <v>27</v>
      </c>
      <c r="P9" s="5">
        <f>IF(Tabela2[[#This Row],[Idade]]&lt;21,1,0)</f>
        <v>0</v>
      </c>
      <c r="Q9" s="5">
        <f>IF(Tabela2[[#This Row],[Idade]]&gt;20,1,0)</f>
        <v>1</v>
      </c>
      <c r="R9" s="5">
        <f>IF(Tabela2[[#This Row],[Juniores]]=1,Tabela2[[#This Row],[B-day]],0)</f>
        <v>0</v>
      </c>
    </row>
    <row r="10" spans="1:18" x14ac:dyDescent="0.25">
      <c r="A10">
        <v>2017</v>
      </c>
      <c r="B10">
        <v>14800071</v>
      </c>
      <c r="C10" t="s">
        <v>13</v>
      </c>
      <c r="D10" t="s">
        <v>1</v>
      </c>
      <c r="E10" t="s">
        <v>2</v>
      </c>
      <c r="F10">
        <v>1941</v>
      </c>
      <c r="G10">
        <v>0</v>
      </c>
      <c r="H10">
        <v>20</v>
      </c>
      <c r="I10">
        <v>1984</v>
      </c>
      <c r="J10" t="s">
        <v>3</v>
      </c>
      <c r="K10" t="s">
        <v>95</v>
      </c>
      <c r="L10" t="str">
        <f>LEFT(Tabela2[[#This Row],[Sex Tit  WTit OTit]],1)</f>
        <v>M</v>
      </c>
      <c r="M10">
        <f>IF(Tabela2[[#This Row],[Sexo]]="M",1,0)</f>
        <v>1</v>
      </c>
      <c r="N10">
        <f>IF(Tabela2[[#This Row],[Sexo]]="F",1,0)</f>
        <v>0</v>
      </c>
      <c r="O10" s="5">
        <f>2017-Tabela2[[#This Row],[B-day]]</f>
        <v>33</v>
      </c>
      <c r="P10" s="5">
        <f>IF(Tabela2[[#This Row],[Idade]]&lt;21,1,0)</f>
        <v>0</v>
      </c>
      <c r="Q10" s="5">
        <f>IF(Tabela2[[#This Row],[Idade]]&gt;20,1,0)</f>
        <v>1</v>
      </c>
      <c r="R10" s="5">
        <f>IF(Tabela2[[#This Row],[Juniores]]=1,Tabela2[[#This Row],[B-day]],0)</f>
        <v>0</v>
      </c>
    </row>
    <row r="11" spans="1:18" x14ac:dyDescent="0.25">
      <c r="A11">
        <v>2017</v>
      </c>
      <c r="B11">
        <v>14800489</v>
      </c>
      <c r="C11" t="s">
        <v>14</v>
      </c>
      <c r="D11" t="s">
        <v>1</v>
      </c>
      <c r="E11" t="s">
        <v>35</v>
      </c>
      <c r="F11">
        <v>1912</v>
      </c>
      <c r="G11">
        <v>6</v>
      </c>
      <c r="H11">
        <v>20</v>
      </c>
      <c r="I11">
        <v>1983</v>
      </c>
      <c r="K11" t="s">
        <v>95</v>
      </c>
      <c r="L11" t="str">
        <f>LEFT(Tabela2[[#This Row],[Sex Tit  WTit OTit]],1)</f>
        <v>M</v>
      </c>
      <c r="M11">
        <f>IF(Tabela2[[#This Row],[Sexo]]="M",1,0)</f>
        <v>1</v>
      </c>
      <c r="N11">
        <f>IF(Tabela2[[#This Row],[Sexo]]="F",1,0)</f>
        <v>0</v>
      </c>
      <c r="O11" s="5">
        <f>2017-Tabela2[[#This Row],[B-day]]</f>
        <v>34</v>
      </c>
      <c r="P11" s="5">
        <f>IF(Tabela2[[#This Row],[Idade]]&lt;21,1,0)</f>
        <v>0</v>
      </c>
      <c r="Q11" s="5">
        <f>IF(Tabela2[[#This Row],[Idade]]&gt;20,1,0)</f>
        <v>1</v>
      </c>
      <c r="R11" s="5">
        <f>IF(Tabela2[[#This Row],[Juniores]]=1,Tabela2[[#This Row],[B-day]],0)</f>
        <v>0</v>
      </c>
    </row>
    <row r="12" spans="1:18" x14ac:dyDescent="0.25">
      <c r="A12">
        <v>2017</v>
      </c>
      <c r="B12">
        <v>14800284</v>
      </c>
      <c r="C12" t="s">
        <v>18</v>
      </c>
      <c r="D12" t="s">
        <v>1</v>
      </c>
      <c r="E12" t="s">
        <v>2</v>
      </c>
      <c r="F12">
        <v>1734</v>
      </c>
      <c r="G12">
        <v>0</v>
      </c>
      <c r="H12">
        <v>40</v>
      </c>
      <c r="I12">
        <v>1994</v>
      </c>
      <c r="J12" t="s">
        <v>3</v>
      </c>
      <c r="K12" t="s">
        <v>98</v>
      </c>
      <c r="L12" t="str">
        <f>LEFT(Tabela2[[#This Row],[Sex Tit  WTit OTit]],1)</f>
        <v>M</v>
      </c>
      <c r="M12">
        <f>IF(Tabela2[[#This Row],[Sexo]]="M",1,0)</f>
        <v>1</v>
      </c>
      <c r="N12">
        <f>IF(Tabela2[[#This Row],[Sexo]]="F",1,0)</f>
        <v>0</v>
      </c>
      <c r="O12" s="5">
        <f>2017-Tabela2[[#This Row],[B-day]]</f>
        <v>23</v>
      </c>
      <c r="P12" s="5">
        <f>IF(Tabela2[[#This Row],[Idade]]&lt;21,1,0)</f>
        <v>0</v>
      </c>
      <c r="Q12" s="5">
        <f>IF(Tabela2[[#This Row],[Idade]]&gt;20,1,0)</f>
        <v>1</v>
      </c>
      <c r="R12" s="5">
        <f>IF(Tabela2[[#This Row],[Juniores]]=1,Tabela2[[#This Row],[B-day]],0)</f>
        <v>0</v>
      </c>
    </row>
    <row r="13" spans="1:18" x14ac:dyDescent="0.25">
      <c r="A13">
        <v>2017</v>
      </c>
      <c r="B13">
        <v>14800144</v>
      </c>
      <c r="C13" t="s">
        <v>15</v>
      </c>
      <c r="D13" t="s">
        <v>1</v>
      </c>
      <c r="E13" t="s">
        <v>16</v>
      </c>
      <c r="F13">
        <v>1719</v>
      </c>
      <c r="G13">
        <v>0</v>
      </c>
      <c r="H13">
        <v>20</v>
      </c>
      <c r="I13">
        <v>1985</v>
      </c>
      <c r="J13" t="s">
        <v>17</v>
      </c>
      <c r="L13" t="str">
        <f>LEFT(Tabela2[[#This Row],[Sex Tit  WTit OTit]],1)</f>
        <v>F</v>
      </c>
      <c r="M13">
        <f>IF(Tabela2[[#This Row],[Sexo]]="M",1,0)</f>
        <v>0</v>
      </c>
      <c r="N13">
        <f>IF(Tabela2[[#This Row],[Sexo]]="F",1,0)</f>
        <v>1</v>
      </c>
      <c r="O13" s="5">
        <f>2017-Tabela2[[#This Row],[B-day]]</f>
        <v>32</v>
      </c>
      <c r="P13" s="5">
        <f>IF(Tabela2[[#This Row],[Idade]]&lt;21,1,0)</f>
        <v>0</v>
      </c>
      <c r="Q13" s="5">
        <f>IF(Tabela2[[#This Row],[Idade]]&gt;20,1,0)</f>
        <v>1</v>
      </c>
      <c r="R13" s="5">
        <f>IF(Tabela2[[#This Row],[Juniores]]=1,Tabela2[[#This Row],[B-day]],0)</f>
        <v>0</v>
      </c>
    </row>
    <row r="14" spans="1:18" x14ac:dyDescent="0.25">
      <c r="A14">
        <v>2017</v>
      </c>
      <c r="B14">
        <v>14800438</v>
      </c>
      <c r="C14" t="s">
        <v>19</v>
      </c>
      <c r="D14" t="s">
        <v>1</v>
      </c>
      <c r="E14" t="s">
        <v>2</v>
      </c>
      <c r="F14">
        <v>1659</v>
      </c>
      <c r="G14">
        <v>0</v>
      </c>
      <c r="H14">
        <v>40</v>
      </c>
      <c r="I14">
        <v>1999</v>
      </c>
      <c r="J14" t="s">
        <v>3</v>
      </c>
      <c r="L14" t="str">
        <f>LEFT(Tabela2[[#This Row],[Sex Tit  WTit OTit]],1)</f>
        <v>M</v>
      </c>
      <c r="M14">
        <f>IF(Tabela2[[#This Row],[Sexo]]="M",1,0)</f>
        <v>1</v>
      </c>
      <c r="N14">
        <f>IF(Tabela2[[#This Row],[Sexo]]="F",1,0)</f>
        <v>0</v>
      </c>
      <c r="O14" s="5">
        <f>2017-Tabela2[[#This Row],[B-day]]</f>
        <v>18</v>
      </c>
      <c r="P14" s="5">
        <f>IF(Tabela2[[#This Row],[Idade]]&lt;21,1,0)</f>
        <v>1</v>
      </c>
      <c r="Q14" s="5">
        <f>IF(Tabela2[[#This Row],[Idade]]&gt;20,1,0)</f>
        <v>0</v>
      </c>
      <c r="R14" s="5">
        <f>IF(Tabela2[[#This Row],[Juniores]]=1,Tabela2[[#This Row],[B-day]],0)</f>
        <v>1999</v>
      </c>
    </row>
    <row r="15" spans="1:18" x14ac:dyDescent="0.25">
      <c r="A15">
        <v>2017</v>
      </c>
      <c r="B15">
        <v>14800306</v>
      </c>
      <c r="C15" t="s">
        <v>20</v>
      </c>
      <c r="D15" t="s">
        <v>1</v>
      </c>
      <c r="E15" t="s">
        <v>21</v>
      </c>
      <c r="F15">
        <v>1587</v>
      </c>
      <c r="G15">
        <v>0</v>
      </c>
      <c r="H15">
        <v>40</v>
      </c>
      <c r="I15">
        <v>1997</v>
      </c>
      <c r="J15" t="s">
        <v>22</v>
      </c>
      <c r="L15" t="str">
        <f>LEFT(Tabela2[[#This Row],[Sex Tit  WTit OTit]],1)</f>
        <v>F</v>
      </c>
      <c r="M15">
        <f>IF(Tabela2[[#This Row],[Sexo]]="M",1,0)</f>
        <v>0</v>
      </c>
      <c r="N15">
        <f>IF(Tabela2[[#This Row],[Sexo]]="F",1,0)</f>
        <v>1</v>
      </c>
      <c r="O15" s="5">
        <f>2017-Tabela2[[#This Row],[B-day]]</f>
        <v>20</v>
      </c>
      <c r="P15" s="5">
        <f>IF(Tabela2[[#This Row],[Idade]]&lt;21,1,0)</f>
        <v>1</v>
      </c>
      <c r="Q15" s="5">
        <f>IF(Tabela2[[#This Row],[Idade]]&gt;20,1,0)</f>
        <v>0</v>
      </c>
      <c r="R15" s="5">
        <f>IF(Tabela2[[#This Row],[Juniores]]=1,Tabela2[[#This Row],[B-day]],0)</f>
        <v>1997</v>
      </c>
    </row>
    <row r="16" spans="1:18" x14ac:dyDescent="0.25">
      <c r="A16">
        <v>2017</v>
      </c>
      <c r="B16">
        <v>14800152</v>
      </c>
      <c r="C16" t="s">
        <v>23</v>
      </c>
      <c r="D16" t="s">
        <v>1</v>
      </c>
      <c r="E16" t="s">
        <v>21</v>
      </c>
      <c r="F16">
        <v>1556</v>
      </c>
      <c r="G16">
        <v>0</v>
      </c>
      <c r="H16">
        <v>40</v>
      </c>
      <c r="I16">
        <v>1995</v>
      </c>
      <c r="J16" t="s">
        <v>22</v>
      </c>
      <c r="L16" t="str">
        <f>LEFT(Tabela2[[#This Row],[Sex Tit  WTit OTit]],1)</f>
        <v>F</v>
      </c>
      <c r="M16">
        <f>IF(Tabela2[[#This Row],[Sexo]]="M",1,0)</f>
        <v>0</v>
      </c>
      <c r="N16">
        <f>IF(Tabela2[[#This Row],[Sexo]]="F",1,0)</f>
        <v>1</v>
      </c>
      <c r="O16" s="5">
        <f>2017-Tabela2[[#This Row],[B-day]]</f>
        <v>22</v>
      </c>
      <c r="P16" s="5">
        <f>IF(Tabela2[[#This Row],[Idade]]&lt;21,1,0)</f>
        <v>0</v>
      </c>
      <c r="Q16" s="5">
        <f>IF(Tabela2[[#This Row],[Idade]]&gt;20,1,0)</f>
        <v>1</v>
      </c>
      <c r="R16" s="5">
        <f>IF(Tabela2[[#This Row],[Juniores]]=1,Tabela2[[#This Row],[B-day]],0)</f>
        <v>0</v>
      </c>
    </row>
    <row r="17" spans="1:18" x14ac:dyDescent="0.25">
      <c r="A17">
        <v>2017</v>
      </c>
      <c r="B17">
        <v>14800403</v>
      </c>
      <c r="C17" t="s">
        <v>24</v>
      </c>
      <c r="D17" t="s">
        <v>1</v>
      </c>
      <c r="E17" t="s">
        <v>2</v>
      </c>
      <c r="F17">
        <v>1552</v>
      </c>
      <c r="G17">
        <v>0</v>
      </c>
      <c r="H17">
        <v>40</v>
      </c>
      <c r="I17">
        <v>2003</v>
      </c>
      <c r="J17" t="s">
        <v>3</v>
      </c>
      <c r="L17" t="str">
        <f>LEFT(Tabela2[[#This Row],[Sex Tit  WTit OTit]],1)</f>
        <v>M</v>
      </c>
      <c r="M17">
        <f>IF(Tabela2[[#This Row],[Sexo]]="M",1,0)</f>
        <v>1</v>
      </c>
      <c r="N17">
        <f>IF(Tabela2[[#This Row],[Sexo]]="F",1,0)</f>
        <v>0</v>
      </c>
      <c r="O17" s="5">
        <f>2017-Tabela2[[#This Row],[B-day]]</f>
        <v>14</v>
      </c>
      <c r="P17" s="5">
        <f>IF(Tabela2[[#This Row],[Idade]]&lt;21,1,0)</f>
        <v>1</v>
      </c>
      <c r="Q17" s="5">
        <f>IF(Tabela2[[#This Row],[Idade]]&gt;20,1,0)</f>
        <v>0</v>
      </c>
      <c r="R17" s="5">
        <f>IF(Tabela2[[#This Row],[Juniores]]=1,Tabela2[[#This Row],[B-day]],0)</f>
        <v>2003</v>
      </c>
    </row>
    <row r="18" spans="1:18" x14ac:dyDescent="0.25">
      <c r="A18">
        <v>2017</v>
      </c>
      <c r="B18">
        <v>14800101</v>
      </c>
      <c r="C18" t="s">
        <v>25</v>
      </c>
      <c r="D18" t="s">
        <v>1</v>
      </c>
      <c r="E18" t="s">
        <v>21</v>
      </c>
      <c r="F18">
        <v>1535</v>
      </c>
      <c r="G18">
        <v>0</v>
      </c>
      <c r="H18">
        <v>40</v>
      </c>
      <c r="I18">
        <v>1998</v>
      </c>
      <c r="J18" t="s">
        <v>22</v>
      </c>
      <c r="L18" t="str">
        <f>LEFT(Tabela2[[#This Row],[Sex Tit  WTit OTit]],1)</f>
        <v>F</v>
      </c>
      <c r="M18">
        <f>IF(Tabela2[[#This Row],[Sexo]]="M",1,0)</f>
        <v>0</v>
      </c>
      <c r="N18">
        <f>IF(Tabela2[[#This Row],[Sexo]]="F",1,0)</f>
        <v>1</v>
      </c>
      <c r="O18" s="5">
        <f>2017-Tabela2[[#This Row],[B-day]]</f>
        <v>19</v>
      </c>
      <c r="P18" s="5">
        <f>IF(Tabela2[[#This Row],[Idade]]&lt;21,1,0)</f>
        <v>1</v>
      </c>
      <c r="Q18" s="5">
        <f>IF(Tabela2[[#This Row],[Idade]]&gt;20,1,0)</f>
        <v>0</v>
      </c>
      <c r="R18" s="5">
        <f>IF(Tabela2[[#This Row],[Juniores]]=1,Tabela2[[#This Row],[B-day]],0)</f>
        <v>1998</v>
      </c>
    </row>
    <row r="19" spans="1:18" x14ac:dyDescent="0.25">
      <c r="A19">
        <v>2017</v>
      </c>
      <c r="B19">
        <v>14800454</v>
      </c>
      <c r="C19" t="s">
        <v>26</v>
      </c>
      <c r="D19" t="s">
        <v>1</v>
      </c>
      <c r="E19" t="s">
        <v>21</v>
      </c>
      <c r="F19">
        <v>1492</v>
      </c>
      <c r="G19">
        <v>0</v>
      </c>
      <c r="H19">
        <v>40</v>
      </c>
      <c r="I19">
        <v>1999</v>
      </c>
      <c r="J19" t="s">
        <v>22</v>
      </c>
      <c r="L19" t="str">
        <f>LEFT(Tabela2[[#This Row],[Sex Tit  WTit OTit]],1)</f>
        <v>F</v>
      </c>
      <c r="M19">
        <f>IF(Tabela2[[#This Row],[Sexo]]="M",1,0)</f>
        <v>0</v>
      </c>
      <c r="N19">
        <f>IF(Tabela2[[#This Row],[Sexo]]="F",1,0)</f>
        <v>1</v>
      </c>
      <c r="O19" s="5">
        <f>2017-Tabela2[[#This Row],[B-day]]</f>
        <v>18</v>
      </c>
      <c r="P19" s="5">
        <f>IF(Tabela2[[#This Row],[Idade]]&lt;21,1,0)</f>
        <v>1</v>
      </c>
      <c r="Q19" s="5">
        <f>IF(Tabela2[[#This Row],[Idade]]&gt;20,1,0)</f>
        <v>0</v>
      </c>
      <c r="R19" s="5">
        <f>IF(Tabela2[[#This Row],[Juniores]]=1,Tabela2[[#This Row],[B-day]],0)</f>
        <v>1999</v>
      </c>
    </row>
    <row r="20" spans="1:18" x14ac:dyDescent="0.25">
      <c r="A20">
        <v>2017</v>
      </c>
      <c r="B20">
        <v>14800187</v>
      </c>
      <c r="C20" t="s">
        <v>27</v>
      </c>
      <c r="D20" t="s">
        <v>1</v>
      </c>
      <c r="E20" t="s">
        <v>21</v>
      </c>
      <c r="F20">
        <v>1472</v>
      </c>
      <c r="G20">
        <v>0</v>
      </c>
      <c r="H20">
        <v>40</v>
      </c>
      <c r="I20">
        <v>1994</v>
      </c>
      <c r="J20" t="s">
        <v>22</v>
      </c>
      <c r="L20" t="str">
        <f>LEFT(Tabela2[[#This Row],[Sex Tit  WTit OTit]],1)</f>
        <v>F</v>
      </c>
      <c r="M20">
        <f>IF(Tabela2[[#This Row],[Sexo]]="M",1,0)</f>
        <v>0</v>
      </c>
      <c r="N20">
        <f>IF(Tabela2[[#This Row],[Sexo]]="F",1,0)</f>
        <v>1</v>
      </c>
      <c r="O20" s="5">
        <f>2017-Tabela2[[#This Row],[B-day]]</f>
        <v>23</v>
      </c>
      <c r="P20" s="5">
        <f>IF(Tabela2[[#This Row],[Idade]]&lt;21,1,0)</f>
        <v>0</v>
      </c>
      <c r="Q20" s="5">
        <f>IF(Tabela2[[#This Row],[Idade]]&gt;20,1,0)</f>
        <v>1</v>
      </c>
      <c r="R20" s="5">
        <f>IF(Tabela2[[#This Row],[Juniores]]=1,Tabela2[[#This Row],[B-day]],0)</f>
        <v>0</v>
      </c>
    </row>
    <row r="21" spans="1:18" x14ac:dyDescent="0.25">
      <c r="A21">
        <v>2017</v>
      </c>
      <c r="B21">
        <v>14800250</v>
      </c>
      <c r="C21" t="s">
        <v>28</v>
      </c>
      <c r="D21" t="s">
        <v>1</v>
      </c>
      <c r="E21" t="s">
        <v>29</v>
      </c>
      <c r="F21">
        <v>1463</v>
      </c>
      <c r="G21">
        <v>4</v>
      </c>
      <c r="H21">
        <v>20</v>
      </c>
      <c r="I21">
        <v>1995</v>
      </c>
      <c r="J21" t="s">
        <v>17</v>
      </c>
      <c r="L21" t="str">
        <f>LEFT(Tabela2[[#This Row],[Sex Tit  WTit OTit]],1)</f>
        <v>F</v>
      </c>
      <c r="M21">
        <f>IF(Tabela2[[#This Row],[Sexo]]="M",1,0)</f>
        <v>0</v>
      </c>
      <c r="N21">
        <f>IF(Tabela2[[#This Row],[Sexo]]="F",1,0)</f>
        <v>1</v>
      </c>
      <c r="O21" s="5">
        <f>2017-Tabela2[[#This Row],[B-day]]</f>
        <v>22</v>
      </c>
      <c r="P21" s="5">
        <f>IF(Tabela2[[#This Row],[Idade]]&lt;21,1,0)</f>
        <v>0</v>
      </c>
      <c r="Q21" s="5">
        <f>IF(Tabela2[[#This Row],[Idade]]&gt;20,1,0)</f>
        <v>1</v>
      </c>
      <c r="R21" s="5">
        <f>IF(Tabela2[[#This Row],[Juniores]]=1,Tabela2[[#This Row],[B-day]],0)</f>
        <v>0</v>
      </c>
    </row>
    <row r="22" spans="1:18" x14ac:dyDescent="0.25">
      <c r="A22">
        <v>2017</v>
      </c>
      <c r="B22">
        <v>14800209</v>
      </c>
      <c r="C22" t="s">
        <v>30</v>
      </c>
      <c r="D22" t="s">
        <v>1</v>
      </c>
      <c r="E22" t="s">
        <v>21</v>
      </c>
      <c r="F22">
        <v>1453</v>
      </c>
      <c r="G22">
        <v>0</v>
      </c>
      <c r="H22">
        <v>40</v>
      </c>
      <c r="I22">
        <v>0</v>
      </c>
      <c r="J22" t="s">
        <v>22</v>
      </c>
      <c r="L22" t="str">
        <f>LEFT(Tabela2[[#This Row],[Sex Tit  WTit OTit]],1)</f>
        <v>F</v>
      </c>
      <c r="M22">
        <f>IF(Tabela2[[#This Row],[Sexo]]="M",1,0)</f>
        <v>0</v>
      </c>
      <c r="N22">
        <f>IF(Tabela2[[#This Row],[Sexo]]="F",1,0)</f>
        <v>1</v>
      </c>
      <c r="O22" s="5">
        <f>2017-Tabela2[[#This Row],[B-day]]</f>
        <v>2017</v>
      </c>
      <c r="P22" s="5">
        <f>IF(Tabela2[[#This Row],[Idade]]&lt;21,1,0)</f>
        <v>0</v>
      </c>
      <c r="Q22" s="5">
        <f>IF(Tabela2[[#This Row],[Idade]]&gt;20,1,0)</f>
        <v>1</v>
      </c>
      <c r="R22" s="5">
        <f>IF(Tabela2[[#This Row],[Juniores]]=1,Tabela2[[#This Row],[B-day]],0)</f>
        <v>0</v>
      </c>
    </row>
    <row r="23" spans="1:18" x14ac:dyDescent="0.25">
      <c r="A23">
        <v>2017</v>
      </c>
      <c r="B23">
        <v>14800292</v>
      </c>
      <c r="C23" t="s">
        <v>32</v>
      </c>
      <c r="D23" t="s">
        <v>1</v>
      </c>
      <c r="E23" t="s">
        <v>29</v>
      </c>
      <c r="F23">
        <v>1397</v>
      </c>
      <c r="G23">
        <v>0</v>
      </c>
      <c r="H23">
        <v>40</v>
      </c>
      <c r="I23">
        <v>1998</v>
      </c>
      <c r="J23" t="s">
        <v>17</v>
      </c>
      <c r="L23" t="str">
        <f>LEFT(Tabela2[[#This Row],[Sex Tit  WTit OTit]],1)</f>
        <v>F</v>
      </c>
      <c r="M23">
        <f>IF(Tabela2[[#This Row],[Sexo]]="M",1,0)</f>
        <v>0</v>
      </c>
      <c r="N23">
        <f>IF(Tabela2[[#This Row],[Sexo]]="F",1,0)</f>
        <v>1</v>
      </c>
      <c r="O23" s="5">
        <f>2017-Tabela2[[#This Row],[B-day]]</f>
        <v>19</v>
      </c>
      <c r="P23" s="5">
        <f>IF(Tabela2[[#This Row],[Idade]]&lt;21,1,0)</f>
        <v>1</v>
      </c>
      <c r="Q23" s="5">
        <f>IF(Tabela2[[#This Row],[Idade]]&gt;20,1,0)</f>
        <v>0</v>
      </c>
      <c r="R23" s="5">
        <f>IF(Tabela2[[#This Row],[Juniores]]=1,Tabela2[[#This Row],[B-day]],0)</f>
        <v>1998</v>
      </c>
    </row>
    <row r="24" spans="1:18" x14ac:dyDescent="0.25">
      <c r="A24">
        <v>2017</v>
      </c>
      <c r="B24">
        <v>14800462</v>
      </c>
      <c r="C24" t="s">
        <v>31</v>
      </c>
      <c r="D24" t="s">
        <v>1</v>
      </c>
      <c r="E24" t="s">
        <v>21</v>
      </c>
      <c r="F24">
        <v>1390</v>
      </c>
      <c r="G24">
        <v>0</v>
      </c>
      <c r="H24">
        <v>40</v>
      </c>
      <c r="I24">
        <v>1991</v>
      </c>
      <c r="J24" t="s">
        <v>22</v>
      </c>
      <c r="L24" t="str">
        <f>LEFT(Tabela2[[#This Row],[Sex Tit  WTit OTit]],1)</f>
        <v>F</v>
      </c>
      <c r="M24">
        <f>IF(Tabela2[[#This Row],[Sexo]]="M",1,0)</f>
        <v>0</v>
      </c>
      <c r="N24">
        <f>IF(Tabela2[[#This Row],[Sexo]]="F",1,0)</f>
        <v>1</v>
      </c>
      <c r="O24" s="5">
        <f>2017-Tabela2[[#This Row],[B-day]]</f>
        <v>26</v>
      </c>
      <c r="P24" s="5">
        <f>IF(Tabela2[[#This Row],[Idade]]&lt;21,1,0)</f>
        <v>0</v>
      </c>
      <c r="Q24" s="5">
        <f>IF(Tabela2[[#This Row],[Idade]]&gt;20,1,0)</f>
        <v>1</v>
      </c>
      <c r="R24" s="5">
        <f>IF(Tabela2[[#This Row],[Juniores]]=1,Tabela2[[#This Row],[B-day]],0)</f>
        <v>0</v>
      </c>
    </row>
    <row r="25" spans="1:18" x14ac:dyDescent="0.25">
      <c r="A25">
        <v>2017</v>
      </c>
      <c r="B25">
        <v>14800470</v>
      </c>
      <c r="C25" t="s">
        <v>37</v>
      </c>
      <c r="D25" t="s">
        <v>1</v>
      </c>
      <c r="E25" t="s">
        <v>21</v>
      </c>
      <c r="F25">
        <v>1293</v>
      </c>
      <c r="G25">
        <v>0</v>
      </c>
      <c r="H25">
        <v>40</v>
      </c>
      <c r="I25">
        <v>1996</v>
      </c>
      <c r="J25" t="s">
        <v>17</v>
      </c>
      <c r="L25" t="str">
        <f>LEFT(Tabela2[[#This Row],[Sex Tit  WTit OTit]],1)</f>
        <v>F</v>
      </c>
      <c r="M25">
        <f>IF(Tabela2[[#This Row],[Sexo]]="M",1,0)</f>
        <v>0</v>
      </c>
      <c r="N25">
        <f>IF(Tabela2[[#This Row],[Sexo]]="F",1,0)</f>
        <v>1</v>
      </c>
      <c r="O25" s="5">
        <f>2017-Tabela2[[#This Row],[B-day]]</f>
        <v>21</v>
      </c>
      <c r="P25" s="5">
        <f>IF(Tabela2[[#This Row],[Idade]]&lt;21,1,0)</f>
        <v>0</v>
      </c>
      <c r="Q25" s="5">
        <f>IF(Tabela2[[#This Row],[Idade]]&gt;20,1,0)</f>
        <v>1</v>
      </c>
      <c r="R25" s="5">
        <f>IF(Tabela2[[#This Row],[Juniores]]=1,Tabela2[[#This Row],[B-day]],0)</f>
        <v>0</v>
      </c>
    </row>
    <row r="26" spans="1:18" x14ac:dyDescent="0.25">
      <c r="A26">
        <v>2017</v>
      </c>
      <c r="B26">
        <v>14800675</v>
      </c>
      <c r="C26" t="s">
        <v>33</v>
      </c>
      <c r="D26" t="s">
        <v>1</v>
      </c>
      <c r="E26" t="s">
        <v>21</v>
      </c>
      <c r="F26">
        <v>1230</v>
      </c>
      <c r="G26">
        <v>0</v>
      </c>
      <c r="H26">
        <v>40</v>
      </c>
      <c r="I26">
        <v>2000</v>
      </c>
      <c r="J26" t="s">
        <v>22</v>
      </c>
      <c r="L26" t="str">
        <f>LEFT(Tabela2[[#This Row],[Sex Tit  WTit OTit]],1)</f>
        <v>F</v>
      </c>
      <c r="M26">
        <f>IF(Tabela2[[#This Row],[Sexo]]="M",1,0)</f>
        <v>0</v>
      </c>
      <c r="N26">
        <f>IF(Tabela2[[#This Row],[Sexo]]="F",1,0)</f>
        <v>1</v>
      </c>
      <c r="O26" s="5">
        <f>2017-Tabela2[[#This Row],[B-day]]</f>
        <v>17</v>
      </c>
      <c r="P26" s="5">
        <f>IF(Tabela2[[#This Row],[Idade]]&lt;21,1,0)</f>
        <v>1</v>
      </c>
      <c r="Q26" s="5">
        <f>IF(Tabela2[[#This Row],[Idade]]&gt;20,1,0)</f>
        <v>0</v>
      </c>
      <c r="R26" s="5">
        <f>IF(Tabela2[[#This Row],[Juniores]]=1,Tabela2[[#This Row],[B-day]],0)</f>
        <v>2000</v>
      </c>
    </row>
    <row r="27" spans="1:18" x14ac:dyDescent="0.25">
      <c r="A27">
        <v>2017</v>
      </c>
      <c r="B27">
        <v>14800373</v>
      </c>
      <c r="C27" t="s">
        <v>36</v>
      </c>
      <c r="D27" t="s">
        <v>1</v>
      </c>
      <c r="E27" t="s">
        <v>2</v>
      </c>
      <c r="F27">
        <v>1207</v>
      </c>
      <c r="G27">
        <v>0</v>
      </c>
      <c r="H27">
        <v>40</v>
      </c>
      <c r="I27">
        <v>2005</v>
      </c>
      <c r="L27" t="str">
        <f>LEFT(Tabela2[[#This Row],[Sex Tit  WTit OTit]],1)</f>
        <v>M</v>
      </c>
      <c r="M27">
        <f>IF(Tabela2[[#This Row],[Sexo]]="M",1,0)</f>
        <v>1</v>
      </c>
      <c r="N27">
        <f>IF(Tabela2[[#This Row],[Sexo]]="F",1,0)</f>
        <v>0</v>
      </c>
      <c r="O27" s="5">
        <f>2017-Tabela2[[#This Row],[B-day]]</f>
        <v>12</v>
      </c>
      <c r="P27" s="5">
        <f>IF(Tabela2[[#This Row],[Idade]]&lt;21,1,0)</f>
        <v>1</v>
      </c>
      <c r="Q27" s="5">
        <f>IF(Tabela2[[#This Row],[Idade]]&gt;20,1,0)</f>
        <v>0</v>
      </c>
      <c r="R27" s="5">
        <f>IF(Tabela2[[#This Row],[Juniores]]=1,Tabela2[[#This Row],[B-day]],0)</f>
        <v>2005</v>
      </c>
    </row>
    <row r="28" spans="1:18" x14ac:dyDescent="0.25">
      <c r="A28">
        <v>2017</v>
      </c>
      <c r="B28">
        <v>14800608</v>
      </c>
      <c r="C28" t="s">
        <v>34</v>
      </c>
      <c r="D28" t="s">
        <v>1</v>
      </c>
      <c r="E28" t="s">
        <v>21</v>
      </c>
      <c r="F28">
        <v>1152</v>
      </c>
      <c r="G28">
        <v>0</v>
      </c>
      <c r="H28">
        <v>40</v>
      </c>
      <c r="I28">
        <v>2001</v>
      </c>
      <c r="J28" t="s">
        <v>22</v>
      </c>
      <c r="L28" t="str">
        <f>LEFT(Tabela2[[#This Row],[Sex Tit  WTit OTit]],1)</f>
        <v>F</v>
      </c>
      <c r="M28">
        <f>IF(Tabela2[[#This Row],[Sexo]]="M",1,0)</f>
        <v>0</v>
      </c>
      <c r="N28">
        <f>IF(Tabela2[[#This Row],[Sexo]]="F",1,0)</f>
        <v>1</v>
      </c>
      <c r="O28" s="5">
        <f>2017-Tabela2[[#This Row],[B-day]]</f>
        <v>16</v>
      </c>
      <c r="P28" s="5">
        <f>IF(Tabela2[[#This Row],[Idade]]&lt;21,1,0)</f>
        <v>1</v>
      </c>
      <c r="Q28" s="5">
        <f>IF(Tabela2[[#This Row],[Idade]]&gt;20,1,0)</f>
        <v>0</v>
      </c>
      <c r="R28" s="5">
        <f>IF(Tabela2[[#This Row],[Juniores]]=1,Tabela2[[#This Row],[B-day]],0)</f>
        <v>2001</v>
      </c>
    </row>
    <row r="29" spans="1:18" x14ac:dyDescent="0.25">
      <c r="A29" t="s">
        <v>99</v>
      </c>
      <c r="C29">
        <f>SUBTOTAL(103,Tabela2[Name])</f>
        <v>27</v>
      </c>
      <c r="F29" s="3">
        <f>SUBTOTAL(101,Tabela2[FOA DEC19])</f>
        <v>1691.9259259259259</v>
      </c>
      <c r="H29" s="3">
        <f>SUBTOTAL(101,Tabela2[K])</f>
        <v>33.333333333333336</v>
      </c>
      <c r="K29">
        <f>SUBTOTAL(103,Tabela2[Liga])</f>
        <v>8</v>
      </c>
      <c r="M29">
        <f>SUBTOTAL(109,Tabela2[Masculino])</f>
        <v>14</v>
      </c>
      <c r="N29">
        <f>SUBTOTAL(109,Tabela2[Feminino])</f>
        <v>13</v>
      </c>
      <c r="P29">
        <f>SUBTOTAL(109,Tabela2[Juniores])</f>
        <v>9</v>
      </c>
      <c r="Q29">
        <f>SUBTOTAL(109,Tabela2[Seniores])</f>
        <v>18</v>
      </c>
      <c r="R29">
        <f>SUBTOTAL(109,Tabela2[Rating Juniores])</f>
        <v>18000</v>
      </c>
    </row>
  </sheetData>
  <pageMargins left="0.7" right="0.7" top="0.75" bottom="0.75" header="0.3" footer="0.3"/>
  <pageSetup orientation="portrait" horizontalDpi="300" verticalDpi="300" r:id="rId1"/>
  <headerFooter>
    <oddHeader>&amp;C&amp;"Calibri"&amp;9&amp;K000000Informação de uso Público&amp;1#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EDD6-97F0-45C7-B2FE-E3AB193463EB}">
  <dimension ref="A1:Q57"/>
  <sheetViews>
    <sheetView workbookViewId="0">
      <selection activeCell="F2" sqref="F2:F23"/>
    </sheetView>
  </sheetViews>
  <sheetFormatPr defaultRowHeight="15" x14ac:dyDescent="0.25"/>
  <cols>
    <col min="2" max="2" width="12.85546875" bestFit="1" customWidth="1"/>
    <col min="3" max="3" width="40.28515625" bestFit="1" customWidth="1"/>
    <col min="4" max="4" width="10.140625" customWidth="1"/>
    <col min="5" max="5" width="14.7109375" bestFit="1" customWidth="1"/>
    <col min="7" max="10" width="10.28515625" customWidth="1"/>
  </cols>
  <sheetData>
    <row r="1" spans="1:17" x14ac:dyDescent="0.25">
      <c r="A1" t="s">
        <v>93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</row>
    <row r="2" spans="1:17" x14ac:dyDescent="0.25">
      <c r="A2">
        <v>2018</v>
      </c>
      <c r="B2">
        <v>14800098</v>
      </c>
      <c r="C2" t="s">
        <v>8</v>
      </c>
      <c r="D2" t="s">
        <v>1</v>
      </c>
      <c r="E2" t="s">
        <v>7</v>
      </c>
      <c r="F2">
        <v>2208</v>
      </c>
      <c r="G2">
        <v>0</v>
      </c>
      <c r="H2">
        <v>20</v>
      </c>
      <c r="I2">
        <v>1991</v>
      </c>
      <c r="K2" t="str">
        <f>LEFT(Tabela3[[#This Row],[Sex Tit  WTit OTit]],1)</f>
        <v>M</v>
      </c>
      <c r="L2">
        <f>IF(Tabela3[[#This Row],[Sexo]]="M",1,0)</f>
        <v>1</v>
      </c>
      <c r="M2">
        <f>IF(Tabela3[[#This Row],[Sexo]]="F",1,0)</f>
        <v>0</v>
      </c>
      <c r="N2" s="5">
        <f>2018-Tabela3[[#This Row],[B-day]]</f>
        <v>27</v>
      </c>
      <c r="O2" s="5">
        <f>IF(Tabela3[[#This Row],[Idade]]&lt;21,1,0)</f>
        <v>0</v>
      </c>
      <c r="P2" s="5">
        <f>IF(Tabela3[[#This Row],[Idade]]&gt;20,1,0)</f>
        <v>1</v>
      </c>
      <c r="Q2" s="5">
        <f>IF(Tabela3[[#This Row],[Juniores]]=1,Tabela3[[#This Row],[B-day]],0)</f>
        <v>0</v>
      </c>
    </row>
    <row r="3" spans="1:17" x14ac:dyDescent="0.25">
      <c r="A3">
        <v>2018</v>
      </c>
      <c r="B3">
        <v>14800047</v>
      </c>
      <c r="C3" t="s">
        <v>4</v>
      </c>
      <c r="D3" t="s">
        <v>1</v>
      </c>
      <c r="E3" t="s">
        <v>5</v>
      </c>
      <c r="F3">
        <v>2202</v>
      </c>
      <c r="G3">
        <v>0</v>
      </c>
      <c r="H3">
        <v>20</v>
      </c>
      <c r="I3">
        <v>1980</v>
      </c>
      <c r="K3" t="str">
        <f>LEFT(Tabela3[[#This Row],[Sex Tit  WTit OTit]],1)</f>
        <v>M</v>
      </c>
      <c r="L3">
        <f>IF(Tabela3[[#This Row],[Sexo]]="M",1,0)</f>
        <v>1</v>
      </c>
      <c r="M3">
        <f>IF(Tabela3[[#This Row],[Sexo]]="F",1,0)</f>
        <v>0</v>
      </c>
      <c r="N3" s="5">
        <f>2018-Tabela3[[#This Row],[B-day]]</f>
        <v>38</v>
      </c>
      <c r="O3" s="5">
        <f>IF(Tabela3[[#This Row],[Idade]]&lt;21,1,0)</f>
        <v>0</v>
      </c>
      <c r="P3" s="5">
        <f>IF(Tabela3[[#This Row],[Idade]]&gt;20,1,0)</f>
        <v>1</v>
      </c>
      <c r="Q3" s="5">
        <f>IF(Tabela3[[#This Row],[Juniores]]=1,Tabela3[[#This Row],[B-day]],0)</f>
        <v>0</v>
      </c>
    </row>
    <row r="4" spans="1:17" x14ac:dyDescent="0.25">
      <c r="A4">
        <v>2018</v>
      </c>
      <c r="B4">
        <v>14800039</v>
      </c>
      <c r="C4" t="s">
        <v>0</v>
      </c>
      <c r="D4" t="s">
        <v>1</v>
      </c>
      <c r="E4" t="s">
        <v>2</v>
      </c>
      <c r="F4">
        <v>2186</v>
      </c>
      <c r="G4">
        <v>0</v>
      </c>
      <c r="H4">
        <v>20</v>
      </c>
      <c r="I4">
        <v>1982</v>
      </c>
      <c r="J4" t="s">
        <v>3</v>
      </c>
      <c r="K4" t="str">
        <f>LEFT(Tabela3[[#This Row],[Sex Tit  WTit OTit]],1)</f>
        <v>M</v>
      </c>
      <c r="L4">
        <f>IF(Tabela3[[#This Row],[Sexo]]="M",1,0)</f>
        <v>1</v>
      </c>
      <c r="M4">
        <f>IF(Tabela3[[#This Row],[Sexo]]="F",1,0)</f>
        <v>0</v>
      </c>
      <c r="N4" s="5">
        <f>2018-Tabela3[[#This Row],[B-day]]</f>
        <v>36</v>
      </c>
      <c r="O4" s="5">
        <f>IF(Tabela3[[#This Row],[Idade]]&lt;21,1,0)</f>
        <v>0</v>
      </c>
      <c r="P4" s="5">
        <f>IF(Tabela3[[#This Row],[Idade]]&gt;20,1,0)</f>
        <v>1</v>
      </c>
      <c r="Q4" s="5">
        <f>IF(Tabela3[[#This Row],[Juniores]]=1,Tabela3[[#This Row],[B-day]],0)</f>
        <v>0</v>
      </c>
    </row>
    <row r="5" spans="1:17" x14ac:dyDescent="0.25">
      <c r="A5">
        <v>2018</v>
      </c>
      <c r="B5">
        <v>14800268</v>
      </c>
      <c r="C5" t="s">
        <v>6</v>
      </c>
      <c r="D5" t="s">
        <v>1</v>
      </c>
      <c r="E5" t="s">
        <v>40</v>
      </c>
      <c r="F5">
        <v>2137</v>
      </c>
      <c r="G5">
        <v>0</v>
      </c>
      <c r="H5">
        <v>20</v>
      </c>
      <c r="I5">
        <v>1984</v>
      </c>
      <c r="K5" t="str">
        <f>LEFT(Tabela3[[#This Row],[Sex Tit  WTit OTit]],1)</f>
        <v>M</v>
      </c>
      <c r="L5">
        <f>IF(Tabela3[[#This Row],[Sexo]]="M",1,0)</f>
        <v>1</v>
      </c>
      <c r="M5">
        <f>IF(Tabela3[[#This Row],[Sexo]]="F",1,0)</f>
        <v>0</v>
      </c>
      <c r="N5" s="5">
        <f>2018-Tabela3[[#This Row],[B-day]]</f>
        <v>34</v>
      </c>
      <c r="O5" s="5">
        <f>IF(Tabela3[[#This Row],[Idade]]&lt;21,1,0)</f>
        <v>0</v>
      </c>
      <c r="P5" s="5">
        <f>IF(Tabela3[[#This Row],[Idade]]&gt;20,1,0)</f>
        <v>1</v>
      </c>
      <c r="Q5" s="5">
        <f>IF(Tabela3[[#This Row],[Juniores]]=1,Tabela3[[#This Row],[B-day]],0)</f>
        <v>0</v>
      </c>
    </row>
    <row r="6" spans="1:17" x14ac:dyDescent="0.25">
      <c r="A6">
        <v>2018</v>
      </c>
      <c r="B6">
        <v>14800276</v>
      </c>
      <c r="C6" t="s">
        <v>10</v>
      </c>
      <c r="D6" t="s">
        <v>1</v>
      </c>
      <c r="E6" t="s">
        <v>7</v>
      </c>
      <c r="F6">
        <v>2055</v>
      </c>
      <c r="G6">
        <v>0</v>
      </c>
      <c r="H6">
        <v>20</v>
      </c>
      <c r="I6">
        <v>1976</v>
      </c>
      <c r="K6" t="str">
        <f>LEFT(Tabela3[[#This Row],[Sex Tit  WTit OTit]],1)</f>
        <v>M</v>
      </c>
      <c r="L6">
        <f>IF(Tabela3[[#This Row],[Sexo]]="M",1,0)</f>
        <v>1</v>
      </c>
      <c r="M6">
        <f>IF(Tabela3[[#This Row],[Sexo]]="F",1,0)</f>
        <v>0</v>
      </c>
      <c r="N6" s="5">
        <f>2018-Tabela3[[#This Row],[B-day]]</f>
        <v>42</v>
      </c>
      <c r="O6" s="5">
        <f>IF(Tabela3[[#This Row],[Idade]]&lt;21,1,0)</f>
        <v>0</v>
      </c>
      <c r="P6" s="5">
        <f>IF(Tabela3[[#This Row],[Idade]]&gt;20,1,0)</f>
        <v>1</v>
      </c>
      <c r="Q6" s="5">
        <f>IF(Tabela3[[#This Row],[Juniores]]=1,Tabela3[[#This Row],[B-day]],0)</f>
        <v>0</v>
      </c>
    </row>
    <row r="7" spans="1:17" x14ac:dyDescent="0.25">
      <c r="A7">
        <v>2018</v>
      </c>
      <c r="B7">
        <v>14800063</v>
      </c>
      <c r="C7" t="s">
        <v>12</v>
      </c>
      <c r="D7" t="s">
        <v>1</v>
      </c>
      <c r="E7" t="s">
        <v>7</v>
      </c>
      <c r="F7">
        <v>2043</v>
      </c>
      <c r="G7">
        <v>0</v>
      </c>
      <c r="H7">
        <v>20</v>
      </c>
      <c r="I7">
        <v>1990</v>
      </c>
      <c r="K7" t="str">
        <f>LEFT(Tabela3[[#This Row],[Sex Tit  WTit OTit]],1)</f>
        <v>M</v>
      </c>
      <c r="L7">
        <f>IF(Tabela3[[#This Row],[Sexo]]="M",1,0)</f>
        <v>1</v>
      </c>
      <c r="M7">
        <f>IF(Tabela3[[#This Row],[Sexo]]="F",1,0)</f>
        <v>0</v>
      </c>
      <c r="N7" s="5">
        <f>2018-Tabela3[[#This Row],[B-day]]</f>
        <v>28</v>
      </c>
      <c r="O7" s="5">
        <f>IF(Tabela3[[#This Row],[Idade]]&lt;21,1,0)</f>
        <v>0</v>
      </c>
      <c r="P7" s="5">
        <f>IF(Tabela3[[#This Row],[Idade]]&gt;20,1,0)</f>
        <v>1</v>
      </c>
      <c r="Q7" s="5">
        <f>IF(Tabela3[[#This Row],[Juniores]]=1,Tabela3[[#This Row],[B-day]],0)</f>
        <v>0</v>
      </c>
    </row>
    <row r="8" spans="1:17" x14ac:dyDescent="0.25">
      <c r="A8">
        <v>2018</v>
      </c>
      <c r="B8">
        <v>14800012</v>
      </c>
      <c r="C8" t="s">
        <v>11</v>
      </c>
      <c r="D8" t="s">
        <v>1</v>
      </c>
      <c r="E8" t="s">
        <v>7</v>
      </c>
      <c r="F8">
        <v>2004</v>
      </c>
      <c r="G8">
        <v>0</v>
      </c>
      <c r="H8">
        <v>20</v>
      </c>
      <c r="I8">
        <v>1972</v>
      </c>
      <c r="K8" t="str">
        <f>LEFT(Tabela3[[#This Row],[Sex Tit  WTit OTit]],1)</f>
        <v>M</v>
      </c>
      <c r="L8">
        <f>IF(Tabela3[[#This Row],[Sexo]]="M",1,0)</f>
        <v>1</v>
      </c>
      <c r="M8">
        <f>IF(Tabela3[[#This Row],[Sexo]]="F",1,0)</f>
        <v>0</v>
      </c>
      <c r="N8" s="5">
        <f>2018-Tabela3[[#This Row],[B-day]]</f>
        <v>46</v>
      </c>
      <c r="O8" s="5">
        <f>IF(Tabela3[[#This Row],[Idade]]&lt;21,1,0)</f>
        <v>0</v>
      </c>
      <c r="P8" s="5">
        <f>IF(Tabela3[[#This Row],[Idade]]&gt;20,1,0)</f>
        <v>1</v>
      </c>
      <c r="Q8" s="5">
        <f>IF(Tabela3[[#This Row],[Juniores]]=1,Tabela3[[#This Row],[B-day]],0)</f>
        <v>0</v>
      </c>
    </row>
    <row r="9" spans="1:17" x14ac:dyDescent="0.25">
      <c r="A9">
        <v>2018</v>
      </c>
      <c r="B9">
        <v>14801302</v>
      </c>
      <c r="C9" t="s">
        <v>63</v>
      </c>
      <c r="D9" t="s">
        <v>1</v>
      </c>
      <c r="E9" t="s">
        <v>2</v>
      </c>
      <c r="F9">
        <v>1986</v>
      </c>
      <c r="G9">
        <v>0</v>
      </c>
      <c r="H9">
        <v>40</v>
      </c>
      <c r="I9">
        <v>1995</v>
      </c>
      <c r="K9" t="str">
        <f>LEFT(Tabela3[[#This Row],[Sex Tit  WTit OTit]],1)</f>
        <v>M</v>
      </c>
      <c r="L9">
        <f>IF(Tabela3[[#This Row],[Sexo]]="M",1,0)</f>
        <v>1</v>
      </c>
      <c r="M9">
        <f>IF(Tabela3[[#This Row],[Sexo]]="F",1,0)</f>
        <v>0</v>
      </c>
      <c r="N9" s="5">
        <f>2018-Tabela3[[#This Row],[B-day]]</f>
        <v>23</v>
      </c>
      <c r="O9" s="5">
        <f>IF(Tabela3[[#This Row],[Idade]]&lt;21,1,0)</f>
        <v>0</v>
      </c>
      <c r="P9" s="5">
        <f>IF(Tabela3[[#This Row],[Idade]]&gt;20,1,0)</f>
        <v>1</v>
      </c>
      <c r="Q9" s="5">
        <f>IF(Tabela3[[#This Row],[Juniores]]=1,Tabela3[[#This Row],[B-day]],0)</f>
        <v>0</v>
      </c>
    </row>
    <row r="10" spans="1:17" x14ac:dyDescent="0.25">
      <c r="A10">
        <v>2018</v>
      </c>
      <c r="B10">
        <v>14800136</v>
      </c>
      <c r="C10" t="s">
        <v>9</v>
      </c>
      <c r="D10" t="s">
        <v>1</v>
      </c>
      <c r="E10" t="s">
        <v>60</v>
      </c>
      <c r="F10">
        <v>1968</v>
      </c>
      <c r="G10">
        <v>0</v>
      </c>
      <c r="H10">
        <v>20</v>
      </c>
      <c r="I10">
        <v>1983</v>
      </c>
      <c r="K10" t="str">
        <f>LEFT(Tabela3[[#This Row],[Sex Tit  WTit OTit]],1)</f>
        <v>M</v>
      </c>
      <c r="L10">
        <f>IF(Tabela3[[#This Row],[Sexo]]="M",1,0)</f>
        <v>1</v>
      </c>
      <c r="M10">
        <f>IF(Tabela3[[#This Row],[Sexo]]="F",1,0)</f>
        <v>0</v>
      </c>
      <c r="N10" s="5">
        <f>2018-Tabela3[[#This Row],[B-day]]</f>
        <v>35</v>
      </c>
      <c r="O10" s="5">
        <f>IF(Tabela3[[#This Row],[Idade]]&lt;21,1,0)</f>
        <v>0</v>
      </c>
      <c r="P10" s="5">
        <f>IF(Tabela3[[#This Row],[Idade]]&gt;20,1,0)</f>
        <v>1</v>
      </c>
      <c r="Q10" s="5">
        <f>IF(Tabela3[[#This Row],[Juniores]]=1,Tabela3[[#This Row],[B-day]],0)</f>
        <v>0</v>
      </c>
    </row>
    <row r="11" spans="1:17" x14ac:dyDescent="0.25">
      <c r="A11">
        <v>2018</v>
      </c>
      <c r="B11">
        <v>14801248</v>
      </c>
      <c r="C11" t="s">
        <v>58</v>
      </c>
      <c r="D11" t="s">
        <v>1</v>
      </c>
      <c r="E11" t="s">
        <v>2</v>
      </c>
      <c r="F11">
        <v>1968</v>
      </c>
      <c r="G11">
        <v>0</v>
      </c>
      <c r="H11">
        <v>40</v>
      </c>
      <c r="I11">
        <v>1998</v>
      </c>
      <c r="K11" t="str">
        <f>LEFT(Tabela3[[#This Row],[Sex Tit  WTit OTit]],1)</f>
        <v>M</v>
      </c>
      <c r="L11">
        <f>IF(Tabela3[[#This Row],[Sexo]]="M",1,0)</f>
        <v>1</v>
      </c>
      <c r="M11">
        <f>IF(Tabela3[[#This Row],[Sexo]]="F",1,0)</f>
        <v>0</v>
      </c>
      <c r="N11" s="5">
        <f>2018-Tabela3[[#This Row],[B-day]]</f>
        <v>20</v>
      </c>
      <c r="O11" s="5">
        <f>IF(Tabela3[[#This Row],[Idade]]&lt;21,1,0)</f>
        <v>1</v>
      </c>
      <c r="P11" s="5">
        <f>IF(Tabela3[[#This Row],[Idade]]&gt;20,1,0)</f>
        <v>0</v>
      </c>
      <c r="Q11" s="5">
        <f>IF(Tabela3[[#This Row],[Juniores]]=1,Tabela3[[#This Row],[B-day]],0)</f>
        <v>1998</v>
      </c>
    </row>
    <row r="12" spans="1:17" x14ac:dyDescent="0.25">
      <c r="A12">
        <v>2018</v>
      </c>
      <c r="B12">
        <v>14800071</v>
      </c>
      <c r="C12" t="s">
        <v>13</v>
      </c>
      <c r="D12" t="s">
        <v>1</v>
      </c>
      <c r="E12" t="s">
        <v>2</v>
      </c>
      <c r="F12">
        <v>1941</v>
      </c>
      <c r="G12">
        <v>0</v>
      </c>
      <c r="H12">
        <v>20</v>
      </c>
      <c r="I12">
        <v>1984</v>
      </c>
      <c r="J12" t="s">
        <v>3</v>
      </c>
      <c r="K12" t="str">
        <f>LEFT(Tabela3[[#This Row],[Sex Tit  WTit OTit]],1)</f>
        <v>M</v>
      </c>
      <c r="L12">
        <f>IF(Tabela3[[#This Row],[Sexo]]="M",1,0)</f>
        <v>1</v>
      </c>
      <c r="M12">
        <f>IF(Tabela3[[#This Row],[Sexo]]="F",1,0)</f>
        <v>0</v>
      </c>
      <c r="N12" s="5">
        <f>2018-Tabela3[[#This Row],[B-day]]</f>
        <v>34</v>
      </c>
      <c r="O12" s="5">
        <f>IF(Tabela3[[#This Row],[Idade]]&lt;21,1,0)</f>
        <v>0</v>
      </c>
      <c r="P12" s="5">
        <f>IF(Tabela3[[#This Row],[Idade]]&gt;20,1,0)</f>
        <v>1</v>
      </c>
      <c r="Q12" s="5">
        <f>IF(Tabela3[[#This Row],[Juniores]]=1,Tabela3[[#This Row],[B-day]],0)</f>
        <v>0</v>
      </c>
    </row>
    <row r="13" spans="1:17" x14ac:dyDescent="0.25">
      <c r="A13">
        <v>2018</v>
      </c>
      <c r="B13">
        <v>14801256</v>
      </c>
      <c r="C13" t="s">
        <v>59</v>
      </c>
      <c r="D13" t="s">
        <v>1</v>
      </c>
      <c r="E13" t="s">
        <v>2</v>
      </c>
      <c r="F13">
        <v>1935</v>
      </c>
      <c r="G13">
        <v>0</v>
      </c>
      <c r="H13">
        <v>40</v>
      </c>
      <c r="I13">
        <v>1988</v>
      </c>
      <c r="K13" t="str">
        <f>LEFT(Tabela3[[#This Row],[Sex Tit  WTit OTit]],1)</f>
        <v>M</v>
      </c>
      <c r="L13">
        <f>IF(Tabela3[[#This Row],[Sexo]]="M",1,0)</f>
        <v>1</v>
      </c>
      <c r="M13">
        <f>IF(Tabela3[[#This Row],[Sexo]]="F",1,0)</f>
        <v>0</v>
      </c>
      <c r="N13" s="5">
        <f>2018-Tabela3[[#This Row],[B-day]]</f>
        <v>30</v>
      </c>
      <c r="O13" s="5">
        <f>IF(Tabela3[[#This Row],[Idade]]&lt;21,1,0)</f>
        <v>0</v>
      </c>
      <c r="P13" s="5">
        <f>IF(Tabela3[[#This Row],[Idade]]&gt;20,1,0)</f>
        <v>1</v>
      </c>
      <c r="Q13" s="5">
        <f>IF(Tabela3[[#This Row],[Juniores]]=1,Tabela3[[#This Row],[B-day]],0)</f>
        <v>0</v>
      </c>
    </row>
    <row r="14" spans="1:17" x14ac:dyDescent="0.25">
      <c r="A14">
        <v>2018</v>
      </c>
      <c r="B14">
        <v>14800500</v>
      </c>
      <c r="C14" t="s">
        <v>48</v>
      </c>
      <c r="D14" t="s">
        <v>1</v>
      </c>
      <c r="E14" t="s">
        <v>2</v>
      </c>
      <c r="F14">
        <v>1930</v>
      </c>
      <c r="G14">
        <v>0</v>
      </c>
      <c r="H14">
        <v>20</v>
      </c>
      <c r="I14">
        <v>1993</v>
      </c>
      <c r="K14" t="str">
        <f>LEFT(Tabela3[[#This Row],[Sex Tit  WTit OTit]],1)</f>
        <v>M</v>
      </c>
      <c r="L14">
        <f>IF(Tabela3[[#This Row],[Sexo]]="M",1,0)</f>
        <v>1</v>
      </c>
      <c r="M14">
        <f>IF(Tabela3[[#This Row],[Sexo]]="F",1,0)</f>
        <v>0</v>
      </c>
      <c r="N14" s="5">
        <f>2018-Tabela3[[#This Row],[B-day]]</f>
        <v>25</v>
      </c>
      <c r="O14" s="5">
        <f>IF(Tabela3[[#This Row],[Idade]]&lt;21,1,0)</f>
        <v>0</v>
      </c>
      <c r="P14" s="5">
        <f>IF(Tabela3[[#This Row],[Idade]]&gt;20,1,0)</f>
        <v>1</v>
      </c>
      <c r="Q14" s="5">
        <f>IF(Tabela3[[#This Row],[Juniores]]=1,Tabela3[[#This Row],[B-day]],0)</f>
        <v>0</v>
      </c>
    </row>
    <row r="15" spans="1:17" x14ac:dyDescent="0.25">
      <c r="A15">
        <v>2018</v>
      </c>
      <c r="B15">
        <v>14800489</v>
      </c>
      <c r="C15" t="s">
        <v>14</v>
      </c>
      <c r="D15" t="s">
        <v>1</v>
      </c>
      <c r="E15" t="s">
        <v>35</v>
      </c>
      <c r="F15">
        <v>1886</v>
      </c>
      <c r="G15">
        <v>0</v>
      </c>
      <c r="H15">
        <v>20</v>
      </c>
      <c r="I15">
        <v>1983</v>
      </c>
      <c r="K15" t="str">
        <f>LEFT(Tabela3[[#This Row],[Sex Tit  WTit OTit]],1)</f>
        <v>M</v>
      </c>
      <c r="L15">
        <f>IF(Tabela3[[#This Row],[Sexo]]="M",1,0)</f>
        <v>1</v>
      </c>
      <c r="M15">
        <f>IF(Tabela3[[#This Row],[Sexo]]="F",1,0)</f>
        <v>0</v>
      </c>
      <c r="N15" s="5">
        <f>2018-Tabela3[[#This Row],[B-day]]</f>
        <v>35</v>
      </c>
      <c r="O15" s="5">
        <f>IF(Tabela3[[#This Row],[Idade]]&lt;21,1,0)</f>
        <v>0</v>
      </c>
      <c r="P15" s="5">
        <f>IF(Tabela3[[#This Row],[Idade]]&gt;20,1,0)</f>
        <v>1</v>
      </c>
      <c r="Q15" s="5">
        <f>IF(Tabela3[[#This Row],[Juniores]]=1,Tabela3[[#This Row],[B-day]],0)</f>
        <v>0</v>
      </c>
    </row>
    <row r="16" spans="1:17" x14ac:dyDescent="0.25">
      <c r="A16">
        <v>2018</v>
      </c>
      <c r="B16">
        <v>14800756</v>
      </c>
      <c r="C16" t="s">
        <v>49</v>
      </c>
      <c r="D16" t="s">
        <v>1</v>
      </c>
      <c r="E16" t="s">
        <v>2</v>
      </c>
      <c r="F16">
        <v>1843</v>
      </c>
      <c r="G16">
        <v>0</v>
      </c>
      <c r="H16">
        <v>40</v>
      </c>
      <c r="I16">
        <v>1990</v>
      </c>
      <c r="K16" t="str">
        <f>LEFT(Tabela3[[#This Row],[Sex Tit  WTit OTit]],1)</f>
        <v>M</v>
      </c>
      <c r="L16">
        <f>IF(Tabela3[[#This Row],[Sexo]]="M",1,0)</f>
        <v>1</v>
      </c>
      <c r="M16">
        <f>IF(Tabela3[[#This Row],[Sexo]]="F",1,0)</f>
        <v>0</v>
      </c>
      <c r="N16" s="5">
        <f>2018-Tabela3[[#This Row],[B-day]]</f>
        <v>28</v>
      </c>
      <c r="O16" s="5">
        <f>IF(Tabela3[[#This Row],[Idade]]&lt;21,1,0)</f>
        <v>0</v>
      </c>
      <c r="P16" s="5">
        <f>IF(Tabela3[[#This Row],[Idade]]&gt;20,1,0)</f>
        <v>1</v>
      </c>
      <c r="Q16" s="5">
        <f>IF(Tabela3[[#This Row],[Juniores]]=1,Tabela3[[#This Row],[B-day]],0)</f>
        <v>0</v>
      </c>
    </row>
    <row r="17" spans="1:17" x14ac:dyDescent="0.25">
      <c r="A17">
        <v>2018</v>
      </c>
      <c r="B17">
        <v>14801558</v>
      </c>
      <c r="C17" t="s">
        <v>42</v>
      </c>
      <c r="D17" t="s">
        <v>1</v>
      </c>
      <c r="E17" t="s">
        <v>2</v>
      </c>
      <c r="F17">
        <v>1810</v>
      </c>
      <c r="G17">
        <v>0</v>
      </c>
      <c r="H17">
        <v>40</v>
      </c>
      <c r="I17">
        <v>1981</v>
      </c>
      <c r="K17" t="str">
        <f>LEFT(Tabela3[[#This Row],[Sex Tit  WTit OTit]],1)</f>
        <v>M</v>
      </c>
      <c r="L17">
        <f>IF(Tabela3[[#This Row],[Sexo]]="M",1,0)</f>
        <v>1</v>
      </c>
      <c r="M17">
        <f>IF(Tabela3[[#This Row],[Sexo]]="F",1,0)</f>
        <v>0</v>
      </c>
      <c r="N17" s="5">
        <f>2018-Tabela3[[#This Row],[B-day]]</f>
        <v>37</v>
      </c>
      <c r="O17" s="5">
        <f>IF(Tabela3[[#This Row],[Idade]]&lt;21,1,0)</f>
        <v>0</v>
      </c>
      <c r="P17" s="5">
        <f>IF(Tabela3[[#This Row],[Idade]]&gt;20,1,0)</f>
        <v>1</v>
      </c>
      <c r="Q17" s="5">
        <f>IF(Tabela3[[#This Row],[Juniores]]=1,Tabela3[[#This Row],[B-day]],0)</f>
        <v>0</v>
      </c>
    </row>
    <row r="18" spans="1:17" x14ac:dyDescent="0.25">
      <c r="A18">
        <v>2018</v>
      </c>
      <c r="B18">
        <v>14800144</v>
      </c>
      <c r="C18" t="s">
        <v>15</v>
      </c>
      <c r="D18" t="s">
        <v>1</v>
      </c>
      <c r="E18" t="s">
        <v>68</v>
      </c>
      <c r="F18">
        <v>1793</v>
      </c>
      <c r="G18">
        <v>0</v>
      </c>
      <c r="H18">
        <v>20</v>
      </c>
      <c r="I18">
        <v>1985</v>
      </c>
      <c r="J18" t="s">
        <v>17</v>
      </c>
      <c r="K18" t="str">
        <f>LEFT(Tabela3[[#This Row],[Sex Tit  WTit OTit]],1)</f>
        <v>F</v>
      </c>
      <c r="L18">
        <f>IF(Tabela3[[#This Row],[Sexo]]="M",1,0)</f>
        <v>0</v>
      </c>
      <c r="M18">
        <f>IF(Tabela3[[#This Row],[Sexo]]="F",1,0)</f>
        <v>1</v>
      </c>
      <c r="N18" s="5">
        <f>2018-Tabela3[[#This Row],[B-day]]</f>
        <v>33</v>
      </c>
      <c r="O18" s="5">
        <f>IF(Tabela3[[#This Row],[Idade]]&lt;21,1,0)</f>
        <v>0</v>
      </c>
      <c r="P18" s="5">
        <f>IF(Tabela3[[#This Row],[Idade]]&gt;20,1,0)</f>
        <v>1</v>
      </c>
      <c r="Q18" s="5">
        <f>IF(Tabela3[[#This Row],[Juniores]]=1,Tabela3[[#This Row],[B-day]],0)</f>
        <v>0</v>
      </c>
    </row>
    <row r="19" spans="1:17" x14ac:dyDescent="0.25">
      <c r="A19">
        <v>2018</v>
      </c>
      <c r="B19">
        <v>14800284</v>
      </c>
      <c r="C19" t="s">
        <v>18</v>
      </c>
      <c r="D19" t="s">
        <v>1</v>
      </c>
      <c r="E19" t="s">
        <v>2</v>
      </c>
      <c r="F19">
        <v>1734</v>
      </c>
      <c r="G19">
        <v>0</v>
      </c>
      <c r="H19">
        <v>40</v>
      </c>
      <c r="I19">
        <v>1994</v>
      </c>
      <c r="J19" t="s">
        <v>3</v>
      </c>
      <c r="K19" t="str">
        <f>LEFT(Tabela3[[#This Row],[Sex Tit  WTit OTit]],1)</f>
        <v>M</v>
      </c>
      <c r="L19">
        <f>IF(Tabela3[[#This Row],[Sexo]]="M",1,0)</f>
        <v>1</v>
      </c>
      <c r="M19">
        <f>IF(Tabela3[[#This Row],[Sexo]]="F",1,0)</f>
        <v>0</v>
      </c>
      <c r="N19" s="5">
        <f>2018-Tabela3[[#This Row],[B-day]]</f>
        <v>24</v>
      </c>
      <c r="O19" s="5">
        <f>IF(Tabela3[[#This Row],[Idade]]&lt;21,1,0)</f>
        <v>0</v>
      </c>
      <c r="P19" s="5">
        <f>IF(Tabela3[[#This Row],[Idade]]&gt;20,1,0)</f>
        <v>1</v>
      </c>
      <c r="Q19" s="5">
        <f>IF(Tabela3[[#This Row],[Juniores]]=1,Tabela3[[#This Row],[B-day]],0)</f>
        <v>0</v>
      </c>
    </row>
    <row r="20" spans="1:17" x14ac:dyDescent="0.25">
      <c r="A20">
        <v>2018</v>
      </c>
      <c r="B20">
        <v>14800403</v>
      </c>
      <c r="C20" t="s">
        <v>24</v>
      </c>
      <c r="D20" t="s">
        <v>1</v>
      </c>
      <c r="E20" t="s">
        <v>2</v>
      </c>
      <c r="F20">
        <v>1708</v>
      </c>
      <c r="G20">
        <v>0</v>
      </c>
      <c r="H20">
        <v>40</v>
      </c>
      <c r="I20">
        <v>2003</v>
      </c>
      <c r="K20" t="str">
        <f>LEFT(Tabela3[[#This Row],[Sex Tit  WTit OTit]],1)</f>
        <v>M</v>
      </c>
      <c r="L20">
        <f>IF(Tabela3[[#This Row],[Sexo]]="M",1,0)</f>
        <v>1</v>
      </c>
      <c r="M20">
        <f>IF(Tabela3[[#This Row],[Sexo]]="F",1,0)</f>
        <v>0</v>
      </c>
      <c r="N20" s="5">
        <f>2018-Tabela3[[#This Row],[B-day]]</f>
        <v>15</v>
      </c>
      <c r="O20" s="5">
        <f>IF(Tabela3[[#This Row],[Idade]]&lt;21,1,0)</f>
        <v>1</v>
      </c>
      <c r="P20" s="5">
        <f>IF(Tabela3[[#This Row],[Idade]]&gt;20,1,0)</f>
        <v>0</v>
      </c>
      <c r="Q20" s="5">
        <f>IF(Tabela3[[#This Row],[Juniores]]=1,Tabela3[[#This Row],[B-day]],0)</f>
        <v>2003</v>
      </c>
    </row>
    <row r="21" spans="1:17" x14ac:dyDescent="0.25">
      <c r="A21">
        <v>2018</v>
      </c>
      <c r="B21">
        <v>14800438</v>
      </c>
      <c r="C21" t="s">
        <v>19</v>
      </c>
      <c r="D21" t="s">
        <v>1</v>
      </c>
      <c r="E21" t="s">
        <v>2</v>
      </c>
      <c r="F21">
        <v>1659</v>
      </c>
      <c r="G21">
        <v>0</v>
      </c>
      <c r="H21">
        <v>40</v>
      </c>
      <c r="I21">
        <v>1999</v>
      </c>
      <c r="J21" t="s">
        <v>3</v>
      </c>
      <c r="K21" t="str">
        <f>LEFT(Tabela3[[#This Row],[Sex Tit  WTit OTit]],1)</f>
        <v>M</v>
      </c>
      <c r="L21">
        <f>IF(Tabela3[[#This Row],[Sexo]]="M",1,0)</f>
        <v>1</v>
      </c>
      <c r="M21">
        <f>IF(Tabela3[[#This Row],[Sexo]]="F",1,0)</f>
        <v>0</v>
      </c>
      <c r="N21" s="5">
        <f>2018-Tabela3[[#This Row],[B-day]]</f>
        <v>19</v>
      </c>
      <c r="O21" s="5">
        <f>IF(Tabela3[[#This Row],[Idade]]&lt;21,1,0)</f>
        <v>1</v>
      </c>
      <c r="P21" s="5">
        <f>IF(Tabela3[[#This Row],[Idade]]&gt;20,1,0)</f>
        <v>0</v>
      </c>
      <c r="Q21" s="5">
        <f>IF(Tabela3[[#This Row],[Juniores]]=1,Tabela3[[#This Row],[B-day]],0)</f>
        <v>1999</v>
      </c>
    </row>
    <row r="22" spans="1:17" x14ac:dyDescent="0.25">
      <c r="A22">
        <v>2018</v>
      </c>
      <c r="B22">
        <v>14801167</v>
      </c>
      <c r="C22" t="s">
        <v>44</v>
      </c>
      <c r="D22" t="s">
        <v>1</v>
      </c>
      <c r="E22" t="s">
        <v>2</v>
      </c>
      <c r="F22">
        <v>1641</v>
      </c>
      <c r="G22">
        <v>0</v>
      </c>
      <c r="H22">
        <v>40</v>
      </c>
      <c r="I22">
        <v>1999</v>
      </c>
      <c r="K22" t="str">
        <f>LEFT(Tabela3[[#This Row],[Sex Tit  WTit OTit]],1)</f>
        <v>M</v>
      </c>
      <c r="L22">
        <f>IF(Tabela3[[#This Row],[Sexo]]="M",1,0)</f>
        <v>1</v>
      </c>
      <c r="M22">
        <f>IF(Tabela3[[#This Row],[Sexo]]="F",1,0)</f>
        <v>0</v>
      </c>
      <c r="N22" s="5">
        <f>2018-Tabela3[[#This Row],[B-day]]</f>
        <v>19</v>
      </c>
      <c r="O22" s="5">
        <f>IF(Tabela3[[#This Row],[Idade]]&lt;21,1,0)</f>
        <v>1</v>
      </c>
      <c r="P22" s="5">
        <f>IF(Tabela3[[#This Row],[Idade]]&gt;20,1,0)</f>
        <v>0</v>
      </c>
      <c r="Q22" s="5">
        <f>IF(Tabela3[[#This Row],[Juniores]]=1,Tabela3[[#This Row],[B-day]],0)</f>
        <v>1999</v>
      </c>
    </row>
    <row r="23" spans="1:17" x14ac:dyDescent="0.25">
      <c r="A23">
        <v>2018</v>
      </c>
      <c r="B23">
        <v>14800764</v>
      </c>
      <c r="C23" t="s">
        <v>65</v>
      </c>
      <c r="D23" t="s">
        <v>1</v>
      </c>
      <c r="E23" t="s">
        <v>2</v>
      </c>
      <c r="F23">
        <v>1637</v>
      </c>
      <c r="G23">
        <v>0</v>
      </c>
      <c r="H23">
        <v>40</v>
      </c>
      <c r="I23">
        <v>1996</v>
      </c>
      <c r="K23" t="str">
        <f>LEFT(Tabela3[[#This Row],[Sex Tit  WTit OTit]],1)</f>
        <v>M</v>
      </c>
      <c r="L23">
        <f>IF(Tabela3[[#This Row],[Sexo]]="M",1,0)</f>
        <v>1</v>
      </c>
      <c r="M23">
        <f>IF(Tabela3[[#This Row],[Sexo]]="F",1,0)</f>
        <v>0</v>
      </c>
      <c r="N23" s="5">
        <f>2018-Tabela3[[#This Row],[B-day]]</f>
        <v>22</v>
      </c>
      <c r="O23" s="5">
        <f>IF(Tabela3[[#This Row],[Idade]]&lt;21,1,0)</f>
        <v>0</v>
      </c>
      <c r="P23" s="5">
        <f>IF(Tabela3[[#This Row],[Idade]]&gt;20,1,0)</f>
        <v>1</v>
      </c>
      <c r="Q23" s="5">
        <f>IF(Tabela3[[#This Row],[Juniores]]=1,Tabela3[[#This Row],[B-day]],0)</f>
        <v>0</v>
      </c>
    </row>
    <row r="24" spans="1:17" x14ac:dyDescent="0.25">
      <c r="A24">
        <v>2018</v>
      </c>
      <c r="B24">
        <v>14801019</v>
      </c>
      <c r="C24" t="s">
        <v>50</v>
      </c>
      <c r="D24" t="s">
        <v>1</v>
      </c>
      <c r="E24" t="s">
        <v>2</v>
      </c>
      <c r="F24">
        <v>1629</v>
      </c>
      <c r="G24">
        <v>0</v>
      </c>
      <c r="H24">
        <v>40</v>
      </c>
      <c r="I24">
        <v>2002</v>
      </c>
      <c r="K24" t="str">
        <f>LEFT(Tabela3[[#This Row],[Sex Tit  WTit OTit]],1)</f>
        <v>M</v>
      </c>
      <c r="L24">
        <f>IF(Tabela3[[#This Row],[Sexo]]="M",1,0)</f>
        <v>1</v>
      </c>
      <c r="M24">
        <f>IF(Tabela3[[#This Row],[Sexo]]="F",1,0)</f>
        <v>0</v>
      </c>
      <c r="N24" s="5">
        <f>2018-Tabela3[[#This Row],[B-day]]</f>
        <v>16</v>
      </c>
      <c r="O24" s="5">
        <f>IF(Tabela3[[#This Row],[Idade]]&lt;21,1,0)</f>
        <v>1</v>
      </c>
      <c r="P24" s="5">
        <f>IF(Tabela3[[#This Row],[Idade]]&gt;20,1,0)</f>
        <v>0</v>
      </c>
      <c r="Q24" s="5">
        <f>IF(Tabela3[[#This Row],[Juniores]]=1,Tabela3[[#This Row],[B-day]],0)</f>
        <v>2002</v>
      </c>
    </row>
    <row r="25" spans="1:17" x14ac:dyDescent="0.25">
      <c r="A25">
        <v>2018</v>
      </c>
      <c r="B25">
        <v>14801574</v>
      </c>
      <c r="C25" t="s">
        <v>43</v>
      </c>
      <c r="D25" t="s">
        <v>1</v>
      </c>
      <c r="E25" t="s">
        <v>2</v>
      </c>
      <c r="F25">
        <v>1612</v>
      </c>
      <c r="G25">
        <v>0</v>
      </c>
      <c r="H25">
        <v>40</v>
      </c>
      <c r="I25">
        <v>1992</v>
      </c>
      <c r="K25" t="str">
        <f>LEFT(Tabela3[[#This Row],[Sex Tit  WTit OTit]],1)</f>
        <v>M</v>
      </c>
      <c r="L25">
        <f>IF(Tabela3[[#This Row],[Sexo]]="M",1,0)</f>
        <v>1</v>
      </c>
      <c r="M25">
        <f>IF(Tabela3[[#This Row],[Sexo]]="F",1,0)</f>
        <v>0</v>
      </c>
      <c r="N25" s="5">
        <f>2018-Tabela3[[#This Row],[B-day]]</f>
        <v>26</v>
      </c>
      <c r="O25" s="5">
        <f>IF(Tabela3[[#This Row],[Idade]]&lt;21,1,0)</f>
        <v>0</v>
      </c>
      <c r="P25" s="5">
        <f>IF(Tabela3[[#This Row],[Idade]]&gt;20,1,0)</f>
        <v>1</v>
      </c>
      <c r="Q25" s="5">
        <f>IF(Tabela3[[#This Row],[Juniores]]=1,Tabela3[[#This Row],[B-day]],0)</f>
        <v>0</v>
      </c>
    </row>
    <row r="26" spans="1:17" x14ac:dyDescent="0.25">
      <c r="A26">
        <v>2018</v>
      </c>
      <c r="B26">
        <v>14800306</v>
      </c>
      <c r="C26" t="s">
        <v>20</v>
      </c>
      <c r="D26" t="s">
        <v>1</v>
      </c>
      <c r="E26" t="s">
        <v>21</v>
      </c>
      <c r="F26">
        <v>1587</v>
      </c>
      <c r="G26">
        <v>0</v>
      </c>
      <c r="H26">
        <v>40</v>
      </c>
      <c r="I26">
        <v>1997</v>
      </c>
      <c r="J26" t="s">
        <v>22</v>
      </c>
      <c r="K26" t="str">
        <f>LEFT(Tabela3[[#This Row],[Sex Tit  WTit OTit]],1)</f>
        <v>F</v>
      </c>
      <c r="L26">
        <f>IF(Tabela3[[#This Row],[Sexo]]="M",1,0)</f>
        <v>0</v>
      </c>
      <c r="M26">
        <f>IF(Tabela3[[#This Row],[Sexo]]="F",1,0)</f>
        <v>1</v>
      </c>
      <c r="N26" s="5">
        <f>2018-Tabela3[[#This Row],[B-day]]</f>
        <v>21</v>
      </c>
      <c r="O26" s="5">
        <f>IF(Tabela3[[#This Row],[Idade]]&lt;21,1,0)</f>
        <v>0</v>
      </c>
      <c r="P26" s="5">
        <f>IF(Tabela3[[#This Row],[Idade]]&gt;20,1,0)</f>
        <v>1</v>
      </c>
      <c r="Q26" s="5">
        <f>IF(Tabela3[[#This Row],[Juniores]]=1,Tabela3[[#This Row],[B-day]],0)</f>
        <v>0</v>
      </c>
    </row>
    <row r="27" spans="1:17" x14ac:dyDescent="0.25">
      <c r="A27">
        <v>2018</v>
      </c>
      <c r="B27">
        <v>14800780</v>
      </c>
      <c r="C27" t="s">
        <v>66</v>
      </c>
      <c r="D27" t="s">
        <v>1</v>
      </c>
      <c r="E27" t="s">
        <v>29</v>
      </c>
      <c r="F27">
        <v>1578</v>
      </c>
      <c r="G27">
        <v>0</v>
      </c>
      <c r="H27">
        <v>40</v>
      </c>
      <c r="I27">
        <v>1999</v>
      </c>
      <c r="J27" t="s">
        <v>17</v>
      </c>
      <c r="K27" t="str">
        <f>LEFT(Tabela3[[#This Row],[Sex Tit  WTit OTit]],1)</f>
        <v>F</v>
      </c>
      <c r="L27">
        <f>IF(Tabela3[[#This Row],[Sexo]]="M",1,0)</f>
        <v>0</v>
      </c>
      <c r="M27">
        <f>IF(Tabela3[[#This Row],[Sexo]]="F",1,0)</f>
        <v>1</v>
      </c>
      <c r="N27" s="5">
        <f>2018-Tabela3[[#This Row],[B-day]]</f>
        <v>19</v>
      </c>
      <c r="O27" s="5">
        <f>IF(Tabela3[[#This Row],[Idade]]&lt;21,1,0)</f>
        <v>1</v>
      </c>
      <c r="P27" s="5">
        <f>IF(Tabela3[[#This Row],[Idade]]&gt;20,1,0)</f>
        <v>0</v>
      </c>
      <c r="Q27" s="5">
        <f>IF(Tabela3[[#This Row],[Juniores]]=1,Tabela3[[#This Row],[B-day]],0)</f>
        <v>1999</v>
      </c>
    </row>
    <row r="28" spans="1:17" x14ac:dyDescent="0.25">
      <c r="A28">
        <v>2018</v>
      </c>
      <c r="B28">
        <v>14800730</v>
      </c>
      <c r="C28" t="s">
        <v>54</v>
      </c>
      <c r="D28" t="s">
        <v>1</v>
      </c>
      <c r="E28" t="s">
        <v>2</v>
      </c>
      <c r="F28">
        <v>1567</v>
      </c>
      <c r="G28">
        <v>0</v>
      </c>
      <c r="H28">
        <v>40</v>
      </c>
      <c r="I28">
        <v>2004</v>
      </c>
      <c r="K28" t="str">
        <f>LEFT(Tabela3[[#This Row],[Sex Tit  WTit OTit]],1)</f>
        <v>M</v>
      </c>
      <c r="L28">
        <f>IF(Tabela3[[#This Row],[Sexo]]="M",1,0)</f>
        <v>1</v>
      </c>
      <c r="M28">
        <f>IF(Tabela3[[#This Row],[Sexo]]="F",1,0)</f>
        <v>0</v>
      </c>
      <c r="N28" s="5">
        <f>2018-Tabela3[[#This Row],[B-day]]</f>
        <v>14</v>
      </c>
      <c r="O28" s="5">
        <f>IF(Tabela3[[#This Row],[Idade]]&lt;21,1,0)</f>
        <v>1</v>
      </c>
      <c r="P28" s="5">
        <f>IF(Tabela3[[#This Row],[Idade]]&gt;20,1,0)</f>
        <v>0</v>
      </c>
      <c r="Q28" s="5">
        <f>IF(Tabela3[[#This Row],[Juniores]]=1,Tabela3[[#This Row],[B-day]],0)</f>
        <v>2004</v>
      </c>
    </row>
    <row r="29" spans="1:17" x14ac:dyDescent="0.25">
      <c r="A29">
        <v>2018</v>
      </c>
      <c r="B29">
        <v>14800802</v>
      </c>
      <c r="C29" t="s">
        <v>41</v>
      </c>
      <c r="D29" t="s">
        <v>1</v>
      </c>
      <c r="E29" t="s">
        <v>2</v>
      </c>
      <c r="F29">
        <v>1564</v>
      </c>
      <c r="G29">
        <v>0</v>
      </c>
      <c r="H29">
        <v>40</v>
      </c>
      <c r="I29">
        <v>2001</v>
      </c>
      <c r="K29" t="str">
        <f>LEFT(Tabela3[[#This Row],[Sex Tit  WTit OTit]],1)</f>
        <v>M</v>
      </c>
      <c r="L29">
        <f>IF(Tabela3[[#This Row],[Sexo]]="M",1,0)</f>
        <v>1</v>
      </c>
      <c r="M29">
        <f>IF(Tabela3[[#This Row],[Sexo]]="F",1,0)</f>
        <v>0</v>
      </c>
      <c r="N29" s="5">
        <f>2018-Tabela3[[#This Row],[B-day]]</f>
        <v>17</v>
      </c>
      <c r="O29" s="5">
        <f>IF(Tabela3[[#This Row],[Idade]]&lt;21,1,0)</f>
        <v>1</v>
      </c>
      <c r="P29" s="5">
        <f>IF(Tabela3[[#This Row],[Idade]]&gt;20,1,0)</f>
        <v>0</v>
      </c>
      <c r="Q29" s="5">
        <f>IF(Tabela3[[#This Row],[Juniores]]=1,Tabela3[[#This Row],[B-day]],0)</f>
        <v>2001</v>
      </c>
    </row>
    <row r="30" spans="1:17" x14ac:dyDescent="0.25">
      <c r="A30">
        <v>2018</v>
      </c>
      <c r="B30">
        <v>14801663</v>
      </c>
      <c r="C30" t="s">
        <v>61</v>
      </c>
      <c r="D30" t="s">
        <v>1</v>
      </c>
      <c r="E30" t="s">
        <v>2</v>
      </c>
      <c r="F30">
        <v>1546</v>
      </c>
      <c r="G30">
        <v>0</v>
      </c>
      <c r="H30">
        <v>40</v>
      </c>
      <c r="I30">
        <v>1979</v>
      </c>
      <c r="K30" t="str">
        <f>LEFT(Tabela3[[#This Row],[Sex Tit  WTit OTit]],1)</f>
        <v>M</v>
      </c>
      <c r="L30">
        <f>IF(Tabela3[[#This Row],[Sexo]]="M",1,0)</f>
        <v>1</v>
      </c>
      <c r="M30">
        <f>IF(Tabela3[[#This Row],[Sexo]]="F",1,0)</f>
        <v>0</v>
      </c>
      <c r="N30" s="5">
        <f>2018-Tabela3[[#This Row],[B-day]]</f>
        <v>39</v>
      </c>
      <c r="O30" s="5">
        <f>IF(Tabela3[[#This Row],[Idade]]&lt;21,1,0)</f>
        <v>0</v>
      </c>
      <c r="P30" s="5">
        <f>IF(Tabela3[[#This Row],[Idade]]&gt;20,1,0)</f>
        <v>1</v>
      </c>
      <c r="Q30" s="5">
        <f>IF(Tabela3[[#This Row],[Juniores]]=1,Tabela3[[#This Row],[B-day]],0)</f>
        <v>0</v>
      </c>
    </row>
    <row r="31" spans="1:17" x14ac:dyDescent="0.25">
      <c r="A31">
        <v>2018</v>
      </c>
      <c r="B31">
        <v>14800101</v>
      </c>
      <c r="C31" t="s">
        <v>25</v>
      </c>
      <c r="D31" t="s">
        <v>1</v>
      </c>
      <c r="E31" t="s">
        <v>21</v>
      </c>
      <c r="F31">
        <v>1535</v>
      </c>
      <c r="G31">
        <v>0</v>
      </c>
      <c r="H31">
        <v>40</v>
      </c>
      <c r="I31">
        <v>1998</v>
      </c>
      <c r="J31" t="s">
        <v>22</v>
      </c>
      <c r="K31" t="str">
        <f>LEFT(Tabela3[[#This Row],[Sex Tit  WTit OTit]],1)</f>
        <v>F</v>
      </c>
      <c r="L31">
        <f>IF(Tabela3[[#This Row],[Sexo]]="M",1,0)</f>
        <v>0</v>
      </c>
      <c r="M31">
        <f>IF(Tabela3[[#This Row],[Sexo]]="F",1,0)</f>
        <v>1</v>
      </c>
      <c r="N31" s="5">
        <f>2018-Tabela3[[#This Row],[B-day]]</f>
        <v>20</v>
      </c>
      <c r="O31" s="5">
        <f>IF(Tabela3[[#This Row],[Idade]]&lt;21,1,0)</f>
        <v>1</v>
      </c>
      <c r="P31" s="5">
        <f>IF(Tabela3[[#This Row],[Idade]]&gt;20,1,0)</f>
        <v>0</v>
      </c>
      <c r="Q31" s="5">
        <f>IF(Tabela3[[#This Row],[Juniores]]=1,Tabela3[[#This Row],[B-day]],0)</f>
        <v>1998</v>
      </c>
    </row>
    <row r="32" spans="1:17" x14ac:dyDescent="0.25">
      <c r="A32">
        <v>2018</v>
      </c>
      <c r="B32">
        <v>14800128</v>
      </c>
      <c r="C32" t="s">
        <v>39</v>
      </c>
      <c r="D32" t="s">
        <v>1</v>
      </c>
      <c r="E32" t="s">
        <v>2</v>
      </c>
      <c r="F32">
        <v>1527</v>
      </c>
      <c r="G32">
        <v>0</v>
      </c>
      <c r="H32">
        <v>40</v>
      </c>
      <c r="I32">
        <v>0</v>
      </c>
      <c r="K32" t="str">
        <f>LEFT(Tabela3[[#This Row],[Sex Tit  WTit OTit]],1)</f>
        <v>M</v>
      </c>
      <c r="L32">
        <f>IF(Tabela3[[#This Row],[Sexo]]="M",1,0)</f>
        <v>1</v>
      </c>
      <c r="M32">
        <f>IF(Tabela3[[#This Row],[Sexo]]="F",1,0)</f>
        <v>0</v>
      </c>
      <c r="N32" s="5">
        <f>2018-Tabela3[[#This Row],[B-day]]</f>
        <v>2018</v>
      </c>
      <c r="O32" s="5">
        <f>IF(Tabela3[[#This Row],[Idade]]&lt;21,1,0)</f>
        <v>0</v>
      </c>
      <c r="P32" s="5">
        <f>IF(Tabela3[[#This Row],[Idade]]&gt;20,1,0)</f>
        <v>1</v>
      </c>
      <c r="Q32" s="5">
        <f>IF(Tabela3[[#This Row],[Juniores]]=1,Tabela3[[#This Row],[B-day]],0)</f>
        <v>0</v>
      </c>
    </row>
    <row r="33" spans="1:17" x14ac:dyDescent="0.25">
      <c r="A33">
        <v>2018</v>
      </c>
      <c r="B33">
        <v>14801310</v>
      </c>
      <c r="C33" t="s">
        <v>56</v>
      </c>
      <c r="D33" t="s">
        <v>1</v>
      </c>
      <c r="E33" t="s">
        <v>2</v>
      </c>
      <c r="F33">
        <v>1517</v>
      </c>
      <c r="G33">
        <v>0</v>
      </c>
      <c r="H33">
        <v>40</v>
      </c>
      <c r="I33">
        <v>1994</v>
      </c>
      <c r="K33" t="str">
        <f>LEFT(Tabela3[[#This Row],[Sex Tit  WTit OTit]],1)</f>
        <v>M</v>
      </c>
      <c r="L33">
        <f>IF(Tabela3[[#This Row],[Sexo]]="M",1,0)</f>
        <v>1</v>
      </c>
      <c r="M33">
        <f>IF(Tabela3[[#This Row],[Sexo]]="F",1,0)</f>
        <v>0</v>
      </c>
      <c r="N33" s="5">
        <f>2018-Tabela3[[#This Row],[B-day]]</f>
        <v>24</v>
      </c>
      <c r="O33" s="5">
        <f>IF(Tabela3[[#This Row],[Idade]]&lt;21,1,0)</f>
        <v>0</v>
      </c>
      <c r="P33" s="5">
        <f>IF(Tabela3[[#This Row],[Idade]]&gt;20,1,0)</f>
        <v>1</v>
      </c>
      <c r="Q33" s="5">
        <f>IF(Tabela3[[#This Row],[Juniores]]=1,Tabela3[[#This Row],[B-day]],0)</f>
        <v>0</v>
      </c>
    </row>
    <row r="34" spans="1:17" x14ac:dyDescent="0.25">
      <c r="A34">
        <v>2018</v>
      </c>
      <c r="B34">
        <v>14800152</v>
      </c>
      <c r="C34" t="s">
        <v>23</v>
      </c>
      <c r="D34" t="s">
        <v>1</v>
      </c>
      <c r="E34" t="s">
        <v>21</v>
      </c>
      <c r="F34">
        <v>1516</v>
      </c>
      <c r="G34">
        <v>0</v>
      </c>
      <c r="H34">
        <v>40</v>
      </c>
      <c r="I34">
        <v>1995</v>
      </c>
      <c r="J34" t="s">
        <v>17</v>
      </c>
      <c r="K34" t="str">
        <f>LEFT(Tabela3[[#This Row],[Sex Tit  WTit OTit]],1)</f>
        <v>F</v>
      </c>
      <c r="L34">
        <f>IF(Tabela3[[#This Row],[Sexo]]="M",1,0)</f>
        <v>0</v>
      </c>
      <c r="M34">
        <f>IF(Tabela3[[#This Row],[Sexo]]="F",1,0)</f>
        <v>1</v>
      </c>
      <c r="N34" s="5">
        <f>2018-Tabela3[[#This Row],[B-day]]</f>
        <v>23</v>
      </c>
      <c r="O34" s="5">
        <f>IF(Tabela3[[#This Row],[Idade]]&lt;21,1,0)</f>
        <v>0</v>
      </c>
      <c r="P34" s="5">
        <f>IF(Tabela3[[#This Row],[Idade]]&gt;20,1,0)</f>
        <v>1</v>
      </c>
      <c r="Q34" s="5">
        <f>IF(Tabela3[[#This Row],[Juniores]]=1,Tabela3[[#This Row],[B-day]],0)</f>
        <v>0</v>
      </c>
    </row>
    <row r="35" spans="1:17" x14ac:dyDescent="0.25">
      <c r="A35">
        <v>2018</v>
      </c>
      <c r="B35">
        <v>14801159</v>
      </c>
      <c r="C35" t="s">
        <v>57</v>
      </c>
      <c r="D35" t="s">
        <v>1</v>
      </c>
      <c r="E35" t="s">
        <v>2</v>
      </c>
      <c r="F35">
        <v>1504</v>
      </c>
      <c r="G35">
        <v>0</v>
      </c>
      <c r="H35">
        <v>40</v>
      </c>
      <c r="I35">
        <v>1956</v>
      </c>
      <c r="K35" t="str">
        <f>LEFT(Tabela3[[#This Row],[Sex Tit  WTit OTit]],1)</f>
        <v>M</v>
      </c>
      <c r="L35">
        <f>IF(Tabela3[[#This Row],[Sexo]]="M",1,0)</f>
        <v>1</v>
      </c>
      <c r="M35">
        <f>IF(Tabela3[[#This Row],[Sexo]]="F",1,0)</f>
        <v>0</v>
      </c>
      <c r="N35" s="5">
        <f>2018-Tabela3[[#This Row],[B-day]]</f>
        <v>62</v>
      </c>
      <c r="O35" s="5">
        <f>IF(Tabela3[[#This Row],[Idade]]&lt;21,1,0)</f>
        <v>0</v>
      </c>
      <c r="P35" s="5">
        <f>IF(Tabela3[[#This Row],[Idade]]&gt;20,1,0)</f>
        <v>1</v>
      </c>
      <c r="Q35" s="5">
        <f>IF(Tabela3[[#This Row],[Juniores]]=1,Tabela3[[#This Row],[B-day]],0)</f>
        <v>0</v>
      </c>
    </row>
    <row r="36" spans="1:17" x14ac:dyDescent="0.25">
      <c r="A36">
        <v>2018</v>
      </c>
      <c r="B36">
        <v>14801221</v>
      </c>
      <c r="C36" t="s">
        <v>52</v>
      </c>
      <c r="D36" t="s">
        <v>1</v>
      </c>
      <c r="E36" t="s">
        <v>2</v>
      </c>
      <c r="F36">
        <v>1495</v>
      </c>
      <c r="G36">
        <v>0</v>
      </c>
      <c r="H36">
        <v>40</v>
      </c>
      <c r="I36">
        <v>1999</v>
      </c>
      <c r="K36" t="str">
        <f>LEFT(Tabela3[[#This Row],[Sex Tit  WTit OTit]],1)</f>
        <v>M</v>
      </c>
      <c r="L36">
        <f>IF(Tabela3[[#This Row],[Sexo]]="M",1,0)</f>
        <v>1</v>
      </c>
      <c r="M36">
        <f>IF(Tabela3[[#This Row],[Sexo]]="F",1,0)</f>
        <v>0</v>
      </c>
      <c r="N36" s="5">
        <f>2018-Tabela3[[#This Row],[B-day]]</f>
        <v>19</v>
      </c>
      <c r="O36" s="5">
        <f>IF(Tabela3[[#This Row],[Idade]]&lt;21,1,0)</f>
        <v>1</v>
      </c>
      <c r="P36" s="5">
        <f>IF(Tabela3[[#This Row],[Idade]]&gt;20,1,0)</f>
        <v>0</v>
      </c>
      <c r="Q36" s="5">
        <f>IF(Tabela3[[#This Row],[Juniores]]=1,Tabela3[[#This Row],[B-day]],0)</f>
        <v>1999</v>
      </c>
    </row>
    <row r="37" spans="1:17" x14ac:dyDescent="0.25">
      <c r="A37">
        <v>2018</v>
      </c>
      <c r="B37">
        <v>14800454</v>
      </c>
      <c r="C37" t="s">
        <v>26</v>
      </c>
      <c r="D37" t="s">
        <v>1</v>
      </c>
      <c r="E37" t="s">
        <v>21</v>
      </c>
      <c r="F37">
        <v>1492</v>
      </c>
      <c r="G37">
        <v>0</v>
      </c>
      <c r="H37">
        <v>40</v>
      </c>
      <c r="I37">
        <v>1999</v>
      </c>
      <c r="J37" t="s">
        <v>17</v>
      </c>
      <c r="K37" t="str">
        <f>LEFT(Tabela3[[#This Row],[Sex Tit  WTit OTit]],1)</f>
        <v>F</v>
      </c>
      <c r="L37">
        <f>IF(Tabela3[[#This Row],[Sexo]]="M",1,0)</f>
        <v>0</v>
      </c>
      <c r="M37">
        <f>IF(Tabela3[[#This Row],[Sexo]]="F",1,0)</f>
        <v>1</v>
      </c>
      <c r="N37" s="5">
        <f>2018-Tabela3[[#This Row],[B-day]]</f>
        <v>19</v>
      </c>
      <c r="O37" s="5">
        <f>IF(Tabela3[[#This Row],[Idade]]&lt;21,1,0)</f>
        <v>1</v>
      </c>
      <c r="P37" s="5">
        <f>IF(Tabela3[[#This Row],[Idade]]&gt;20,1,0)</f>
        <v>0</v>
      </c>
      <c r="Q37" s="5">
        <f>IF(Tabela3[[#This Row],[Juniores]]=1,Tabela3[[#This Row],[B-day]],0)</f>
        <v>1999</v>
      </c>
    </row>
    <row r="38" spans="1:17" x14ac:dyDescent="0.25">
      <c r="A38">
        <v>2018</v>
      </c>
      <c r="B38">
        <v>14801345</v>
      </c>
      <c r="C38" t="s">
        <v>64</v>
      </c>
      <c r="D38" t="s">
        <v>1</v>
      </c>
      <c r="E38" t="s">
        <v>2</v>
      </c>
      <c r="F38">
        <v>1481</v>
      </c>
      <c r="G38">
        <v>0</v>
      </c>
      <c r="H38">
        <v>40</v>
      </c>
      <c r="I38">
        <v>1997</v>
      </c>
      <c r="K38" t="str">
        <f>LEFT(Tabela3[[#This Row],[Sex Tit  WTit OTit]],1)</f>
        <v>M</v>
      </c>
      <c r="L38">
        <f>IF(Tabela3[[#This Row],[Sexo]]="M",1,0)</f>
        <v>1</v>
      </c>
      <c r="M38">
        <f>IF(Tabela3[[#This Row],[Sexo]]="F",1,0)</f>
        <v>0</v>
      </c>
      <c r="N38" s="5">
        <f>2018-Tabela3[[#This Row],[B-day]]</f>
        <v>21</v>
      </c>
      <c r="O38" s="5">
        <f>IF(Tabela3[[#This Row],[Idade]]&lt;21,1,0)</f>
        <v>0</v>
      </c>
      <c r="P38" s="5">
        <f>IF(Tabela3[[#This Row],[Idade]]&gt;20,1,0)</f>
        <v>1</v>
      </c>
      <c r="Q38" s="5">
        <f>IF(Tabela3[[#This Row],[Juniores]]=1,Tabela3[[#This Row],[B-day]],0)</f>
        <v>0</v>
      </c>
    </row>
    <row r="39" spans="1:17" x14ac:dyDescent="0.25">
      <c r="A39">
        <v>2018</v>
      </c>
      <c r="B39">
        <v>14800250</v>
      </c>
      <c r="C39" t="s">
        <v>28</v>
      </c>
      <c r="D39" t="s">
        <v>1</v>
      </c>
      <c r="E39" t="s">
        <v>29</v>
      </c>
      <c r="F39">
        <v>1479</v>
      </c>
      <c r="G39">
        <v>0</v>
      </c>
      <c r="H39">
        <v>20</v>
      </c>
      <c r="I39">
        <v>1995</v>
      </c>
      <c r="J39" t="s">
        <v>17</v>
      </c>
      <c r="K39" t="str">
        <f>LEFT(Tabela3[[#This Row],[Sex Tit  WTit OTit]],1)</f>
        <v>F</v>
      </c>
      <c r="L39">
        <f>IF(Tabela3[[#This Row],[Sexo]]="M",1,0)</f>
        <v>0</v>
      </c>
      <c r="M39">
        <f>IF(Tabela3[[#This Row],[Sexo]]="F",1,0)</f>
        <v>1</v>
      </c>
      <c r="N39" s="5">
        <f>2018-Tabela3[[#This Row],[B-day]]</f>
        <v>23</v>
      </c>
      <c r="O39" s="5">
        <f>IF(Tabela3[[#This Row],[Idade]]&lt;21,1,0)</f>
        <v>0</v>
      </c>
      <c r="P39" s="5">
        <f>IF(Tabela3[[#This Row],[Idade]]&gt;20,1,0)</f>
        <v>1</v>
      </c>
      <c r="Q39" s="5">
        <f>IF(Tabela3[[#This Row],[Juniores]]=1,Tabela3[[#This Row],[B-day]],0)</f>
        <v>0</v>
      </c>
    </row>
    <row r="40" spans="1:17" x14ac:dyDescent="0.25">
      <c r="A40">
        <v>2018</v>
      </c>
      <c r="B40">
        <v>14800187</v>
      </c>
      <c r="C40" t="s">
        <v>27</v>
      </c>
      <c r="D40" t="s">
        <v>1</v>
      </c>
      <c r="E40" t="s">
        <v>21</v>
      </c>
      <c r="F40">
        <v>1472</v>
      </c>
      <c r="G40">
        <v>0</v>
      </c>
      <c r="H40">
        <v>40</v>
      </c>
      <c r="I40">
        <v>1994</v>
      </c>
      <c r="J40" t="s">
        <v>22</v>
      </c>
      <c r="K40" t="str">
        <f>LEFT(Tabela3[[#This Row],[Sex Tit  WTit OTit]],1)</f>
        <v>F</v>
      </c>
      <c r="L40">
        <f>IF(Tabela3[[#This Row],[Sexo]]="M",1,0)</f>
        <v>0</v>
      </c>
      <c r="M40">
        <f>IF(Tabela3[[#This Row],[Sexo]]="F",1,0)</f>
        <v>1</v>
      </c>
      <c r="N40" s="5">
        <f>2018-Tabela3[[#This Row],[B-day]]</f>
        <v>24</v>
      </c>
      <c r="O40" s="5">
        <f>IF(Tabela3[[#This Row],[Idade]]&lt;21,1,0)</f>
        <v>0</v>
      </c>
      <c r="P40" s="5">
        <f>IF(Tabela3[[#This Row],[Idade]]&gt;20,1,0)</f>
        <v>1</v>
      </c>
      <c r="Q40" s="5">
        <f>IF(Tabela3[[#This Row],[Juniores]]=1,Tabela3[[#This Row],[B-day]],0)</f>
        <v>0</v>
      </c>
    </row>
    <row r="41" spans="1:17" x14ac:dyDescent="0.25">
      <c r="A41">
        <v>2018</v>
      </c>
      <c r="B41">
        <v>14800292</v>
      </c>
      <c r="C41" t="s">
        <v>32</v>
      </c>
      <c r="D41" t="s">
        <v>1</v>
      </c>
      <c r="E41" t="s">
        <v>29</v>
      </c>
      <c r="F41">
        <v>1436</v>
      </c>
      <c r="G41">
        <v>0</v>
      </c>
      <c r="H41">
        <v>20</v>
      </c>
      <c r="I41">
        <v>1998</v>
      </c>
      <c r="J41" t="s">
        <v>17</v>
      </c>
      <c r="K41" t="str">
        <f>LEFT(Tabela3[[#This Row],[Sex Tit  WTit OTit]],1)</f>
        <v>F</v>
      </c>
      <c r="L41">
        <f>IF(Tabela3[[#This Row],[Sexo]]="M",1,0)</f>
        <v>0</v>
      </c>
      <c r="M41">
        <f>IF(Tabela3[[#This Row],[Sexo]]="F",1,0)</f>
        <v>1</v>
      </c>
      <c r="N41" s="5">
        <f>2018-Tabela3[[#This Row],[B-day]]</f>
        <v>20</v>
      </c>
      <c r="O41" s="5">
        <f>IF(Tabela3[[#This Row],[Idade]]&lt;21,1,0)</f>
        <v>1</v>
      </c>
      <c r="P41" s="5">
        <f>IF(Tabela3[[#This Row],[Idade]]&gt;20,1,0)</f>
        <v>0</v>
      </c>
      <c r="Q41" s="5">
        <f>IF(Tabela3[[#This Row],[Juniores]]=1,Tabela3[[#This Row],[B-day]],0)</f>
        <v>1998</v>
      </c>
    </row>
    <row r="42" spans="1:17" x14ac:dyDescent="0.25">
      <c r="A42">
        <v>2018</v>
      </c>
      <c r="B42">
        <v>14800209</v>
      </c>
      <c r="C42" t="s">
        <v>30</v>
      </c>
      <c r="D42" t="s">
        <v>1</v>
      </c>
      <c r="E42" t="s">
        <v>21</v>
      </c>
      <c r="F42">
        <v>1402</v>
      </c>
      <c r="G42">
        <v>0</v>
      </c>
      <c r="H42">
        <v>40</v>
      </c>
      <c r="I42">
        <v>0</v>
      </c>
      <c r="J42" t="s">
        <v>17</v>
      </c>
      <c r="K42" t="str">
        <f>LEFT(Tabela3[[#This Row],[Sex Tit  WTit OTit]],1)</f>
        <v>F</v>
      </c>
      <c r="L42">
        <f>IF(Tabela3[[#This Row],[Sexo]]="M",1,0)</f>
        <v>0</v>
      </c>
      <c r="M42">
        <f>IF(Tabela3[[#This Row],[Sexo]]="F",1,0)</f>
        <v>1</v>
      </c>
      <c r="N42" s="5">
        <f>2018-Tabela3[[#This Row],[B-day]]</f>
        <v>2018</v>
      </c>
      <c r="O42" s="5">
        <f>IF(Tabela3[[#This Row],[Idade]]&lt;21,1,0)</f>
        <v>0</v>
      </c>
      <c r="P42" s="5">
        <f>IF(Tabela3[[#This Row],[Idade]]&gt;20,1,0)</f>
        <v>1</v>
      </c>
      <c r="Q42" s="5">
        <f>IF(Tabela3[[#This Row],[Juniores]]=1,Tabela3[[#This Row],[B-day]],0)</f>
        <v>0</v>
      </c>
    </row>
    <row r="43" spans="1:17" x14ac:dyDescent="0.25">
      <c r="A43">
        <v>2018</v>
      </c>
      <c r="B43">
        <v>14800462</v>
      </c>
      <c r="C43" t="s">
        <v>31</v>
      </c>
      <c r="D43" t="s">
        <v>1</v>
      </c>
      <c r="E43" t="s">
        <v>21</v>
      </c>
      <c r="F43">
        <v>1390</v>
      </c>
      <c r="G43">
        <v>0</v>
      </c>
      <c r="H43">
        <v>40</v>
      </c>
      <c r="I43">
        <v>1991</v>
      </c>
      <c r="J43" t="s">
        <v>22</v>
      </c>
      <c r="K43" t="str">
        <f>LEFT(Tabela3[[#This Row],[Sex Tit  WTit OTit]],1)</f>
        <v>F</v>
      </c>
      <c r="L43">
        <f>IF(Tabela3[[#This Row],[Sexo]]="M",1,0)</f>
        <v>0</v>
      </c>
      <c r="M43">
        <f>IF(Tabela3[[#This Row],[Sexo]]="F",1,0)</f>
        <v>1</v>
      </c>
      <c r="N43" s="5">
        <f>2018-Tabela3[[#This Row],[B-day]]</f>
        <v>27</v>
      </c>
      <c r="O43" s="5">
        <f>IF(Tabela3[[#This Row],[Idade]]&lt;21,1,0)</f>
        <v>0</v>
      </c>
      <c r="P43" s="5">
        <f>IF(Tabela3[[#This Row],[Idade]]&gt;20,1,0)</f>
        <v>1</v>
      </c>
      <c r="Q43" s="5">
        <f>IF(Tabela3[[#This Row],[Juniores]]=1,Tabela3[[#This Row],[B-day]],0)</f>
        <v>0</v>
      </c>
    </row>
    <row r="44" spans="1:17" x14ac:dyDescent="0.25">
      <c r="A44">
        <v>2018</v>
      </c>
      <c r="B44">
        <v>14801280</v>
      </c>
      <c r="C44" t="s">
        <v>53</v>
      </c>
      <c r="D44" t="s">
        <v>1</v>
      </c>
      <c r="E44" t="s">
        <v>21</v>
      </c>
      <c r="F44">
        <v>1383</v>
      </c>
      <c r="G44">
        <v>0</v>
      </c>
      <c r="H44">
        <v>40</v>
      </c>
      <c r="I44">
        <v>1996</v>
      </c>
      <c r="J44" t="s">
        <v>17</v>
      </c>
      <c r="K44" t="str">
        <f>LEFT(Tabela3[[#This Row],[Sex Tit  WTit OTit]],1)</f>
        <v>F</v>
      </c>
      <c r="L44">
        <f>IF(Tabela3[[#This Row],[Sexo]]="M",1,0)</f>
        <v>0</v>
      </c>
      <c r="M44">
        <f>IF(Tabela3[[#This Row],[Sexo]]="F",1,0)</f>
        <v>1</v>
      </c>
      <c r="N44" s="5">
        <f>2018-Tabela3[[#This Row],[B-day]]</f>
        <v>22</v>
      </c>
      <c r="O44" s="5">
        <f>IF(Tabela3[[#This Row],[Idade]]&lt;21,1,0)</f>
        <v>0</v>
      </c>
      <c r="P44" s="5">
        <f>IF(Tabela3[[#This Row],[Idade]]&gt;20,1,0)</f>
        <v>1</v>
      </c>
      <c r="Q44" s="5">
        <f>IF(Tabela3[[#This Row],[Juniores]]=1,Tabela3[[#This Row],[B-day]],0)</f>
        <v>0</v>
      </c>
    </row>
    <row r="45" spans="1:17" x14ac:dyDescent="0.25">
      <c r="A45">
        <v>2018</v>
      </c>
      <c r="B45">
        <v>14801523</v>
      </c>
      <c r="C45" t="s">
        <v>69</v>
      </c>
      <c r="D45" t="s">
        <v>1</v>
      </c>
      <c r="E45" t="s">
        <v>2</v>
      </c>
      <c r="F45">
        <v>1382</v>
      </c>
      <c r="G45">
        <v>0</v>
      </c>
      <c r="H45">
        <v>40</v>
      </c>
      <c r="I45">
        <v>1995</v>
      </c>
      <c r="K45" t="str">
        <f>LEFT(Tabela3[[#This Row],[Sex Tit  WTit OTit]],1)</f>
        <v>M</v>
      </c>
      <c r="L45">
        <f>IF(Tabela3[[#This Row],[Sexo]]="M",1,0)</f>
        <v>1</v>
      </c>
      <c r="M45">
        <f>IF(Tabela3[[#This Row],[Sexo]]="F",1,0)</f>
        <v>0</v>
      </c>
      <c r="N45" s="5">
        <f>2018-Tabela3[[#This Row],[B-day]]</f>
        <v>23</v>
      </c>
      <c r="O45" s="5">
        <f>IF(Tabela3[[#This Row],[Idade]]&lt;21,1,0)</f>
        <v>0</v>
      </c>
      <c r="P45" s="5">
        <f>IF(Tabela3[[#This Row],[Idade]]&gt;20,1,0)</f>
        <v>1</v>
      </c>
      <c r="Q45" s="5">
        <f>IF(Tabela3[[#This Row],[Juniores]]=1,Tabela3[[#This Row],[B-day]],0)</f>
        <v>0</v>
      </c>
    </row>
    <row r="46" spans="1:17" x14ac:dyDescent="0.25">
      <c r="A46">
        <v>2018</v>
      </c>
      <c r="B46">
        <v>14800659</v>
      </c>
      <c r="C46" t="s">
        <v>47</v>
      </c>
      <c r="D46" t="s">
        <v>1</v>
      </c>
      <c r="E46" t="s">
        <v>21</v>
      </c>
      <c r="F46">
        <v>1376</v>
      </c>
      <c r="G46">
        <v>0</v>
      </c>
      <c r="H46">
        <v>40</v>
      </c>
      <c r="I46">
        <v>2002</v>
      </c>
      <c r="J46" t="s">
        <v>17</v>
      </c>
      <c r="K46" t="str">
        <f>LEFT(Tabela3[[#This Row],[Sex Tit  WTit OTit]],1)</f>
        <v>F</v>
      </c>
      <c r="L46">
        <f>IF(Tabela3[[#This Row],[Sexo]]="M",1,0)</f>
        <v>0</v>
      </c>
      <c r="M46">
        <f>IF(Tabela3[[#This Row],[Sexo]]="F",1,0)</f>
        <v>1</v>
      </c>
      <c r="N46" s="5">
        <f>2018-Tabela3[[#This Row],[B-day]]</f>
        <v>16</v>
      </c>
      <c r="O46" s="5">
        <f>IF(Tabela3[[#This Row],[Idade]]&lt;21,1,0)</f>
        <v>1</v>
      </c>
      <c r="P46" s="5">
        <f>IF(Tabela3[[#This Row],[Idade]]&gt;20,1,0)</f>
        <v>0</v>
      </c>
      <c r="Q46" s="5">
        <f>IF(Tabela3[[#This Row],[Juniores]]=1,Tabela3[[#This Row],[B-day]],0)</f>
        <v>2002</v>
      </c>
    </row>
    <row r="47" spans="1:17" x14ac:dyDescent="0.25">
      <c r="A47">
        <v>2018</v>
      </c>
      <c r="B47">
        <v>14801582</v>
      </c>
      <c r="C47" t="s">
        <v>45</v>
      </c>
      <c r="D47" t="s">
        <v>1</v>
      </c>
      <c r="E47" t="s">
        <v>21</v>
      </c>
      <c r="F47">
        <v>1375</v>
      </c>
      <c r="G47">
        <v>0</v>
      </c>
      <c r="H47">
        <v>40</v>
      </c>
      <c r="I47">
        <v>2000</v>
      </c>
      <c r="J47" t="s">
        <v>17</v>
      </c>
      <c r="K47" t="str">
        <f>LEFT(Tabela3[[#This Row],[Sex Tit  WTit OTit]],1)</f>
        <v>F</v>
      </c>
      <c r="L47">
        <f>IF(Tabela3[[#This Row],[Sexo]]="M",1,0)</f>
        <v>0</v>
      </c>
      <c r="M47">
        <f>IF(Tabela3[[#This Row],[Sexo]]="F",1,0)</f>
        <v>1</v>
      </c>
      <c r="N47" s="5">
        <f>2018-Tabela3[[#This Row],[B-day]]</f>
        <v>18</v>
      </c>
      <c r="O47" s="5">
        <f>IF(Tabela3[[#This Row],[Idade]]&lt;21,1,0)</f>
        <v>1</v>
      </c>
      <c r="P47" s="5">
        <f>IF(Tabela3[[#This Row],[Idade]]&gt;20,1,0)</f>
        <v>0</v>
      </c>
      <c r="Q47" s="5">
        <f>IF(Tabela3[[#This Row],[Juniores]]=1,Tabela3[[#This Row],[B-day]],0)</f>
        <v>2000</v>
      </c>
    </row>
    <row r="48" spans="1:17" x14ac:dyDescent="0.25">
      <c r="A48">
        <v>2018</v>
      </c>
      <c r="B48">
        <v>14800470</v>
      </c>
      <c r="C48" t="s">
        <v>67</v>
      </c>
      <c r="D48" t="s">
        <v>1</v>
      </c>
      <c r="E48" t="s">
        <v>21</v>
      </c>
      <c r="F48">
        <v>1369</v>
      </c>
      <c r="G48">
        <v>0</v>
      </c>
      <c r="H48">
        <v>20</v>
      </c>
      <c r="I48">
        <v>1996</v>
      </c>
      <c r="J48" t="s">
        <v>17</v>
      </c>
      <c r="K48" t="str">
        <f>LEFT(Tabela3[[#This Row],[Sex Tit  WTit OTit]],1)</f>
        <v>F</v>
      </c>
      <c r="L48">
        <f>IF(Tabela3[[#This Row],[Sexo]]="M",1,0)</f>
        <v>0</v>
      </c>
      <c r="M48">
        <f>IF(Tabela3[[#This Row],[Sexo]]="F",1,0)</f>
        <v>1</v>
      </c>
      <c r="N48" s="5">
        <f>2018-Tabela3[[#This Row],[B-day]]</f>
        <v>22</v>
      </c>
      <c r="O48" s="5">
        <f>IF(Tabela3[[#This Row],[Idade]]&lt;21,1,0)</f>
        <v>0</v>
      </c>
      <c r="P48" s="5">
        <f>IF(Tabela3[[#This Row],[Idade]]&gt;20,1,0)</f>
        <v>1</v>
      </c>
      <c r="Q48" s="5">
        <f>IF(Tabela3[[#This Row],[Juniores]]=1,Tabela3[[#This Row],[B-day]],0)</f>
        <v>0</v>
      </c>
    </row>
    <row r="49" spans="1:17" x14ac:dyDescent="0.25">
      <c r="A49">
        <v>2018</v>
      </c>
      <c r="B49">
        <v>14801043</v>
      </c>
      <c r="C49" t="s">
        <v>51</v>
      </c>
      <c r="D49" t="s">
        <v>1</v>
      </c>
      <c r="E49" t="s">
        <v>21</v>
      </c>
      <c r="F49">
        <v>1355</v>
      </c>
      <c r="G49">
        <v>0</v>
      </c>
      <c r="H49">
        <v>40</v>
      </c>
      <c r="I49">
        <v>2002</v>
      </c>
      <c r="J49" t="s">
        <v>17</v>
      </c>
      <c r="K49" t="str">
        <f>LEFT(Tabela3[[#This Row],[Sex Tit  WTit OTit]],1)</f>
        <v>F</v>
      </c>
      <c r="L49">
        <f>IF(Tabela3[[#This Row],[Sexo]]="M",1,0)</f>
        <v>0</v>
      </c>
      <c r="M49">
        <f>IF(Tabela3[[#This Row],[Sexo]]="F",1,0)</f>
        <v>1</v>
      </c>
      <c r="N49" s="5">
        <f>2018-Tabela3[[#This Row],[B-day]]</f>
        <v>16</v>
      </c>
      <c r="O49" s="5">
        <f>IF(Tabela3[[#This Row],[Idade]]&lt;21,1,0)</f>
        <v>1</v>
      </c>
      <c r="P49" s="5">
        <f>IF(Tabela3[[#This Row],[Idade]]&gt;20,1,0)</f>
        <v>0</v>
      </c>
      <c r="Q49" s="5">
        <f>IF(Tabela3[[#This Row],[Juniores]]=1,Tabela3[[#This Row],[B-day]],0)</f>
        <v>2002</v>
      </c>
    </row>
    <row r="50" spans="1:17" x14ac:dyDescent="0.25">
      <c r="A50">
        <v>2018</v>
      </c>
      <c r="B50">
        <v>14800632</v>
      </c>
      <c r="C50" t="s">
        <v>38</v>
      </c>
      <c r="D50" t="s">
        <v>1</v>
      </c>
      <c r="E50" t="s">
        <v>2</v>
      </c>
      <c r="F50">
        <v>1270</v>
      </c>
      <c r="G50">
        <v>0</v>
      </c>
      <c r="H50">
        <v>40</v>
      </c>
      <c r="I50">
        <v>2002</v>
      </c>
      <c r="K50" t="str">
        <f>LEFT(Tabela3[[#This Row],[Sex Tit  WTit OTit]],1)</f>
        <v>M</v>
      </c>
      <c r="L50">
        <f>IF(Tabela3[[#This Row],[Sexo]]="M",1,0)</f>
        <v>1</v>
      </c>
      <c r="M50">
        <f>IF(Tabela3[[#This Row],[Sexo]]="F",1,0)</f>
        <v>0</v>
      </c>
      <c r="N50" s="5">
        <f>2018-Tabela3[[#This Row],[B-day]]</f>
        <v>16</v>
      </c>
      <c r="O50" s="5">
        <f>IF(Tabela3[[#This Row],[Idade]]&lt;21,1,0)</f>
        <v>1</v>
      </c>
      <c r="P50" s="5">
        <f>IF(Tabela3[[#This Row],[Idade]]&gt;20,1,0)</f>
        <v>0</v>
      </c>
      <c r="Q50" s="5">
        <f>IF(Tabela3[[#This Row],[Juniores]]=1,Tabela3[[#This Row],[B-day]],0)</f>
        <v>2002</v>
      </c>
    </row>
    <row r="51" spans="1:17" x14ac:dyDescent="0.25">
      <c r="A51">
        <v>2018</v>
      </c>
      <c r="B51">
        <v>14800675</v>
      </c>
      <c r="C51" t="s">
        <v>33</v>
      </c>
      <c r="D51" t="s">
        <v>1</v>
      </c>
      <c r="E51" t="s">
        <v>21</v>
      </c>
      <c r="F51">
        <v>1258</v>
      </c>
      <c r="G51">
        <v>0</v>
      </c>
      <c r="H51">
        <v>40</v>
      </c>
      <c r="I51">
        <v>2000</v>
      </c>
      <c r="J51" t="s">
        <v>17</v>
      </c>
      <c r="K51" t="str">
        <f>LEFT(Tabela3[[#This Row],[Sex Tit  WTit OTit]],1)</f>
        <v>F</v>
      </c>
      <c r="L51">
        <f>IF(Tabela3[[#This Row],[Sexo]]="M",1,0)</f>
        <v>0</v>
      </c>
      <c r="M51">
        <f>IF(Tabela3[[#This Row],[Sexo]]="F",1,0)</f>
        <v>1</v>
      </c>
      <c r="N51" s="5">
        <f>2018-Tabela3[[#This Row],[B-day]]</f>
        <v>18</v>
      </c>
      <c r="O51" s="5">
        <f>IF(Tabela3[[#This Row],[Idade]]&lt;21,1,0)</f>
        <v>1</v>
      </c>
      <c r="P51" s="5">
        <f>IF(Tabela3[[#This Row],[Idade]]&gt;20,1,0)</f>
        <v>0</v>
      </c>
      <c r="Q51" s="5">
        <f>IF(Tabela3[[#This Row],[Juniores]]=1,Tabela3[[#This Row],[B-day]],0)</f>
        <v>2000</v>
      </c>
    </row>
    <row r="52" spans="1:17" x14ac:dyDescent="0.25">
      <c r="A52">
        <v>2018</v>
      </c>
      <c r="B52">
        <v>14800373</v>
      </c>
      <c r="C52" t="s">
        <v>36</v>
      </c>
      <c r="D52" t="s">
        <v>1</v>
      </c>
      <c r="E52" t="s">
        <v>2</v>
      </c>
      <c r="F52">
        <v>1198</v>
      </c>
      <c r="G52">
        <v>0</v>
      </c>
      <c r="H52">
        <v>40</v>
      </c>
      <c r="I52">
        <v>2005</v>
      </c>
      <c r="K52" t="str">
        <f>LEFT(Tabela3[[#This Row],[Sex Tit  WTit OTit]],1)</f>
        <v>M</v>
      </c>
      <c r="L52">
        <f>IF(Tabela3[[#This Row],[Sexo]]="M",1,0)</f>
        <v>1</v>
      </c>
      <c r="M52">
        <f>IF(Tabela3[[#This Row],[Sexo]]="F",1,0)</f>
        <v>0</v>
      </c>
      <c r="N52" s="5">
        <f>2018-Tabela3[[#This Row],[B-day]]</f>
        <v>13</v>
      </c>
      <c r="O52" s="5">
        <f>IF(Tabela3[[#This Row],[Idade]]&lt;21,1,0)</f>
        <v>1</v>
      </c>
      <c r="P52" s="5">
        <f>IF(Tabela3[[#This Row],[Idade]]&gt;20,1,0)</f>
        <v>0</v>
      </c>
      <c r="Q52" s="5">
        <f>IF(Tabela3[[#This Row],[Juniores]]=1,Tabela3[[#This Row],[B-day]],0)</f>
        <v>2005</v>
      </c>
    </row>
    <row r="53" spans="1:17" x14ac:dyDescent="0.25">
      <c r="A53">
        <v>2018</v>
      </c>
      <c r="B53">
        <v>14801000</v>
      </c>
      <c r="C53" t="s">
        <v>55</v>
      </c>
      <c r="D53" t="s">
        <v>1</v>
      </c>
      <c r="E53" t="s">
        <v>21</v>
      </c>
      <c r="F53">
        <v>1161</v>
      </c>
      <c r="G53">
        <v>0</v>
      </c>
      <c r="H53">
        <v>40</v>
      </c>
      <c r="I53">
        <v>2005</v>
      </c>
      <c r="J53" t="s">
        <v>17</v>
      </c>
      <c r="K53" t="str">
        <f>LEFT(Tabela3[[#This Row],[Sex Tit  WTit OTit]],1)</f>
        <v>F</v>
      </c>
      <c r="L53">
        <f>IF(Tabela3[[#This Row],[Sexo]]="M",1,0)</f>
        <v>0</v>
      </c>
      <c r="M53">
        <f>IF(Tabela3[[#This Row],[Sexo]]="F",1,0)</f>
        <v>1</v>
      </c>
      <c r="N53" s="5">
        <f>2018-Tabela3[[#This Row],[B-day]]</f>
        <v>13</v>
      </c>
      <c r="O53" s="5">
        <f>IF(Tabela3[[#This Row],[Idade]]&lt;21,1,0)</f>
        <v>1</v>
      </c>
      <c r="P53" s="5">
        <f>IF(Tabela3[[#This Row],[Idade]]&gt;20,1,0)</f>
        <v>0</v>
      </c>
      <c r="Q53" s="5">
        <f>IF(Tabela3[[#This Row],[Juniores]]=1,Tabela3[[#This Row],[B-day]],0)</f>
        <v>2005</v>
      </c>
    </row>
    <row r="54" spans="1:17" x14ac:dyDescent="0.25">
      <c r="A54">
        <v>2018</v>
      </c>
      <c r="B54">
        <v>14800608</v>
      </c>
      <c r="C54" t="s">
        <v>34</v>
      </c>
      <c r="D54" t="s">
        <v>1</v>
      </c>
      <c r="E54" t="s">
        <v>21</v>
      </c>
      <c r="F54">
        <v>1152</v>
      </c>
      <c r="G54">
        <v>0</v>
      </c>
      <c r="H54">
        <v>40</v>
      </c>
      <c r="I54">
        <v>2001</v>
      </c>
      <c r="J54" t="s">
        <v>22</v>
      </c>
      <c r="K54" t="str">
        <f>LEFT(Tabela3[[#This Row],[Sex Tit  WTit OTit]],1)</f>
        <v>F</v>
      </c>
      <c r="L54">
        <f>IF(Tabela3[[#This Row],[Sexo]]="M",1,0)</f>
        <v>0</v>
      </c>
      <c r="M54">
        <f>IF(Tabela3[[#This Row],[Sexo]]="F",1,0)</f>
        <v>1</v>
      </c>
      <c r="N54" s="5">
        <f>2018-Tabela3[[#This Row],[B-day]]</f>
        <v>17</v>
      </c>
      <c r="O54" s="5">
        <f>IF(Tabela3[[#This Row],[Idade]]&lt;21,1,0)</f>
        <v>1</v>
      </c>
      <c r="P54" s="5">
        <f>IF(Tabela3[[#This Row],[Idade]]&gt;20,1,0)</f>
        <v>0</v>
      </c>
      <c r="Q54" s="5">
        <f>IF(Tabela3[[#This Row],[Juniores]]=1,Tabela3[[#This Row],[B-day]],0)</f>
        <v>2001</v>
      </c>
    </row>
    <row r="55" spans="1:17" x14ac:dyDescent="0.25">
      <c r="A55">
        <v>2018</v>
      </c>
      <c r="B55">
        <v>14801078</v>
      </c>
      <c r="C55" t="s">
        <v>46</v>
      </c>
      <c r="D55" t="s">
        <v>1</v>
      </c>
      <c r="E55" t="s">
        <v>21</v>
      </c>
      <c r="F55">
        <v>1147</v>
      </c>
      <c r="G55">
        <v>0</v>
      </c>
      <c r="H55">
        <v>40</v>
      </c>
      <c r="I55">
        <v>2003</v>
      </c>
      <c r="J55" t="s">
        <v>17</v>
      </c>
      <c r="K55" t="str">
        <f>LEFT(Tabela3[[#This Row],[Sex Tit  WTit OTit]],1)</f>
        <v>F</v>
      </c>
      <c r="L55">
        <f>IF(Tabela3[[#This Row],[Sexo]]="M",1,0)</f>
        <v>0</v>
      </c>
      <c r="M55">
        <f>IF(Tabela3[[#This Row],[Sexo]]="F",1,0)</f>
        <v>1</v>
      </c>
      <c r="N55" s="5">
        <f>2018-Tabela3[[#This Row],[B-day]]</f>
        <v>15</v>
      </c>
      <c r="O55" s="5">
        <f>IF(Tabela3[[#This Row],[Idade]]&lt;21,1,0)</f>
        <v>1</v>
      </c>
      <c r="P55" s="5">
        <f>IF(Tabela3[[#This Row],[Idade]]&gt;20,1,0)</f>
        <v>0</v>
      </c>
      <c r="Q55" s="5">
        <f>IF(Tabela3[[#This Row],[Juniores]]=1,Tabela3[[#This Row],[B-day]],0)</f>
        <v>2003</v>
      </c>
    </row>
    <row r="56" spans="1:17" x14ac:dyDescent="0.25">
      <c r="A56">
        <v>2018</v>
      </c>
      <c r="B56">
        <v>14801027</v>
      </c>
      <c r="C56" t="s">
        <v>62</v>
      </c>
      <c r="D56" t="s">
        <v>1</v>
      </c>
      <c r="E56" t="s">
        <v>21</v>
      </c>
      <c r="F56">
        <v>1014</v>
      </c>
      <c r="G56">
        <v>0</v>
      </c>
      <c r="H56">
        <v>40</v>
      </c>
      <c r="I56">
        <v>2007</v>
      </c>
      <c r="J56" t="s">
        <v>17</v>
      </c>
      <c r="K56" t="str">
        <f>LEFT(Tabela3[[#This Row],[Sex Tit  WTit OTit]],1)</f>
        <v>F</v>
      </c>
      <c r="L56">
        <f>IF(Tabela3[[#This Row],[Sexo]]="M",1,0)</f>
        <v>0</v>
      </c>
      <c r="M56">
        <f>IF(Tabela3[[#This Row],[Sexo]]="F",1,0)</f>
        <v>1</v>
      </c>
      <c r="N56" s="5">
        <f>2018-Tabela3[[#This Row],[B-day]]</f>
        <v>11</v>
      </c>
      <c r="O56" s="5">
        <f>IF(Tabela3[[#This Row],[Idade]]&lt;21,1,0)</f>
        <v>1</v>
      </c>
      <c r="P56" s="5">
        <f>IF(Tabela3[[#This Row],[Idade]]&gt;20,1,0)</f>
        <v>0</v>
      </c>
      <c r="Q56" s="5">
        <f>IF(Tabela3[[#This Row],[Juniores]]=1,Tabela3[[#This Row],[B-day]],0)</f>
        <v>2007</v>
      </c>
    </row>
    <row r="57" spans="1:17" x14ac:dyDescent="0.25">
      <c r="A57" t="s">
        <v>99</v>
      </c>
      <c r="C57">
        <f>SUBTOTAL(103,Tabela3[Name])</f>
        <v>55</v>
      </c>
      <c r="F57" s="3">
        <f>SUBTOTAL(101,Tabela3[FOA DEC19])</f>
        <v>1618.9636363636364</v>
      </c>
      <c r="H57" s="3">
        <f>SUBTOTAL(101,Tabela3[K])</f>
        <v>34.545454545454547</v>
      </c>
      <c r="J57">
        <f>SUBTOTAL(103,Tabela3[Flag])</f>
        <v>25</v>
      </c>
      <c r="L57">
        <f>SUBTOTAL(109,Tabela3[Masculino])</f>
        <v>34</v>
      </c>
      <c r="M57">
        <f>SUBTOTAL(109,Tabela3[Feminino])</f>
        <v>21</v>
      </c>
      <c r="O57">
        <f>SUBTOTAL(109,Tabela3[Juniores])</f>
        <v>22</v>
      </c>
      <c r="P57">
        <f>SUBTOTAL(109,Tabela3[Seniores])</f>
        <v>33</v>
      </c>
      <c r="Q57">
        <f>SUBTOTAL(109,Tabela3[Rating Juniores])</f>
        <v>44026</v>
      </c>
    </row>
  </sheetData>
  <pageMargins left="0.7" right="0.7" top="0.75" bottom="0.75" header="0.3" footer="0.3"/>
  <pageSetup orientation="portrait" horizontalDpi="300" verticalDpi="300" r:id="rId1"/>
  <headerFooter>
    <oddHeader>&amp;C&amp;"Calibri"&amp;9&amp;K000000Informação de uso Público&amp;1#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ECC7-EF59-4FDD-A4AF-C24C1A4666ED}">
  <dimension ref="A1:Q68"/>
  <sheetViews>
    <sheetView workbookViewId="0">
      <selection activeCell="K4" sqref="K4"/>
    </sheetView>
  </sheetViews>
  <sheetFormatPr defaultRowHeight="15" x14ac:dyDescent="0.25"/>
  <cols>
    <col min="2" max="2" width="12.7109375" customWidth="1"/>
    <col min="3" max="3" width="40.28515625" bestFit="1" customWidth="1"/>
    <col min="5" max="5" width="18.28515625" customWidth="1"/>
    <col min="6" max="6" width="12.7109375" customWidth="1"/>
    <col min="8" max="8" width="10.5703125" bestFit="1" customWidth="1"/>
    <col min="17" max="17" width="16.85546875" bestFit="1" customWidth="1"/>
  </cols>
  <sheetData>
    <row r="1" spans="1:17" x14ac:dyDescent="0.25">
      <c r="A1" t="s">
        <v>93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s="2" t="s">
        <v>102</v>
      </c>
      <c r="L1" s="2" t="s">
        <v>103</v>
      </c>
      <c r="M1" s="2" t="s">
        <v>104</v>
      </c>
      <c r="N1" t="s">
        <v>105</v>
      </c>
      <c r="O1" s="2" t="s">
        <v>106</v>
      </c>
      <c r="P1" s="2" t="s">
        <v>107</v>
      </c>
      <c r="Q1" t="s">
        <v>108</v>
      </c>
    </row>
    <row r="2" spans="1:17" x14ac:dyDescent="0.25">
      <c r="A2">
        <v>2019</v>
      </c>
      <c r="B2">
        <v>14800098</v>
      </c>
      <c r="C2" t="s">
        <v>8</v>
      </c>
      <c r="D2" t="s">
        <v>1</v>
      </c>
      <c r="E2" t="s">
        <v>7</v>
      </c>
      <c r="F2">
        <v>2230</v>
      </c>
      <c r="G2">
        <v>18</v>
      </c>
      <c r="H2">
        <v>20</v>
      </c>
      <c r="I2">
        <v>1991</v>
      </c>
      <c r="K2" t="str">
        <f>LEFT(Tabela4[[#This Row],[Sex Tit  WTit OTit]],1)</f>
        <v>M</v>
      </c>
      <c r="L2">
        <f>IF(Tabela4[[#This Row],[Sexo]]="M",1,0)</f>
        <v>1</v>
      </c>
      <c r="M2">
        <f>IF(Tabela4[[#This Row],[Sexo]]="F",1,0)</f>
        <v>0</v>
      </c>
      <c r="N2" s="5">
        <f>2019-Tabela4[[#This Row],[B-day]]</f>
        <v>28</v>
      </c>
      <c r="O2" s="5">
        <f>IF(Tabela4[[#This Row],[Idade]]&lt;21,1,0)</f>
        <v>0</v>
      </c>
      <c r="P2" s="5">
        <f>IF(Tabela4[[#This Row],[Idade]]&gt;20,1,0)</f>
        <v>1</v>
      </c>
      <c r="Q2" s="5">
        <f>IF(Tabela4[[#This Row],[Juniores]]=1,Tabela4[[#This Row],[B-day]],0)</f>
        <v>0</v>
      </c>
    </row>
    <row r="3" spans="1:17" x14ac:dyDescent="0.25">
      <c r="A3">
        <v>2019</v>
      </c>
      <c r="B3">
        <v>14800047</v>
      </c>
      <c r="C3" t="s">
        <v>4</v>
      </c>
      <c r="D3" t="s">
        <v>1</v>
      </c>
      <c r="E3" t="s">
        <v>5</v>
      </c>
      <c r="F3">
        <v>2202</v>
      </c>
      <c r="G3">
        <v>0</v>
      </c>
      <c r="H3">
        <v>20</v>
      </c>
      <c r="I3">
        <v>1980</v>
      </c>
      <c r="J3" t="s">
        <v>3</v>
      </c>
      <c r="K3" t="str">
        <f>LEFT(Tabela4[[#This Row],[Sex Tit  WTit OTit]],1)</f>
        <v>M</v>
      </c>
      <c r="L3">
        <f>IF(Tabela4[[#This Row],[Sexo]]="M",1,0)</f>
        <v>1</v>
      </c>
      <c r="M3">
        <f>IF(Tabela4[[#This Row],[Sexo]]="F",1,0)</f>
        <v>0</v>
      </c>
      <c r="N3" s="5">
        <f>2019-Tabela4[[#This Row],[B-day]]</f>
        <v>39</v>
      </c>
      <c r="O3" s="5">
        <f>IF(Tabela4[[#This Row],[Idade]]&lt;21,1,0)</f>
        <v>0</v>
      </c>
      <c r="P3" s="5">
        <f>IF(Tabela4[[#This Row],[Idade]]&gt;20,1,0)</f>
        <v>1</v>
      </c>
      <c r="Q3" s="5">
        <f>IF(Tabela4[[#This Row],[Juniores]]=1,Tabela4[[#This Row],[B-day]],0)</f>
        <v>0</v>
      </c>
    </row>
    <row r="4" spans="1:17" x14ac:dyDescent="0.25">
      <c r="A4">
        <v>2019</v>
      </c>
      <c r="B4">
        <v>14800039</v>
      </c>
      <c r="C4" t="s">
        <v>0</v>
      </c>
      <c r="D4" t="s">
        <v>1</v>
      </c>
      <c r="E4" t="s">
        <v>2</v>
      </c>
      <c r="F4">
        <v>2186</v>
      </c>
      <c r="G4">
        <v>0</v>
      </c>
      <c r="H4">
        <v>20</v>
      </c>
      <c r="I4">
        <v>1982</v>
      </c>
      <c r="J4" t="s">
        <v>3</v>
      </c>
      <c r="K4" t="str">
        <f>LEFT(Tabela4[[#This Row],[Sex Tit  WTit OTit]],1)</f>
        <v>M</v>
      </c>
      <c r="L4">
        <f>IF(Tabela4[[#This Row],[Sexo]]="M",1,0)</f>
        <v>1</v>
      </c>
      <c r="M4">
        <f>IF(Tabela4[[#This Row],[Sexo]]="F",1,0)</f>
        <v>0</v>
      </c>
      <c r="N4" s="5">
        <f>2019-Tabela4[[#This Row],[B-day]]</f>
        <v>37</v>
      </c>
      <c r="O4" s="5">
        <f>IF(Tabela4[[#This Row],[Idade]]&lt;21,1,0)</f>
        <v>0</v>
      </c>
      <c r="P4" s="5">
        <f>IF(Tabela4[[#This Row],[Idade]]&gt;20,1,0)</f>
        <v>1</v>
      </c>
      <c r="Q4" s="5">
        <f>IF(Tabela4[[#This Row],[Juniores]]=1,Tabela4[[#This Row],[B-day]],0)</f>
        <v>0</v>
      </c>
    </row>
    <row r="5" spans="1:17" x14ac:dyDescent="0.25">
      <c r="A5">
        <v>2019</v>
      </c>
      <c r="B5">
        <v>14800268</v>
      </c>
      <c r="C5" t="s">
        <v>6</v>
      </c>
      <c r="D5" t="s">
        <v>1</v>
      </c>
      <c r="E5" t="s">
        <v>40</v>
      </c>
      <c r="F5">
        <v>2122</v>
      </c>
      <c r="G5">
        <v>0</v>
      </c>
      <c r="H5">
        <v>20</v>
      </c>
      <c r="I5">
        <v>1984</v>
      </c>
      <c r="K5" t="str">
        <f>LEFT(Tabela4[[#This Row],[Sex Tit  WTit OTit]],1)</f>
        <v>M</v>
      </c>
      <c r="L5">
        <f>IF(Tabela4[[#This Row],[Sexo]]="M",1,0)</f>
        <v>1</v>
      </c>
      <c r="M5">
        <f>IF(Tabela4[[#This Row],[Sexo]]="F",1,0)</f>
        <v>0</v>
      </c>
      <c r="N5" s="5">
        <f>2019-Tabela4[[#This Row],[B-day]]</f>
        <v>35</v>
      </c>
      <c r="O5" s="5">
        <f>IF(Tabela4[[#This Row],[Idade]]&lt;21,1,0)</f>
        <v>0</v>
      </c>
      <c r="P5" s="5">
        <f>IF(Tabela4[[#This Row],[Idade]]&gt;20,1,0)</f>
        <v>1</v>
      </c>
      <c r="Q5" s="5">
        <f>IF(Tabela4[[#This Row],[Juniores]]=1,Tabela4[[#This Row],[B-day]],0)</f>
        <v>0</v>
      </c>
    </row>
    <row r="6" spans="1:17" x14ac:dyDescent="0.25">
      <c r="A6">
        <v>2019</v>
      </c>
      <c r="B6">
        <v>14800063</v>
      </c>
      <c r="C6" t="s">
        <v>12</v>
      </c>
      <c r="D6" t="s">
        <v>1</v>
      </c>
      <c r="E6" t="s">
        <v>7</v>
      </c>
      <c r="F6">
        <v>2018</v>
      </c>
      <c r="G6">
        <v>0</v>
      </c>
      <c r="H6">
        <v>20</v>
      </c>
      <c r="I6">
        <v>1990</v>
      </c>
      <c r="K6" t="str">
        <f>LEFT(Tabela4[[#This Row],[Sex Tit  WTit OTit]],1)</f>
        <v>M</v>
      </c>
      <c r="L6">
        <f>IF(Tabela4[[#This Row],[Sexo]]="M",1,0)</f>
        <v>1</v>
      </c>
      <c r="M6">
        <f>IF(Tabela4[[#This Row],[Sexo]]="F",1,0)</f>
        <v>0</v>
      </c>
      <c r="N6" s="5">
        <f>2019-Tabela4[[#This Row],[B-day]]</f>
        <v>29</v>
      </c>
      <c r="O6" s="5">
        <f>IF(Tabela4[[#This Row],[Idade]]&lt;21,1,0)</f>
        <v>0</v>
      </c>
      <c r="P6" s="5">
        <f>IF(Tabela4[[#This Row],[Idade]]&gt;20,1,0)</f>
        <v>1</v>
      </c>
      <c r="Q6" s="5">
        <f>IF(Tabela4[[#This Row],[Juniores]]=1,Tabela4[[#This Row],[B-day]],0)</f>
        <v>0</v>
      </c>
    </row>
    <row r="7" spans="1:17" x14ac:dyDescent="0.25">
      <c r="A7">
        <v>2019</v>
      </c>
      <c r="B7">
        <v>14800012</v>
      </c>
      <c r="C7" t="s">
        <v>11</v>
      </c>
      <c r="D7" t="s">
        <v>1</v>
      </c>
      <c r="E7" t="s">
        <v>7</v>
      </c>
      <c r="F7">
        <v>2004</v>
      </c>
      <c r="G7">
        <v>0</v>
      </c>
      <c r="H7">
        <v>20</v>
      </c>
      <c r="I7">
        <v>1972</v>
      </c>
      <c r="J7" t="s">
        <v>3</v>
      </c>
      <c r="K7" t="str">
        <f>LEFT(Tabela4[[#This Row],[Sex Tit  WTit OTit]],1)</f>
        <v>M</v>
      </c>
      <c r="L7">
        <f>IF(Tabela4[[#This Row],[Sexo]]="M",1,0)</f>
        <v>1</v>
      </c>
      <c r="M7">
        <f>IF(Tabela4[[#This Row],[Sexo]]="F",1,0)</f>
        <v>0</v>
      </c>
      <c r="N7" s="5">
        <f>2019-Tabela4[[#This Row],[B-day]]</f>
        <v>47</v>
      </c>
      <c r="O7" s="5">
        <f>IF(Tabela4[[#This Row],[Idade]]&lt;21,1,0)</f>
        <v>0</v>
      </c>
      <c r="P7" s="5">
        <f>IF(Tabela4[[#This Row],[Idade]]&gt;20,1,0)</f>
        <v>1</v>
      </c>
      <c r="Q7" s="5">
        <f>IF(Tabela4[[#This Row],[Juniores]]=1,Tabela4[[#This Row],[B-day]],0)</f>
        <v>0</v>
      </c>
    </row>
    <row r="8" spans="1:17" x14ac:dyDescent="0.25">
      <c r="A8">
        <v>2019</v>
      </c>
      <c r="B8">
        <v>14800276</v>
      </c>
      <c r="C8" t="s">
        <v>10</v>
      </c>
      <c r="D8" t="s">
        <v>1</v>
      </c>
      <c r="E8" t="s">
        <v>7</v>
      </c>
      <c r="F8">
        <v>1997</v>
      </c>
      <c r="G8">
        <v>0</v>
      </c>
      <c r="H8">
        <v>20</v>
      </c>
      <c r="I8">
        <v>1976</v>
      </c>
      <c r="K8" t="str">
        <f>LEFT(Tabela4[[#This Row],[Sex Tit  WTit OTit]],1)</f>
        <v>M</v>
      </c>
      <c r="L8">
        <f>IF(Tabela4[[#This Row],[Sexo]]="M",1,0)</f>
        <v>1</v>
      </c>
      <c r="M8">
        <f>IF(Tabela4[[#This Row],[Sexo]]="F",1,0)</f>
        <v>0</v>
      </c>
      <c r="N8" s="5">
        <f>2019-Tabela4[[#This Row],[B-day]]</f>
        <v>43</v>
      </c>
      <c r="O8" s="5">
        <f>IF(Tabela4[[#This Row],[Idade]]&lt;21,1,0)</f>
        <v>0</v>
      </c>
      <c r="P8" s="5">
        <f>IF(Tabela4[[#This Row],[Idade]]&gt;20,1,0)</f>
        <v>1</v>
      </c>
      <c r="Q8" s="5">
        <f>IF(Tabela4[[#This Row],[Juniores]]=1,Tabela4[[#This Row],[B-day]],0)</f>
        <v>0</v>
      </c>
    </row>
    <row r="9" spans="1:17" x14ac:dyDescent="0.25">
      <c r="A9">
        <v>2019</v>
      </c>
      <c r="B9">
        <v>14800136</v>
      </c>
      <c r="C9" t="s">
        <v>9</v>
      </c>
      <c r="D9" t="s">
        <v>1</v>
      </c>
      <c r="E9" t="s">
        <v>60</v>
      </c>
      <c r="F9">
        <v>1965</v>
      </c>
      <c r="G9">
        <v>0</v>
      </c>
      <c r="H9">
        <v>20</v>
      </c>
      <c r="I9">
        <v>1983</v>
      </c>
      <c r="K9" t="str">
        <f>LEFT(Tabela4[[#This Row],[Sex Tit  WTit OTit]],1)</f>
        <v>M</v>
      </c>
      <c r="L9">
        <f>IF(Tabela4[[#This Row],[Sexo]]="M",1,0)</f>
        <v>1</v>
      </c>
      <c r="M9">
        <f>IF(Tabela4[[#This Row],[Sexo]]="F",1,0)</f>
        <v>0</v>
      </c>
      <c r="N9" s="5">
        <f>2019-Tabela4[[#This Row],[B-day]]</f>
        <v>36</v>
      </c>
      <c r="O9" s="5">
        <f>IF(Tabela4[[#This Row],[Idade]]&lt;21,1,0)</f>
        <v>0</v>
      </c>
      <c r="P9" s="5">
        <f>IF(Tabela4[[#This Row],[Idade]]&gt;20,1,0)</f>
        <v>1</v>
      </c>
      <c r="Q9" s="5">
        <f>IF(Tabela4[[#This Row],[Juniores]]=1,Tabela4[[#This Row],[B-day]],0)</f>
        <v>0</v>
      </c>
    </row>
    <row r="10" spans="1:17" x14ac:dyDescent="0.25">
      <c r="A10">
        <v>2019</v>
      </c>
      <c r="B10">
        <v>14800403</v>
      </c>
      <c r="C10" t="s">
        <v>24</v>
      </c>
      <c r="D10" t="s">
        <v>1</v>
      </c>
      <c r="E10" t="s">
        <v>2</v>
      </c>
      <c r="F10">
        <v>1948</v>
      </c>
      <c r="G10">
        <v>0</v>
      </c>
      <c r="H10">
        <v>40</v>
      </c>
      <c r="I10">
        <v>2003</v>
      </c>
      <c r="K10" t="str">
        <f>LEFT(Tabela4[[#This Row],[Sex Tit  WTit OTit]],1)</f>
        <v>M</v>
      </c>
      <c r="L10">
        <f>IF(Tabela4[[#This Row],[Sexo]]="M",1,0)</f>
        <v>1</v>
      </c>
      <c r="M10">
        <f>IF(Tabela4[[#This Row],[Sexo]]="F",1,0)</f>
        <v>0</v>
      </c>
      <c r="N10" s="5">
        <f>2019-Tabela4[[#This Row],[B-day]]</f>
        <v>16</v>
      </c>
      <c r="O10" s="5">
        <f>IF(Tabela4[[#This Row],[Idade]]&lt;21,1,0)</f>
        <v>1</v>
      </c>
      <c r="P10" s="5">
        <f>IF(Tabela4[[#This Row],[Idade]]&gt;20,1,0)</f>
        <v>0</v>
      </c>
      <c r="Q10" s="5">
        <f>IF(Tabela4[[#This Row],[Juniores]]=1,Tabela4[[#This Row],[B-day]],0)</f>
        <v>2003</v>
      </c>
    </row>
    <row r="11" spans="1:17" x14ac:dyDescent="0.25">
      <c r="A11">
        <v>2019</v>
      </c>
      <c r="B11">
        <v>14800071</v>
      </c>
      <c r="C11" t="s">
        <v>13</v>
      </c>
      <c r="D11" t="s">
        <v>1</v>
      </c>
      <c r="E11" t="s">
        <v>2</v>
      </c>
      <c r="F11">
        <v>1941</v>
      </c>
      <c r="G11">
        <v>0</v>
      </c>
      <c r="H11">
        <v>20</v>
      </c>
      <c r="I11">
        <v>1984</v>
      </c>
      <c r="J11" t="s">
        <v>3</v>
      </c>
      <c r="K11" t="str">
        <f>LEFT(Tabela4[[#This Row],[Sex Tit  WTit OTit]],1)</f>
        <v>M</v>
      </c>
      <c r="L11">
        <f>IF(Tabela4[[#This Row],[Sexo]]="M",1,0)</f>
        <v>1</v>
      </c>
      <c r="M11">
        <f>IF(Tabela4[[#This Row],[Sexo]]="F",1,0)</f>
        <v>0</v>
      </c>
      <c r="N11" s="5">
        <f>2019-Tabela4[[#This Row],[B-day]]</f>
        <v>35</v>
      </c>
      <c r="O11" s="5">
        <f>IF(Tabela4[[#This Row],[Idade]]&lt;21,1,0)</f>
        <v>0</v>
      </c>
      <c r="P11" s="5">
        <f>IF(Tabela4[[#This Row],[Idade]]&gt;20,1,0)</f>
        <v>1</v>
      </c>
      <c r="Q11" s="5">
        <f>IF(Tabela4[[#This Row],[Juniores]]=1,Tabela4[[#This Row],[B-day]],0)</f>
        <v>0</v>
      </c>
    </row>
    <row r="12" spans="1:17" x14ac:dyDescent="0.25">
      <c r="A12">
        <v>2019</v>
      </c>
      <c r="B12">
        <v>14800500</v>
      </c>
      <c r="C12" t="s">
        <v>48</v>
      </c>
      <c r="D12" t="s">
        <v>1</v>
      </c>
      <c r="E12" t="s">
        <v>2</v>
      </c>
      <c r="F12">
        <v>1912</v>
      </c>
      <c r="G12">
        <v>0</v>
      </c>
      <c r="H12">
        <v>20</v>
      </c>
      <c r="I12">
        <v>1993</v>
      </c>
      <c r="K12" t="str">
        <f>LEFT(Tabela4[[#This Row],[Sex Tit  WTit OTit]],1)</f>
        <v>M</v>
      </c>
      <c r="L12">
        <f>IF(Tabela4[[#This Row],[Sexo]]="M",1,0)</f>
        <v>1</v>
      </c>
      <c r="M12">
        <f>IF(Tabela4[[#This Row],[Sexo]]="F",1,0)</f>
        <v>0</v>
      </c>
      <c r="N12" s="5">
        <f>2019-Tabela4[[#This Row],[B-day]]</f>
        <v>26</v>
      </c>
      <c r="O12" s="5">
        <f>IF(Tabela4[[#This Row],[Idade]]&lt;21,1,0)</f>
        <v>0</v>
      </c>
      <c r="P12" s="5">
        <f>IF(Tabela4[[#This Row],[Idade]]&gt;20,1,0)</f>
        <v>1</v>
      </c>
      <c r="Q12" s="5">
        <f>IF(Tabela4[[#This Row],[Juniores]]=1,Tabela4[[#This Row],[B-day]],0)</f>
        <v>0</v>
      </c>
    </row>
    <row r="13" spans="1:17" x14ac:dyDescent="0.25">
      <c r="A13">
        <v>2019</v>
      </c>
      <c r="B13">
        <v>14801256</v>
      </c>
      <c r="C13" t="s">
        <v>59</v>
      </c>
      <c r="D13" t="s">
        <v>1</v>
      </c>
      <c r="E13" t="s">
        <v>2</v>
      </c>
      <c r="F13">
        <v>1895</v>
      </c>
      <c r="G13">
        <v>0</v>
      </c>
      <c r="H13">
        <v>40</v>
      </c>
      <c r="I13">
        <v>1988</v>
      </c>
      <c r="K13" t="str">
        <f>LEFT(Tabela4[[#This Row],[Sex Tit  WTit OTit]],1)</f>
        <v>M</v>
      </c>
      <c r="L13">
        <f>IF(Tabela4[[#This Row],[Sexo]]="M",1,0)</f>
        <v>1</v>
      </c>
      <c r="M13">
        <f>IF(Tabela4[[#This Row],[Sexo]]="F",1,0)</f>
        <v>0</v>
      </c>
      <c r="N13" s="5">
        <f>2019-Tabela4[[#This Row],[B-day]]</f>
        <v>31</v>
      </c>
      <c r="O13" s="5">
        <f>IF(Tabela4[[#This Row],[Idade]]&lt;21,1,0)</f>
        <v>0</v>
      </c>
      <c r="P13" s="5">
        <f>IF(Tabela4[[#This Row],[Idade]]&gt;20,1,0)</f>
        <v>1</v>
      </c>
      <c r="Q13" s="5">
        <f>IF(Tabela4[[#This Row],[Juniores]]=1,Tabela4[[#This Row],[B-day]],0)</f>
        <v>0</v>
      </c>
    </row>
    <row r="14" spans="1:17" x14ac:dyDescent="0.25">
      <c r="A14">
        <v>2019</v>
      </c>
      <c r="B14">
        <v>14800284</v>
      </c>
      <c r="C14" t="s">
        <v>18</v>
      </c>
      <c r="D14" t="s">
        <v>1</v>
      </c>
      <c r="E14" t="s">
        <v>2</v>
      </c>
      <c r="F14">
        <v>1852</v>
      </c>
      <c r="G14">
        <v>0</v>
      </c>
      <c r="H14">
        <v>40</v>
      </c>
      <c r="I14">
        <v>1994</v>
      </c>
      <c r="K14" t="str">
        <f>LEFT(Tabela4[[#This Row],[Sex Tit  WTit OTit]],1)</f>
        <v>M</v>
      </c>
      <c r="L14">
        <f>IF(Tabela4[[#This Row],[Sexo]]="M",1,0)</f>
        <v>1</v>
      </c>
      <c r="M14">
        <f>IF(Tabela4[[#This Row],[Sexo]]="F",1,0)</f>
        <v>0</v>
      </c>
      <c r="N14" s="5">
        <f>2019-Tabela4[[#This Row],[B-day]]</f>
        <v>25</v>
      </c>
      <c r="O14" s="5">
        <f>IF(Tabela4[[#This Row],[Idade]]&lt;21,1,0)</f>
        <v>0</v>
      </c>
      <c r="P14" s="5">
        <f>IF(Tabela4[[#This Row],[Idade]]&gt;20,1,0)</f>
        <v>1</v>
      </c>
      <c r="Q14" s="5">
        <f>IF(Tabela4[[#This Row],[Juniores]]=1,Tabela4[[#This Row],[B-day]],0)</f>
        <v>0</v>
      </c>
    </row>
    <row r="15" spans="1:17" x14ac:dyDescent="0.25">
      <c r="A15">
        <v>2019</v>
      </c>
      <c r="B15">
        <v>14801558</v>
      </c>
      <c r="C15" t="s">
        <v>42</v>
      </c>
      <c r="D15" t="s">
        <v>1</v>
      </c>
      <c r="E15" t="s">
        <v>2</v>
      </c>
      <c r="F15">
        <v>1838</v>
      </c>
      <c r="G15">
        <v>0</v>
      </c>
      <c r="H15">
        <v>40</v>
      </c>
      <c r="I15">
        <v>1981</v>
      </c>
      <c r="K15" t="str">
        <f>LEFT(Tabela4[[#This Row],[Sex Tit  WTit OTit]],1)</f>
        <v>M</v>
      </c>
      <c r="L15">
        <f>IF(Tabela4[[#This Row],[Sexo]]="M",1,0)</f>
        <v>1</v>
      </c>
      <c r="M15">
        <f>IF(Tabela4[[#This Row],[Sexo]]="F",1,0)</f>
        <v>0</v>
      </c>
      <c r="N15" s="5">
        <f>2019-Tabela4[[#This Row],[B-day]]</f>
        <v>38</v>
      </c>
      <c r="O15" s="5">
        <f>IF(Tabela4[[#This Row],[Idade]]&lt;21,1,0)</f>
        <v>0</v>
      </c>
      <c r="P15" s="5">
        <f>IF(Tabela4[[#This Row],[Idade]]&gt;20,1,0)</f>
        <v>1</v>
      </c>
      <c r="Q15" s="5">
        <f>IF(Tabela4[[#This Row],[Juniores]]=1,Tabela4[[#This Row],[B-day]],0)</f>
        <v>0</v>
      </c>
    </row>
    <row r="16" spans="1:17" x14ac:dyDescent="0.25">
      <c r="A16">
        <v>2019</v>
      </c>
      <c r="B16">
        <v>14800489</v>
      </c>
      <c r="C16" t="s">
        <v>14</v>
      </c>
      <c r="D16" t="s">
        <v>1</v>
      </c>
      <c r="E16" t="s">
        <v>35</v>
      </c>
      <c r="F16">
        <v>1837</v>
      </c>
      <c r="G16">
        <v>0</v>
      </c>
      <c r="H16">
        <v>20</v>
      </c>
      <c r="I16">
        <v>1983</v>
      </c>
      <c r="K16" t="str">
        <f>LEFT(Tabela4[[#This Row],[Sex Tit  WTit OTit]],1)</f>
        <v>M</v>
      </c>
      <c r="L16">
        <f>IF(Tabela4[[#This Row],[Sexo]]="M",1,0)</f>
        <v>1</v>
      </c>
      <c r="M16">
        <f>IF(Tabela4[[#This Row],[Sexo]]="F",1,0)</f>
        <v>0</v>
      </c>
      <c r="N16" s="5">
        <f>2019-Tabela4[[#This Row],[B-day]]</f>
        <v>36</v>
      </c>
      <c r="O16" s="5">
        <f>IF(Tabela4[[#This Row],[Idade]]&lt;21,1,0)</f>
        <v>0</v>
      </c>
      <c r="P16" s="5">
        <f>IF(Tabela4[[#This Row],[Idade]]&gt;20,1,0)</f>
        <v>1</v>
      </c>
      <c r="Q16" s="5">
        <f>IF(Tabela4[[#This Row],[Juniores]]=1,Tabela4[[#This Row],[B-day]],0)</f>
        <v>0</v>
      </c>
    </row>
    <row r="17" spans="1:17" x14ac:dyDescent="0.25">
      <c r="A17">
        <v>2019</v>
      </c>
      <c r="B17">
        <v>14800764</v>
      </c>
      <c r="C17" t="s">
        <v>65</v>
      </c>
      <c r="D17" t="s">
        <v>1</v>
      </c>
      <c r="E17" t="s">
        <v>2</v>
      </c>
      <c r="F17">
        <v>1824</v>
      </c>
      <c r="G17">
        <v>0</v>
      </c>
      <c r="H17">
        <v>40</v>
      </c>
      <c r="I17">
        <v>1996</v>
      </c>
      <c r="K17" t="str">
        <f>LEFT(Tabela4[[#This Row],[Sex Tit  WTit OTit]],1)</f>
        <v>M</v>
      </c>
      <c r="L17">
        <f>IF(Tabela4[[#This Row],[Sexo]]="M",1,0)</f>
        <v>1</v>
      </c>
      <c r="M17">
        <f>IF(Tabela4[[#This Row],[Sexo]]="F",1,0)</f>
        <v>0</v>
      </c>
      <c r="N17" s="5">
        <f>2019-Tabela4[[#This Row],[B-day]]</f>
        <v>23</v>
      </c>
      <c r="O17" s="5">
        <f>IF(Tabela4[[#This Row],[Idade]]&lt;21,1,0)</f>
        <v>0</v>
      </c>
      <c r="P17" s="5">
        <f>IF(Tabela4[[#This Row],[Idade]]&gt;20,1,0)</f>
        <v>1</v>
      </c>
      <c r="Q17" s="5">
        <f>IF(Tabela4[[#This Row],[Juniores]]=1,Tabela4[[#This Row],[B-day]],0)</f>
        <v>0</v>
      </c>
    </row>
    <row r="18" spans="1:17" x14ac:dyDescent="0.25">
      <c r="A18">
        <v>2019</v>
      </c>
      <c r="B18">
        <v>14801248</v>
      </c>
      <c r="C18" t="s">
        <v>58</v>
      </c>
      <c r="D18" t="s">
        <v>1</v>
      </c>
      <c r="E18" t="s">
        <v>2</v>
      </c>
      <c r="F18">
        <v>1822</v>
      </c>
      <c r="G18">
        <v>0</v>
      </c>
      <c r="H18">
        <v>40</v>
      </c>
      <c r="I18">
        <v>1998</v>
      </c>
      <c r="K18" t="str">
        <f>LEFT(Tabela4[[#This Row],[Sex Tit  WTit OTit]],1)</f>
        <v>M</v>
      </c>
      <c r="L18">
        <f>IF(Tabela4[[#This Row],[Sexo]]="M",1,0)</f>
        <v>1</v>
      </c>
      <c r="M18">
        <f>IF(Tabela4[[#This Row],[Sexo]]="F",1,0)</f>
        <v>0</v>
      </c>
      <c r="N18" s="5">
        <f>2019-Tabela4[[#This Row],[B-day]]</f>
        <v>21</v>
      </c>
      <c r="O18" s="5">
        <f>IF(Tabela4[[#This Row],[Idade]]&lt;21,1,0)</f>
        <v>0</v>
      </c>
      <c r="P18" s="5">
        <f>IF(Tabela4[[#This Row],[Idade]]&gt;20,1,0)</f>
        <v>1</v>
      </c>
      <c r="Q18" s="5">
        <f>IF(Tabela4[[#This Row],[Juniores]]=1,Tabela4[[#This Row],[B-day]],0)</f>
        <v>0</v>
      </c>
    </row>
    <row r="19" spans="1:17" x14ac:dyDescent="0.25">
      <c r="A19">
        <v>2019</v>
      </c>
      <c r="B19">
        <v>14801302</v>
      </c>
      <c r="C19" t="s">
        <v>63</v>
      </c>
      <c r="D19" t="s">
        <v>1</v>
      </c>
      <c r="E19" t="s">
        <v>2</v>
      </c>
      <c r="F19">
        <v>1807</v>
      </c>
      <c r="G19">
        <v>0</v>
      </c>
      <c r="H19">
        <v>40</v>
      </c>
      <c r="I19">
        <v>1995</v>
      </c>
      <c r="K19" t="str">
        <f>LEFT(Tabela4[[#This Row],[Sex Tit  WTit OTit]],1)</f>
        <v>M</v>
      </c>
      <c r="L19">
        <f>IF(Tabela4[[#This Row],[Sexo]]="M",1,0)</f>
        <v>1</v>
      </c>
      <c r="M19">
        <f>IF(Tabela4[[#This Row],[Sexo]]="F",1,0)</f>
        <v>0</v>
      </c>
      <c r="N19" s="5">
        <f>2019-Tabela4[[#This Row],[B-day]]</f>
        <v>24</v>
      </c>
      <c r="O19" s="5">
        <f>IF(Tabela4[[#This Row],[Idade]]&lt;21,1,0)</f>
        <v>0</v>
      </c>
      <c r="P19" s="5">
        <f>IF(Tabela4[[#This Row],[Idade]]&gt;20,1,0)</f>
        <v>1</v>
      </c>
      <c r="Q19" s="5">
        <f>IF(Tabela4[[#This Row],[Juniores]]=1,Tabela4[[#This Row],[B-day]],0)</f>
        <v>0</v>
      </c>
    </row>
    <row r="20" spans="1:17" x14ac:dyDescent="0.25">
      <c r="A20">
        <v>2019</v>
      </c>
      <c r="B20">
        <v>14800144</v>
      </c>
      <c r="C20" t="s">
        <v>15</v>
      </c>
      <c r="D20" t="s">
        <v>1</v>
      </c>
      <c r="E20" t="s">
        <v>68</v>
      </c>
      <c r="F20">
        <v>1799</v>
      </c>
      <c r="G20">
        <v>9</v>
      </c>
      <c r="H20">
        <v>20</v>
      </c>
      <c r="I20">
        <v>1985</v>
      </c>
      <c r="J20" t="s">
        <v>17</v>
      </c>
      <c r="K20" t="str">
        <f>LEFT(Tabela4[[#This Row],[Sex Tit  WTit OTit]],1)</f>
        <v>F</v>
      </c>
      <c r="L20">
        <f>IF(Tabela4[[#This Row],[Sexo]]="M",1,0)</f>
        <v>0</v>
      </c>
      <c r="M20">
        <f>IF(Tabela4[[#This Row],[Sexo]]="F",1,0)</f>
        <v>1</v>
      </c>
      <c r="N20" s="5">
        <f>2019-Tabela4[[#This Row],[B-day]]</f>
        <v>34</v>
      </c>
      <c r="O20" s="5">
        <f>IF(Tabela4[[#This Row],[Idade]]&lt;21,1,0)</f>
        <v>0</v>
      </c>
      <c r="P20" s="5">
        <f>IF(Tabela4[[#This Row],[Idade]]&gt;20,1,0)</f>
        <v>1</v>
      </c>
      <c r="Q20" s="5">
        <f>IF(Tabela4[[#This Row],[Juniores]]=1,Tabela4[[#This Row],[B-day]],0)</f>
        <v>0</v>
      </c>
    </row>
    <row r="21" spans="1:17" x14ac:dyDescent="0.25">
      <c r="A21">
        <v>2019</v>
      </c>
      <c r="B21">
        <v>14800756</v>
      </c>
      <c r="C21" t="s">
        <v>49</v>
      </c>
      <c r="D21" t="s">
        <v>1</v>
      </c>
      <c r="E21" t="s">
        <v>2</v>
      </c>
      <c r="F21">
        <v>1790</v>
      </c>
      <c r="G21">
        <v>0</v>
      </c>
      <c r="H21">
        <v>40</v>
      </c>
      <c r="I21">
        <v>1990</v>
      </c>
      <c r="K21" t="str">
        <f>LEFT(Tabela4[[#This Row],[Sex Tit  WTit OTit]],1)</f>
        <v>M</v>
      </c>
      <c r="L21">
        <f>IF(Tabela4[[#This Row],[Sexo]]="M",1,0)</f>
        <v>1</v>
      </c>
      <c r="M21">
        <f>IF(Tabela4[[#This Row],[Sexo]]="F",1,0)</f>
        <v>0</v>
      </c>
      <c r="N21" s="5">
        <f>2019-Tabela4[[#This Row],[B-day]]</f>
        <v>29</v>
      </c>
      <c r="O21" s="5">
        <f>IF(Tabela4[[#This Row],[Idade]]&lt;21,1,0)</f>
        <v>0</v>
      </c>
      <c r="P21" s="5">
        <f>IF(Tabela4[[#This Row],[Idade]]&gt;20,1,0)</f>
        <v>1</v>
      </c>
      <c r="Q21" s="5">
        <f>IF(Tabela4[[#This Row],[Juniores]]=1,Tabela4[[#This Row],[B-day]],0)</f>
        <v>0</v>
      </c>
    </row>
    <row r="22" spans="1:17" x14ac:dyDescent="0.25">
      <c r="A22">
        <v>2019</v>
      </c>
      <c r="B22">
        <v>14800802</v>
      </c>
      <c r="C22" t="s">
        <v>41</v>
      </c>
      <c r="D22" t="s">
        <v>1</v>
      </c>
      <c r="E22" t="s">
        <v>2</v>
      </c>
      <c r="F22">
        <v>1661</v>
      </c>
      <c r="G22">
        <v>0</v>
      </c>
      <c r="H22">
        <v>40</v>
      </c>
      <c r="I22">
        <v>2001</v>
      </c>
      <c r="K22" t="str">
        <f>LEFT(Tabela4[[#This Row],[Sex Tit  WTit OTit]],1)</f>
        <v>M</v>
      </c>
      <c r="L22">
        <f>IF(Tabela4[[#This Row],[Sexo]]="M",1,0)</f>
        <v>1</v>
      </c>
      <c r="M22">
        <f>IF(Tabela4[[#This Row],[Sexo]]="F",1,0)</f>
        <v>0</v>
      </c>
      <c r="N22" s="5">
        <f>2019-Tabela4[[#This Row],[B-day]]</f>
        <v>18</v>
      </c>
      <c r="O22" s="5">
        <f>IF(Tabela4[[#This Row],[Idade]]&lt;21,1,0)</f>
        <v>1</v>
      </c>
      <c r="P22" s="5">
        <f>IF(Tabela4[[#This Row],[Idade]]&gt;20,1,0)</f>
        <v>0</v>
      </c>
      <c r="Q22" s="5">
        <f>IF(Tabela4[[#This Row],[Juniores]]=1,Tabela4[[#This Row],[B-day]],0)</f>
        <v>2001</v>
      </c>
    </row>
    <row r="23" spans="1:17" x14ac:dyDescent="0.25">
      <c r="A23">
        <v>2019</v>
      </c>
      <c r="B23">
        <v>14801167</v>
      </c>
      <c r="C23" t="s">
        <v>44</v>
      </c>
      <c r="D23" t="s">
        <v>1</v>
      </c>
      <c r="E23" t="s">
        <v>2</v>
      </c>
      <c r="F23">
        <v>1661</v>
      </c>
      <c r="G23">
        <v>0</v>
      </c>
      <c r="H23">
        <v>40</v>
      </c>
      <c r="I23">
        <v>1999</v>
      </c>
      <c r="K23" t="str">
        <f>LEFT(Tabela4[[#This Row],[Sex Tit  WTit OTit]],1)</f>
        <v>M</v>
      </c>
      <c r="L23">
        <f>IF(Tabela4[[#This Row],[Sexo]]="M",1,0)</f>
        <v>1</v>
      </c>
      <c r="M23">
        <f>IF(Tabela4[[#This Row],[Sexo]]="F",1,0)</f>
        <v>0</v>
      </c>
      <c r="N23" s="5">
        <f>2019-Tabela4[[#This Row],[B-day]]</f>
        <v>20</v>
      </c>
      <c r="O23" s="5">
        <f>IF(Tabela4[[#This Row],[Idade]]&lt;21,1,0)</f>
        <v>1</v>
      </c>
      <c r="P23" s="5">
        <f>IF(Tabela4[[#This Row],[Idade]]&gt;20,1,0)</f>
        <v>0</v>
      </c>
      <c r="Q23" s="5">
        <f>IF(Tabela4[[#This Row],[Juniores]]=1,Tabela4[[#This Row],[B-day]],0)</f>
        <v>1999</v>
      </c>
    </row>
    <row r="24" spans="1:17" x14ac:dyDescent="0.25">
      <c r="A24">
        <v>2019</v>
      </c>
      <c r="B24">
        <v>14800438</v>
      </c>
      <c r="C24" t="s">
        <v>19</v>
      </c>
      <c r="D24" t="s">
        <v>1</v>
      </c>
      <c r="E24" t="s">
        <v>2</v>
      </c>
      <c r="F24">
        <v>1659</v>
      </c>
      <c r="G24">
        <v>0</v>
      </c>
      <c r="H24">
        <v>40</v>
      </c>
      <c r="I24">
        <v>1999</v>
      </c>
      <c r="J24" t="s">
        <v>3</v>
      </c>
      <c r="K24" t="str">
        <f>LEFT(Tabela4[[#This Row],[Sex Tit  WTit OTit]],1)</f>
        <v>M</v>
      </c>
      <c r="L24">
        <f>IF(Tabela4[[#This Row],[Sexo]]="M",1,0)</f>
        <v>1</v>
      </c>
      <c r="M24">
        <f>IF(Tabela4[[#This Row],[Sexo]]="F",1,0)</f>
        <v>0</v>
      </c>
      <c r="N24" s="5">
        <f>2019-Tabela4[[#This Row],[B-day]]</f>
        <v>20</v>
      </c>
      <c r="O24" s="5">
        <f>IF(Tabela4[[#This Row],[Idade]]&lt;21,1,0)</f>
        <v>1</v>
      </c>
      <c r="P24" s="5">
        <f>IF(Tabela4[[#This Row],[Idade]]&gt;20,1,0)</f>
        <v>0</v>
      </c>
      <c r="Q24" s="5">
        <f>IF(Tabela4[[#This Row],[Juniores]]=1,Tabela4[[#This Row],[B-day]],0)</f>
        <v>1999</v>
      </c>
    </row>
    <row r="25" spans="1:17" x14ac:dyDescent="0.25">
      <c r="A25">
        <v>2019</v>
      </c>
      <c r="B25">
        <v>14801019</v>
      </c>
      <c r="C25" t="s">
        <v>50</v>
      </c>
      <c r="D25" t="s">
        <v>1</v>
      </c>
      <c r="E25" t="s">
        <v>2</v>
      </c>
      <c r="F25">
        <v>1629</v>
      </c>
      <c r="G25">
        <v>0</v>
      </c>
      <c r="H25">
        <v>40</v>
      </c>
      <c r="I25">
        <v>2002</v>
      </c>
      <c r="J25" t="s">
        <v>3</v>
      </c>
      <c r="K25" t="str">
        <f>LEFT(Tabela4[[#This Row],[Sex Tit  WTit OTit]],1)</f>
        <v>M</v>
      </c>
      <c r="L25">
        <f>IF(Tabela4[[#This Row],[Sexo]]="M",1,0)</f>
        <v>1</v>
      </c>
      <c r="M25">
        <f>IF(Tabela4[[#This Row],[Sexo]]="F",1,0)</f>
        <v>0</v>
      </c>
      <c r="N25" s="5">
        <f>2019-Tabela4[[#This Row],[B-day]]</f>
        <v>17</v>
      </c>
      <c r="O25" s="5">
        <f>IF(Tabela4[[#This Row],[Idade]]&lt;21,1,0)</f>
        <v>1</v>
      </c>
      <c r="P25" s="5">
        <f>IF(Tabela4[[#This Row],[Idade]]&gt;20,1,0)</f>
        <v>0</v>
      </c>
      <c r="Q25" s="5">
        <f>IF(Tabela4[[#This Row],[Juniores]]=1,Tabela4[[#This Row],[B-day]],0)</f>
        <v>2002</v>
      </c>
    </row>
    <row r="26" spans="1:17" x14ac:dyDescent="0.25">
      <c r="A26">
        <v>2019</v>
      </c>
      <c r="B26">
        <v>14800446</v>
      </c>
      <c r="C26" t="s">
        <v>80</v>
      </c>
      <c r="D26" t="s">
        <v>1</v>
      </c>
      <c r="E26" t="s">
        <v>2</v>
      </c>
      <c r="F26">
        <v>1620</v>
      </c>
      <c r="G26">
        <v>0</v>
      </c>
      <c r="H26">
        <v>40</v>
      </c>
      <c r="I26">
        <v>1998</v>
      </c>
      <c r="K26" t="str">
        <f>LEFT(Tabela4[[#This Row],[Sex Tit  WTit OTit]],1)</f>
        <v>M</v>
      </c>
      <c r="L26">
        <f>IF(Tabela4[[#This Row],[Sexo]]="M",1,0)</f>
        <v>1</v>
      </c>
      <c r="M26">
        <f>IF(Tabela4[[#This Row],[Sexo]]="F",1,0)</f>
        <v>0</v>
      </c>
      <c r="N26" s="5">
        <f>2019-Tabela4[[#This Row],[B-day]]</f>
        <v>21</v>
      </c>
      <c r="O26" s="5">
        <f>IF(Tabela4[[#This Row],[Idade]]&lt;21,1,0)</f>
        <v>0</v>
      </c>
      <c r="P26" s="5">
        <f>IF(Tabela4[[#This Row],[Idade]]&gt;20,1,0)</f>
        <v>1</v>
      </c>
      <c r="Q26" s="5">
        <f>IF(Tabela4[[#This Row],[Juniores]]=1,Tabela4[[#This Row],[B-day]],0)</f>
        <v>0</v>
      </c>
    </row>
    <row r="27" spans="1:17" x14ac:dyDescent="0.25">
      <c r="A27">
        <v>2019</v>
      </c>
      <c r="B27">
        <v>14801574</v>
      </c>
      <c r="C27" t="s">
        <v>43</v>
      </c>
      <c r="D27" t="s">
        <v>1</v>
      </c>
      <c r="E27" t="s">
        <v>2</v>
      </c>
      <c r="F27">
        <v>1612</v>
      </c>
      <c r="G27">
        <v>0</v>
      </c>
      <c r="H27">
        <v>40</v>
      </c>
      <c r="I27">
        <v>1992</v>
      </c>
      <c r="J27" t="s">
        <v>3</v>
      </c>
      <c r="K27" t="str">
        <f>LEFT(Tabela4[[#This Row],[Sex Tit  WTit OTit]],1)</f>
        <v>M</v>
      </c>
      <c r="L27">
        <f>IF(Tabela4[[#This Row],[Sexo]]="M",1,0)</f>
        <v>1</v>
      </c>
      <c r="M27">
        <f>IF(Tabela4[[#This Row],[Sexo]]="F",1,0)</f>
        <v>0</v>
      </c>
      <c r="N27" s="5">
        <f>2019-Tabela4[[#This Row],[B-day]]</f>
        <v>27</v>
      </c>
      <c r="O27" s="5">
        <f>IF(Tabela4[[#This Row],[Idade]]&lt;21,1,0)</f>
        <v>0</v>
      </c>
      <c r="P27" s="5">
        <f>IF(Tabela4[[#This Row],[Idade]]&gt;20,1,0)</f>
        <v>1</v>
      </c>
      <c r="Q27" s="5">
        <f>IF(Tabela4[[#This Row],[Juniores]]=1,Tabela4[[#This Row],[B-day]],0)</f>
        <v>0</v>
      </c>
    </row>
    <row r="28" spans="1:17" x14ac:dyDescent="0.25">
      <c r="A28">
        <v>2019</v>
      </c>
      <c r="B28">
        <v>14801930</v>
      </c>
      <c r="C28" t="s">
        <v>81</v>
      </c>
      <c r="D28" t="s">
        <v>1</v>
      </c>
      <c r="E28" t="s">
        <v>2</v>
      </c>
      <c r="F28">
        <v>1603</v>
      </c>
      <c r="G28">
        <v>0</v>
      </c>
      <c r="H28">
        <v>40</v>
      </c>
      <c r="I28">
        <v>1999</v>
      </c>
      <c r="K28" t="str">
        <f>LEFT(Tabela4[[#This Row],[Sex Tit  WTit OTit]],1)</f>
        <v>M</v>
      </c>
      <c r="L28">
        <f>IF(Tabela4[[#This Row],[Sexo]]="M",1,0)</f>
        <v>1</v>
      </c>
      <c r="M28">
        <f>IF(Tabela4[[#This Row],[Sexo]]="F",1,0)</f>
        <v>0</v>
      </c>
      <c r="N28" s="5">
        <f>2019-Tabela4[[#This Row],[B-day]]</f>
        <v>20</v>
      </c>
      <c r="O28" s="5">
        <f>IF(Tabela4[[#This Row],[Idade]]&lt;21,1,0)</f>
        <v>1</v>
      </c>
      <c r="P28" s="5">
        <f>IF(Tabela4[[#This Row],[Idade]]&gt;20,1,0)</f>
        <v>0</v>
      </c>
      <c r="Q28" s="5">
        <f>IF(Tabela4[[#This Row],[Juniores]]=1,Tabela4[[#This Row],[B-day]],0)</f>
        <v>1999</v>
      </c>
    </row>
    <row r="29" spans="1:17" x14ac:dyDescent="0.25">
      <c r="A29">
        <v>2019</v>
      </c>
      <c r="B29">
        <v>14800780</v>
      </c>
      <c r="C29" t="s">
        <v>66</v>
      </c>
      <c r="D29" t="s">
        <v>1</v>
      </c>
      <c r="E29" t="s">
        <v>29</v>
      </c>
      <c r="F29">
        <v>1591</v>
      </c>
      <c r="G29">
        <v>0</v>
      </c>
      <c r="H29">
        <v>20</v>
      </c>
      <c r="I29">
        <v>1999</v>
      </c>
      <c r="J29" t="s">
        <v>17</v>
      </c>
      <c r="K29" t="str">
        <f>LEFT(Tabela4[[#This Row],[Sex Tit  WTit OTit]],1)</f>
        <v>F</v>
      </c>
      <c r="L29">
        <f>IF(Tabela4[[#This Row],[Sexo]]="M",1,0)</f>
        <v>0</v>
      </c>
      <c r="M29">
        <f>IF(Tabela4[[#This Row],[Sexo]]="F",1,0)</f>
        <v>1</v>
      </c>
      <c r="N29" s="5">
        <f>2019-Tabela4[[#This Row],[B-day]]</f>
        <v>20</v>
      </c>
      <c r="O29" s="5">
        <f>IF(Tabela4[[#This Row],[Idade]]&lt;21,1,0)</f>
        <v>1</v>
      </c>
      <c r="P29" s="5">
        <f>IF(Tabela4[[#This Row],[Idade]]&gt;20,1,0)</f>
        <v>0</v>
      </c>
      <c r="Q29" s="5">
        <f>IF(Tabela4[[#This Row],[Juniores]]=1,Tabela4[[#This Row],[B-day]],0)</f>
        <v>1999</v>
      </c>
    </row>
    <row r="30" spans="1:17" x14ac:dyDescent="0.25">
      <c r="A30">
        <v>2019</v>
      </c>
      <c r="B30">
        <v>14800306</v>
      </c>
      <c r="C30" t="s">
        <v>20</v>
      </c>
      <c r="D30" t="s">
        <v>1</v>
      </c>
      <c r="E30" t="s">
        <v>21</v>
      </c>
      <c r="F30">
        <v>1587</v>
      </c>
      <c r="G30">
        <v>0</v>
      </c>
      <c r="H30">
        <v>40</v>
      </c>
      <c r="I30">
        <v>1997</v>
      </c>
      <c r="J30" t="s">
        <v>22</v>
      </c>
      <c r="K30" t="str">
        <f>LEFT(Tabela4[[#This Row],[Sex Tit  WTit OTit]],1)</f>
        <v>F</v>
      </c>
      <c r="L30">
        <f>IF(Tabela4[[#This Row],[Sexo]]="M",1,0)</f>
        <v>0</v>
      </c>
      <c r="M30">
        <f>IF(Tabela4[[#This Row],[Sexo]]="F",1,0)</f>
        <v>1</v>
      </c>
      <c r="N30" s="5">
        <f>2019-Tabela4[[#This Row],[B-day]]</f>
        <v>22</v>
      </c>
      <c r="O30" s="5">
        <f>IF(Tabela4[[#This Row],[Idade]]&lt;21,1,0)</f>
        <v>0</v>
      </c>
      <c r="P30" s="5">
        <f>IF(Tabela4[[#This Row],[Idade]]&gt;20,1,0)</f>
        <v>1</v>
      </c>
      <c r="Q30" s="5">
        <f>IF(Tabela4[[#This Row],[Juniores]]=1,Tabela4[[#This Row],[B-day]],0)</f>
        <v>0</v>
      </c>
    </row>
    <row r="31" spans="1:17" x14ac:dyDescent="0.25">
      <c r="A31">
        <v>2019</v>
      </c>
      <c r="B31">
        <v>14800730</v>
      </c>
      <c r="C31" t="s">
        <v>54</v>
      </c>
      <c r="D31" t="s">
        <v>1</v>
      </c>
      <c r="E31" t="s">
        <v>2</v>
      </c>
      <c r="F31">
        <v>1583</v>
      </c>
      <c r="G31">
        <v>0</v>
      </c>
      <c r="H31">
        <v>40</v>
      </c>
      <c r="I31">
        <v>2004</v>
      </c>
      <c r="K31" t="str">
        <f>LEFT(Tabela4[[#This Row],[Sex Tit  WTit OTit]],1)</f>
        <v>M</v>
      </c>
      <c r="L31">
        <f>IF(Tabela4[[#This Row],[Sexo]]="M",1,0)</f>
        <v>1</v>
      </c>
      <c r="M31">
        <f>IF(Tabela4[[#This Row],[Sexo]]="F",1,0)</f>
        <v>0</v>
      </c>
      <c r="N31" s="5">
        <f>2019-Tabela4[[#This Row],[B-day]]</f>
        <v>15</v>
      </c>
      <c r="O31" s="5">
        <f>IF(Tabela4[[#This Row],[Idade]]&lt;21,1,0)</f>
        <v>1</v>
      </c>
      <c r="P31" s="5">
        <f>IF(Tabela4[[#This Row],[Idade]]&gt;20,1,0)</f>
        <v>0</v>
      </c>
      <c r="Q31" s="5">
        <f>IF(Tabela4[[#This Row],[Juniores]]=1,Tabela4[[#This Row],[B-day]],0)</f>
        <v>2004</v>
      </c>
    </row>
    <row r="32" spans="1:17" x14ac:dyDescent="0.25">
      <c r="A32">
        <v>2019</v>
      </c>
      <c r="B32">
        <v>14801230</v>
      </c>
      <c r="C32" t="s">
        <v>86</v>
      </c>
      <c r="D32" t="s">
        <v>1</v>
      </c>
      <c r="E32" t="s">
        <v>2</v>
      </c>
      <c r="F32">
        <v>1580</v>
      </c>
      <c r="G32">
        <v>0</v>
      </c>
      <c r="H32">
        <v>40</v>
      </c>
      <c r="I32">
        <v>2000</v>
      </c>
      <c r="K32" t="str">
        <f>LEFT(Tabela4[[#This Row],[Sex Tit  WTit OTit]],1)</f>
        <v>M</v>
      </c>
      <c r="L32">
        <f>IF(Tabela4[[#This Row],[Sexo]]="M",1,0)</f>
        <v>1</v>
      </c>
      <c r="M32">
        <f>IF(Tabela4[[#This Row],[Sexo]]="F",1,0)</f>
        <v>0</v>
      </c>
      <c r="N32" s="5">
        <f>2019-Tabela4[[#This Row],[B-day]]</f>
        <v>19</v>
      </c>
      <c r="O32" s="5">
        <f>IF(Tabela4[[#This Row],[Idade]]&lt;21,1,0)</f>
        <v>1</v>
      </c>
      <c r="P32" s="5">
        <f>IF(Tabela4[[#This Row],[Idade]]&gt;20,1,0)</f>
        <v>0</v>
      </c>
      <c r="Q32" s="5">
        <f>IF(Tabela4[[#This Row],[Juniores]]=1,Tabela4[[#This Row],[B-day]],0)</f>
        <v>2000</v>
      </c>
    </row>
    <row r="33" spans="1:17" x14ac:dyDescent="0.25">
      <c r="A33">
        <v>2019</v>
      </c>
      <c r="B33">
        <v>14800713</v>
      </c>
      <c r="C33" t="s">
        <v>83</v>
      </c>
      <c r="D33" t="s">
        <v>1</v>
      </c>
      <c r="E33" t="s">
        <v>2</v>
      </c>
      <c r="F33">
        <v>1576</v>
      </c>
      <c r="G33">
        <v>0</v>
      </c>
      <c r="H33">
        <v>40</v>
      </c>
      <c r="I33">
        <v>1980</v>
      </c>
      <c r="K33" t="str">
        <f>LEFT(Tabela4[[#This Row],[Sex Tit  WTit OTit]],1)</f>
        <v>M</v>
      </c>
      <c r="L33">
        <f>IF(Tabela4[[#This Row],[Sexo]]="M",1,0)</f>
        <v>1</v>
      </c>
      <c r="M33">
        <f>IF(Tabela4[[#This Row],[Sexo]]="F",1,0)</f>
        <v>0</v>
      </c>
      <c r="N33" s="5">
        <f>2019-Tabela4[[#This Row],[B-day]]</f>
        <v>39</v>
      </c>
      <c r="O33" s="5">
        <f>IF(Tabela4[[#This Row],[Idade]]&lt;21,1,0)</f>
        <v>0</v>
      </c>
      <c r="P33" s="5">
        <f>IF(Tabela4[[#This Row],[Idade]]&gt;20,1,0)</f>
        <v>1</v>
      </c>
      <c r="Q33" s="5">
        <f>IF(Tabela4[[#This Row],[Juniores]]=1,Tabela4[[#This Row],[B-day]],0)</f>
        <v>0</v>
      </c>
    </row>
    <row r="34" spans="1:17" x14ac:dyDescent="0.25">
      <c r="A34">
        <v>2019</v>
      </c>
      <c r="B34">
        <v>14801663</v>
      </c>
      <c r="C34" t="s">
        <v>61</v>
      </c>
      <c r="D34" t="s">
        <v>1</v>
      </c>
      <c r="E34" t="s">
        <v>2</v>
      </c>
      <c r="F34">
        <v>1546</v>
      </c>
      <c r="G34">
        <v>0</v>
      </c>
      <c r="H34">
        <v>40</v>
      </c>
      <c r="I34">
        <v>1979</v>
      </c>
      <c r="J34" t="s">
        <v>3</v>
      </c>
      <c r="K34" t="str">
        <f>LEFT(Tabela4[[#This Row],[Sex Tit  WTit OTit]],1)</f>
        <v>M</v>
      </c>
      <c r="L34">
        <f>IF(Tabela4[[#This Row],[Sexo]]="M",1,0)</f>
        <v>1</v>
      </c>
      <c r="M34">
        <f>IF(Tabela4[[#This Row],[Sexo]]="F",1,0)</f>
        <v>0</v>
      </c>
      <c r="N34" s="5">
        <f>2019-Tabela4[[#This Row],[B-day]]</f>
        <v>40</v>
      </c>
      <c r="O34" s="5">
        <f>IF(Tabela4[[#This Row],[Idade]]&lt;21,1,0)</f>
        <v>0</v>
      </c>
      <c r="P34" s="5">
        <f>IF(Tabela4[[#This Row],[Idade]]&gt;20,1,0)</f>
        <v>1</v>
      </c>
      <c r="Q34" s="5">
        <f>IF(Tabela4[[#This Row],[Juniores]]=1,Tabela4[[#This Row],[B-day]],0)</f>
        <v>0</v>
      </c>
    </row>
    <row r="35" spans="1:17" x14ac:dyDescent="0.25">
      <c r="A35">
        <v>2019</v>
      </c>
      <c r="B35">
        <v>14800101</v>
      </c>
      <c r="C35" t="s">
        <v>25</v>
      </c>
      <c r="D35" t="s">
        <v>1</v>
      </c>
      <c r="E35" t="s">
        <v>21</v>
      </c>
      <c r="F35">
        <v>1535</v>
      </c>
      <c r="G35">
        <v>0</v>
      </c>
      <c r="H35">
        <v>40</v>
      </c>
      <c r="I35">
        <v>1998</v>
      </c>
      <c r="J35" t="s">
        <v>22</v>
      </c>
      <c r="K35" t="str">
        <f>LEFT(Tabela4[[#This Row],[Sex Tit  WTit OTit]],1)</f>
        <v>F</v>
      </c>
      <c r="L35">
        <f>IF(Tabela4[[#This Row],[Sexo]]="M",1,0)</f>
        <v>0</v>
      </c>
      <c r="M35">
        <f>IF(Tabela4[[#This Row],[Sexo]]="F",1,0)</f>
        <v>1</v>
      </c>
      <c r="N35" s="5">
        <f>2019-Tabela4[[#This Row],[B-day]]</f>
        <v>21</v>
      </c>
      <c r="O35" s="5">
        <f>IF(Tabela4[[#This Row],[Idade]]&lt;21,1,0)</f>
        <v>0</v>
      </c>
      <c r="P35" s="5">
        <f>IF(Tabela4[[#This Row],[Idade]]&gt;20,1,0)</f>
        <v>1</v>
      </c>
      <c r="Q35" s="5">
        <f>IF(Tabela4[[#This Row],[Juniores]]=1,Tabela4[[#This Row],[B-day]],0)</f>
        <v>0</v>
      </c>
    </row>
    <row r="36" spans="1:17" x14ac:dyDescent="0.25">
      <c r="A36">
        <v>2019</v>
      </c>
      <c r="B36">
        <v>14800128</v>
      </c>
      <c r="C36" t="s">
        <v>39</v>
      </c>
      <c r="D36" t="s">
        <v>1</v>
      </c>
      <c r="E36" t="s">
        <v>2</v>
      </c>
      <c r="F36">
        <v>1525</v>
      </c>
      <c r="G36">
        <v>0</v>
      </c>
      <c r="H36">
        <v>40</v>
      </c>
      <c r="I36">
        <v>0</v>
      </c>
      <c r="J36" t="s">
        <v>3</v>
      </c>
      <c r="K36" t="str">
        <f>LEFT(Tabela4[[#This Row],[Sex Tit  WTit OTit]],1)</f>
        <v>M</v>
      </c>
      <c r="L36">
        <f>IF(Tabela4[[#This Row],[Sexo]]="M",1,0)</f>
        <v>1</v>
      </c>
      <c r="M36">
        <f>IF(Tabela4[[#This Row],[Sexo]]="F",1,0)</f>
        <v>0</v>
      </c>
      <c r="N36" s="5">
        <f>2019-Tabela4[[#This Row],[B-day]]</f>
        <v>2019</v>
      </c>
      <c r="O36" s="5">
        <f>IF(Tabela4[[#This Row],[Idade]]&lt;21,1,0)</f>
        <v>0</v>
      </c>
      <c r="P36" s="5">
        <f>IF(Tabela4[[#This Row],[Idade]]&gt;20,1,0)</f>
        <v>1</v>
      </c>
      <c r="Q36" s="5">
        <f>IF(Tabela4[[#This Row],[Juniores]]=1,Tabela4[[#This Row],[B-day]],0)</f>
        <v>0</v>
      </c>
    </row>
    <row r="37" spans="1:17" x14ac:dyDescent="0.25">
      <c r="A37">
        <v>2019</v>
      </c>
      <c r="B37">
        <v>14801310</v>
      </c>
      <c r="C37" t="s">
        <v>56</v>
      </c>
      <c r="D37" t="s">
        <v>1</v>
      </c>
      <c r="E37" t="s">
        <v>2</v>
      </c>
      <c r="F37">
        <v>1523</v>
      </c>
      <c r="G37">
        <v>0</v>
      </c>
      <c r="H37">
        <v>40</v>
      </c>
      <c r="I37">
        <v>1994</v>
      </c>
      <c r="K37" t="str">
        <f>LEFT(Tabela4[[#This Row],[Sex Tit  WTit OTit]],1)</f>
        <v>M</v>
      </c>
      <c r="L37">
        <f>IF(Tabela4[[#This Row],[Sexo]]="M",1,0)</f>
        <v>1</v>
      </c>
      <c r="M37">
        <f>IF(Tabela4[[#This Row],[Sexo]]="F",1,0)</f>
        <v>0</v>
      </c>
      <c r="N37" s="5">
        <f>2019-Tabela4[[#This Row],[B-day]]</f>
        <v>25</v>
      </c>
      <c r="O37" s="5">
        <f>IF(Tabela4[[#This Row],[Idade]]&lt;21,1,0)</f>
        <v>0</v>
      </c>
      <c r="P37" s="5">
        <f>IF(Tabela4[[#This Row],[Idade]]&gt;20,1,0)</f>
        <v>1</v>
      </c>
      <c r="Q37" s="5">
        <f>IF(Tabela4[[#This Row],[Juniores]]=1,Tabela4[[#This Row],[B-day]],0)</f>
        <v>0</v>
      </c>
    </row>
    <row r="38" spans="1:17" x14ac:dyDescent="0.25">
      <c r="A38">
        <v>2019</v>
      </c>
      <c r="B38">
        <v>14800250</v>
      </c>
      <c r="C38" t="s">
        <v>28</v>
      </c>
      <c r="D38" t="s">
        <v>1</v>
      </c>
      <c r="E38" t="s">
        <v>29</v>
      </c>
      <c r="F38">
        <v>1520</v>
      </c>
      <c r="G38">
        <v>0</v>
      </c>
      <c r="H38">
        <v>20</v>
      </c>
      <c r="I38">
        <v>1995</v>
      </c>
      <c r="J38" t="s">
        <v>17</v>
      </c>
      <c r="K38" t="str">
        <f>LEFT(Tabela4[[#This Row],[Sex Tit  WTit OTit]],1)</f>
        <v>F</v>
      </c>
      <c r="L38">
        <f>IF(Tabela4[[#This Row],[Sexo]]="M",1,0)</f>
        <v>0</v>
      </c>
      <c r="M38">
        <f>IF(Tabela4[[#This Row],[Sexo]]="F",1,0)</f>
        <v>1</v>
      </c>
      <c r="N38" s="5">
        <f>2019-Tabela4[[#This Row],[B-day]]</f>
        <v>24</v>
      </c>
      <c r="O38" s="5">
        <f>IF(Tabela4[[#This Row],[Idade]]&lt;21,1,0)</f>
        <v>0</v>
      </c>
      <c r="P38" s="5">
        <f>IF(Tabela4[[#This Row],[Idade]]&gt;20,1,0)</f>
        <v>1</v>
      </c>
      <c r="Q38" s="5">
        <f>IF(Tabela4[[#This Row],[Juniores]]=1,Tabela4[[#This Row],[B-day]],0)</f>
        <v>0</v>
      </c>
    </row>
    <row r="39" spans="1:17" x14ac:dyDescent="0.25">
      <c r="A39">
        <v>2019</v>
      </c>
      <c r="B39">
        <v>14800152</v>
      </c>
      <c r="C39" t="s">
        <v>23</v>
      </c>
      <c r="D39" t="s">
        <v>1</v>
      </c>
      <c r="E39" t="s">
        <v>21</v>
      </c>
      <c r="F39">
        <v>1516</v>
      </c>
      <c r="G39">
        <v>0</v>
      </c>
      <c r="H39">
        <v>40</v>
      </c>
      <c r="I39">
        <v>1995</v>
      </c>
      <c r="J39" t="s">
        <v>22</v>
      </c>
      <c r="K39" t="str">
        <f>LEFT(Tabela4[[#This Row],[Sex Tit  WTit OTit]],1)</f>
        <v>F</v>
      </c>
      <c r="L39">
        <f>IF(Tabela4[[#This Row],[Sexo]]="M",1,0)</f>
        <v>0</v>
      </c>
      <c r="M39">
        <f>IF(Tabela4[[#This Row],[Sexo]]="F",1,0)</f>
        <v>1</v>
      </c>
      <c r="N39" s="5">
        <f>2019-Tabela4[[#This Row],[B-day]]</f>
        <v>24</v>
      </c>
      <c r="O39" s="5">
        <f>IF(Tabela4[[#This Row],[Idade]]&lt;21,1,0)</f>
        <v>0</v>
      </c>
      <c r="P39" s="5">
        <f>IF(Tabela4[[#This Row],[Idade]]&gt;20,1,0)</f>
        <v>1</v>
      </c>
      <c r="Q39" s="5">
        <f>IF(Tabela4[[#This Row],[Juniores]]=1,Tabela4[[#This Row],[B-day]],0)</f>
        <v>0</v>
      </c>
    </row>
    <row r="40" spans="1:17" x14ac:dyDescent="0.25">
      <c r="A40">
        <v>2019</v>
      </c>
      <c r="B40">
        <v>14801485</v>
      </c>
      <c r="C40" t="s">
        <v>84</v>
      </c>
      <c r="D40" t="s">
        <v>1</v>
      </c>
      <c r="E40" t="s">
        <v>2</v>
      </c>
      <c r="F40">
        <v>1511</v>
      </c>
      <c r="G40">
        <v>0</v>
      </c>
      <c r="H40">
        <v>40</v>
      </c>
      <c r="I40">
        <v>1998</v>
      </c>
      <c r="K40" t="str">
        <f>LEFT(Tabela4[[#This Row],[Sex Tit  WTit OTit]],1)</f>
        <v>M</v>
      </c>
      <c r="L40">
        <f>IF(Tabela4[[#This Row],[Sexo]]="M",1,0)</f>
        <v>1</v>
      </c>
      <c r="M40">
        <f>IF(Tabela4[[#This Row],[Sexo]]="F",1,0)</f>
        <v>0</v>
      </c>
      <c r="N40" s="5">
        <f>2019-Tabela4[[#This Row],[B-day]]</f>
        <v>21</v>
      </c>
      <c r="O40" s="5">
        <f>IF(Tabela4[[#This Row],[Idade]]&lt;21,1,0)</f>
        <v>0</v>
      </c>
      <c r="P40" s="5">
        <f>IF(Tabela4[[#This Row],[Idade]]&gt;20,1,0)</f>
        <v>1</v>
      </c>
      <c r="Q40" s="5">
        <f>IF(Tabela4[[#This Row],[Juniores]]=1,Tabela4[[#This Row],[B-day]],0)</f>
        <v>0</v>
      </c>
    </row>
    <row r="41" spans="1:17" x14ac:dyDescent="0.25">
      <c r="A41">
        <v>2019</v>
      </c>
      <c r="B41">
        <v>14801159</v>
      </c>
      <c r="C41" t="s">
        <v>57</v>
      </c>
      <c r="D41" t="s">
        <v>1</v>
      </c>
      <c r="E41" t="s">
        <v>2</v>
      </c>
      <c r="F41">
        <v>1504</v>
      </c>
      <c r="G41">
        <v>0</v>
      </c>
      <c r="H41">
        <v>40</v>
      </c>
      <c r="I41">
        <v>1956</v>
      </c>
      <c r="J41" t="s">
        <v>3</v>
      </c>
      <c r="K41" t="str">
        <f>LEFT(Tabela4[[#This Row],[Sex Tit  WTit OTit]],1)</f>
        <v>M</v>
      </c>
      <c r="L41">
        <f>IF(Tabela4[[#This Row],[Sexo]]="M",1,0)</f>
        <v>1</v>
      </c>
      <c r="M41">
        <f>IF(Tabela4[[#This Row],[Sexo]]="F",1,0)</f>
        <v>0</v>
      </c>
      <c r="N41" s="5">
        <f>2019-Tabela4[[#This Row],[B-day]]</f>
        <v>63</v>
      </c>
      <c r="O41" s="5">
        <f>IF(Tabela4[[#This Row],[Idade]]&lt;21,1,0)</f>
        <v>0</v>
      </c>
      <c r="P41" s="5">
        <f>IF(Tabela4[[#This Row],[Idade]]&gt;20,1,0)</f>
        <v>1</v>
      </c>
      <c r="Q41" s="5">
        <f>IF(Tabela4[[#This Row],[Juniores]]=1,Tabela4[[#This Row],[B-day]],0)</f>
        <v>0</v>
      </c>
    </row>
    <row r="42" spans="1:17" x14ac:dyDescent="0.25">
      <c r="A42">
        <v>2019</v>
      </c>
      <c r="B42">
        <v>14801922</v>
      </c>
      <c r="C42" t="s">
        <v>82</v>
      </c>
      <c r="D42" t="s">
        <v>1</v>
      </c>
      <c r="E42" t="s">
        <v>21</v>
      </c>
      <c r="F42">
        <v>1497</v>
      </c>
      <c r="G42">
        <v>0</v>
      </c>
      <c r="H42">
        <v>40</v>
      </c>
      <c r="I42">
        <v>1999</v>
      </c>
      <c r="J42" t="s">
        <v>17</v>
      </c>
      <c r="K42" t="str">
        <f>LEFT(Tabela4[[#This Row],[Sex Tit  WTit OTit]],1)</f>
        <v>F</v>
      </c>
      <c r="L42">
        <f>IF(Tabela4[[#This Row],[Sexo]]="M",1,0)</f>
        <v>0</v>
      </c>
      <c r="M42">
        <f>IF(Tabela4[[#This Row],[Sexo]]="F",1,0)</f>
        <v>1</v>
      </c>
      <c r="N42" s="5">
        <f>2019-Tabela4[[#This Row],[B-day]]</f>
        <v>20</v>
      </c>
      <c r="O42" s="5">
        <f>IF(Tabela4[[#This Row],[Idade]]&lt;21,1,0)</f>
        <v>1</v>
      </c>
      <c r="P42" s="5">
        <f>IF(Tabela4[[#This Row],[Idade]]&gt;20,1,0)</f>
        <v>0</v>
      </c>
      <c r="Q42" s="5">
        <f>IF(Tabela4[[#This Row],[Juniores]]=1,Tabela4[[#This Row],[B-day]],0)</f>
        <v>1999</v>
      </c>
    </row>
    <row r="43" spans="1:17" x14ac:dyDescent="0.25">
      <c r="A43">
        <v>2019</v>
      </c>
      <c r="B43">
        <v>14801221</v>
      </c>
      <c r="C43" t="s">
        <v>52</v>
      </c>
      <c r="D43" t="s">
        <v>1</v>
      </c>
      <c r="E43" t="s">
        <v>2</v>
      </c>
      <c r="F43">
        <v>1495</v>
      </c>
      <c r="G43">
        <v>0</v>
      </c>
      <c r="H43">
        <v>40</v>
      </c>
      <c r="I43">
        <v>1999</v>
      </c>
      <c r="J43" t="s">
        <v>3</v>
      </c>
      <c r="K43" t="str">
        <f>LEFT(Tabela4[[#This Row],[Sex Tit  WTit OTit]],1)</f>
        <v>M</v>
      </c>
      <c r="L43">
        <f>IF(Tabela4[[#This Row],[Sexo]]="M",1,0)</f>
        <v>1</v>
      </c>
      <c r="M43">
        <f>IF(Tabela4[[#This Row],[Sexo]]="F",1,0)</f>
        <v>0</v>
      </c>
      <c r="N43" s="5">
        <f>2019-Tabela4[[#This Row],[B-day]]</f>
        <v>20</v>
      </c>
      <c r="O43" s="5">
        <f>IF(Tabela4[[#This Row],[Idade]]&lt;21,1,0)</f>
        <v>1</v>
      </c>
      <c r="P43" s="5">
        <f>IF(Tabela4[[#This Row],[Idade]]&gt;20,1,0)</f>
        <v>0</v>
      </c>
      <c r="Q43" s="5">
        <f>IF(Tabela4[[#This Row],[Juniores]]=1,Tabela4[[#This Row],[B-day]],0)</f>
        <v>1999</v>
      </c>
    </row>
    <row r="44" spans="1:17" x14ac:dyDescent="0.25">
      <c r="A44">
        <v>2019</v>
      </c>
      <c r="B44">
        <v>14800454</v>
      </c>
      <c r="C44" t="s">
        <v>26</v>
      </c>
      <c r="D44" t="s">
        <v>1</v>
      </c>
      <c r="E44" t="s">
        <v>21</v>
      </c>
      <c r="F44">
        <v>1492</v>
      </c>
      <c r="G44">
        <v>0</v>
      </c>
      <c r="H44">
        <v>40</v>
      </c>
      <c r="I44">
        <v>1999</v>
      </c>
      <c r="J44" t="s">
        <v>22</v>
      </c>
      <c r="K44" t="str">
        <f>LEFT(Tabela4[[#This Row],[Sex Tit  WTit OTit]],1)</f>
        <v>F</v>
      </c>
      <c r="L44">
        <f>IF(Tabela4[[#This Row],[Sexo]]="M",1,0)</f>
        <v>0</v>
      </c>
      <c r="M44">
        <f>IF(Tabela4[[#This Row],[Sexo]]="F",1,0)</f>
        <v>1</v>
      </c>
      <c r="N44" s="5">
        <f>2019-Tabela4[[#This Row],[B-day]]</f>
        <v>20</v>
      </c>
      <c r="O44" s="5">
        <f>IF(Tabela4[[#This Row],[Idade]]&lt;21,1,0)</f>
        <v>1</v>
      </c>
      <c r="P44" s="5">
        <f>IF(Tabela4[[#This Row],[Idade]]&gt;20,1,0)</f>
        <v>0</v>
      </c>
      <c r="Q44" s="5">
        <f>IF(Tabela4[[#This Row],[Juniores]]=1,Tabela4[[#This Row],[B-day]],0)</f>
        <v>1999</v>
      </c>
    </row>
    <row r="45" spans="1:17" x14ac:dyDescent="0.25">
      <c r="A45">
        <v>2019</v>
      </c>
      <c r="B45">
        <v>14801817</v>
      </c>
      <c r="C45" t="s">
        <v>89</v>
      </c>
      <c r="D45" t="s">
        <v>1</v>
      </c>
      <c r="E45" t="s">
        <v>2</v>
      </c>
      <c r="F45">
        <v>1486</v>
      </c>
      <c r="G45">
        <v>0</v>
      </c>
      <c r="H45">
        <v>40</v>
      </c>
      <c r="I45">
        <v>1987</v>
      </c>
      <c r="K45" t="str">
        <f>LEFT(Tabela4[[#This Row],[Sex Tit  WTit OTit]],1)</f>
        <v>M</v>
      </c>
      <c r="L45">
        <f>IF(Tabela4[[#This Row],[Sexo]]="M",1,0)</f>
        <v>1</v>
      </c>
      <c r="M45">
        <f>IF(Tabela4[[#This Row],[Sexo]]="F",1,0)</f>
        <v>0</v>
      </c>
      <c r="N45" s="5">
        <f>2019-Tabela4[[#This Row],[B-day]]</f>
        <v>32</v>
      </c>
      <c r="O45" s="5">
        <f>IF(Tabela4[[#This Row],[Idade]]&lt;21,1,0)</f>
        <v>0</v>
      </c>
      <c r="P45" s="5">
        <f>IF(Tabela4[[#This Row],[Idade]]&gt;20,1,0)</f>
        <v>1</v>
      </c>
      <c r="Q45" s="5">
        <f>IF(Tabela4[[#This Row],[Juniores]]=1,Tabela4[[#This Row],[B-day]],0)</f>
        <v>0</v>
      </c>
    </row>
    <row r="46" spans="1:17" x14ac:dyDescent="0.25">
      <c r="A46">
        <v>2019</v>
      </c>
      <c r="B46">
        <v>14800187</v>
      </c>
      <c r="C46" t="s">
        <v>27</v>
      </c>
      <c r="D46" t="s">
        <v>1</v>
      </c>
      <c r="E46" t="s">
        <v>21</v>
      </c>
      <c r="F46">
        <v>1472</v>
      </c>
      <c r="G46">
        <v>0</v>
      </c>
      <c r="H46">
        <v>40</v>
      </c>
      <c r="I46">
        <v>1994</v>
      </c>
      <c r="J46" t="s">
        <v>22</v>
      </c>
      <c r="K46" t="str">
        <f>LEFT(Tabela4[[#This Row],[Sex Tit  WTit OTit]],1)</f>
        <v>F</v>
      </c>
      <c r="L46">
        <f>IF(Tabela4[[#This Row],[Sexo]]="M",1,0)</f>
        <v>0</v>
      </c>
      <c r="M46">
        <f>IF(Tabela4[[#This Row],[Sexo]]="F",1,0)</f>
        <v>1</v>
      </c>
      <c r="N46" s="5">
        <f>2019-Tabela4[[#This Row],[B-day]]</f>
        <v>25</v>
      </c>
      <c r="O46" s="5">
        <f>IF(Tabela4[[#This Row],[Idade]]&lt;21,1,0)</f>
        <v>0</v>
      </c>
      <c r="P46" s="5">
        <f>IF(Tabela4[[#This Row],[Idade]]&gt;20,1,0)</f>
        <v>1</v>
      </c>
      <c r="Q46" s="5">
        <f>IF(Tabela4[[#This Row],[Juniores]]=1,Tabela4[[#This Row],[B-day]],0)</f>
        <v>0</v>
      </c>
    </row>
    <row r="47" spans="1:17" x14ac:dyDescent="0.25">
      <c r="A47">
        <v>2019</v>
      </c>
      <c r="B47">
        <v>14801345</v>
      </c>
      <c r="C47" t="s">
        <v>64</v>
      </c>
      <c r="D47" t="s">
        <v>1</v>
      </c>
      <c r="E47" t="s">
        <v>2</v>
      </c>
      <c r="F47">
        <v>1439</v>
      </c>
      <c r="G47">
        <v>0</v>
      </c>
      <c r="H47">
        <v>40</v>
      </c>
      <c r="I47">
        <v>1997</v>
      </c>
      <c r="K47" t="str">
        <f>LEFT(Tabela4[[#This Row],[Sex Tit  WTit OTit]],1)</f>
        <v>M</v>
      </c>
      <c r="L47">
        <f>IF(Tabela4[[#This Row],[Sexo]]="M",1,0)</f>
        <v>1</v>
      </c>
      <c r="M47">
        <f>IF(Tabela4[[#This Row],[Sexo]]="F",1,0)</f>
        <v>0</v>
      </c>
      <c r="N47" s="5">
        <f>2019-Tabela4[[#This Row],[B-day]]</f>
        <v>22</v>
      </c>
      <c r="O47" s="5">
        <f>IF(Tabela4[[#This Row],[Idade]]&lt;21,1,0)</f>
        <v>0</v>
      </c>
      <c r="P47" s="5">
        <f>IF(Tabela4[[#This Row],[Idade]]&gt;20,1,0)</f>
        <v>1</v>
      </c>
      <c r="Q47" s="5">
        <f>IF(Tabela4[[#This Row],[Juniores]]=1,Tabela4[[#This Row],[B-day]],0)</f>
        <v>0</v>
      </c>
    </row>
    <row r="48" spans="1:17" x14ac:dyDescent="0.25">
      <c r="A48">
        <v>2019</v>
      </c>
      <c r="B48">
        <v>14800292</v>
      </c>
      <c r="C48" t="s">
        <v>32</v>
      </c>
      <c r="D48" t="s">
        <v>1</v>
      </c>
      <c r="E48" t="s">
        <v>29</v>
      </c>
      <c r="F48">
        <v>1431</v>
      </c>
      <c r="G48">
        <v>0</v>
      </c>
      <c r="H48">
        <v>20</v>
      </c>
      <c r="I48">
        <v>1998</v>
      </c>
      <c r="J48" t="s">
        <v>17</v>
      </c>
      <c r="K48" t="str">
        <f>LEFT(Tabela4[[#This Row],[Sex Tit  WTit OTit]],1)</f>
        <v>F</v>
      </c>
      <c r="L48">
        <f>IF(Tabela4[[#This Row],[Sexo]]="M",1,0)</f>
        <v>0</v>
      </c>
      <c r="M48">
        <f>IF(Tabela4[[#This Row],[Sexo]]="F",1,0)</f>
        <v>1</v>
      </c>
      <c r="N48" s="5">
        <f>2019-Tabela4[[#This Row],[B-day]]</f>
        <v>21</v>
      </c>
      <c r="O48" s="5">
        <f>IF(Tabela4[[#This Row],[Idade]]&lt;21,1,0)</f>
        <v>0</v>
      </c>
      <c r="P48" s="5">
        <f>IF(Tabela4[[#This Row],[Idade]]&gt;20,1,0)</f>
        <v>1</v>
      </c>
      <c r="Q48" s="5">
        <f>IF(Tabela4[[#This Row],[Juniores]]=1,Tabela4[[#This Row],[B-day]],0)</f>
        <v>0</v>
      </c>
    </row>
    <row r="49" spans="1:17" x14ac:dyDescent="0.25">
      <c r="A49">
        <v>2019</v>
      </c>
      <c r="B49">
        <v>14800527</v>
      </c>
      <c r="C49" t="s">
        <v>88</v>
      </c>
      <c r="D49" t="s">
        <v>1</v>
      </c>
      <c r="E49" t="s">
        <v>2</v>
      </c>
      <c r="F49">
        <v>1409</v>
      </c>
      <c r="G49">
        <v>0</v>
      </c>
      <c r="H49">
        <v>40</v>
      </c>
      <c r="I49">
        <v>1997</v>
      </c>
      <c r="K49" t="str">
        <f>LEFT(Tabela4[[#This Row],[Sex Tit  WTit OTit]],1)</f>
        <v>M</v>
      </c>
      <c r="L49">
        <f>IF(Tabela4[[#This Row],[Sexo]]="M",1,0)</f>
        <v>1</v>
      </c>
      <c r="M49">
        <f>IF(Tabela4[[#This Row],[Sexo]]="F",1,0)</f>
        <v>0</v>
      </c>
      <c r="N49" s="5">
        <f>2019-Tabela4[[#This Row],[B-day]]</f>
        <v>22</v>
      </c>
      <c r="O49" s="5">
        <f>IF(Tabela4[[#This Row],[Idade]]&lt;21,1,0)</f>
        <v>0</v>
      </c>
      <c r="P49" s="5">
        <f>IF(Tabela4[[#This Row],[Idade]]&gt;20,1,0)</f>
        <v>1</v>
      </c>
      <c r="Q49" s="5">
        <f>IF(Tabela4[[#This Row],[Juniores]]=1,Tabela4[[#This Row],[B-day]],0)</f>
        <v>0</v>
      </c>
    </row>
    <row r="50" spans="1:17" x14ac:dyDescent="0.25">
      <c r="A50">
        <v>2019</v>
      </c>
      <c r="B50">
        <v>14800462</v>
      </c>
      <c r="C50" t="s">
        <v>31</v>
      </c>
      <c r="D50" t="s">
        <v>1</v>
      </c>
      <c r="E50" t="s">
        <v>21</v>
      </c>
      <c r="F50">
        <v>1390</v>
      </c>
      <c r="G50">
        <v>0</v>
      </c>
      <c r="H50">
        <v>40</v>
      </c>
      <c r="I50">
        <v>1991</v>
      </c>
      <c r="J50" t="s">
        <v>22</v>
      </c>
      <c r="K50" t="str">
        <f>LEFT(Tabela4[[#This Row],[Sex Tit  WTit OTit]],1)</f>
        <v>F</v>
      </c>
      <c r="L50">
        <f>IF(Tabela4[[#This Row],[Sexo]]="M",1,0)</f>
        <v>0</v>
      </c>
      <c r="M50">
        <f>IF(Tabela4[[#This Row],[Sexo]]="F",1,0)</f>
        <v>1</v>
      </c>
      <c r="N50" s="5">
        <f>2019-Tabela4[[#This Row],[B-day]]</f>
        <v>28</v>
      </c>
      <c r="O50" s="5">
        <f>IF(Tabela4[[#This Row],[Idade]]&lt;21,1,0)</f>
        <v>0</v>
      </c>
      <c r="P50" s="5">
        <f>IF(Tabela4[[#This Row],[Idade]]&gt;20,1,0)</f>
        <v>1</v>
      </c>
      <c r="Q50" s="5">
        <f>IF(Tabela4[[#This Row],[Juniores]]=1,Tabela4[[#This Row],[B-day]],0)</f>
        <v>0</v>
      </c>
    </row>
    <row r="51" spans="1:17" x14ac:dyDescent="0.25">
      <c r="A51">
        <v>2019</v>
      </c>
      <c r="B51">
        <v>14801183</v>
      </c>
      <c r="C51" t="s">
        <v>87</v>
      </c>
      <c r="D51" t="s">
        <v>1</v>
      </c>
      <c r="E51" t="s">
        <v>2</v>
      </c>
      <c r="F51">
        <v>1385</v>
      </c>
      <c r="G51">
        <v>0</v>
      </c>
      <c r="H51">
        <v>40</v>
      </c>
      <c r="I51">
        <v>2001</v>
      </c>
      <c r="K51" t="str">
        <f>LEFT(Tabela4[[#This Row],[Sex Tit  WTit OTit]],1)</f>
        <v>M</v>
      </c>
      <c r="L51">
        <f>IF(Tabela4[[#This Row],[Sexo]]="M",1,0)</f>
        <v>1</v>
      </c>
      <c r="M51">
        <f>IF(Tabela4[[#This Row],[Sexo]]="F",1,0)</f>
        <v>0</v>
      </c>
      <c r="N51" s="5">
        <f>2019-Tabela4[[#This Row],[B-day]]</f>
        <v>18</v>
      </c>
      <c r="O51" s="5">
        <f>IF(Tabela4[[#This Row],[Idade]]&lt;21,1,0)</f>
        <v>1</v>
      </c>
      <c r="P51" s="5">
        <f>IF(Tabela4[[#This Row],[Idade]]&gt;20,1,0)</f>
        <v>0</v>
      </c>
      <c r="Q51" s="5">
        <f>IF(Tabela4[[#This Row],[Juniores]]=1,Tabela4[[#This Row],[B-day]],0)</f>
        <v>2001</v>
      </c>
    </row>
    <row r="52" spans="1:17" x14ac:dyDescent="0.25">
      <c r="A52">
        <v>2019</v>
      </c>
      <c r="B52">
        <v>14801523</v>
      </c>
      <c r="C52" t="s">
        <v>69</v>
      </c>
      <c r="D52" t="s">
        <v>1</v>
      </c>
      <c r="E52" t="s">
        <v>2</v>
      </c>
      <c r="F52">
        <v>1382</v>
      </c>
      <c r="G52">
        <v>0</v>
      </c>
      <c r="H52">
        <v>40</v>
      </c>
      <c r="I52">
        <v>1995</v>
      </c>
      <c r="J52" t="s">
        <v>3</v>
      </c>
      <c r="K52" t="str">
        <f>LEFT(Tabela4[[#This Row],[Sex Tit  WTit OTit]],1)</f>
        <v>M</v>
      </c>
      <c r="L52">
        <f>IF(Tabela4[[#This Row],[Sexo]]="M",1,0)</f>
        <v>1</v>
      </c>
      <c r="M52">
        <f>IF(Tabela4[[#This Row],[Sexo]]="F",1,0)</f>
        <v>0</v>
      </c>
      <c r="N52" s="5">
        <f>2019-Tabela4[[#This Row],[B-day]]</f>
        <v>24</v>
      </c>
      <c r="O52" s="5">
        <f>IF(Tabela4[[#This Row],[Idade]]&lt;21,1,0)</f>
        <v>0</v>
      </c>
      <c r="P52" s="5">
        <f>IF(Tabela4[[#This Row],[Idade]]&gt;20,1,0)</f>
        <v>1</v>
      </c>
      <c r="Q52" s="5">
        <f>IF(Tabela4[[#This Row],[Juniores]]=1,Tabela4[[#This Row],[B-day]],0)</f>
        <v>0</v>
      </c>
    </row>
    <row r="53" spans="1:17" x14ac:dyDescent="0.25">
      <c r="A53">
        <v>2019</v>
      </c>
      <c r="B53">
        <v>14800659</v>
      </c>
      <c r="C53" t="s">
        <v>47</v>
      </c>
      <c r="D53" t="s">
        <v>1</v>
      </c>
      <c r="E53" t="s">
        <v>21</v>
      </c>
      <c r="F53">
        <v>1376</v>
      </c>
      <c r="G53">
        <v>0</v>
      </c>
      <c r="H53">
        <v>40</v>
      </c>
      <c r="I53">
        <v>2002</v>
      </c>
      <c r="J53" t="s">
        <v>17</v>
      </c>
      <c r="K53" t="str">
        <f>LEFT(Tabela4[[#This Row],[Sex Tit  WTit OTit]],1)</f>
        <v>F</v>
      </c>
      <c r="L53">
        <f>IF(Tabela4[[#This Row],[Sexo]]="M",1,0)</f>
        <v>0</v>
      </c>
      <c r="M53">
        <f>IF(Tabela4[[#This Row],[Sexo]]="F",1,0)</f>
        <v>1</v>
      </c>
      <c r="N53" s="5">
        <f>2019-Tabela4[[#This Row],[B-day]]</f>
        <v>17</v>
      </c>
      <c r="O53" s="5">
        <f>IF(Tabela4[[#This Row],[Idade]]&lt;21,1,0)</f>
        <v>1</v>
      </c>
      <c r="P53" s="5">
        <f>IF(Tabela4[[#This Row],[Idade]]&gt;20,1,0)</f>
        <v>0</v>
      </c>
      <c r="Q53" s="5">
        <f>IF(Tabela4[[#This Row],[Juniores]]=1,Tabela4[[#This Row],[B-day]],0)</f>
        <v>2002</v>
      </c>
    </row>
    <row r="54" spans="1:17" x14ac:dyDescent="0.25">
      <c r="A54">
        <v>2019</v>
      </c>
      <c r="B54">
        <v>14801280</v>
      </c>
      <c r="C54" t="s">
        <v>53</v>
      </c>
      <c r="D54" t="s">
        <v>1</v>
      </c>
      <c r="E54" t="s">
        <v>21</v>
      </c>
      <c r="F54">
        <v>1373</v>
      </c>
      <c r="G54">
        <v>0</v>
      </c>
      <c r="H54">
        <v>40</v>
      </c>
      <c r="I54">
        <v>1996</v>
      </c>
      <c r="J54" t="s">
        <v>17</v>
      </c>
      <c r="K54" t="str">
        <f>LEFT(Tabela4[[#This Row],[Sex Tit  WTit OTit]],1)</f>
        <v>F</v>
      </c>
      <c r="L54">
        <f>IF(Tabela4[[#This Row],[Sexo]]="M",1,0)</f>
        <v>0</v>
      </c>
      <c r="M54">
        <f>IF(Tabela4[[#This Row],[Sexo]]="F",1,0)</f>
        <v>1</v>
      </c>
      <c r="N54" s="5">
        <f>2019-Tabela4[[#This Row],[B-day]]</f>
        <v>23</v>
      </c>
      <c r="O54" s="5">
        <f>IF(Tabela4[[#This Row],[Idade]]&lt;21,1,0)</f>
        <v>0</v>
      </c>
      <c r="P54" s="5">
        <f>IF(Tabela4[[#This Row],[Idade]]&gt;20,1,0)</f>
        <v>1</v>
      </c>
      <c r="Q54" s="5">
        <f>IF(Tabela4[[#This Row],[Juniores]]=1,Tabela4[[#This Row],[B-day]],0)</f>
        <v>0</v>
      </c>
    </row>
    <row r="55" spans="1:17" x14ac:dyDescent="0.25">
      <c r="A55">
        <v>2019</v>
      </c>
      <c r="B55">
        <v>14801043</v>
      </c>
      <c r="C55" t="s">
        <v>51</v>
      </c>
      <c r="D55" t="s">
        <v>1</v>
      </c>
      <c r="E55" t="s">
        <v>21</v>
      </c>
      <c r="F55">
        <v>1364</v>
      </c>
      <c r="G55">
        <v>0</v>
      </c>
      <c r="H55">
        <v>40</v>
      </c>
      <c r="I55">
        <v>2002</v>
      </c>
      <c r="J55" t="s">
        <v>17</v>
      </c>
      <c r="K55" t="str">
        <f>LEFT(Tabela4[[#This Row],[Sex Tit  WTit OTit]],1)</f>
        <v>F</v>
      </c>
      <c r="L55">
        <f>IF(Tabela4[[#This Row],[Sexo]]="M",1,0)</f>
        <v>0</v>
      </c>
      <c r="M55">
        <f>IF(Tabela4[[#This Row],[Sexo]]="F",1,0)</f>
        <v>1</v>
      </c>
      <c r="N55" s="5">
        <f>2019-Tabela4[[#This Row],[B-day]]</f>
        <v>17</v>
      </c>
      <c r="O55" s="5">
        <f>IF(Tabela4[[#This Row],[Idade]]&lt;21,1,0)</f>
        <v>1</v>
      </c>
      <c r="P55" s="5">
        <f>IF(Tabela4[[#This Row],[Idade]]&gt;20,1,0)</f>
        <v>0</v>
      </c>
      <c r="Q55" s="5">
        <f>IF(Tabela4[[#This Row],[Juniores]]=1,Tabela4[[#This Row],[B-day]],0)</f>
        <v>2002</v>
      </c>
    </row>
    <row r="56" spans="1:17" x14ac:dyDescent="0.25">
      <c r="A56">
        <v>2019</v>
      </c>
      <c r="B56">
        <v>14800209</v>
      </c>
      <c r="C56" t="s">
        <v>30</v>
      </c>
      <c r="D56" t="s">
        <v>1</v>
      </c>
      <c r="E56" t="s">
        <v>21</v>
      </c>
      <c r="F56">
        <v>1355</v>
      </c>
      <c r="G56">
        <v>0</v>
      </c>
      <c r="H56">
        <v>40</v>
      </c>
      <c r="I56">
        <v>0</v>
      </c>
      <c r="J56" t="s">
        <v>17</v>
      </c>
      <c r="K56" t="str">
        <f>LEFT(Tabela4[[#This Row],[Sex Tit  WTit OTit]],1)</f>
        <v>F</v>
      </c>
      <c r="L56">
        <f>IF(Tabela4[[#This Row],[Sexo]]="M",1,0)</f>
        <v>0</v>
      </c>
      <c r="M56">
        <f>IF(Tabela4[[#This Row],[Sexo]]="F",1,0)</f>
        <v>1</v>
      </c>
      <c r="N56" s="5">
        <f>2019-Tabela4[[#This Row],[B-day]]</f>
        <v>2019</v>
      </c>
      <c r="O56" s="5">
        <f>IF(Tabela4[[#This Row],[Idade]]&lt;21,1,0)</f>
        <v>0</v>
      </c>
      <c r="P56" s="5">
        <f>IF(Tabela4[[#This Row],[Idade]]&gt;20,1,0)</f>
        <v>1</v>
      </c>
      <c r="Q56" s="5">
        <f>IF(Tabela4[[#This Row],[Juniores]]=1,Tabela4[[#This Row],[B-day]],0)</f>
        <v>0</v>
      </c>
    </row>
    <row r="57" spans="1:17" x14ac:dyDescent="0.25">
      <c r="A57">
        <v>2019</v>
      </c>
      <c r="B57">
        <v>14800470</v>
      </c>
      <c r="C57" t="s">
        <v>67</v>
      </c>
      <c r="D57" t="s">
        <v>1</v>
      </c>
      <c r="E57" t="s">
        <v>21</v>
      </c>
      <c r="F57">
        <v>1322</v>
      </c>
      <c r="G57">
        <v>0</v>
      </c>
      <c r="H57">
        <v>20</v>
      </c>
      <c r="I57">
        <v>1996</v>
      </c>
      <c r="J57" t="s">
        <v>17</v>
      </c>
      <c r="K57" t="str">
        <f>LEFT(Tabela4[[#This Row],[Sex Tit  WTit OTit]],1)</f>
        <v>F</v>
      </c>
      <c r="L57">
        <f>IF(Tabela4[[#This Row],[Sexo]]="M",1,0)</f>
        <v>0</v>
      </c>
      <c r="M57">
        <f>IF(Tabela4[[#This Row],[Sexo]]="F",1,0)</f>
        <v>1</v>
      </c>
      <c r="N57" s="5">
        <f>2019-Tabela4[[#This Row],[B-day]]</f>
        <v>23</v>
      </c>
      <c r="O57" s="5">
        <f>IF(Tabela4[[#This Row],[Idade]]&lt;21,1,0)</f>
        <v>0</v>
      </c>
      <c r="P57" s="5">
        <f>IF(Tabela4[[#This Row],[Idade]]&gt;20,1,0)</f>
        <v>1</v>
      </c>
      <c r="Q57" s="5">
        <f>IF(Tabela4[[#This Row],[Juniores]]=1,Tabela4[[#This Row],[B-day]],0)</f>
        <v>0</v>
      </c>
    </row>
    <row r="58" spans="1:17" x14ac:dyDescent="0.25">
      <c r="A58">
        <v>2019</v>
      </c>
      <c r="B58">
        <v>14800632</v>
      </c>
      <c r="C58" t="s">
        <v>38</v>
      </c>
      <c r="D58" t="s">
        <v>1</v>
      </c>
      <c r="E58" t="s">
        <v>2</v>
      </c>
      <c r="F58">
        <v>1270</v>
      </c>
      <c r="G58">
        <v>0</v>
      </c>
      <c r="H58">
        <v>40</v>
      </c>
      <c r="I58">
        <v>2002</v>
      </c>
      <c r="J58" t="s">
        <v>3</v>
      </c>
      <c r="K58" t="str">
        <f>LEFT(Tabela4[[#This Row],[Sex Tit  WTit OTit]],1)</f>
        <v>M</v>
      </c>
      <c r="L58">
        <f>IF(Tabela4[[#This Row],[Sexo]]="M",1,0)</f>
        <v>1</v>
      </c>
      <c r="M58">
        <f>IF(Tabela4[[#This Row],[Sexo]]="F",1,0)</f>
        <v>0</v>
      </c>
      <c r="N58" s="5">
        <f>2019-Tabela4[[#This Row],[B-day]]</f>
        <v>17</v>
      </c>
      <c r="O58" s="5">
        <f>IF(Tabela4[[#This Row],[Idade]]&lt;21,1,0)</f>
        <v>1</v>
      </c>
      <c r="P58" s="5">
        <f>IF(Tabela4[[#This Row],[Idade]]&gt;20,1,0)</f>
        <v>0</v>
      </c>
      <c r="Q58" s="5">
        <f>IF(Tabela4[[#This Row],[Juniores]]=1,Tabela4[[#This Row],[B-day]],0)</f>
        <v>2002</v>
      </c>
    </row>
    <row r="59" spans="1:17" x14ac:dyDescent="0.25">
      <c r="A59">
        <v>2019</v>
      </c>
      <c r="B59">
        <v>14801582</v>
      </c>
      <c r="C59" t="s">
        <v>45</v>
      </c>
      <c r="D59" t="s">
        <v>1</v>
      </c>
      <c r="E59" t="s">
        <v>21</v>
      </c>
      <c r="F59">
        <v>1268</v>
      </c>
      <c r="G59">
        <v>0</v>
      </c>
      <c r="H59">
        <v>40</v>
      </c>
      <c r="I59">
        <v>2000</v>
      </c>
      <c r="J59" t="s">
        <v>17</v>
      </c>
      <c r="K59" t="str">
        <f>LEFT(Tabela4[[#This Row],[Sex Tit  WTit OTit]],1)</f>
        <v>F</v>
      </c>
      <c r="L59">
        <f>IF(Tabela4[[#This Row],[Sexo]]="M",1,0)</f>
        <v>0</v>
      </c>
      <c r="M59">
        <f>IF(Tabela4[[#This Row],[Sexo]]="F",1,0)</f>
        <v>1</v>
      </c>
      <c r="N59" s="5">
        <f>2019-Tabela4[[#This Row],[B-day]]</f>
        <v>19</v>
      </c>
      <c r="O59" s="5">
        <f>IF(Tabela4[[#This Row],[Idade]]&lt;21,1,0)</f>
        <v>1</v>
      </c>
      <c r="P59" s="5">
        <f>IF(Tabela4[[#This Row],[Idade]]&gt;20,1,0)</f>
        <v>0</v>
      </c>
      <c r="Q59" s="5">
        <f>IF(Tabela4[[#This Row],[Juniores]]=1,Tabela4[[#This Row],[B-day]],0)</f>
        <v>2000</v>
      </c>
    </row>
    <row r="60" spans="1:17" x14ac:dyDescent="0.25">
      <c r="A60">
        <v>2019</v>
      </c>
      <c r="B60">
        <v>14800918</v>
      </c>
      <c r="C60" t="s">
        <v>79</v>
      </c>
      <c r="D60" t="s">
        <v>1</v>
      </c>
      <c r="E60" t="s">
        <v>2</v>
      </c>
      <c r="F60">
        <v>1267</v>
      </c>
      <c r="G60">
        <v>0</v>
      </c>
      <c r="H60">
        <v>40</v>
      </c>
      <c r="I60">
        <v>2001</v>
      </c>
      <c r="K60" t="str">
        <f>LEFT(Tabela4[[#This Row],[Sex Tit  WTit OTit]],1)</f>
        <v>M</v>
      </c>
      <c r="L60">
        <f>IF(Tabela4[[#This Row],[Sexo]]="M",1,0)</f>
        <v>1</v>
      </c>
      <c r="M60">
        <f>IF(Tabela4[[#This Row],[Sexo]]="F",1,0)</f>
        <v>0</v>
      </c>
      <c r="N60" s="5">
        <f>2019-Tabela4[[#This Row],[B-day]]</f>
        <v>18</v>
      </c>
      <c r="O60" s="5">
        <f>IF(Tabela4[[#This Row],[Idade]]&lt;21,1,0)</f>
        <v>1</v>
      </c>
      <c r="P60" s="5">
        <f>IF(Tabela4[[#This Row],[Idade]]&gt;20,1,0)</f>
        <v>0</v>
      </c>
      <c r="Q60" s="5">
        <f>IF(Tabela4[[#This Row],[Juniores]]=1,Tabela4[[#This Row],[B-day]],0)</f>
        <v>2001</v>
      </c>
    </row>
    <row r="61" spans="1:17" x14ac:dyDescent="0.25">
      <c r="A61">
        <v>2019</v>
      </c>
      <c r="B61">
        <v>14800675</v>
      </c>
      <c r="C61" t="s">
        <v>33</v>
      </c>
      <c r="D61" t="s">
        <v>1</v>
      </c>
      <c r="E61" t="s">
        <v>21</v>
      </c>
      <c r="F61">
        <v>1258</v>
      </c>
      <c r="G61">
        <v>0</v>
      </c>
      <c r="H61">
        <v>40</v>
      </c>
      <c r="I61">
        <v>2000</v>
      </c>
      <c r="J61" t="s">
        <v>22</v>
      </c>
      <c r="K61" t="str">
        <f>LEFT(Tabela4[[#This Row],[Sex Tit  WTit OTit]],1)</f>
        <v>F</v>
      </c>
      <c r="L61">
        <f>IF(Tabela4[[#This Row],[Sexo]]="M",1,0)</f>
        <v>0</v>
      </c>
      <c r="M61">
        <f>IF(Tabela4[[#This Row],[Sexo]]="F",1,0)</f>
        <v>1</v>
      </c>
      <c r="N61" s="5">
        <f>2019-Tabela4[[#This Row],[B-day]]</f>
        <v>19</v>
      </c>
      <c r="O61" s="5">
        <f>IF(Tabela4[[#This Row],[Idade]]&lt;21,1,0)</f>
        <v>1</v>
      </c>
      <c r="P61" s="5">
        <f>IF(Tabela4[[#This Row],[Idade]]&gt;20,1,0)</f>
        <v>0</v>
      </c>
      <c r="Q61" s="5">
        <f>IF(Tabela4[[#This Row],[Juniores]]=1,Tabela4[[#This Row],[B-day]],0)</f>
        <v>2000</v>
      </c>
    </row>
    <row r="62" spans="1:17" x14ac:dyDescent="0.25">
      <c r="A62">
        <v>2019</v>
      </c>
      <c r="B62">
        <v>14800373</v>
      </c>
      <c r="C62" t="s">
        <v>36</v>
      </c>
      <c r="D62" t="s">
        <v>1</v>
      </c>
      <c r="E62" t="s">
        <v>2</v>
      </c>
      <c r="F62">
        <v>1213</v>
      </c>
      <c r="G62">
        <v>0</v>
      </c>
      <c r="H62">
        <v>40</v>
      </c>
      <c r="I62">
        <v>2005</v>
      </c>
      <c r="K62" t="str">
        <f>LEFT(Tabela4[[#This Row],[Sex Tit  WTit OTit]],1)</f>
        <v>M</v>
      </c>
      <c r="L62">
        <f>IF(Tabela4[[#This Row],[Sexo]]="M",1,0)</f>
        <v>1</v>
      </c>
      <c r="M62">
        <f>IF(Tabela4[[#This Row],[Sexo]]="F",1,0)</f>
        <v>0</v>
      </c>
      <c r="N62" s="5">
        <f>2019-Tabela4[[#This Row],[B-day]]</f>
        <v>14</v>
      </c>
      <c r="O62" s="5">
        <f>IF(Tabela4[[#This Row],[Idade]]&lt;21,1,0)</f>
        <v>1</v>
      </c>
      <c r="P62" s="5">
        <f>IF(Tabela4[[#This Row],[Idade]]&gt;20,1,0)</f>
        <v>0</v>
      </c>
      <c r="Q62" s="5">
        <f>IF(Tabela4[[#This Row],[Juniores]]=1,Tabela4[[#This Row],[B-day]],0)</f>
        <v>2005</v>
      </c>
    </row>
    <row r="63" spans="1:17" x14ac:dyDescent="0.25">
      <c r="A63">
        <v>2019</v>
      </c>
      <c r="B63">
        <v>14801027</v>
      </c>
      <c r="C63" t="s">
        <v>62</v>
      </c>
      <c r="D63" t="s">
        <v>1</v>
      </c>
      <c r="E63" t="s">
        <v>21</v>
      </c>
      <c r="F63">
        <v>1172</v>
      </c>
      <c r="G63">
        <v>0</v>
      </c>
      <c r="H63">
        <v>40</v>
      </c>
      <c r="I63">
        <v>2007</v>
      </c>
      <c r="J63" t="s">
        <v>17</v>
      </c>
      <c r="K63" t="str">
        <f>LEFT(Tabela4[[#This Row],[Sex Tit  WTit OTit]],1)</f>
        <v>F</v>
      </c>
      <c r="L63">
        <f>IF(Tabela4[[#This Row],[Sexo]]="M",1,0)</f>
        <v>0</v>
      </c>
      <c r="M63">
        <f>IF(Tabela4[[#This Row],[Sexo]]="F",1,0)</f>
        <v>1</v>
      </c>
      <c r="N63" s="5">
        <f>2019-Tabela4[[#This Row],[B-day]]</f>
        <v>12</v>
      </c>
      <c r="O63" s="5">
        <f>IF(Tabela4[[#This Row],[Idade]]&lt;21,1,0)</f>
        <v>1</v>
      </c>
      <c r="P63" s="5">
        <f>IF(Tabela4[[#This Row],[Idade]]&gt;20,1,0)</f>
        <v>0</v>
      </c>
      <c r="Q63" s="5">
        <f>IF(Tabela4[[#This Row],[Juniores]]=1,Tabela4[[#This Row],[B-day]],0)</f>
        <v>2007</v>
      </c>
    </row>
    <row r="64" spans="1:17" x14ac:dyDescent="0.25">
      <c r="A64">
        <v>2019</v>
      </c>
      <c r="B64">
        <v>14801000</v>
      </c>
      <c r="C64" t="s">
        <v>55</v>
      </c>
      <c r="D64" t="s">
        <v>1</v>
      </c>
      <c r="E64" t="s">
        <v>21</v>
      </c>
      <c r="F64">
        <v>1161</v>
      </c>
      <c r="G64">
        <v>0</v>
      </c>
      <c r="H64">
        <v>40</v>
      </c>
      <c r="I64">
        <v>2005</v>
      </c>
      <c r="J64" t="s">
        <v>22</v>
      </c>
      <c r="K64" t="str">
        <f>LEFT(Tabela4[[#This Row],[Sex Tit  WTit OTit]],1)</f>
        <v>F</v>
      </c>
      <c r="L64">
        <f>IF(Tabela4[[#This Row],[Sexo]]="M",1,0)</f>
        <v>0</v>
      </c>
      <c r="M64">
        <f>IF(Tabela4[[#This Row],[Sexo]]="F",1,0)</f>
        <v>1</v>
      </c>
      <c r="N64" s="5">
        <f>2019-Tabela4[[#This Row],[B-day]]</f>
        <v>14</v>
      </c>
      <c r="O64" s="5">
        <f>IF(Tabela4[[#This Row],[Idade]]&lt;21,1,0)</f>
        <v>1</v>
      </c>
      <c r="P64" s="5">
        <f>IF(Tabela4[[#This Row],[Idade]]&gt;20,1,0)</f>
        <v>0</v>
      </c>
      <c r="Q64" s="5">
        <f>IF(Tabela4[[#This Row],[Juniores]]=1,Tabela4[[#This Row],[B-day]],0)</f>
        <v>2005</v>
      </c>
    </row>
    <row r="65" spans="1:17" x14ac:dyDescent="0.25">
      <c r="A65">
        <v>2019</v>
      </c>
      <c r="B65">
        <v>14800608</v>
      </c>
      <c r="C65" t="s">
        <v>34</v>
      </c>
      <c r="D65" t="s">
        <v>1</v>
      </c>
      <c r="E65" t="s">
        <v>21</v>
      </c>
      <c r="F65">
        <v>1152</v>
      </c>
      <c r="G65">
        <v>0</v>
      </c>
      <c r="H65">
        <v>40</v>
      </c>
      <c r="I65">
        <v>2001</v>
      </c>
      <c r="J65" t="s">
        <v>22</v>
      </c>
      <c r="K65" t="str">
        <f>LEFT(Tabela4[[#This Row],[Sex Tit  WTit OTit]],1)</f>
        <v>F</v>
      </c>
      <c r="L65">
        <f>IF(Tabela4[[#This Row],[Sexo]]="M",1,0)</f>
        <v>0</v>
      </c>
      <c r="M65">
        <f>IF(Tabela4[[#This Row],[Sexo]]="F",1,0)</f>
        <v>1</v>
      </c>
      <c r="N65" s="5">
        <f>2019-Tabela4[[#This Row],[B-day]]</f>
        <v>18</v>
      </c>
      <c r="O65" s="5">
        <f>IF(Tabela4[[#This Row],[Idade]]&lt;21,1,0)</f>
        <v>1</v>
      </c>
      <c r="P65" s="5">
        <f>IF(Tabela4[[#This Row],[Idade]]&gt;20,1,0)</f>
        <v>0</v>
      </c>
      <c r="Q65" s="5">
        <f>IF(Tabela4[[#This Row],[Juniores]]=1,Tabela4[[#This Row],[B-day]],0)</f>
        <v>2001</v>
      </c>
    </row>
    <row r="66" spans="1:17" x14ac:dyDescent="0.25">
      <c r="A66">
        <v>2019</v>
      </c>
      <c r="B66">
        <v>14801078</v>
      </c>
      <c r="C66" t="s">
        <v>46</v>
      </c>
      <c r="D66" t="s">
        <v>1</v>
      </c>
      <c r="E66" t="s">
        <v>21</v>
      </c>
      <c r="F66">
        <v>1147</v>
      </c>
      <c r="G66">
        <v>0</v>
      </c>
      <c r="H66">
        <v>40</v>
      </c>
      <c r="I66">
        <v>2003</v>
      </c>
      <c r="J66" t="s">
        <v>17</v>
      </c>
      <c r="K66" t="str">
        <f>LEFT(Tabela4[[#This Row],[Sex Tit  WTit OTit]],1)</f>
        <v>F</v>
      </c>
      <c r="L66">
        <f>IF(Tabela4[[#This Row],[Sexo]]="M",1,0)</f>
        <v>0</v>
      </c>
      <c r="M66">
        <f>IF(Tabela4[[#This Row],[Sexo]]="F",1,0)</f>
        <v>1</v>
      </c>
      <c r="N66" s="5">
        <f>2019-Tabela4[[#This Row],[B-day]]</f>
        <v>16</v>
      </c>
      <c r="O66" s="5">
        <f>IF(Tabela4[[#This Row],[Idade]]&lt;21,1,0)</f>
        <v>1</v>
      </c>
      <c r="P66" s="5">
        <f>IF(Tabela4[[#This Row],[Idade]]&gt;20,1,0)</f>
        <v>0</v>
      </c>
      <c r="Q66" s="5">
        <f>IF(Tabela4[[#This Row],[Juniores]]=1,Tabela4[[#This Row],[B-day]],0)</f>
        <v>2003</v>
      </c>
    </row>
    <row r="67" spans="1:17" x14ac:dyDescent="0.25">
      <c r="A67">
        <v>2019</v>
      </c>
      <c r="B67">
        <v>14800829</v>
      </c>
      <c r="C67" t="s">
        <v>85</v>
      </c>
      <c r="D67" t="s">
        <v>1</v>
      </c>
      <c r="E67" t="s">
        <v>21</v>
      </c>
      <c r="F67">
        <v>1033</v>
      </c>
      <c r="G67">
        <v>0</v>
      </c>
      <c r="H67">
        <v>40</v>
      </c>
      <c r="I67">
        <v>1995</v>
      </c>
      <c r="J67" t="s">
        <v>17</v>
      </c>
      <c r="K67" t="str">
        <f>LEFT(Tabela4[[#This Row],[Sex Tit  WTit OTit]],1)</f>
        <v>F</v>
      </c>
      <c r="L67">
        <f>IF(Tabela4[[#This Row],[Sexo]]="M",1,0)</f>
        <v>0</v>
      </c>
      <c r="M67">
        <f>IF(Tabela4[[#This Row],[Sexo]]="F",1,0)</f>
        <v>1</v>
      </c>
      <c r="N67" s="5">
        <f>2019-Tabela4[[#This Row],[B-day]]</f>
        <v>24</v>
      </c>
      <c r="O67" s="5">
        <f>IF(Tabela4[[#This Row],[Idade]]&lt;21,1,0)</f>
        <v>0</v>
      </c>
      <c r="P67" s="5">
        <f>IF(Tabela4[[#This Row],[Idade]]&gt;20,1,0)</f>
        <v>1</v>
      </c>
      <c r="Q67" s="5">
        <f>IF(Tabela4[[#This Row],[Juniores]]=1,Tabela4[[#This Row],[B-day]],0)</f>
        <v>0</v>
      </c>
    </row>
    <row r="68" spans="1:17" x14ac:dyDescent="0.25">
      <c r="A68" t="s">
        <v>99</v>
      </c>
      <c r="C68">
        <f>SUBTOTAL(103,Tabela4[Name])</f>
        <v>66</v>
      </c>
      <c r="F68" s="3">
        <f>SUBTOTAL(101,Tabela4[FOA DEC19])</f>
        <v>1593.030303030303</v>
      </c>
      <c r="G68" s="3"/>
      <c r="H68" s="3">
        <f>SUBTOTAL(101,Tabela4[K])</f>
        <v>35.151515151515149</v>
      </c>
      <c r="J68">
        <f>SUBTOTAL(103,Tabela4[Flag])</f>
        <v>36</v>
      </c>
      <c r="L68">
        <f>SUBTOTAL(109,Tabela4[Masculino])</f>
        <v>43</v>
      </c>
      <c r="M68">
        <f>SUBTOTAL(109,Tabela4[Feminino])</f>
        <v>23</v>
      </c>
      <c r="O68">
        <f>SUBTOTAL(109,Tabela4[Juniores])</f>
        <v>24</v>
      </c>
      <c r="P68">
        <f>SUBTOTAL(109,Tabela4[Seniores])</f>
        <v>42</v>
      </c>
      <c r="Q68">
        <f>SUBTOTAL(109,Tabela4[Rating Juniores])</f>
        <v>48032</v>
      </c>
    </row>
  </sheetData>
  <pageMargins left="0.7" right="0.7" top="0.75" bottom="0.75" header="0.3" footer="0.3"/>
  <pageSetup orientation="portrait" horizontalDpi="300" verticalDpi="300" r:id="rId1"/>
  <headerFooter>
    <oddHeader>&amp;C&amp;"Calibri"&amp;9&amp;K000000Informação de uso Público&amp;1#</oddHead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4A66-98E2-4F90-9680-AF24F6C8557D}">
  <dimension ref="A1:Q69"/>
  <sheetViews>
    <sheetView topLeftCell="A55" workbookViewId="0">
      <selection activeCell="C69" sqref="C69"/>
    </sheetView>
  </sheetViews>
  <sheetFormatPr defaultRowHeight="15" x14ac:dyDescent="0.25"/>
  <cols>
    <col min="2" max="2" width="12.7109375" customWidth="1"/>
    <col min="3" max="3" width="40.28515625" bestFit="1" customWidth="1"/>
    <col min="5" max="5" width="18.28515625" customWidth="1"/>
    <col min="6" max="6" width="13.42578125" customWidth="1"/>
    <col min="8" max="8" width="9.5703125" bestFit="1" customWidth="1"/>
    <col min="17" max="17" width="16.85546875" bestFit="1" customWidth="1"/>
  </cols>
  <sheetData>
    <row r="1" spans="1:17" x14ac:dyDescent="0.25">
      <c r="A1" t="s">
        <v>93</v>
      </c>
      <c r="B1" t="s">
        <v>70</v>
      </c>
      <c r="C1" t="s">
        <v>71</v>
      </c>
      <c r="D1" t="s">
        <v>72</v>
      </c>
      <c r="E1" t="s">
        <v>73</v>
      </c>
      <c r="F1" t="s">
        <v>90</v>
      </c>
      <c r="G1" t="s">
        <v>75</v>
      </c>
      <c r="H1" t="s">
        <v>76</v>
      </c>
      <c r="I1" t="s">
        <v>77</v>
      </c>
      <c r="J1" t="s">
        <v>78</v>
      </c>
      <c r="K1" s="2" t="s">
        <v>102</v>
      </c>
      <c r="L1" s="2" t="s">
        <v>103</v>
      </c>
      <c r="M1" s="2" t="s">
        <v>104</v>
      </c>
      <c r="N1" t="s">
        <v>105</v>
      </c>
      <c r="O1" s="2" t="s">
        <v>106</v>
      </c>
      <c r="P1" s="2" t="s">
        <v>107</v>
      </c>
      <c r="Q1" t="s">
        <v>108</v>
      </c>
    </row>
    <row r="2" spans="1:17" x14ac:dyDescent="0.25">
      <c r="A2">
        <v>2020</v>
      </c>
      <c r="B2">
        <v>14800098</v>
      </c>
      <c r="C2" t="s">
        <v>8</v>
      </c>
      <c r="D2" t="s">
        <v>1</v>
      </c>
      <c r="E2" t="s">
        <v>7</v>
      </c>
      <c r="F2">
        <v>2230</v>
      </c>
      <c r="G2">
        <v>0</v>
      </c>
      <c r="H2">
        <v>20</v>
      </c>
      <c r="I2">
        <v>1991</v>
      </c>
      <c r="K2" t="str">
        <f>LEFT(Tabela5[[#This Row],[Sex Tit  WTit OTit]],1)</f>
        <v>M</v>
      </c>
      <c r="L2">
        <f>IF(Tabela5[[#This Row],[Sexo]]="M",1,0)</f>
        <v>1</v>
      </c>
      <c r="M2">
        <f>IF(Tabela5[[#This Row],[Sexo]]="F",1,0)</f>
        <v>0</v>
      </c>
      <c r="N2" s="5">
        <f>2020-Tabela5[[#This Row],[B-day]]</f>
        <v>29</v>
      </c>
      <c r="O2" s="5">
        <f>IF(Tabela5[[#This Row],[Idade]]&lt;21,1,0)</f>
        <v>0</v>
      </c>
      <c r="P2" s="5">
        <f>IF(Tabela5[[#This Row],[Idade]]&gt;20,1,0)</f>
        <v>1</v>
      </c>
      <c r="Q2" s="5">
        <f>IF(Tabela5[[#This Row],[Juniores]]=1,Tabela5[[#This Row],[B-day]],0)</f>
        <v>0</v>
      </c>
    </row>
    <row r="3" spans="1:17" x14ac:dyDescent="0.25">
      <c r="A3">
        <v>2020</v>
      </c>
      <c r="B3">
        <v>14800047</v>
      </c>
      <c r="C3" t="s">
        <v>4</v>
      </c>
      <c r="D3" t="s">
        <v>1</v>
      </c>
      <c r="E3" t="s">
        <v>5</v>
      </c>
      <c r="F3">
        <v>2202</v>
      </c>
      <c r="G3">
        <v>0</v>
      </c>
      <c r="H3">
        <v>20</v>
      </c>
      <c r="I3">
        <v>1980</v>
      </c>
      <c r="J3" t="s">
        <v>3</v>
      </c>
      <c r="K3" t="str">
        <f>LEFT(Tabela5[[#This Row],[Sex Tit  WTit OTit]],1)</f>
        <v>M</v>
      </c>
      <c r="L3">
        <f>IF(Tabela5[[#This Row],[Sexo]]="M",1,0)</f>
        <v>1</v>
      </c>
      <c r="M3">
        <f>IF(Tabela5[[#This Row],[Sexo]]="F",1,0)</f>
        <v>0</v>
      </c>
      <c r="N3" s="5">
        <f>2020-Tabela5[[#This Row],[B-day]]</f>
        <v>40</v>
      </c>
      <c r="O3" s="5">
        <f>IF(Tabela5[[#This Row],[Idade]]&lt;21,1,0)</f>
        <v>0</v>
      </c>
      <c r="P3" s="5">
        <f>IF(Tabela5[[#This Row],[Idade]]&gt;20,1,0)</f>
        <v>1</v>
      </c>
      <c r="Q3" s="5">
        <f>IF(Tabela5[[#This Row],[Juniores]]=1,Tabela5[[#This Row],[B-day]],0)</f>
        <v>0</v>
      </c>
    </row>
    <row r="4" spans="1:17" x14ac:dyDescent="0.25">
      <c r="A4">
        <v>2020</v>
      </c>
      <c r="B4">
        <v>14800039</v>
      </c>
      <c r="C4" t="s">
        <v>0</v>
      </c>
      <c r="D4" t="s">
        <v>1</v>
      </c>
      <c r="E4" t="s">
        <v>2</v>
      </c>
      <c r="F4">
        <v>2186</v>
      </c>
      <c r="G4">
        <v>0</v>
      </c>
      <c r="H4">
        <v>20</v>
      </c>
      <c r="I4">
        <v>1982</v>
      </c>
      <c r="J4" t="s">
        <v>3</v>
      </c>
      <c r="K4" t="str">
        <f>LEFT(Tabela5[[#This Row],[Sex Tit  WTit OTit]],1)</f>
        <v>M</v>
      </c>
      <c r="L4">
        <f>IF(Tabela5[[#This Row],[Sexo]]="M",1,0)</f>
        <v>1</v>
      </c>
      <c r="M4">
        <f>IF(Tabela5[[#This Row],[Sexo]]="F",1,0)</f>
        <v>0</v>
      </c>
      <c r="N4" s="5">
        <f>2020-Tabela5[[#This Row],[B-day]]</f>
        <v>38</v>
      </c>
      <c r="O4" s="5">
        <f>IF(Tabela5[[#This Row],[Idade]]&lt;21,1,0)</f>
        <v>0</v>
      </c>
      <c r="P4" s="5">
        <f>IF(Tabela5[[#This Row],[Idade]]&gt;20,1,0)</f>
        <v>1</v>
      </c>
      <c r="Q4" s="5">
        <f>IF(Tabela5[[#This Row],[Juniores]]=1,Tabela5[[#This Row],[B-day]],0)</f>
        <v>0</v>
      </c>
    </row>
    <row r="5" spans="1:17" x14ac:dyDescent="0.25">
      <c r="A5">
        <v>2020</v>
      </c>
      <c r="B5">
        <v>14800268</v>
      </c>
      <c r="C5" t="s">
        <v>6</v>
      </c>
      <c r="D5" t="s">
        <v>1</v>
      </c>
      <c r="E5" t="s">
        <v>91</v>
      </c>
      <c r="F5">
        <v>2122</v>
      </c>
      <c r="G5">
        <v>0</v>
      </c>
      <c r="H5">
        <v>20</v>
      </c>
      <c r="I5">
        <v>1984</v>
      </c>
      <c r="K5" t="str">
        <f>LEFT(Tabela5[[#This Row],[Sex Tit  WTit OTit]],1)</f>
        <v>M</v>
      </c>
      <c r="L5">
        <f>IF(Tabela5[[#This Row],[Sexo]]="M",1,0)</f>
        <v>1</v>
      </c>
      <c r="M5">
        <f>IF(Tabela5[[#This Row],[Sexo]]="F",1,0)</f>
        <v>0</v>
      </c>
      <c r="N5" s="5">
        <f>2020-Tabela5[[#This Row],[B-day]]</f>
        <v>36</v>
      </c>
      <c r="O5" s="5">
        <f>IF(Tabela5[[#This Row],[Idade]]&lt;21,1,0)</f>
        <v>0</v>
      </c>
      <c r="P5" s="5">
        <f>IF(Tabela5[[#This Row],[Idade]]&gt;20,1,0)</f>
        <v>1</v>
      </c>
      <c r="Q5" s="5">
        <f>IF(Tabela5[[#This Row],[Juniores]]=1,Tabela5[[#This Row],[B-day]],0)</f>
        <v>0</v>
      </c>
    </row>
    <row r="6" spans="1:17" x14ac:dyDescent="0.25">
      <c r="A6">
        <v>2020</v>
      </c>
      <c r="B6">
        <v>14800063</v>
      </c>
      <c r="C6" t="s">
        <v>12</v>
      </c>
      <c r="D6" t="s">
        <v>1</v>
      </c>
      <c r="E6" t="s">
        <v>7</v>
      </c>
      <c r="F6">
        <v>2018</v>
      </c>
      <c r="G6">
        <v>0</v>
      </c>
      <c r="H6">
        <v>20</v>
      </c>
      <c r="I6">
        <v>1990</v>
      </c>
      <c r="K6" t="str">
        <f>LEFT(Tabela5[[#This Row],[Sex Tit  WTit OTit]],1)</f>
        <v>M</v>
      </c>
      <c r="L6">
        <f>IF(Tabela5[[#This Row],[Sexo]]="M",1,0)</f>
        <v>1</v>
      </c>
      <c r="M6">
        <f>IF(Tabela5[[#This Row],[Sexo]]="F",1,0)</f>
        <v>0</v>
      </c>
      <c r="N6" s="5">
        <f>2020-Tabela5[[#This Row],[B-day]]</f>
        <v>30</v>
      </c>
      <c r="O6" s="5">
        <f>IF(Tabela5[[#This Row],[Idade]]&lt;21,1,0)</f>
        <v>0</v>
      </c>
      <c r="P6" s="5">
        <f>IF(Tabela5[[#This Row],[Idade]]&gt;20,1,0)</f>
        <v>1</v>
      </c>
      <c r="Q6" s="5">
        <f>IF(Tabela5[[#This Row],[Juniores]]=1,Tabela5[[#This Row],[B-day]],0)</f>
        <v>0</v>
      </c>
    </row>
    <row r="7" spans="1:17" x14ac:dyDescent="0.25">
      <c r="A7">
        <v>2020</v>
      </c>
      <c r="B7">
        <v>14800012</v>
      </c>
      <c r="C7" t="s">
        <v>11</v>
      </c>
      <c r="D7" t="s">
        <v>1</v>
      </c>
      <c r="E7" t="s">
        <v>7</v>
      </c>
      <c r="F7">
        <v>2004</v>
      </c>
      <c r="G7">
        <v>0</v>
      </c>
      <c r="H7">
        <v>20</v>
      </c>
      <c r="I7">
        <v>1972</v>
      </c>
      <c r="J7" t="s">
        <v>3</v>
      </c>
      <c r="K7" t="str">
        <f>LEFT(Tabela5[[#This Row],[Sex Tit  WTit OTit]],1)</f>
        <v>M</v>
      </c>
      <c r="L7">
        <f>IF(Tabela5[[#This Row],[Sexo]]="M",1,0)</f>
        <v>1</v>
      </c>
      <c r="M7">
        <f>IF(Tabela5[[#This Row],[Sexo]]="F",1,0)</f>
        <v>0</v>
      </c>
      <c r="N7" s="5">
        <f>2020-Tabela5[[#This Row],[B-day]]</f>
        <v>48</v>
      </c>
      <c r="O7" s="5">
        <f>IF(Tabela5[[#This Row],[Idade]]&lt;21,1,0)</f>
        <v>0</v>
      </c>
      <c r="P7" s="5">
        <f>IF(Tabela5[[#This Row],[Idade]]&gt;20,1,0)</f>
        <v>1</v>
      </c>
      <c r="Q7" s="5">
        <f>IF(Tabela5[[#This Row],[Juniores]]=1,Tabela5[[#This Row],[B-day]],0)</f>
        <v>0</v>
      </c>
    </row>
    <row r="8" spans="1:17" x14ac:dyDescent="0.25">
      <c r="A8">
        <v>2020</v>
      </c>
      <c r="B8">
        <v>14800276</v>
      </c>
      <c r="C8" t="s">
        <v>10</v>
      </c>
      <c r="D8" t="s">
        <v>1</v>
      </c>
      <c r="E8" t="s">
        <v>7</v>
      </c>
      <c r="F8">
        <v>1997</v>
      </c>
      <c r="G8">
        <v>0</v>
      </c>
      <c r="H8">
        <v>20</v>
      </c>
      <c r="I8">
        <v>1976</v>
      </c>
      <c r="K8" t="str">
        <f>LEFT(Tabela5[[#This Row],[Sex Tit  WTit OTit]],1)</f>
        <v>M</v>
      </c>
      <c r="L8">
        <f>IF(Tabela5[[#This Row],[Sexo]]="M",1,0)</f>
        <v>1</v>
      </c>
      <c r="M8">
        <f>IF(Tabela5[[#This Row],[Sexo]]="F",1,0)</f>
        <v>0</v>
      </c>
      <c r="N8" s="5">
        <f>2020-Tabela5[[#This Row],[B-day]]</f>
        <v>44</v>
      </c>
      <c r="O8" s="5">
        <f>IF(Tabela5[[#This Row],[Idade]]&lt;21,1,0)</f>
        <v>0</v>
      </c>
      <c r="P8" s="5">
        <f>IF(Tabela5[[#This Row],[Idade]]&gt;20,1,0)</f>
        <v>1</v>
      </c>
      <c r="Q8" s="5">
        <f>IF(Tabela5[[#This Row],[Juniores]]=1,Tabela5[[#This Row],[B-day]],0)</f>
        <v>0</v>
      </c>
    </row>
    <row r="9" spans="1:17" x14ac:dyDescent="0.25">
      <c r="A9">
        <v>2020</v>
      </c>
      <c r="B9">
        <v>14800071</v>
      </c>
      <c r="C9" t="s">
        <v>13</v>
      </c>
      <c r="D9" t="s">
        <v>1</v>
      </c>
      <c r="E9" t="s">
        <v>2</v>
      </c>
      <c r="F9">
        <v>1941</v>
      </c>
      <c r="G9">
        <v>0</v>
      </c>
      <c r="H9">
        <v>20</v>
      </c>
      <c r="I9">
        <v>1984</v>
      </c>
      <c r="J9" t="s">
        <v>3</v>
      </c>
      <c r="K9" t="str">
        <f>LEFT(Tabela5[[#This Row],[Sex Tit  WTit OTit]],1)</f>
        <v>M</v>
      </c>
      <c r="L9">
        <f>IF(Tabela5[[#This Row],[Sexo]]="M",1,0)</f>
        <v>1</v>
      </c>
      <c r="M9">
        <f>IF(Tabela5[[#This Row],[Sexo]]="F",1,0)</f>
        <v>0</v>
      </c>
      <c r="N9" s="5">
        <f>2020-Tabela5[[#This Row],[B-day]]</f>
        <v>36</v>
      </c>
      <c r="O9" s="5">
        <f>IF(Tabela5[[#This Row],[Idade]]&lt;21,1,0)</f>
        <v>0</v>
      </c>
      <c r="P9" s="5">
        <f>IF(Tabela5[[#This Row],[Idade]]&gt;20,1,0)</f>
        <v>1</v>
      </c>
      <c r="Q9" s="5">
        <f>IF(Tabela5[[#This Row],[Juniores]]=1,Tabela5[[#This Row],[B-day]],0)</f>
        <v>0</v>
      </c>
    </row>
    <row r="10" spans="1:17" x14ac:dyDescent="0.25">
      <c r="A10">
        <v>2020</v>
      </c>
      <c r="B10">
        <v>14800136</v>
      </c>
      <c r="C10" t="s">
        <v>9</v>
      </c>
      <c r="D10" t="s">
        <v>1</v>
      </c>
      <c r="E10" t="s">
        <v>2</v>
      </c>
      <c r="F10">
        <v>1941</v>
      </c>
      <c r="G10">
        <v>0</v>
      </c>
      <c r="H10">
        <v>20</v>
      </c>
      <c r="I10">
        <v>1983</v>
      </c>
      <c r="K10" t="str">
        <f>LEFT(Tabela5[[#This Row],[Sex Tit  WTit OTit]],1)</f>
        <v>M</v>
      </c>
      <c r="L10">
        <f>IF(Tabela5[[#This Row],[Sexo]]="M",1,0)</f>
        <v>1</v>
      </c>
      <c r="M10">
        <f>IF(Tabela5[[#This Row],[Sexo]]="F",1,0)</f>
        <v>0</v>
      </c>
      <c r="N10" s="5">
        <f>2020-Tabela5[[#This Row],[B-day]]</f>
        <v>37</v>
      </c>
      <c r="O10" s="5">
        <f>IF(Tabela5[[#This Row],[Idade]]&lt;21,1,0)</f>
        <v>0</v>
      </c>
      <c r="P10" s="5">
        <f>IF(Tabela5[[#This Row],[Idade]]&gt;20,1,0)</f>
        <v>1</v>
      </c>
      <c r="Q10" s="5">
        <f>IF(Tabela5[[#This Row],[Juniores]]=1,Tabela5[[#This Row],[B-day]],0)</f>
        <v>0</v>
      </c>
    </row>
    <row r="11" spans="1:17" x14ac:dyDescent="0.25">
      <c r="A11">
        <v>2020</v>
      </c>
      <c r="B11">
        <v>14800500</v>
      </c>
      <c r="C11" t="s">
        <v>48</v>
      </c>
      <c r="D11" t="s">
        <v>1</v>
      </c>
      <c r="E11" t="s">
        <v>2</v>
      </c>
      <c r="F11">
        <v>1912</v>
      </c>
      <c r="G11">
        <v>0</v>
      </c>
      <c r="H11">
        <v>20</v>
      </c>
      <c r="I11">
        <v>1993</v>
      </c>
      <c r="K11" t="str">
        <f>LEFT(Tabela5[[#This Row],[Sex Tit  WTit OTit]],1)</f>
        <v>M</v>
      </c>
      <c r="L11">
        <f>IF(Tabela5[[#This Row],[Sexo]]="M",1,0)</f>
        <v>1</v>
      </c>
      <c r="M11">
        <f>IF(Tabela5[[#This Row],[Sexo]]="F",1,0)</f>
        <v>0</v>
      </c>
      <c r="N11" s="5">
        <f>2020-Tabela5[[#This Row],[B-day]]</f>
        <v>27</v>
      </c>
      <c r="O11" s="5">
        <f>IF(Tabela5[[#This Row],[Idade]]&lt;21,1,0)</f>
        <v>0</v>
      </c>
      <c r="P11" s="5">
        <f>IF(Tabela5[[#This Row],[Idade]]&gt;20,1,0)</f>
        <v>1</v>
      </c>
      <c r="Q11" s="5">
        <f>IF(Tabela5[[#This Row],[Juniores]]=1,Tabela5[[#This Row],[B-day]],0)</f>
        <v>0</v>
      </c>
    </row>
    <row r="12" spans="1:17" x14ac:dyDescent="0.25">
      <c r="A12">
        <v>2020</v>
      </c>
      <c r="B12">
        <v>14801256</v>
      </c>
      <c r="C12" t="s">
        <v>59</v>
      </c>
      <c r="D12" t="s">
        <v>1</v>
      </c>
      <c r="E12" t="s">
        <v>2</v>
      </c>
      <c r="F12">
        <v>1895</v>
      </c>
      <c r="G12">
        <v>0</v>
      </c>
      <c r="H12">
        <v>40</v>
      </c>
      <c r="I12">
        <v>1988</v>
      </c>
      <c r="K12" t="str">
        <f>LEFT(Tabela5[[#This Row],[Sex Tit  WTit OTit]],1)</f>
        <v>M</v>
      </c>
      <c r="L12">
        <f>IF(Tabela5[[#This Row],[Sexo]]="M",1,0)</f>
        <v>1</v>
      </c>
      <c r="M12">
        <f>IF(Tabela5[[#This Row],[Sexo]]="F",1,0)</f>
        <v>0</v>
      </c>
      <c r="N12" s="5">
        <f>2020-Tabela5[[#This Row],[B-day]]</f>
        <v>32</v>
      </c>
      <c r="O12" s="5">
        <f>IF(Tabela5[[#This Row],[Idade]]&lt;21,1,0)</f>
        <v>0</v>
      </c>
      <c r="P12" s="5">
        <f>IF(Tabela5[[#This Row],[Idade]]&gt;20,1,0)</f>
        <v>1</v>
      </c>
      <c r="Q12" s="5">
        <f>IF(Tabela5[[#This Row],[Juniores]]=1,Tabela5[[#This Row],[B-day]],0)</f>
        <v>0</v>
      </c>
    </row>
    <row r="13" spans="1:17" x14ac:dyDescent="0.25">
      <c r="A13">
        <v>2020</v>
      </c>
      <c r="B13">
        <v>14800403</v>
      </c>
      <c r="C13" t="s">
        <v>24</v>
      </c>
      <c r="D13" t="s">
        <v>1</v>
      </c>
      <c r="E13" t="s">
        <v>2</v>
      </c>
      <c r="F13">
        <v>1862</v>
      </c>
      <c r="G13">
        <v>0</v>
      </c>
      <c r="H13">
        <v>40</v>
      </c>
      <c r="I13">
        <v>2003</v>
      </c>
      <c r="K13" t="str">
        <f>LEFT(Tabela5[[#This Row],[Sex Tit  WTit OTit]],1)</f>
        <v>M</v>
      </c>
      <c r="L13">
        <f>IF(Tabela5[[#This Row],[Sexo]]="M",1,0)</f>
        <v>1</v>
      </c>
      <c r="M13">
        <f>IF(Tabela5[[#This Row],[Sexo]]="F",1,0)</f>
        <v>0</v>
      </c>
      <c r="N13" s="5">
        <f>2020-Tabela5[[#This Row],[B-day]]</f>
        <v>17</v>
      </c>
      <c r="O13" s="5">
        <f>IF(Tabela5[[#This Row],[Idade]]&lt;21,1,0)</f>
        <v>1</v>
      </c>
      <c r="P13" s="5">
        <f>IF(Tabela5[[#This Row],[Idade]]&gt;20,1,0)</f>
        <v>0</v>
      </c>
      <c r="Q13" s="5">
        <f>IF(Tabela5[[#This Row],[Juniores]]=1,Tabela5[[#This Row],[B-day]],0)</f>
        <v>2003</v>
      </c>
    </row>
    <row r="14" spans="1:17" x14ac:dyDescent="0.25">
      <c r="A14">
        <v>2020</v>
      </c>
      <c r="B14">
        <v>14800284</v>
      </c>
      <c r="C14" t="s">
        <v>18</v>
      </c>
      <c r="D14" t="s">
        <v>1</v>
      </c>
      <c r="E14" t="s">
        <v>2</v>
      </c>
      <c r="F14">
        <v>1852</v>
      </c>
      <c r="G14">
        <v>0</v>
      </c>
      <c r="H14">
        <v>40</v>
      </c>
      <c r="I14">
        <v>1994</v>
      </c>
      <c r="K14" t="str">
        <f>LEFT(Tabela5[[#This Row],[Sex Tit  WTit OTit]],1)</f>
        <v>M</v>
      </c>
      <c r="L14">
        <f>IF(Tabela5[[#This Row],[Sexo]]="M",1,0)</f>
        <v>1</v>
      </c>
      <c r="M14">
        <f>IF(Tabela5[[#This Row],[Sexo]]="F",1,0)</f>
        <v>0</v>
      </c>
      <c r="N14" s="5">
        <f>2020-Tabela5[[#This Row],[B-day]]</f>
        <v>26</v>
      </c>
      <c r="O14" s="5">
        <f>IF(Tabela5[[#This Row],[Idade]]&lt;21,1,0)</f>
        <v>0</v>
      </c>
      <c r="P14" s="5">
        <f>IF(Tabela5[[#This Row],[Idade]]&gt;20,1,0)</f>
        <v>1</v>
      </c>
      <c r="Q14" s="5">
        <f>IF(Tabela5[[#This Row],[Juniores]]=1,Tabela5[[#This Row],[B-day]],0)</f>
        <v>0</v>
      </c>
    </row>
    <row r="15" spans="1:17" x14ac:dyDescent="0.25">
      <c r="A15">
        <v>2020</v>
      </c>
      <c r="B15">
        <v>14800489</v>
      </c>
      <c r="C15" t="s">
        <v>14</v>
      </c>
      <c r="D15" t="s">
        <v>1</v>
      </c>
      <c r="E15" t="s">
        <v>35</v>
      </c>
      <c r="F15">
        <v>1845</v>
      </c>
      <c r="G15">
        <v>0</v>
      </c>
      <c r="H15">
        <v>20</v>
      </c>
      <c r="I15">
        <v>1983</v>
      </c>
      <c r="K15" t="str">
        <f>LEFT(Tabela5[[#This Row],[Sex Tit  WTit OTit]],1)</f>
        <v>M</v>
      </c>
      <c r="L15">
        <f>IF(Tabela5[[#This Row],[Sexo]]="M",1,0)</f>
        <v>1</v>
      </c>
      <c r="M15">
        <f>IF(Tabela5[[#This Row],[Sexo]]="F",1,0)</f>
        <v>0</v>
      </c>
      <c r="N15" s="5">
        <f>2020-Tabela5[[#This Row],[B-day]]</f>
        <v>37</v>
      </c>
      <c r="O15" s="5">
        <f>IF(Tabela5[[#This Row],[Idade]]&lt;21,1,0)</f>
        <v>0</v>
      </c>
      <c r="P15" s="5">
        <f>IF(Tabela5[[#This Row],[Idade]]&gt;20,1,0)</f>
        <v>1</v>
      </c>
      <c r="Q15" s="5">
        <f>IF(Tabela5[[#This Row],[Juniores]]=1,Tabela5[[#This Row],[B-day]],0)</f>
        <v>0</v>
      </c>
    </row>
    <row r="16" spans="1:17" x14ac:dyDescent="0.25">
      <c r="A16">
        <v>2020</v>
      </c>
      <c r="B16">
        <v>14801558</v>
      </c>
      <c r="C16" t="s">
        <v>42</v>
      </c>
      <c r="D16" t="s">
        <v>1</v>
      </c>
      <c r="E16" t="s">
        <v>2</v>
      </c>
      <c r="F16">
        <v>1838</v>
      </c>
      <c r="G16">
        <v>0</v>
      </c>
      <c r="H16">
        <v>40</v>
      </c>
      <c r="I16">
        <v>1981</v>
      </c>
      <c r="K16" t="str">
        <f>LEFT(Tabela5[[#This Row],[Sex Tit  WTit OTit]],1)</f>
        <v>M</v>
      </c>
      <c r="L16">
        <f>IF(Tabela5[[#This Row],[Sexo]]="M",1,0)</f>
        <v>1</v>
      </c>
      <c r="M16">
        <f>IF(Tabela5[[#This Row],[Sexo]]="F",1,0)</f>
        <v>0</v>
      </c>
      <c r="N16" s="5">
        <f>2020-Tabela5[[#This Row],[B-day]]</f>
        <v>39</v>
      </c>
      <c r="O16" s="5">
        <f>IF(Tabela5[[#This Row],[Idade]]&lt;21,1,0)</f>
        <v>0</v>
      </c>
      <c r="P16" s="5">
        <f>IF(Tabela5[[#This Row],[Idade]]&gt;20,1,0)</f>
        <v>1</v>
      </c>
      <c r="Q16" s="5">
        <f>IF(Tabela5[[#This Row],[Juniores]]=1,Tabela5[[#This Row],[B-day]],0)</f>
        <v>0</v>
      </c>
    </row>
    <row r="17" spans="1:17" x14ac:dyDescent="0.25">
      <c r="A17">
        <v>2020</v>
      </c>
      <c r="B17">
        <v>14801248</v>
      </c>
      <c r="C17" t="s">
        <v>58</v>
      </c>
      <c r="D17" t="s">
        <v>1</v>
      </c>
      <c r="E17" t="s">
        <v>2</v>
      </c>
      <c r="F17">
        <v>1822</v>
      </c>
      <c r="G17">
        <v>0</v>
      </c>
      <c r="H17">
        <v>40</v>
      </c>
      <c r="I17">
        <v>1998</v>
      </c>
      <c r="K17" t="str">
        <f>LEFT(Tabela5[[#This Row],[Sex Tit  WTit OTit]],1)</f>
        <v>M</v>
      </c>
      <c r="L17">
        <f>IF(Tabela5[[#This Row],[Sexo]]="M",1,0)</f>
        <v>1</v>
      </c>
      <c r="M17">
        <f>IF(Tabela5[[#This Row],[Sexo]]="F",1,0)</f>
        <v>0</v>
      </c>
      <c r="N17" s="5">
        <f>2020-Tabela5[[#This Row],[B-day]]</f>
        <v>22</v>
      </c>
      <c r="O17" s="5">
        <f>IF(Tabela5[[#This Row],[Idade]]&lt;21,1,0)</f>
        <v>0</v>
      </c>
      <c r="P17" s="5">
        <f>IF(Tabela5[[#This Row],[Idade]]&gt;20,1,0)</f>
        <v>1</v>
      </c>
      <c r="Q17" s="5">
        <f>IF(Tabela5[[#This Row],[Juniores]]=1,Tabela5[[#This Row],[B-day]],0)</f>
        <v>0</v>
      </c>
    </row>
    <row r="18" spans="1:17" x14ac:dyDescent="0.25">
      <c r="A18">
        <v>2020</v>
      </c>
      <c r="B18">
        <v>14801302</v>
      </c>
      <c r="C18" t="s">
        <v>63</v>
      </c>
      <c r="D18" t="s">
        <v>1</v>
      </c>
      <c r="E18" t="s">
        <v>2</v>
      </c>
      <c r="F18">
        <v>1807</v>
      </c>
      <c r="G18">
        <v>0</v>
      </c>
      <c r="H18">
        <v>40</v>
      </c>
      <c r="I18">
        <v>1995</v>
      </c>
      <c r="K18" t="str">
        <f>LEFT(Tabela5[[#This Row],[Sex Tit  WTit OTit]],1)</f>
        <v>M</v>
      </c>
      <c r="L18">
        <f>IF(Tabela5[[#This Row],[Sexo]]="M",1,0)</f>
        <v>1</v>
      </c>
      <c r="M18">
        <f>IF(Tabela5[[#This Row],[Sexo]]="F",1,0)</f>
        <v>0</v>
      </c>
      <c r="N18" s="5">
        <f>2020-Tabela5[[#This Row],[B-day]]</f>
        <v>25</v>
      </c>
      <c r="O18" s="5">
        <f>IF(Tabela5[[#This Row],[Idade]]&lt;21,1,0)</f>
        <v>0</v>
      </c>
      <c r="P18" s="5">
        <f>IF(Tabela5[[#This Row],[Idade]]&gt;20,1,0)</f>
        <v>1</v>
      </c>
      <c r="Q18" s="5">
        <f>IF(Tabela5[[#This Row],[Juniores]]=1,Tabela5[[#This Row],[B-day]],0)</f>
        <v>0</v>
      </c>
    </row>
    <row r="19" spans="1:17" x14ac:dyDescent="0.25">
      <c r="A19">
        <v>2020</v>
      </c>
      <c r="B19">
        <v>14800144</v>
      </c>
      <c r="C19" t="s">
        <v>15</v>
      </c>
      <c r="D19" t="s">
        <v>1</v>
      </c>
      <c r="E19" t="s">
        <v>68</v>
      </c>
      <c r="F19">
        <v>1799</v>
      </c>
      <c r="G19">
        <v>0</v>
      </c>
      <c r="H19">
        <v>20</v>
      </c>
      <c r="I19">
        <v>1985</v>
      </c>
      <c r="J19" t="s">
        <v>17</v>
      </c>
      <c r="K19" t="str">
        <f>LEFT(Tabela5[[#This Row],[Sex Tit  WTit OTit]],1)</f>
        <v>F</v>
      </c>
      <c r="L19">
        <f>IF(Tabela5[[#This Row],[Sexo]]="M",1,0)</f>
        <v>0</v>
      </c>
      <c r="M19">
        <f>IF(Tabela5[[#This Row],[Sexo]]="F",1,0)</f>
        <v>1</v>
      </c>
      <c r="N19" s="5">
        <f>2020-Tabela5[[#This Row],[B-day]]</f>
        <v>35</v>
      </c>
      <c r="O19" s="5">
        <f>IF(Tabela5[[#This Row],[Idade]]&lt;21,1,0)</f>
        <v>0</v>
      </c>
      <c r="P19" s="5">
        <f>IF(Tabela5[[#This Row],[Idade]]&gt;20,1,0)</f>
        <v>1</v>
      </c>
      <c r="Q19" s="5">
        <f>IF(Tabela5[[#This Row],[Juniores]]=1,Tabela5[[#This Row],[B-day]],0)</f>
        <v>0</v>
      </c>
    </row>
    <row r="20" spans="1:17" x14ac:dyDescent="0.25">
      <c r="A20">
        <v>2020</v>
      </c>
      <c r="B20">
        <v>14800756</v>
      </c>
      <c r="C20" t="s">
        <v>49</v>
      </c>
      <c r="D20" t="s">
        <v>1</v>
      </c>
      <c r="E20" t="s">
        <v>2</v>
      </c>
      <c r="F20">
        <v>1790</v>
      </c>
      <c r="G20">
        <v>0</v>
      </c>
      <c r="H20">
        <v>40</v>
      </c>
      <c r="I20">
        <v>1990</v>
      </c>
      <c r="K20" t="str">
        <f>LEFT(Tabela5[[#This Row],[Sex Tit  WTit OTit]],1)</f>
        <v>M</v>
      </c>
      <c r="L20">
        <f>IF(Tabela5[[#This Row],[Sexo]]="M",1,0)</f>
        <v>1</v>
      </c>
      <c r="M20">
        <f>IF(Tabela5[[#This Row],[Sexo]]="F",1,0)</f>
        <v>0</v>
      </c>
      <c r="N20" s="5">
        <f>2020-Tabela5[[#This Row],[B-day]]</f>
        <v>30</v>
      </c>
      <c r="O20" s="5">
        <f>IF(Tabela5[[#This Row],[Idade]]&lt;21,1,0)</f>
        <v>0</v>
      </c>
      <c r="P20" s="5">
        <f>IF(Tabela5[[#This Row],[Idade]]&gt;20,1,0)</f>
        <v>1</v>
      </c>
      <c r="Q20" s="5">
        <f>IF(Tabela5[[#This Row],[Juniores]]=1,Tabela5[[#This Row],[B-day]],0)</f>
        <v>0</v>
      </c>
    </row>
    <row r="21" spans="1:17" x14ac:dyDescent="0.25">
      <c r="A21">
        <v>2020</v>
      </c>
      <c r="B21">
        <v>14800764</v>
      </c>
      <c r="C21" t="s">
        <v>65</v>
      </c>
      <c r="D21" t="s">
        <v>1</v>
      </c>
      <c r="E21" t="s">
        <v>2</v>
      </c>
      <c r="F21">
        <v>1748</v>
      </c>
      <c r="G21">
        <v>0</v>
      </c>
      <c r="H21">
        <v>40</v>
      </c>
      <c r="I21">
        <v>1996</v>
      </c>
      <c r="K21" t="str">
        <f>LEFT(Tabela5[[#This Row],[Sex Tit  WTit OTit]],1)</f>
        <v>M</v>
      </c>
      <c r="L21">
        <f>IF(Tabela5[[#This Row],[Sexo]]="M",1,0)</f>
        <v>1</v>
      </c>
      <c r="M21">
        <f>IF(Tabela5[[#This Row],[Sexo]]="F",1,0)</f>
        <v>0</v>
      </c>
      <c r="N21" s="5">
        <f>2020-Tabela5[[#This Row],[B-day]]</f>
        <v>24</v>
      </c>
      <c r="O21" s="5">
        <f>IF(Tabela5[[#This Row],[Idade]]&lt;21,1,0)</f>
        <v>0</v>
      </c>
      <c r="P21" s="5">
        <f>IF(Tabela5[[#This Row],[Idade]]&gt;20,1,0)</f>
        <v>1</v>
      </c>
      <c r="Q21" s="5">
        <f>IF(Tabela5[[#This Row],[Juniores]]=1,Tabela5[[#This Row],[B-day]],0)</f>
        <v>0</v>
      </c>
    </row>
    <row r="22" spans="1:17" x14ac:dyDescent="0.25">
      <c r="A22">
        <v>2020</v>
      </c>
      <c r="B22">
        <v>14800802</v>
      </c>
      <c r="C22" t="s">
        <v>41</v>
      </c>
      <c r="D22" t="s">
        <v>1</v>
      </c>
      <c r="E22" t="s">
        <v>2</v>
      </c>
      <c r="F22">
        <v>1721</v>
      </c>
      <c r="G22">
        <v>0</v>
      </c>
      <c r="H22">
        <v>40</v>
      </c>
      <c r="I22">
        <v>2001</v>
      </c>
      <c r="K22" t="str">
        <f>LEFT(Tabela5[[#This Row],[Sex Tit  WTit OTit]],1)</f>
        <v>M</v>
      </c>
      <c r="L22">
        <f>IF(Tabela5[[#This Row],[Sexo]]="M",1,0)</f>
        <v>1</v>
      </c>
      <c r="M22">
        <f>IF(Tabela5[[#This Row],[Sexo]]="F",1,0)</f>
        <v>0</v>
      </c>
      <c r="N22" s="5">
        <f>2020-Tabela5[[#This Row],[B-day]]</f>
        <v>19</v>
      </c>
      <c r="O22" s="5">
        <f>IF(Tabela5[[#This Row],[Idade]]&lt;21,1,0)</f>
        <v>1</v>
      </c>
      <c r="P22" s="5">
        <f>IF(Tabela5[[#This Row],[Idade]]&gt;20,1,0)</f>
        <v>0</v>
      </c>
      <c r="Q22" s="5">
        <f>IF(Tabela5[[#This Row],[Juniores]]=1,Tabela5[[#This Row],[B-day]],0)</f>
        <v>2001</v>
      </c>
    </row>
    <row r="23" spans="1:17" x14ac:dyDescent="0.25">
      <c r="A23">
        <v>2020</v>
      </c>
      <c r="B23">
        <v>14801167</v>
      </c>
      <c r="C23" t="s">
        <v>44</v>
      </c>
      <c r="D23" t="s">
        <v>1</v>
      </c>
      <c r="E23" t="s">
        <v>2</v>
      </c>
      <c r="F23">
        <v>1661</v>
      </c>
      <c r="G23">
        <v>0</v>
      </c>
      <c r="H23">
        <v>40</v>
      </c>
      <c r="I23">
        <v>1999</v>
      </c>
      <c r="K23" t="str">
        <f>LEFT(Tabela5[[#This Row],[Sex Tit  WTit OTit]],1)</f>
        <v>M</v>
      </c>
      <c r="L23">
        <f>IF(Tabela5[[#This Row],[Sexo]]="M",1,0)</f>
        <v>1</v>
      </c>
      <c r="M23">
        <f>IF(Tabela5[[#This Row],[Sexo]]="F",1,0)</f>
        <v>0</v>
      </c>
      <c r="N23" s="5">
        <f>2020-Tabela5[[#This Row],[B-day]]</f>
        <v>21</v>
      </c>
      <c r="O23" s="5">
        <f>IF(Tabela5[[#This Row],[Idade]]&lt;21,1,0)</f>
        <v>0</v>
      </c>
      <c r="P23" s="5">
        <f>IF(Tabela5[[#This Row],[Idade]]&gt;20,1,0)</f>
        <v>1</v>
      </c>
      <c r="Q23" s="5">
        <f>IF(Tabela5[[#This Row],[Juniores]]=1,Tabela5[[#This Row],[B-day]],0)</f>
        <v>0</v>
      </c>
    </row>
    <row r="24" spans="1:17" x14ac:dyDescent="0.25">
      <c r="A24">
        <v>2020</v>
      </c>
      <c r="B24">
        <v>14800438</v>
      </c>
      <c r="C24" t="s">
        <v>19</v>
      </c>
      <c r="D24" t="s">
        <v>1</v>
      </c>
      <c r="E24" t="s">
        <v>2</v>
      </c>
      <c r="F24">
        <v>1659</v>
      </c>
      <c r="G24">
        <v>0</v>
      </c>
      <c r="H24">
        <v>40</v>
      </c>
      <c r="I24">
        <v>1999</v>
      </c>
      <c r="J24" t="s">
        <v>3</v>
      </c>
      <c r="K24" t="str">
        <f>LEFT(Tabela5[[#This Row],[Sex Tit  WTit OTit]],1)</f>
        <v>M</v>
      </c>
      <c r="L24">
        <f>IF(Tabela5[[#This Row],[Sexo]]="M",1,0)</f>
        <v>1</v>
      </c>
      <c r="M24">
        <f>IF(Tabela5[[#This Row],[Sexo]]="F",1,0)</f>
        <v>0</v>
      </c>
      <c r="N24" s="5">
        <f>2020-Tabela5[[#This Row],[B-day]]</f>
        <v>21</v>
      </c>
      <c r="O24" s="5">
        <f>IF(Tabela5[[#This Row],[Idade]]&lt;21,1,0)</f>
        <v>0</v>
      </c>
      <c r="P24" s="5">
        <f>IF(Tabela5[[#This Row],[Idade]]&gt;20,1,0)</f>
        <v>1</v>
      </c>
      <c r="Q24" s="5">
        <f>IF(Tabela5[[#This Row],[Juniores]]=1,Tabela5[[#This Row],[B-day]],0)</f>
        <v>0</v>
      </c>
    </row>
    <row r="25" spans="1:17" x14ac:dyDescent="0.25">
      <c r="A25">
        <v>2020</v>
      </c>
      <c r="B25">
        <v>14801019</v>
      </c>
      <c r="C25" t="s">
        <v>50</v>
      </c>
      <c r="D25" t="s">
        <v>1</v>
      </c>
      <c r="E25" t="s">
        <v>2</v>
      </c>
      <c r="F25">
        <v>1629</v>
      </c>
      <c r="G25">
        <v>0</v>
      </c>
      <c r="H25">
        <v>40</v>
      </c>
      <c r="I25">
        <v>2002</v>
      </c>
      <c r="J25" t="s">
        <v>3</v>
      </c>
      <c r="K25" t="str">
        <f>LEFT(Tabela5[[#This Row],[Sex Tit  WTit OTit]],1)</f>
        <v>M</v>
      </c>
      <c r="L25">
        <f>IF(Tabela5[[#This Row],[Sexo]]="M",1,0)</f>
        <v>1</v>
      </c>
      <c r="M25">
        <f>IF(Tabela5[[#This Row],[Sexo]]="F",1,0)</f>
        <v>0</v>
      </c>
      <c r="N25" s="5">
        <f>2020-Tabela5[[#This Row],[B-day]]</f>
        <v>18</v>
      </c>
      <c r="O25" s="5">
        <f>IF(Tabela5[[#This Row],[Idade]]&lt;21,1,0)</f>
        <v>1</v>
      </c>
      <c r="P25" s="5">
        <f>IF(Tabela5[[#This Row],[Idade]]&gt;20,1,0)</f>
        <v>0</v>
      </c>
      <c r="Q25" s="5">
        <f>IF(Tabela5[[#This Row],[Juniores]]=1,Tabela5[[#This Row],[B-day]],0)</f>
        <v>2002</v>
      </c>
    </row>
    <row r="26" spans="1:17" x14ac:dyDescent="0.25">
      <c r="A26">
        <v>2020</v>
      </c>
      <c r="B26">
        <v>14800446</v>
      </c>
      <c r="C26" t="s">
        <v>80</v>
      </c>
      <c r="D26" t="s">
        <v>1</v>
      </c>
      <c r="E26" t="s">
        <v>2</v>
      </c>
      <c r="F26">
        <v>1620</v>
      </c>
      <c r="G26">
        <v>0</v>
      </c>
      <c r="H26">
        <v>40</v>
      </c>
      <c r="I26">
        <v>1998</v>
      </c>
      <c r="K26" t="str">
        <f>LEFT(Tabela5[[#This Row],[Sex Tit  WTit OTit]],1)</f>
        <v>M</v>
      </c>
      <c r="L26">
        <f>IF(Tabela5[[#This Row],[Sexo]]="M",1,0)</f>
        <v>1</v>
      </c>
      <c r="M26">
        <f>IF(Tabela5[[#This Row],[Sexo]]="F",1,0)</f>
        <v>0</v>
      </c>
      <c r="N26" s="5">
        <f>2020-Tabela5[[#This Row],[B-day]]</f>
        <v>22</v>
      </c>
      <c r="O26" s="5">
        <f>IF(Tabela5[[#This Row],[Idade]]&lt;21,1,0)</f>
        <v>0</v>
      </c>
      <c r="P26" s="5">
        <f>IF(Tabela5[[#This Row],[Idade]]&gt;20,1,0)</f>
        <v>1</v>
      </c>
      <c r="Q26" s="5">
        <f>IF(Tabela5[[#This Row],[Juniores]]=1,Tabela5[[#This Row],[B-day]],0)</f>
        <v>0</v>
      </c>
    </row>
    <row r="27" spans="1:17" x14ac:dyDescent="0.25">
      <c r="A27">
        <v>2020</v>
      </c>
      <c r="B27">
        <v>14801574</v>
      </c>
      <c r="C27" t="s">
        <v>43</v>
      </c>
      <c r="D27" t="s">
        <v>1</v>
      </c>
      <c r="E27" t="s">
        <v>2</v>
      </c>
      <c r="F27">
        <v>1612</v>
      </c>
      <c r="G27">
        <v>0</v>
      </c>
      <c r="H27">
        <v>40</v>
      </c>
      <c r="I27">
        <v>1992</v>
      </c>
      <c r="J27" t="s">
        <v>3</v>
      </c>
      <c r="K27" t="str">
        <f>LEFT(Tabela5[[#This Row],[Sex Tit  WTit OTit]],1)</f>
        <v>M</v>
      </c>
      <c r="L27">
        <f>IF(Tabela5[[#This Row],[Sexo]]="M",1,0)</f>
        <v>1</v>
      </c>
      <c r="M27">
        <f>IF(Tabela5[[#This Row],[Sexo]]="F",1,0)</f>
        <v>0</v>
      </c>
      <c r="N27" s="5">
        <f>2020-Tabela5[[#This Row],[B-day]]</f>
        <v>28</v>
      </c>
      <c r="O27" s="5">
        <f>IF(Tabela5[[#This Row],[Idade]]&lt;21,1,0)</f>
        <v>0</v>
      </c>
      <c r="P27" s="5">
        <f>IF(Tabela5[[#This Row],[Idade]]&gt;20,1,0)</f>
        <v>1</v>
      </c>
      <c r="Q27" s="5">
        <f>IF(Tabela5[[#This Row],[Juniores]]=1,Tabela5[[#This Row],[B-day]],0)</f>
        <v>0</v>
      </c>
    </row>
    <row r="28" spans="1:17" x14ac:dyDescent="0.25">
      <c r="A28">
        <v>2020</v>
      </c>
      <c r="B28">
        <v>14801930</v>
      </c>
      <c r="C28" t="s">
        <v>81</v>
      </c>
      <c r="D28" t="s">
        <v>1</v>
      </c>
      <c r="E28" t="s">
        <v>2</v>
      </c>
      <c r="F28">
        <v>1603</v>
      </c>
      <c r="G28">
        <v>0</v>
      </c>
      <c r="H28">
        <v>40</v>
      </c>
      <c r="I28">
        <v>1999</v>
      </c>
      <c r="K28" t="str">
        <f>LEFT(Tabela5[[#This Row],[Sex Tit  WTit OTit]],1)</f>
        <v>M</v>
      </c>
      <c r="L28">
        <f>IF(Tabela5[[#This Row],[Sexo]]="M",1,0)</f>
        <v>1</v>
      </c>
      <c r="M28">
        <f>IF(Tabela5[[#This Row],[Sexo]]="F",1,0)</f>
        <v>0</v>
      </c>
      <c r="N28" s="5">
        <f>2020-Tabela5[[#This Row],[B-day]]</f>
        <v>21</v>
      </c>
      <c r="O28" s="5">
        <f>IF(Tabela5[[#This Row],[Idade]]&lt;21,1,0)</f>
        <v>0</v>
      </c>
      <c r="P28" s="5">
        <f>IF(Tabela5[[#This Row],[Idade]]&gt;20,1,0)</f>
        <v>1</v>
      </c>
      <c r="Q28" s="5">
        <f>IF(Tabela5[[#This Row],[Juniores]]=1,Tabela5[[#This Row],[B-day]],0)</f>
        <v>0</v>
      </c>
    </row>
    <row r="29" spans="1:17" x14ac:dyDescent="0.25">
      <c r="A29">
        <v>2020</v>
      </c>
      <c r="B29">
        <v>14800780</v>
      </c>
      <c r="C29" t="s">
        <v>66</v>
      </c>
      <c r="D29" t="s">
        <v>1</v>
      </c>
      <c r="E29" t="s">
        <v>29</v>
      </c>
      <c r="F29">
        <v>1588</v>
      </c>
      <c r="G29">
        <v>0</v>
      </c>
      <c r="H29">
        <v>20</v>
      </c>
      <c r="I29">
        <v>1999</v>
      </c>
      <c r="J29" t="s">
        <v>17</v>
      </c>
      <c r="K29" t="str">
        <f>LEFT(Tabela5[[#This Row],[Sex Tit  WTit OTit]],1)</f>
        <v>F</v>
      </c>
      <c r="L29">
        <f>IF(Tabela5[[#This Row],[Sexo]]="M",1,0)</f>
        <v>0</v>
      </c>
      <c r="M29">
        <f>IF(Tabela5[[#This Row],[Sexo]]="F",1,0)</f>
        <v>1</v>
      </c>
      <c r="N29" s="5">
        <f>2020-Tabela5[[#This Row],[B-day]]</f>
        <v>21</v>
      </c>
      <c r="O29" s="5">
        <f>IF(Tabela5[[#This Row],[Idade]]&lt;21,1,0)</f>
        <v>0</v>
      </c>
      <c r="P29" s="5">
        <f>IF(Tabela5[[#This Row],[Idade]]&gt;20,1,0)</f>
        <v>1</v>
      </c>
      <c r="Q29" s="5">
        <f>IF(Tabela5[[#This Row],[Juniores]]=1,Tabela5[[#This Row],[B-day]],0)</f>
        <v>0</v>
      </c>
    </row>
    <row r="30" spans="1:17" x14ac:dyDescent="0.25">
      <c r="A30">
        <v>2020</v>
      </c>
      <c r="B30">
        <v>14800306</v>
      </c>
      <c r="C30" t="s">
        <v>20</v>
      </c>
      <c r="D30" t="s">
        <v>1</v>
      </c>
      <c r="E30" t="s">
        <v>21</v>
      </c>
      <c r="F30">
        <v>1587</v>
      </c>
      <c r="G30">
        <v>0</v>
      </c>
      <c r="H30">
        <v>40</v>
      </c>
      <c r="I30">
        <v>1997</v>
      </c>
      <c r="J30" t="s">
        <v>22</v>
      </c>
      <c r="K30" t="str">
        <f>LEFT(Tabela5[[#This Row],[Sex Tit  WTit OTit]],1)</f>
        <v>F</v>
      </c>
      <c r="L30">
        <f>IF(Tabela5[[#This Row],[Sexo]]="M",1,0)</f>
        <v>0</v>
      </c>
      <c r="M30">
        <f>IF(Tabela5[[#This Row],[Sexo]]="F",1,0)</f>
        <v>1</v>
      </c>
      <c r="N30" s="5">
        <f>2020-Tabela5[[#This Row],[B-day]]</f>
        <v>23</v>
      </c>
      <c r="O30" s="5">
        <f>IF(Tabela5[[#This Row],[Idade]]&lt;21,1,0)</f>
        <v>0</v>
      </c>
      <c r="P30" s="5">
        <f>IF(Tabela5[[#This Row],[Idade]]&gt;20,1,0)</f>
        <v>1</v>
      </c>
      <c r="Q30" s="5">
        <f>IF(Tabela5[[#This Row],[Juniores]]=1,Tabela5[[#This Row],[B-day]],0)</f>
        <v>0</v>
      </c>
    </row>
    <row r="31" spans="1:17" x14ac:dyDescent="0.25">
      <c r="A31">
        <v>2020</v>
      </c>
      <c r="B31">
        <v>14801230</v>
      </c>
      <c r="C31" t="s">
        <v>86</v>
      </c>
      <c r="D31" t="s">
        <v>1</v>
      </c>
      <c r="E31" t="s">
        <v>2</v>
      </c>
      <c r="F31">
        <v>1580</v>
      </c>
      <c r="G31">
        <v>0</v>
      </c>
      <c r="H31">
        <v>40</v>
      </c>
      <c r="I31">
        <v>2000</v>
      </c>
      <c r="K31" t="str">
        <f>LEFT(Tabela5[[#This Row],[Sex Tit  WTit OTit]],1)</f>
        <v>M</v>
      </c>
      <c r="L31">
        <f>IF(Tabela5[[#This Row],[Sexo]]="M",1,0)</f>
        <v>1</v>
      </c>
      <c r="M31">
        <f>IF(Tabela5[[#This Row],[Sexo]]="F",1,0)</f>
        <v>0</v>
      </c>
      <c r="N31" s="5">
        <f>2020-Tabela5[[#This Row],[B-day]]</f>
        <v>20</v>
      </c>
      <c r="O31" s="5">
        <f>IF(Tabela5[[#This Row],[Idade]]&lt;21,1,0)</f>
        <v>1</v>
      </c>
      <c r="P31" s="5">
        <f>IF(Tabela5[[#This Row],[Idade]]&gt;20,1,0)</f>
        <v>0</v>
      </c>
      <c r="Q31" s="5">
        <f>IF(Tabela5[[#This Row],[Juniores]]=1,Tabela5[[#This Row],[B-day]],0)</f>
        <v>2000</v>
      </c>
    </row>
    <row r="32" spans="1:17" x14ac:dyDescent="0.25">
      <c r="A32">
        <v>2020</v>
      </c>
      <c r="B32">
        <v>14800713</v>
      </c>
      <c r="C32" t="s">
        <v>83</v>
      </c>
      <c r="D32" t="s">
        <v>1</v>
      </c>
      <c r="E32" t="s">
        <v>2</v>
      </c>
      <c r="F32">
        <v>1576</v>
      </c>
      <c r="G32">
        <v>0</v>
      </c>
      <c r="H32">
        <v>40</v>
      </c>
      <c r="I32">
        <v>1980</v>
      </c>
      <c r="K32" t="str">
        <f>LEFT(Tabela5[[#This Row],[Sex Tit  WTit OTit]],1)</f>
        <v>M</v>
      </c>
      <c r="L32">
        <f>IF(Tabela5[[#This Row],[Sexo]]="M",1,0)</f>
        <v>1</v>
      </c>
      <c r="M32">
        <f>IF(Tabela5[[#This Row],[Sexo]]="F",1,0)</f>
        <v>0</v>
      </c>
      <c r="N32" s="5">
        <f>2020-Tabela5[[#This Row],[B-day]]</f>
        <v>40</v>
      </c>
      <c r="O32" s="5">
        <f>IF(Tabela5[[#This Row],[Idade]]&lt;21,1,0)</f>
        <v>0</v>
      </c>
      <c r="P32" s="5">
        <f>IF(Tabela5[[#This Row],[Idade]]&gt;20,1,0)</f>
        <v>1</v>
      </c>
      <c r="Q32" s="5">
        <f>IF(Tabela5[[#This Row],[Juniores]]=1,Tabela5[[#This Row],[B-day]],0)</f>
        <v>0</v>
      </c>
    </row>
    <row r="33" spans="1:17" x14ac:dyDescent="0.25">
      <c r="A33">
        <v>2020</v>
      </c>
      <c r="B33">
        <v>14800730</v>
      </c>
      <c r="C33" t="s">
        <v>54</v>
      </c>
      <c r="D33" t="s">
        <v>1</v>
      </c>
      <c r="E33" t="s">
        <v>2</v>
      </c>
      <c r="F33">
        <v>1574</v>
      </c>
      <c r="G33">
        <v>0</v>
      </c>
      <c r="H33">
        <v>40</v>
      </c>
      <c r="I33">
        <v>2004</v>
      </c>
      <c r="K33" t="str">
        <f>LEFT(Tabela5[[#This Row],[Sex Tit  WTit OTit]],1)</f>
        <v>M</v>
      </c>
      <c r="L33">
        <f>IF(Tabela5[[#This Row],[Sexo]]="M",1,0)</f>
        <v>1</v>
      </c>
      <c r="M33">
        <f>IF(Tabela5[[#This Row],[Sexo]]="F",1,0)</f>
        <v>0</v>
      </c>
      <c r="N33" s="5">
        <f>2020-Tabela5[[#This Row],[B-day]]</f>
        <v>16</v>
      </c>
      <c r="O33" s="5">
        <f>IF(Tabela5[[#This Row],[Idade]]&lt;21,1,0)</f>
        <v>1</v>
      </c>
      <c r="P33" s="5">
        <f>IF(Tabela5[[#This Row],[Idade]]&gt;20,1,0)</f>
        <v>0</v>
      </c>
      <c r="Q33" s="5">
        <f>IF(Tabela5[[#This Row],[Juniores]]=1,Tabela5[[#This Row],[B-day]],0)</f>
        <v>2004</v>
      </c>
    </row>
    <row r="34" spans="1:17" x14ac:dyDescent="0.25">
      <c r="A34">
        <v>2020</v>
      </c>
      <c r="B34">
        <v>14801663</v>
      </c>
      <c r="C34" t="s">
        <v>61</v>
      </c>
      <c r="D34" t="s">
        <v>1</v>
      </c>
      <c r="E34" t="s">
        <v>2</v>
      </c>
      <c r="F34">
        <v>1546</v>
      </c>
      <c r="G34">
        <v>0</v>
      </c>
      <c r="H34">
        <v>40</v>
      </c>
      <c r="I34">
        <v>1979</v>
      </c>
      <c r="J34" t="s">
        <v>3</v>
      </c>
      <c r="K34" t="str">
        <f>LEFT(Tabela5[[#This Row],[Sex Tit  WTit OTit]],1)</f>
        <v>M</v>
      </c>
      <c r="L34">
        <f>IF(Tabela5[[#This Row],[Sexo]]="M",1,0)</f>
        <v>1</v>
      </c>
      <c r="M34">
        <f>IF(Tabela5[[#This Row],[Sexo]]="F",1,0)</f>
        <v>0</v>
      </c>
      <c r="N34" s="5">
        <f>2020-Tabela5[[#This Row],[B-day]]</f>
        <v>41</v>
      </c>
      <c r="O34" s="5">
        <f>IF(Tabela5[[#This Row],[Idade]]&lt;21,1,0)</f>
        <v>0</v>
      </c>
      <c r="P34" s="5">
        <f>IF(Tabela5[[#This Row],[Idade]]&gt;20,1,0)</f>
        <v>1</v>
      </c>
      <c r="Q34" s="5">
        <f>IF(Tabela5[[#This Row],[Juniores]]=1,Tabela5[[#This Row],[B-day]],0)</f>
        <v>0</v>
      </c>
    </row>
    <row r="35" spans="1:17" x14ac:dyDescent="0.25">
      <c r="A35">
        <v>2020</v>
      </c>
      <c r="B35">
        <v>14800101</v>
      </c>
      <c r="C35" t="s">
        <v>25</v>
      </c>
      <c r="D35" t="s">
        <v>1</v>
      </c>
      <c r="E35" t="s">
        <v>21</v>
      </c>
      <c r="F35">
        <v>1535</v>
      </c>
      <c r="G35">
        <v>0</v>
      </c>
      <c r="H35">
        <v>40</v>
      </c>
      <c r="I35">
        <v>1998</v>
      </c>
      <c r="J35" t="s">
        <v>22</v>
      </c>
      <c r="K35" t="str">
        <f>LEFT(Tabela5[[#This Row],[Sex Tit  WTit OTit]],1)</f>
        <v>F</v>
      </c>
      <c r="L35">
        <f>IF(Tabela5[[#This Row],[Sexo]]="M",1,0)</f>
        <v>0</v>
      </c>
      <c r="M35">
        <f>IF(Tabela5[[#This Row],[Sexo]]="F",1,0)</f>
        <v>1</v>
      </c>
      <c r="N35" s="5">
        <f>2020-Tabela5[[#This Row],[B-day]]</f>
        <v>22</v>
      </c>
      <c r="O35" s="5">
        <f>IF(Tabela5[[#This Row],[Idade]]&lt;21,1,0)</f>
        <v>0</v>
      </c>
      <c r="P35" s="5">
        <f>IF(Tabela5[[#This Row],[Idade]]&gt;20,1,0)</f>
        <v>1</v>
      </c>
      <c r="Q35" s="5">
        <f>IF(Tabela5[[#This Row],[Juniores]]=1,Tabela5[[#This Row],[B-day]],0)</f>
        <v>0</v>
      </c>
    </row>
    <row r="36" spans="1:17" x14ac:dyDescent="0.25">
      <c r="A36">
        <v>2020</v>
      </c>
      <c r="B36">
        <v>14801310</v>
      </c>
      <c r="C36" t="s">
        <v>56</v>
      </c>
      <c r="D36" t="s">
        <v>1</v>
      </c>
      <c r="E36" t="s">
        <v>2</v>
      </c>
      <c r="F36">
        <v>1529</v>
      </c>
      <c r="G36">
        <v>0</v>
      </c>
      <c r="H36">
        <v>40</v>
      </c>
      <c r="I36">
        <v>1994</v>
      </c>
      <c r="K36" t="str">
        <f>LEFT(Tabela5[[#This Row],[Sex Tit  WTit OTit]],1)</f>
        <v>M</v>
      </c>
      <c r="L36">
        <f>IF(Tabela5[[#This Row],[Sexo]]="M",1,0)</f>
        <v>1</v>
      </c>
      <c r="M36">
        <f>IF(Tabela5[[#This Row],[Sexo]]="F",1,0)</f>
        <v>0</v>
      </c>
      <c r="N36" s="5">
        <f>2020-Tabela5[[#This Row],[B-day]]</f>
        <v>26</v>
      </c>
      <c r="O36" s="5">
        <f>IF(Tabela5[[#This Row],[Idade]]&lt;21,1,0)</f>
        <v>0</v>
      </c>
      <c r="P36" s="5">
        <f>IF(Tabela5[[#This Row],[Idade]]&gt;20,1,0)</f>
        <v>1</v>
      </c>
      <c r="Q36" s="5">
        <f>IF(Tabela5[[#This Row],[Juniores]]=1,Tabela5[[#This Row],[B-day]],0)</f>
        <v>0</v>
      </c>
    </row>
    <row r="37" spans="1:17" x14ac:dyDescent="0.25">
      <c r="A37">
        <v>2020</v>
      </c>
      <c r="B37">
        <v>14800128</v>
      </c>
      <c r="C37" t="s">
        <v>39</v>
      </c>
      <c r="D37" t="s">
        <v>1</v>
      </c>
      <c r="E37" t="s">
        <v>2</v>
      </c>
      <c r="F37">
        <v>1525</v>
      </c>
      <c r="G37">
        <v>0</v>
      </c>
      <c r="H37">
        <v>40</v>
      </c>
      <c r="I37">
        <v>0</v>
      </c>
      <c r="J37" t="s">
        <v>3</v>
      </c>
      <c r="K37" t="str">
        <f>LEFT(Tabela5[[#This Row],[Sex Tit  WTit OTit]],1)</f>
        <v>M</v>
      </c>
      <c r="L37">
        <f>IF(Tabela5[[#This Row],[Sexo]]="M",1,0)</f>
        <v>1</v>
      </c>
      <c r="M37">
        <f>IF(Tabela5[[#This Row],[Sexo]]="F",1,0)</f>
        <v>0</v>
      </c>
      <c r="N37" s="5">
        <f>2020-Tabela5[[#This Row],[B-day]]</f>
        <v>2020</v>
      </c>
      <c r="O37" s="5">
        <f>IF(Tabela5[[#This Row],[Idade]]&lt;21,1,0)</f>
        <v>0</v>
      </c>
      <c r="P37" s="5">
        <f>IF(Tabela5[[#This Row],[Idade]]&gt;20,1,0)</f>
        <v>1</v>
      </c>
      <c r="Q37" s="5">
        <f>IF(Tabela5[[#This Row],[Juniores]]=1,Tabela5[[#This Row],[B-day]],0)</f>
        <v>0</v>
      </c>
    </row>
    <row r="38" spans="1:17" x14ac:dyDescent="0.25">
      <c r="A38">
        <v>2020</v>
      </c>
      <c r="B38">
        <v>14800152</v>
      </c>
      <c r="C38" t="s">
        <v>23</v>
      </c>
      <c r="D38" t="s">
        <v>1</v>
      </c>
      <c r="E38" t="s">
        <v>21</v>
      </c>
      <c r="F38">
        <v>1516</v>
      </c>
      <c r="G38">
        <v>0</v>
      </c>
      <c r="H38">
        <v>40</v>
      </c>
      <c r="I38">
        <v>1995</v>
      </c>
      <c r="J38" t="s">
        <v>22</v>
      </c>
      <c r="K38" t="str">
        <f>LEFT(Tabela5[[#This Row],[Sex Tit  WTit OTit]],1)</f>
        <v>F</v>
      </c>
      <c r="L38">
        <f>IF(Tabela5[[#This Row],[Sexo]]="M",1,0)</f>
        <v>0</v>
      </c>
      <c r="M38">
        <f>IF(Tabela5[[#This Row],[Sexo]]="F",1,0)</f>
        <v>1</v>
      </c>
      <c r="N38" s="5">
        <f>2020-Tabela5[[#This Row],[B-day]]</f>
        <v>25</v>
      </c>
      <c r="O38" s="5">
        <f>IF(Tabela5[[#This Row],[Idade]]&lt;21,1,0)</f>
        <v>0</v>
      </c>
      <c r="P38" s="5">
        <f>IF(Tabela5[[#This Row],[Idade]]&gt;20,1,0)</f>
        <v>1</v>
      </c>
      <c r="Q38" s="5">
        <f>IF(Tabela5[[#This Row],[Juniores]]=1,Tabela5[[#This Row],[B-day]],0)</f>
        <v>0</v>
      </c>
    </row>
    <row r="39" spans="1:17" x14ac:dyDescent="0.25">
      <c r="A39">
        <v>2020</v>
      </c>
      <c r="B39">
        <v>14800250</v>
      </c>
      <c r="C39" t="s">
        <v>28</v>
      </c>
      <c r="D39" t="s">
        <v>1</v>
      </c>
      <c r="E39" t="s">
        <v>29</v>
      </c>
      <c r="F39">
        <v>1512</v>
      </c>
      <c r="G39">
        <v>0</v>
      </c>
      <c r="H39">
        <v>20</v>
      </c>
      <c r="I39">
        <v>1995</v>
      </c>
      <c r="J39" t="s">
        <v>17</v>
      </c>
      <c r="K39" t="str">
        <f>LEFT(Tabela5[[#This Row],[Sex Tit  WTit OTit]],1)</f>
        <v>F</v>
      </c>
      <c r="L39">
        <f>IF(Tabela5[[#This Row],[Sexo]]="M",1,0)</f>
        <v>0</v>
      </c>
      <c r="M39">
        <f>IF(Tabela5[[#This Row],[Sexo]]="F",1,0)</f>
        <v>1</v>
      </c>
      <c r="N39" s="5">
        <f>2020-Tabela5[[#This Row],[B-day]]</f>
        <v>25</v>
      </c>
      <c r="O39" s="5">
        <f>IF(Tabela5[[#This Row],[Idade]]&lt;21,1,0)</f>
        <v>0</v>
      </c>
      <c r="P39" s="5">
        <f>IF(Tabela5[[#This Row],[Idade]]&gt;20,1,0)</f>
        <v>1</v>
      </c>
      <c r="Q39" s="5">
        <f>IF(Tabela5[[#This Row],[Juniores]]=1,Tabela5[[#This Row],[B-day]],0)</f>
        <v>0</v>
      </c>
    </row>
    <row r="40" spans="1:17" x14ac:dyDescent="0.25">
      <c r="A40">
        <v>2020</v>
      </c>
      <c r="B40">
        <v>14801485</v>
      </c>
      <c r="C40" t="s">
        <v>84</v>
      </c>
      <c r="D40" t="s">
        <v>1</v>
      </c>
      <c r="E40" t="s">
        <v>2</v>
      </c>
      <c r="F40">
        <v>1511</v>
      </c>
      <c r="G40">
        <v>0</v>
      </c>
      <c r="H40">
        <v>40</v>
      </c>
      <c r="I40">
        <v>1998</v>
      </c>
      <c r="K40" t="str">
        <f>LEFT(Tabela5[[#This Row],[Sex Tit  WTit OTit]],1)</f>
        <v>M</v>
      </c>
      <c r="L40">
        <f>IF(Tabela5[[#This Row],[Sexo]]="M",1,0)</f>
        <v>1</v>
      </c>
      <c r="M40">
        <f>IF(Tabela5[[#This Row],[Sexo]]="F",1,0)</f>
        <v>0</v>
      </c>
      <c r="N40" s="5">
        <f>2020-Tabela5[[#This Row],[B-day]]</f>
        <v>22</v>
      </c>
      <c r="O40" s="5">
        <f>IF(Tabela5[[#This Row],[Idade]]&lt;21,1,0)</f>
        <v>0</v>
      </c>
      <c r="P40" s="5">
        <f>IF(Tabela5[[#This Row],[Idade]]&gt;20,1,0)</f>
        <v>1</v>
      </c>
      <c r="Q40" s="5">
        <f>IF(Tabela5[[#This Row],[Juniores]]=1,Tabela5[[#This Row],[B-day]],0)</f>
        <v>0</v>
      </c>
    </row>
    <row r="41" spans="1:17" x14ac:dyDescent="0.25">
      <c r="A41">
        <v>2020</v>
      </c>
      <c r="B41">
        <v>14801159</v>
      </c>
      <c r="C41" t="s">
        <v>57</v>
      </c>
      <c r="D41" t="s">
        <v>1</v>
      </c>
      <c r="E41" t="s">
        <v>2</v>
      </c>
      <c r="F41">
        <v>1504</v>
      </c>
      <c r="G41">
        <v>0</v>
      </c>
      <c r="H41">
        <v>40</v>
      </c>
      <c r="I41">
        <v>1956</v>
      </c>
      <c r="J41" t="s">
        <v>3</v>
      </c>
      <c r="K41" t="str">
        <f>LEFT(Tabela5[[#This Row],[Sex Tit  WTit OTit]],1)</f>
        <v>M</v>
      </c>
      <c r="L41">
        <f>IF(Tabela5[[#This Row],[Sexo]]="M",1,0)</f>
        <v>1</v>
      </c>
      <c r="M41">
        <f>IF(Tabela5[[#This Row],[Sexo]]="F",1,0)</f>
        <v>0</v>
      </c>
      <c r="N41" s="5">
        <f>2020-Tabela5[[#This Row],[B-day]]</f>
        <v>64</v>
      </c>
      <c r="O41" s="5">
        <f>IF(Tabela5[[#This Row],[Idade]]&lt;21,1,0)</f>
        <v>0</v>
      </c>
      <c r="P41" s="5">
        <f>IF(Tabela5[[#This Row],[Idade]]&gt;20,1,0)</f>
        <v>1</v>
      </c>
      <c r="Q41" s="5">
        <f>IF(Tabela5[[#This Row],[Juniores]]=1,Tabela5[[#This Row],[B-day]],0)</f>
        <v>0</v>
      </c>
    </row>
    <row r="42" spans="1:17" x14ac:dyDescent="0.25">
      <c r="A42">
        <v>2020</v>
      </c>
      <c r="B42">
        <v>14801922</v>
      </c>
      <c r="C42" t="s">
        <v>82</v>
      </c>
      <c r="D42" t="s">
        <v>1</v>
      </c>
      <c r="E42" t="s">
        <v>21</v>
      </c>
      <c r="F42">
        <v>1497</v>
      </c>
      <c r="G42">
        <v>0</v>
      </c>
      <c r="H42">
        <v>40</v>
      </c>
      <c r="I42">
        <v>1999</v>
      </c>
      <c r="J42" t="s">
        <v>17</v>
      </c>
      <c r="K42" t="str">
        <f>LEFT(Tabela5[[#This Row],[Sex Tit  WTit OTit]],1)</f>
        <v>F</v>
      </c>
      <c r="L42">
        <f>IF(Tabela5[[#This Row],[Sexo]]="M",1,0)</f>
        <v>0</v>
      </c>
      <c r="M42">
        <f>IF(Tabela5[[#This Row],[Sexo]]="F",1,0)</f>
        <v>1</v>
      </c>
      <c r="N42" s="5">
        <f>2020-Tabela5[[#This Row],[B-day]]</f>
        <v>21</v>
      </c>
      <c r="O42" s="5">
        <f>IF(Tabela5[[#This Row],[Idade]]&lt;21,1,0)</f>
        <v>0</v>
      </c>
      <c r="P42" s="5">
        <f>IF(Tabela5[[#This Row],[Idade]]&gt;20,1,0)</f>
        <v>1</v>
      </c>
      <c r="Q42" s="5">
        <f>IF(Tabela5[[#This Row],[Juniores]]=1,Tabela5[[#This Row],[B-day]],0)</f>
        <v>0</v>
      </c>
    </row>
    <row r="43" spans="1:17" x14ac:dyDescent="0.25">
      <c r="A43">
        <v>2020</v>
      </c>
      <c r="B43">
        <v>14801221</v>
      </c>
      <c r="C43" t="s">
        <v>52</v>
      </c>
      <c r="D43" t="s">
        <v>1</v>
      </c>
      <c r="E43" t="s">
        <v>2</v>
      </c>
      <c r="F43">
        <v>1495</v>
      </c>
      <c r="G43">
        <v>0</v>
      </c>
      <c r="H43">
        <v>40</v>
      </c>
      <c r="I43">
        <v>1999</v>
      </c>
      <c r="J43" t="s">
        <v>3</v>
      </c>
      <c r="K43" t="str">
        <f>LEFT(Tabela5[[#This Row],[Sex Tit  WTit OTit]],1)</f>
        <v>M</v>
      </c>
      <c r="L43">
        <f>IF(Tabela5[[#This Row],[Sexo]]="M",1,0)</f>
        <v>1</v>
      </c>
      <c r="M43">
        <f>IF(Tabela5[[#This Row],[Sexo]]="F",1,0)</f>
        <v>0</v>
      </c>
      <c r="N43" s="5">
        <f>2020-Tabela5[[#This Row],[B-day]]</f>
        <v>21</v>
      </c>
      <c r="O43" s="5">
        <f>IF(Tabela5[[#This Row],[Idade]]&lt;21,1,0)</f>
        <v>0</v>
      </c>
      <c r="P43" s="5">
        <f>IF(Tabela5[[#This Row],[Idade]]&gt;20,1,0)</f>
        <v>1</v>
      </c>
      <c r="Q43" s="5">
        <f>IF(Tabela5[[#This Row],[Juniores]]=1,Tabela5[[#This Row],[B-day]],0)</f>
        <v>0</v>
      </c>
    </row>
    <row r="44" spans="1:17" x14ac:dyDescent="0.25">
      <c r="A44">
        <v>2020</v>
      </c>
      <c r="B44">
        <v>14800454</v>
      </c>
      <c r="C44" t="s">
        <v>26</v>
      </c>
      <c r="D44" t="s">
        <v>1</v>
      </c>
      <c r="E44" t="s">
        <v>21</v>
      </c>
      <c r="F44">
        <v>1492</v>
      </c>
      <c r="G44">
        <v>0</v>
      </c>
      <c r="H44">
        <v>40</v>
      </c>
      <c r="I44">
        <v>1999</v>
      </c>
      <c r="J44" t="s">
        <v>22</v>
      </c>
      <c r="K44" t="str">
        <f>LEFT(Tabela5[[#This Row],[Sex Tit  WTit OTit]],1)</f>
        <v>F</v>
      </c>
      <c r="L44">
        <f>IF(Tabela5[[#This Row],[Sexo]]="M",1,0)</f>
        <v>0</v>
      </c>
      <c r="M44">
        <f>IF(Tabela5[[#This Row],[Sexo]]="F",1,0)</f>
        <v>1</v>
      </c>
      <c r="N44" s="5">
        <f>2020-Tabela5[[#This Row],[B-day]]</f>
        <v>21</v>
      </c>
      <c r="O44" s="5">
        <f>IF(Tabela5[[#This Row],[Idade]]&lt;21,1,0)</f>
        <v>0</v>
      </c>
      <c r="P44" s="5">
        <f>IF(Tabela5[[#This Row],[Idade]]&gt;20,1,0)</f>
        <v>1</v>
      </c>
      <c r="Q44" s="5">
        <f>IF(Tabela5[[#This Row],[Juniores]]=1,Tabela5[[#This Row],[B-day]],0)</f>
        <v>0</v>
      </c>
    </row>
    <row r="45" spans="1:17" x14ac:dyDescent="0.25">
      <c r="A45">
        <v>2020</v>
      </c>
      <c r="B45">
        <v>14801817</v>
      </c>
      <c r="C45" t="s">
        <v>89</v>
      </c>
      <c r="D45" t="s">
        <v>1</v>
      </c>
      <c r="E45" t="s">
        <v>2</v>
      </c>
      <c r="F45">
        <v>1486</v>
      </c>
      <c r="G45">
        <v>0</v>
      </c>
      <c r="H45">
        <v>40</v>
      </c>
      <c r="I45">
        <v>1987</v>
      </c>
      <c r="K45" t="str">
        <f>LEFT(Tabela5[[#This Row],[Sex Tit  WTit OTit]],1)</f>
        <v>M</v>
      </c>
      <c r="L45">
        <f>IF(Tabela5[[#This Row],[Sexo]]="M",1,0)</f>
        <v>1</v>
      </c>
      <c r="M45">
        <f>IF(Tabela5[[#This Row],[Sexo]]="F",1,0)</f>
        <v>0</v>
      </c>
      <c r="N45" s="5">
        <f>2020-Tabela5[[#This Row],[B-day]]</f>
        <v>33</v>
      </c>
      <c r="O45" s="5">
        <f>IF(Tabela5[[#This Row],[Idade]]&lt;21,1,0)</f>
        <v>0</v>
      </c>
      <c r="P45" s="5">
        <f>IF(Tabela5[[#This Row],[Idade]]&gt;20,1,0)</f>
        <v>1</v>
      </c>
      <c r="Q45" s="5">
        <f>IF(Tabela5[[#This Row],[Juniores]]=1,Tabela5[[#This Row],[B-day]],0)</f>
        <v>0</v>
      </c>
    </row>
    <row r="46" spans="1:17" x14ac:dyDescent="0.25">
      <c r="A46">
        <v>2020</v>
      </c>
      <c r="B46">
        <v>14801906</v>
      </c>
      <c r="C46" t="s">
        <v>92</v>
      </c>
      <c r="D46" t="s">
        <v>1</v>
      </c>
      <c r="E46" t="s">
        <v>2</v>
      </c>
      <c r="F46">
        <v>1483</v>
      </c>
      <c r="G46">
        <v>0</v>
      </c>
      <c r="H46">
        <v>40</v>
      </c>
      <c r="I46">
        <v>1995</v>
      </c>
      <c r="K46" t="str">
        <f>LEFT(Tabela5[[#This Row],[Sex Tit  WTit OTit]],1)</f>
        <v>M</v>
      </c>
      <c r="L46">
        <f>IF(Tabela5[[#This Row],[Sexo]]="M",1,0)</f>
        <v>1</v>
      </c>
      <c r="M46">
        <f>IF(Tabela5[[#This Row],[Sexo]]="F",1,0)</f>
        <v>0</v>
      </c>
      <c r="N46" s="5">
        <f>2020-Tabela5[[#This Row],[B-day]]</f>
        <v>25</v>
      </c>
      <c r="O46" s="5">
        <f>IF(Tabela5[[#This Row],[Idade]]&lt;21,1,0)</f>
        <v>0</v>
      </c>
      <c r="P46" s="5">
        <f>IF(Tabela5[[#This Row],[Idade]]&gt;20,1,0)</f>
        <v>1</v>
      </c>
      <c r="Q46" s="5">
        <f>IF(Tabela5[[#This Row],[Juniores]]=1,Tabela5[[#This Row],[B-day]],0)</f>
        <v>0</v>
      </c>
    </row>
    <row r="47" spans="1:17" x14ac:dyDescent="0.25">
      <c r="A47">
        <v>2020</v>
      </c>
      <c r="B47">
        <v>14800187</v>
      </c>
      <c r="C47" t="s">
        <v>27</v>
      </c>
      <c r="D47" t="s">
        <v>1</v>
      </c>
      <c r="E47" t="s">
        <v>21</v>
      </c>
      <c r="F47">
        <v>1472</v>
      </c>
      <c r="G47">
        <v>0</v>
      </c>
      <c r="H47">
        <v>40</v>
      </c>
      <c r="I47">
        <v>1994</v>
      </c>
      <c r="J47" t="s">
        <v>22</v>
      </c>
      <c r="K47" t="str">
        <f>LEFT(Tabela5[[#This Row],[Sex Tit  WTit OTit]],1)</f>
        <v>F</v>
      </c>
      <c r="L47">
        <f>IF(Tabela5[[#This Row],[Sexo]]="M",1,0)</f>
        <v>0</v>
      </c>
      <c r="M47">
        <f>IF(Tabela5[[#This Row],[Sexo]]="F",1,0)</f>
        <v>1</v>
      </c>
      <c r="N47" s="5">
        <f>2020-Tabela5[[#This Row],[B-day]]</f>
        <v>26</v>
      </c>
      <c r="O47" s="5">
        <f>IF(Tabela5[[#This Row],[Idade]]&lt;21,1,0)</f>
        <v>0</v>
      </c>
      <c r="P47" s="5">
        <f>IF(Tabela5[[#This Row],[Idade]]&gt;20,1,0)</f>
        <v>1</v>
      </c>
      <c r="Q47" s="5">
        <f>IF(Tabela5[[#This Row],[Juniores]]=1,Tabela5[[#This Row],[B-day]],0)</f>
        <v>0</v>
      </c>
    </row>
    <row r="48" spans="1:17" x14ac:dyDescent="0.25">
      <c r="A48">
        <v>2020</v>
      </c>
      <c r="B48">
        <v>14801345</v>
      </c>
      <c r="C48" t="s">
        <v>64</v>
      </c>
      <c r="D48" t="s">
        <v>1</v>
      </c>
      <c r="E48" t="s">
        <v>2</v>
      </c>
      <c r="F48">
        <v>1439</v>
      </c>
      <c r="G48">
        <v>0</v>
      </c>
      <c r="H48">
        <v>40</v>
      </c>
      <c r="I48">
        <v>1997</v>
      </c>
      <c r="K48" t="str">
        <f>LEFT(Tabela5[[#This Row],[Sex Tit  WTit OTit]],1)</f>
        <v>M</v>
      </c>
      <c r="L48">
        <f>IF(Tabela5[[#This Row],[Sexo]]="M",1,0)</f>
        <v>1</v>
      </c>
      <c r="M48">
        <f>IF(Tabela5[[#This Row],[Sexo]]="F",1,0)</f>
        <v>0</v>
      </c>
      <c r="N48" s="5">
        <f>2020-Tabela5[[#This Row],[B-day]]</f>
        <v>23</v>
      </c>
      <c r="O48" s="5">
        <f>IF(Tabela5[[#This Row],[Idade]]&lt;21,1,0)</f>
        <v>0</v>
      </c>
      <c r="P48" s="5">
        <f>IF(Tabela5[[#This Row],[Idade]]&gt;20,1,0)</f>
        <v>1</v>
      </c>
      <c r="Q48" s="5">
        <f>IF(Tabela5[[#This Row],[Juniores]]=1,Tabela5[[#This Row],[B-day]],0)</f>
        <v>0</v>
      </c>
    </row>
    <row r="49" spans="1:17" x14ac:dyDescent="0.25">
      <c r="A49">
        <v>2020</v>
      </c>
      <c r="B49">
        <v>14800292</v>
      </c>
      <c r="C49" t="s">
        <v>32</v>
      </c>
      <c r="D49" t="s">
        <v>1</v>
      </c>
      <c r="E49" t="s">
        <v>29</v>
      </c>
      <c r="F49">
        <v>1431</v>
      </c>
      <c r="G49">
        <v>0</v>
      </c>
      <c r="H49">
        <v>20</v>
      </c>
      <c r="I49">
        <v>1998</v>
      </c>
      <c r="J49" t="s">
        <v>17</v>
      </c>
      <c r="K49" t="str">
        <f>LEFT(Tabela5[[#This Row],[Sex Tit  WTit OTit]],1)</f>
        <v>F</v>
      </c>
      <c r="L49">
        <f>IF(Tabela5[[#This Row],[Sexo]]="M",1,0)</f>
        <v>0</v>
      </c>
      <c r="M49">
        <f>IF(Tabela5[[#This Row],[Sexo]]="F",1,0)</f>
        <v>1</v>
      </c>
      <c r="N49" s="5">
        <f>2020-Tabela5[[#This Row],[B-day]]</f>
        <v>22</v>
      </c>
      <c r="O49" s="5">
        <f>IF(Tabela5[[#This Row],[Idade]]&lt;21,1,0)</f>
        <v>0</v>
      </c>
      <c r="P49" s="5">
        <f>IF(Tabela5[[#This Row],[Idade]]&gt;20,1,0)</f>
        <v>1</v>
      </c>
      <c r="Q49" s="5">
        <f>IF(Tabela5[[#This Row],[Juniores]]=1,Tabela5[[#This Row],[B-day]],0)</f>
        <v>0</v>
      </c>
    </row>
    <row r="50" spans="1:17" x14ac:dyDescent="0.25">
      <c r="A50">
        <v>2020</v>
      </c>
      <c r="B50">
        <v>14800527</v>
      </c>
      <c r="C50" t="s">
        <v>88</v>
      </c>
      <c r="D50" t="s">
        <v>1</v>
      </c>
      <c r="E50" t="s">
        <v>2</v>
      </c>
      <c r="F50">
        <v>1409</v>
      </c>
      <c r="G50">
        <v>0</v>
      </c>
      <c r="H50">
        <v>40</v>
      </c>
      <c r="I50">
        <v>1997</v>
      </c>
      <c r="K50" t="str">
        <f>LEFT(Tabela5[[#This Row],[Sex Tit  WTit OTit]],1)</f>
        <v>M</v>
      </c>
      <c r="L50">
        <f>IF(Tabela5[[#This Row],[Sexo]]="M",1,0)</f>
        <v>1</v>
      </c>
      <c r="M50">
        <f>IF(Tabela5[[#This Row],[Sexo]]="F",1,0)</f>
        <v>0</v>
      </c>
      <c r="N50" s="5">
        <f>2020-Tabela5[[#This Row],[B-day]]</f>
        <v>23</v>
      </c>
      <c r="O50" s="5">
        <f>IF(Tabela5[[#This Row],[Idade]]&lt;21,1,0)</f>
        <v>0</v>
      </c>
      <c r="P50" s="5">
        <f>IF(Tabela5[[#This Row],[Idade]]&gt;20,1,0)</f>
        <v>1</v>
      </c>
      <c r="Q50" s="5">
        <f>IF(Tabela5[[#This Row],[Juniores]]=1,Tabela5[[#This Row],[B-day]],0)</f>
        <v>0</v>
      </c>
    </row>
    <row r="51" spans="1:17" x14ac:dyDescent="0.25">
      <c r="A51">
        <v>2020</v>
      </c>
      <c r="B51">
        <v>14800462</v>
      </c>
      <c r="C51" t="s">
        <v>31</v>
      </c>
      <c r="D51" t="s">
        <v>1</v>
      </c>
      <c r="E51" t="s">
        <v>21</v>
      </c>
      <c r="F51">
        <v>1390</v>
      </c>
      <c r="G51">
        <v>0</v>
      </c>
      <c r="H51">
        <v>40</v>
      </c>
      <c r="I51">
        <v>1991</v>
      </c>
      <c r="J51" t="s">
        <v>22</v>
      </c>
      <c r="K51" t="str">
        <f>LEFT(Tabela5[[#This Row],[Sex Tit  WTit OTit]],1)</f>
        <v>F</v>
      </c>
      <c r="L51">
        <f>IF(Tabela5[[#This Row],[Sexo]]="M",1,0)</f>
        <v>0</v>
      </c>
      <c r="M51">
        <f>IF(Tabela5[[#This Row],[Sexo]]="F",1,0)</f>
        <v>1</v>
      </c>
      <c r="N51" s="5">
        <f>2020-Tabela5[[#This Row],[B-day]]</f>
        <v>29</v>
      </c>
      <c r="O51" s="5">
        <f>IF(Tabela5[[#This Row],[Idade]]&lt;21,1,0)</f>
        <v>0</v>
      </c>
      <c r="P51" s="5">
        <f>IF(Tabela5[[#This Row],[Idade]]&gt;20,1,0)</f>
        <v>1</v>
      </c>
      <c r="Q51" s="5">
        <f>IF(Tabela5[[#This Row],[Juniores]]=1,Tabela5[[#This Row],[B-day]],0)</f>
        <v>0</v>
      </c>
    </row>
    <row r="52" spans="1:17" x14ac:dyDescent="0.25">
      <c r="A52">
        <v>2020</v>
      </c>
      <c r="B52">
        <v>14801183</v>
      </c>
      <c r="C52" t="s">
        <v>87</v>
      </c>
      <c r="D52" t="s">
        <v>1</v>
      </c>
      <c r="E52" t="s">
        <v>2</v>
      </c>
      <c r="F52">
        <v>1385</v>
      </c>
      <c r="G52">
        <v>0</v>
      </c>
      <c r="H52">
        <v>40</v>
      </c>
      <c r="I52">
        <v>2001</v>
      </c>
      <c r="K52" t="str">
        <f>LEFT(Tabela5[[#This Row],[Sex Tit  WTit OTit]],1)</f>
        <v>M</v>
      </c>
      <c r="L52">
        <f>IF(Tabela5[[#This Row],[Sexo]]="M",1,0)</f>
        <v>1</v>
      </c>
      <c r="M52">
        <f>IF(Tabela5[[#This Row],[Sexo]]="F",1,0)</f>
        <v>0</v>
      </c>
      <c r="N52" s="5">
        <f>2020-Tabela5[[#This Row],[B-day]]</f>
        <v>19</v>
      </c>
      <c r="O52" s="5">
        <f>IF(Tabela5[[#This Row],[Idade]]&lt;21,1,0)</f>
        <v>1</v>
      </c>
      <c r="P52" s="5">
        <f>IF(Tabela5[[#This Row],[Idade]]&gt;20,1,0)</f>
        <v>0</v>
      </c>
      <c r="Q52" s="5">
        <f>IF(Tabela5[[#This Row],[Juniores]]=1,Tabela5[[#This Row],[B-day]],0)</f>
        <v>2001</v>
      </c>
    </row>
    <row r="53" spans="1:17" x14ac:dyDescent="0.25">
      <c r="A53">
        <v>2020</v>
      </c>
      <c r="B53">
        <v>14801523</v>
      </c>
      <c r="C53" t="s">
        <v>69</v>
      </c>
      <c r="D53" t="s">
        <v>1</v>
      </c>
      <c r="E53" t="s">
        <v>2</v>
      </c>
      <c r="F53">
        <v>1382</v>
      </c>
      <c r="G53">
        <v>0</v>
      </c>
      <c r="H53">
        <v>40</v>
      </c>
      <c r="I53">
        <v>1995</v>
      </c>
      <c r="J53" t="s">
        <v>3</v>
      </c>
      <c r="K53" t="str">
        <f>LEFT(Tabela5[[#This Row],[Sex Tit  WTit OTit]],1)</f>
        <v>M</v>
      </c>
      <c r="L53">
        <f>IF(Tabela5[[#This Row],[Sexo]]="M",1,0)</f>
        <v>1</v>
      </c>
      <c r="M53">
        <f>IF(Tabela5[[#This Row],[Sexo]]="F",1,0)</f>
        <v>0</v>
      </c>
      <c r="N53" s="5">
        <f>2020-Tabela5[[#This Row],[B-day]]</f>
        <v>25</v>
      </c>
      <c r="O53" s="5">
        <f>IF(Tabela5[[#This Row],[Idade]]&lt;21,1,0)</f>
        <v>0</v>
      </c>
      <c r="P53" s="5">
        <f>IF(Tabela5[[#This Row],[Idade]]&gt;20,1,0)</f>
        <v>1</v>
      </c>
      <c r="Q53" s="5">
        <f>IF(Tabela5[[#This Row],[Juniores]]=1,Tabela5[[#This Row],[B-day]],0)</f>
        <v>0</v>
      </c>
    </row>
    <row r="54" spans="1:17" x14ac:dyDescent="0.25">
      <c r="A54">
        <v>2020</v>
      </c>
      <c r="B54">
        <v>14800659</v>
      </c>
      <c r="C54" t="s">
        <v>47</v>
      </c>
      <c r="D54" t="s">
        <v>1</v>
      </c>
      <c r="E54" t="s">
        <v>21</v>
      </c>
      <c r="F54">
        <v>1376</v>
      </c>
      <c r="G54">
        <v>0</v>
      </c>
      <c r="H54">
        <v>40</v>
      </c>
      <c r="I54">
        <v>2002</v>
      </c>
      <c r="J54" t="s">
        <v>17</v>
      </c>
      <c r="K54" t="str">
        <f>LEFT(Tabela5[[#This Row],[Sex Tit  WTit OTit]],1)</f>
        <v>F</v>
      </c>
      <c r="L54">
        <f>IF(Tabela5[[#This Row],[Sexo]]="M",1,0)</f>
        <v>0</v>
      </c>
      <c r="M54">
        <f>IF(Tabela5[[#This Row],[Sexo]]="F",1,0)</f>
        <v>1</v>
      </c>
      <c r="N54" s="5">
        <f>2020-Tabela5[[#This Row],[B-day]]</f>
        <v>18</v>
      </c>
      <c r="O54" s="5">
        <f>IF(Tabela5[[#This Row],[Idade]]&lt;21,1,0)</f>
        <v>1</v>
      </c>
      <c r="P54" s="5">
        <f>IF(Tabela5[[#This Row],[Idade]]&gt;20,1,0)</f>
        <v>0</v>
      </c>
      <c r="Q54" s="5">
        <f>IF(Tabela5[[#This Row],[Juniores]]=1,Tabela5[[#This Row],[B-day]],0)</f>
        <v>2002</v>
      </c>
    </row>
    <row r="55" spans="1:17" x14ac:dyDescent="0.25">
      <c r="A55">
        <v>2020</v>
      </c>
      <c r="B55">
        <v>14801280</v>
      </c>
      <c r="C55" t="s">
        <v>53</v>
      </c>
      <c r="D55" t="s">
        <v>1</v>
      </c>
      <c r="E55" t="s">
        <v>21</v>
      </c>
      <c r="F55">
        <v>1373</v>
      </c>
      <c r="G55">
        <v>0</v>
      </c>
      <c r="H55">
        <v>40</v>
      </c>
      <c r="I55">
        <v>1996</v>
      </c>
      <c r="J55" t="s">
        <v>17</v>
      </c>
      <c r="K55" t="str">
        <f>LEFT(Tabela5[[#This Row],[Sex Tit  WTit OTit]],1)</f>
        <v>F</v>
      </c>
      <c r="L55">
        <f>IF(Tabela5[[#This Row],[Sexo]]="M",1,0)</f>
        <v>0</v>
      </c>
      <c r="M55">
        <f>IF(Tabela5[[#This Row],[Sexo]]="F",1,0)</f>
        <v>1</v>
      </c>
      <c r="N55" s="5">
        <f>2020-Tabela5[[#This Row],[B-day]]</f>
        <v>24</v>
      </c>
      <c r="O55" s="5">
        <f>IF(Tabela5[[#This Row],[Idade]]&lt;21,1,0)</f>
        <v>0</v>
      </c>
      <c r="P55" s="5">
        <f>IF(Tabela5[[#This Row],[Idade]]&gt;20,1,0)</f>
        <v>1</v>
      </c>
      <c r="Q55" s="5">
        <f>IF(Tabela5[[#This Row],[Juniores]]=1,Tabela5[[#This Row],[B-day]],0)</f>
        <v>0</v>
      </c>
    </row>
    <row r="56" spans="1:17" x14ac:dyDescent="0.25">
      <c r="A56">
        <v>2020</v>
      </c>
      <c r="B56">
        <v>14801043</v>
      </c>
      <c r="C56" t="s">
        <v>51</v>
      </c>
      <c r="D56" t="s">
        <v>1</v>
      </c>
      <c r="E56" t="s">
        <v>21</v>
      </c>
      <c r="F56">
        <v>1364</v>
      </c>
      <c r="G56">
        <v>0</v>
      </c>
      <c r="H56">
        <v>40</v>
      </c>
      <c r="I56">
        <v>2002</v>
      </c>
      <c r="J56" t="s">
        <v>17</v>
      </c>
      <c r="K56" t="str">
        <f>LEFT(Tabela5[[#This Row],[Sex Tit  WTit OTit]],1)</f>
        <v>F</v>
      </c>
      <c r="L56">
        <f>IF(Tabela5[[#This Row],[Sexo]]="M",1,0)</f>
        <v>0</v>
      </c>
      <c r="M56">
        <f>IF(Tabela5[[#This Row],[Sexo]]="F",1,0)</f>
        <v>1</v>
      </c>
      <c r="N56" s="5">
        <f>2020-Tabela5[[#This Row],[B-day]]</f>
        <v>18</v>
      </c>
      <c r="O56" s="5">
        <f>IF(Tabela5[[#This Row],[Idade]]&lt;21,1,0)</f>
        <v>1</v>
      </c>
      <c r="P56" s="5">
        <f>IF(Tabela5[[#This Row],[Idade]]&gt;20,1,0)</f>
        <v>0</v>
      </c>
      <c r="Q56" s="5">
        <f>IF(Tabela5[[#This Row],[Juniores]]=1,Tabela5[[#This Row],[B-day]],0)</f>
        <v>2002</v>
      </c>
    </row>
    <row r="57" spans="1:17" x14ac:dyDescent="0.25">
      <c r="A57">
        <v>2020</v>
      </c>
      <c r="B57">
        <v>14800209</v>
      </c>
      <c r="C57" t="s">
        <v>30</v>
      </c>
      <c r="D57" t="s">
        <v>1</v>
      </c>
      <c r="E57" t="s">
        <v>21</v>
      </c>
      <c r="F57">
        <v>1355</v>
      </c>
      <c r="G57">
        <v>0</v>
      </c>
      <c r="H57">
        <v>40</v>
      </c>
      <c r="I57">
        <v>0</v>
      </c>
      <c r="J57" t="s">
        <v>17</v>
      </c>
      <c r="K57" t="str">
        <f>LEFT(Tabela5[[#This Row],[Sex Tit  WTit OTit]],1)</f>
        <v>F</v>
      </c>
      <c r="L57">
        <f>IF(Tabela5[[#This Row],[Sexo]]="M",1,0)</f>
        <v>0</v>
      </c>
      <c r="M57">
        <f>IF(Tabela5[[#This Row],[Sexo]]="F",1,0)</f>
        <v>1</v>
      </c>
      <c r="N57" s="5">
        <f>2020-Tabela5[[#This Row],[B-day]]</f>
        <v>2020</v>
      </c>
      <c r="O57" s="5">
        <f>IF(Tabela5[[#This Row],[Idade]]&lt;21,1,0)</f>
        <v>0</v>
      </c>
      <c r="P57" s="5">
        <f>IF(Tabela5[[#This Row],[Idade]]&gt;20,1,0)</f>
        <v>1</v>
      </c>
      <c r="Q57" s="5">
        <f>IF(Tabela5[[#This Row],[Juniores]]=1,Tabela5[[#This Row],[B-day]],0)</f>
        <v>0</v>
      </c>
    </row>
    <row r="58" spans="1:17" x14ac:dyDescent="0.25">
      <c r="A58">
        <v>2020</v>
      </c>
      <c r="B58">
        <v>14800470</v>
      </c>
      <c r="C58" t="s">
        <v>67</v>
      </c>
      <c r="D58" t="s">
        <v>1</v>
      </c>
      <c r="E58" t="s">
        <v>21</v>
      </c>
      <c r="F58">
        <v>1322</v>
      </c>
      <c r="G58">
        <v>0</v>
      </c>
      <c r="H58">
        <v>20</v>
      </c>
      <c r="I58">
        <v>1996</v>
      </c>
      <c r="J58" t="s">
        <v>17</v>
      </c>
      <c r="K58" t="str">
        <f>LEFT(Tabela5[[#This Row],[Sex Tit  WTit OTit]],1)</f>
        <v>F</v>
      </c>
      <c r="L58">
        <f>IF(Tabela5[[#This Row],[Sexo]]="M",1,0)</f>
        <v>0</v>
      </c>
      <c r="M58">
        <f>IF(Tabela5[[#This Row],[Sexo]]="F",1,0)</f>
        <v>1</v>
      </c>
      <c r="N58" s="5">
        <f>2020-Tabela5[[#This Row],[B-day]]</f>
        <v>24</v>
      </c>
      <c r="O58" s="5">
        <f>IF(Tabela5[[#This Row],[Idade]]&lt;21,1,0)</f>
        <v>0</v>
      </c>
      <c r="P58" s="5">
        <f>IF(Tabela5[[#This Row],[Idade]]&gt;20,1,0)</f>
        <v>1</v>
      </c>
      <c r="Q58" s="5">
        <f>IF(Tabela5[[#This Row],[Juniores]]=1,Tabela5[[#This Row],[B-day]],0)</f>
        <v>0</v>
      </c>
    </row>
    <row r="59" spans="1:17" x14ac:dyDescent="0.25">
      <c r="A59">
        <v>2020</v>
      </c>
      <c r="B59">
        <v>14800632</v>
      </c>
      <c r="C59" t="s">
        <v>38</v>
      </c>
      <c r="D59" t="s">
        <v>1</v>
      </c>
      <c r="E59" t="s">
        <v>2</v>
      </c>
      <c r="F59">
        <v>1270</v>
      </c>
      <c r="G59">
        <v>0</v>
      </c>
      <c r="H59">
        <v>40</v>
      </c>
      <c r="I59">
        <v>2002</v>
      </c>
      <c r="J59" t="s">
        <v>3</v>
      </c>
      <c r="K59" t="str">
        <f>LEFT(Tabela5[[#This Row],[Sex Tit  WTit OTit]],1)</f>
        <v>M</v>
      </c>
      <c r="L59">
        <f>IF(Tabela5[[#This Row],[Sexo]]="M",1,0)</f>
        <v>1</v>
      </c>
      <c r="M59">
        <f>IF(Tabela5[[#This Row],[Sexo]]="F",1,0)</f>
        <v>0</v>
      </c>
      <c r="N59" s="5">
        <f>2020-Tabela5[[#This Row],[B-day]]</f>
        <v>18</v>
      </c>
      <c r="O59" s="5">
        <f>IF(Tabela5[[#This Row],[Idade]]&lt;21,1,0)</f>
        <v>1</v>
      </c>
      <c r="P59" s="5">
        <f>IF(Tabela5[[#This Row],[Idade]]&gt;20,1,0)</f>
        <v>0</v>
      </c>
      <c r="Q59" s="5">
        <f>IF(Tabela5[[#This Row],[Juniores]]=1,Tabela5[[#This Row],[B-day]],0)</f>
        <v>2002</v>
      </c>
    </row>
    <row r="60" spans="1:17" x14ac:dyDescent="0.25">
      <c r="A60">
        <v>2020</v>
      </c>
      <c r="B60">
        <v>14801582</v>
      </c>
      <c r="C60" t="s">
        <v>45</v>
      </c>
      <c r="D60" t="s">
        <v>1</v>
      </c>
      <c r="E60" t="s">
        <v>21</v>
      </c>
      <c r="F60">
        <v>1268</v>
      </c>
      <c r="G60">
        <v>0</v>
      </c>
      <c r="H60">
        <v>40</v>
      </c>
      <c r="I60">
        <v>2000</v>
      </c>
      <c r="J60" t="s">
        <v>17</v>
      </c>
      <c r="K60" t="str">
        <f>LEFT(Tabela5[[#This Row],[Sex Tit  WTit OTit]],1)</f>
        <v>F</v>
      </c>
      <c r="L60">
        <f>IF(Tabela5[[#This Row],[Sexo]]="M",1,0)</f>
        <v>0</v>
      </c>
      <c r="M60">
        <f>IF(Tabela5[[#This Row],[Sexo]]="F",1,0)</f>
        <v>1</v>
      </c>
      <c r="N60" s="5">
        <f>2020-Tabela5[[#This Row],[B-day]]</f>
        <v>20</v>
      </c>
      <c r="O60" s="5">
        <f>IF(Tabela5[[#This Row],[Idade]]&lt;21,1,0)</f>
        <v>1</v>
      </c>
      <c r="P60" s="5">
        <f>IF(Tabela5[[#This Row],[Idade]]&gt;20,1,0)</f>
        <v>0</v>
      </c>
      <c r="Q60" s="5">
        <f>IF(Tabela5[[#This Row],[Juniores]]=1,Tabela5[[#This Row],[B-day]],0)</f>
        <v>2000</v>
      </c>
    </row>
    <row r="61" spans="1:17" x14ac:dyDescent="0.25">
      <c r="A61">
        <v>2020</v>
      </c>
      <c r="B61">
        <v>14800918</v>
      </c>
      <c r="C61" t="s">
        <v>79</v>
      </c>
      <c r="D61" t="s">
        <v>1</v>
      </c>
      <c r="E61" t="s">
        <v>2</v>
      </c>
      <c r="F61">
        <v>1267</v>
      </c>
      <c r="G61">
        <v>0</v>
      </c>
      <c r="H61">
        <v>40</v>
      </c>
      <c r="I61">
        <v>2001</v>
      </c>
      <c r="K61" t="str">
        <f>LEFT(Tabela5[[#This Row],[Sex Tit  WTit OTit]],1)</f>
        <v>M</v>
      </c>
      <c r="L61">
        <f>IF(Tabela5[[#This Row],[Sexo]]="M",1,0)</f>
        <v>1</v>
      </c>
      <c r="M61">
        <f>IF(Tabela5[[#This Row],[Sexo]]="F",1,0)</f>
        <v>0</v>
      </c>
      <c r="N61" s="5">
        <f>2020-Tabela5[[#This Row],[B-day]]</f>
        <v>19</v>
      </c>
      <c r="O61" s="5">
        <f>IF(Tabela5[[#This Row],[Idade]]&lt;21,1,0)</f>
        <v>1</v>
      </c>
      <c r="P61" s="5">
        <f>IF(Tabela5[[#This Row],[Idade]]&gt;20,1,0)</f>
        <v>0</v>
      </c>
      <c r="Q61" s="5">
        <f>IF(Tabela5[[#This Row],[Juniores]]=1,Tabela5[[#This Row],[B-day]],0)</f>
        <v>2001</v>
      </c>
    </row>
    <row r="62" spans="1:17" x14ac:dyDescent="0.25">
      <c r="A62">
        <v>2020</v>
      </c>
      <c r="B62">
        <v>14800675</v>
      </c>
      <c r="C62" t="s">
        <v>33</v>
      </c>
      <c r="D62" t="s">
        <v>1</v>
      </c>
      <c r="E62" t="s">
        <v>21</v>
      </c>
      <c r="F62">
        <v>1258</v>
      </c>
      <c r="G62">
        <v>0</v>
      </c>
      <c r="H62">
        <v>40</v>
      </c>
      <c r="I62">
        <v>2000</v>
      </c>
      <c r="J62" t="s">
        <v>22</v>
      </c>
      <c r="K62" t="str">
        <f>LEFT(Tabela5[[#This Row],[Sex Tit  WTit OTit]],1)</f>
        <v>F</v>
      </c>
      <c r="L62">
        <f>IF(Tabela5[[#This Row],[Sexo]]="M",1,0)</f>
        <v>0</v>
      </c>
      <c r="M62">
        <f>IF(Tabela5[[#This Row],[Sexo]]="F",1,0)</f>
        <v>1</v>
      </c>
      <c r="N62" s="5">
        <f>2020-Tabela5[[#This Row],[B-day]]</f>
        <v>20</v>
      </c>
      <c r="O62" s="5">
        <f>IF(Tabela5[[#This Row],[Idade]]&lt;21,1,0)</f>
        <v>1</v>
      </c>
      <c r="P62" s="5">
        <f>IF(Tabela5[[#This Row],[Idade]]&gt;20,1,0)</f>
        <v>0</v>
      </c>
      <c r="Q62" s="5">
        <f>IF(Tabela5[[#This Row],[Juniores]]=1,Tabela5[[#This Row],[B-day]],0)</f>
        <v>2000</v>
      </c>
    </row>
    <row r="63" spans="1:17" x14ac:dyDescent="0.25">
      <c r="A63">
        <v>2020</v>
      </c>
      <c r="B63">
        <v>14800373</v>
      </c>
      <c r="C63" t="s">
        <v>36</v>
      </c>
      <c r="D63" t="s">
        <v>1</v>
      </c>
      <c r="E63" t="s">
        <v>2</v>
      </c>
      <c r="F63">
        <v>1213</v>
      </c>
      <c r="G63">
        <v>0</v>
      </c>
      <c r="H63">
        <v>40</v>
      </c>
      <c r="I63">
        <v>2005</v>
      </c>
      <c r="K63" t="str">
        <f>LEFT(Tabela5[[#This Row],[Sex Tit  WTit OTit]],1)</f>
        <v>M</v>
      </c>
      <c r="L63">
        <f>IF(Tabela5[[#This Row],[Sexo]]="M",1,0)</f>
        <v>1</v>
      </c>
      <c r="M63">
        <f>IF(Tabela5[[#This Row],[Sexo]]="F",1,0)</f>
        <v>0</v>
      </c>
      <c r="N63" s="5">
        <f>2020-Tabela5[[#This Row],[B-day]]</f>
        <v>15</v>
      </c>
      <c r="O63" s="5">
        <f>IF(Tabela5[[#This Row],[Idade]]&lt;21,1,0)</f>
        <v>1</v>
      </c>
      <c r="P63" s="5">
        <f>IF(Tabela5[[#This Row],[Idade]]&gt;20,1,0)</f>
        <v>0</v>
      </c>
      <c r="Q63" s="5">
        <f>IF(Tabela5[[#This Row],[Juniores]]=1,Tabela5[[#This Row],[B-day]],0)</f>
        <v>2005</v>
      </c>
    </row>
    <row r="64" spans="1:17" x14ac:dyDescent="0.25">
      <c r="A64">
        <v>2020</v>
      </c>
      <c r="B64">
        <v>14801000</v>
      </c>
      <c r="C64" t="s">
        <v>55</v>
      </c>
      <c r="D64" t="s">
        <v>1</v>
      </c>
      <c r="E64" t="s">
        <v>21</v>
      </c>
      <c r="F64">
        <v>1161</v>
      </c>
      <c r="G64">
        <v>0</v>
      </c>
      <c r="H64">
        <v>40</v>
      </c>
      <c r="I64">
        <v>2005</v>
      </c>
      <c r="J64" t="s">
        <v>22</v>
      </c>
      <c r="K64" t="str">
        <f>LEFT(Tabela5[[#This Row],[Sex Tit  WTit OTit]],1)</f>
        <v>F</v>
      </c>
      <c r="L64">
        <f>IF(Tabela5[[#This Row],[Sexo]]="M",1,0)</f>
        <v>0</v>
      </c>
      <c r="M64">
        <f>IF(Tabela5[[#This Row],[Sexo]]="F",1,0)</f>
        <v>1</v>
      </c>
      <c r="N64" s="5">
        <f>2020-Tabela5[[#This Row],[B-day]]</f>
        <v>15</v>
      </c>
      <c r="O64" s="5">
        <f>IF(Tabela5[[#This Row],[Idade]]&lt;21,1,0)</f>
        <v>1</v>
      </c>
      <c r="P64" s="5">
        <f>IF(Tabela5[[#This Row],[Idade]]&gt;20,1,0)</f>
        <v>0</v>
      </c>
      <c r="Q64" s="5">
        <f>IF(Tabela5[[#This Row],[Juniores]]=1,Tabela5[[#This Row],[B-day]],0)</f>
        <v>2005</v>
      </c>
    </row>
    <row r="65" spans="1:17" x14ac:dyDescent="0.25">
      <c r="A65">
        <v>2020</v>
      </c>
      <c r="B65">
        <v>14800608</v>
      </c>
      <c r="C65" t="s">
        <v>34</v>
      </c>
      <c r="D65" t="s">
        <v>1</v>
      </c>
      <c r="E65" t="s">
        <v>21</v>
      </c>
      <c r="F65">
        <v>1152</v>
      </c>
      <c r="G65">
        <v>0</v>
      </c>
      <c r="H65">
        <v>40</v>
      </c>
      <c r="I65">
        <v>2001</v>
      </c>
      <c r="J65" t="s">
        <v>22</v>
      </c>
      <c r="K65" t="str">
        <f>LEFT(Tabela5[[#This Row],[Sex Tit  WTit OTit]],1)</f>
        <v>F</v>
      </c>
      <c r="L65">
        <f>IF(Tabela5[[#This Row],[Sexo]]="M",1,0)</f>
        <v>0</v>
      </c>
      <c r="M65">
        <f>IF(Tabela5[[#This Row],[Sexo]]="F",1,0)</f>
        <v>1</v>
      </c>
      <c r="N65" s="5">
        <f>2020-Tabela5[[#This Row],[B-day]]</f>
        <v>19</v>
      </c>
      <c r="O65" s="5">
        <f>IF(Tabela5[[#This Row],[Idade]]&lt;21,1,0)</f>
        <v>1</v>
      </c>
      <c r="P65" s="5">
        <f>IF(Tabela5[[#This Row],[Idade]]&gt;20,1,0)</f>
        <v>0</v>
      </c>
      <c r="Q65" s="5">
        <f>IF(Tabela5[[#This Row],[Juniores]]=1,Tabela5[[#This Row],[B-day]],0)</f>
        <v>2001</v>
      </c>
    </row>
    <row r="66" spans="1:17" x14ac:dyDescent="0.25">
      <c r="A66">
        <v>2020</v>
      </c>
      <c r="B66">
        <v>14801078</v>
      </c>
      <c r="C66" t="s">
        <v>46</v>
      </c>
      <c r="D66" t="s">
        <v>1</v>
      </c>
      <c r="E66" t="s">
        <v>21</v>
      </c>
      <c r="F66">
        <v>1147</v>
      </c>
      <c r="G66">
        <v>0</v>
      </c>
      <c r="H66">
        <v>40</v>
      </c>
      <c r="I66">
        <v>2003</v>
      </c>
      <c r="J66" t="s">
        <v>17</v>
      </c>
      <c r="K66" t="str">
        <f>LEFT(Tabela5[[#This Row],[Sex Tit  WTit OTit]],1)</f>
        <v>F</v>
      </c>
      <c r="L66">
        <f>IF(Tabela5[[#This Row],[Sexo]]="M",1,0)</f>
        <v>0</v>
      </c>
      <c r="M66">
        <f>IF(Tabela5[[#This Row],[Sexo]]="F",1,0)</f>
        <v>1</v>
      </c>
      <c r="N66" s="5">
        <f>2020-Tabela5[[#This Row],[B-day]]</f>
        <v>17</v>
      </c>
      <c r="O66" s="5">
        <f>IF(Tabela5[[#This Row],[Idade]]&lt;21,1,0)</f>
        <v>1</v>
      </c>
      <c r="P66" s="5">
        <f>IF(Tabela5[[#This Row],[Idade]]&gt;20,1,0)</f>
        <v>0</v>
      </c>
      <c r="Q66" s="5">
        <f>IF(Tabela5[[#This Row],[Juniores]]=1,Tabela5[[#This Row],[B-day]],0)</f>
        <v>2003</v>
      </c>
    </row>
    <row r="67" spans="1:17" x14ac:dyDescent="0.25">
      <c r="A67">
        <v>2020</v>
      </c>
      <c r="B67">
        <v>14801027</v>
      </c>
      <c r="C67" t="s">
        <v>62</v>
      </c>
      <c r="D67" t="s">
        <v>1</v>
      </c>
      <c r="E67" t="s">
        <v>21</v>
      </c>
      <c r="F67">
        <v>1116</v>
      </c>
      <c r="G67">
        <v>0</v>
      </c>
      <c r="H67">
        <v>40</v>
      </c>
      <c r="I67">
        <v>2007</v>
      </c>
      <c r="J67" t="s">
        <v>17</v>
      </c>
      <c r="K67" t="str">
        <f>LEFT(Tabela5[[#This Row],[Sex Tit  WTit OTit]],1)</f>
        <v>F</v>
      </c>
      <c r="L67">
        <f>IF(Tabela5[[#This Row],[Sexo]]="M",1,0)</f>
        <v>0</v>
      </c>
      <c r="M67">
        <f>IF(Tabela5[[#This Row],[Sexo]]="F",1,0)</f>
        <v>1</v>
      </c>
      <c r="N67" s="5">
        <f>2020-Tabela5[[#This Row],[B-day]]</f>
        <v>13</v>
      </c>
      <c r="O67" s="5">
        <f>IF(Tabela5[[#This Row],[Idade]]&lt;21,1,0)</f>
        <v>1</v>
      </c>
      <c r="P67" s="5">
        <f>IF(Tabela5[[#This Row],[Idade]]&gt;20,1,0)</f>
        <v>0</v>
      </c>
      <c r="Q67" s="5">
        <f>IF(Tabela5[[#This Row],[Juniores]]=1,Tabela5[[#This Row],[B-day]],0)</f>
        <v>2007</v>
      </c>
    </row>
    <row r="68" spans="1:17" x14ac:dyDescent="0.25">
      <c r="A68">
        <v>2020</v>
      </c>
      <c r="B68">
        <v>14800829</v>
      </c>
      <c r="C68" t="s">
        <v>85</v>
      </c>
      <c r="D68" t="s">
        <v>1</v>
      </c>
      <c r="E68" t="s">
        <v>21</v>
      </c>
      <c r="F68">
        <v>1033</v>
      </c>
      <c r="G68">
        <v>0</v>
      </c>
      <c r="H68">
        <v>40</v>
      </c>
      <c r="I68">
        <v>1995</v>
      </c>
      <c r="J68" t="s">
        <v>17</v>
      </c>
      <c r="K68" t="str">
        <f>LEFT(Tabela5[[#This Row],[Sex Tit  WTit OTit]],1)</f>
        <v>F</v>
      </c>
      <c r="L68">
        <f>IF(Tabela5[[#This Row],[Sexo]]="M",1,0)</f>
        <v>0</v>
      </c>
      <c r="M68">
        <f>IF(Tabela5[[#This Row],[Sexo]]="F",1,0)</f>
        <v>1</v>
      </c>
      <c r="N68" s="5">
        <f>2020-Tabela5[[#This Row],[B-day]]</f>
        <v>25</v>
      </c>
      <c r="O68" s="5">
        <f>IF(Tabela5[[#This Row],[Idade]]&lt;21,1,0)</f>
        <v>0</v>
      </c>
      <c r="P68" s="5">
        <f>IF(Tabela5[[#This Row],[Idade]]&gt;20,1,0)</f>
        <v>1</v>
      </c>
      <c r="Q68" s="5">
        <f>IF(Tabela5[[#This Row],[Juniores]]=1,Tabela5[[#This Row],[B-day]],0)</f>
        <v>0</v>
      </c>
    </row>
    <row r="69" spans="1:17" x14ac:dyDescent="0.25">
      <c r="A69" t="s">
        <v>99</v>
      </c>
      <c r="C69">
        <f>SUBTOTAL(103,Tabela5[Name])</f>
        <v>67</v>
      </c>
      <c r="F69" s="3">
        <f>SUBTOTAL(101,Tabela5[FOA NOV20])</f>
        <v>1588.5820895522388</v>
      </c>
      <c r="G69" s="3"/>
      <c r="H69" s="3">
        <f>SUBTOTAL(101,Tabela5[K])</f>
        <v>35.223880597014926</v>
      </c>
      <c r="J69">
        <f>SUBTOTAL(103,Tabela5[Flag])</f>
        <v>36</v>
      </c>
      <c r="L69">
        <f>SUBTOTAL(109,Tabela5[Masculino])</f>
        <v>44</v>
      </c>
      <c r="M69">
        <f>SUBTOTAL(109,Tabela5[Feminino])</f>
        <v>23</v>
      </c>
      <c r="O69">
        <f>SUBTOTAL(109,Tabela5[Juniores])</f>
        <v>17</v>
      </c>
      <c r="P69">
        <f>SUBTOTAL(109,Tabela5[Seniores])</f>
        <v>50</v>
      </c>
      <c r="Q69">
        <f>SUBTOTAL(109,Tabela5[Rating Juniores])</f>
        <v>34039</v>
      </c>
    </row>
  </sheetData>
  <pageMargins left="0.7" right="0.7" top="0.75" bottom="0.75" header="0.3" footer="0.3"/>
  <pageSetup orientation="portrait" horizontalDpi="300" verticalDpi="300" r:id="rId1"/>
  <headerFooter>
    <oddHeader>&amp;C&amp;"Calibri"&amp;9&amp;K000000Informação de uso Público&amp;1#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Resumo</vt:lpstr>
      <vt:lpstr>Database</vt:lpstr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Guimaraes Mahota</dc:creator>
  <cp:lastModifiedBy>Guimaraes Mahota</cp:lastModifiedBy>
  <dcterms:created xsi:type="dcterms:W3CDTF">2020-11-01T19:03:33Z</dcterms:created>
  <dcterms:modified xsi:type="dcterms:W3CDTF">2020-12-11T07:09:47Z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c3e7d8-be49-4e07-b2ac-9fcf8ae5bf0a_Enabled">
    <vt:lpwstr>True</vt:lpwstr>
  </property>
  <property fmtid="{D5CDD505-2E9C-101B-9397-08002B2CF9AE}" pid="3" name="MSIP_Label_d1c3e7d8-be49-4e07-b2ac-9fcf8ae5bf0a_SiteId">
    <vt:lpwstr>ed891ff1-c0eb-4080-aa8a-75521b3a3a04</vt:lpwstr>
  </property>
  <property fmtid="{D5CDD505-2E9C-101B-9397-08002B2CF9AE}" pid="4" name="MSIP_Label_d1c3e7d8-be49-4e07-b2ac-9fcf8ae5bf0a_Owner">
    <vt:lpwstr>guimaraes.mahota@incentea.com</vt:lpwstr>
  </property>
  <property fmtid="{D5CDD505-2E9C-101B-9397-08002B2CF9AE}" pid="5" name="MSIP_Label_d1c3e7d8-be49-4e07-b2ac-9fcf8ae5bf0a_SetDate">
    <vt:lpwstr>2020-12-11T07:09:30.9255540Z</vt:lpwstr>
  </property>
  <property fmtid="{D5CDD505-2E9C-101B-9397-08002B2CF9AE}" pid="6" name="MSIP_Label_d1c3e7d8-be49-4e07-b2ac-9fcf8ae5bf0a_Name">
    <vt:lpwstr>Pública</vt:lpwstr>
  </property>
  <property fmtid="{D5CDD505-2E9C-101B-9397-08002B2CF9AE}" pid="7" name="MSIP_Label_d1c3e7d8-be49-4e07-b2ac-9fcf8ae5bf0a_Application">
    <vt:lpwstr>Microsoft Azure Information Protection</vt:lpwstr>
  </property>
  <property fmtid="{D5CDD505-2E9C-101B-9397-08002B2CF9AE}" pid="8" name="MSIP_Label_d1c3e7d8-be49-4e07-b2ac-9fcf8ae5bf0a_ActionId">
    <vt:lpwstr>8685c387-cb02-44dc-83d4-0e84b5513c5c</vt:lpwstr>
  </property>
  <property fmtid="{D5CDD505-2E9C-101B-9397-08002B2CF9AE}" pid="9" name="MSIP_Label_d1c3e7d8-be49-4e07-b2ac-9fcf8ae5bf0a_Extended_MSFT_Method">
    <vt:lpwstr>Manual</vt:lpwstr>
  </property>
  <property fmtid="{D5CDD505-2E9C-101B-9397-08002B2CF9AE}" pid="10" name="Sensitivity">
    <vt:lpwstr>Pública</vt:lpwstr>
  </property>
</Properties>
</file>