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/Desktop/Google/UChicago MSFM/Resume/"/>
    </mc:Choice>
  </mc:AlternateContent>
  <xr:revisionPtr revIDLastSave="0" documentId="13_ncr:1_{F59EAB7E-155C-DF43-B7D6-0571EB537559}" xr6:coauthVersionLast="47" xr6:coauthVersionMax="47" xr10:uidLastSave="{00000000-0000-0000-0000-000000000000}"/>
  <bookViews>
    <workbookView xWindow="9520" yWindow="2520" windowWidth="28040" windowHeight="17440" xr2:uid="{653BD47B-75B9-794F-AFD5-580DFDC55D1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2" l="1"/>
  <c r="M19" i="2"/>
  <c r="B23" i="2"/>
  <c r="B18" i="2"/>
  <c r="C14" i="2"/>
  <c r="D14" i="2"/>
  <c r="E14" i="2"/>
  <c r="F14" i="2"/>
  <c r="G14" i="2"/>
  <c r="H14" i="2"/>
  <c r="I14" i="2"/>
  <c r="J14" i="2"/>
  <c r="D6" i="2"/>
  <c r="E6" i="2"/>
  <c r="F6" i="2"/>
  <c r="G6" i="2"/>
  <c r="H6" i="2"/>
  <c r="I6" i="2"/>
  <c r="J6" i="2"/>
  <c r="C6" i="2"/>
  <c r="F48" i="1"/>
  <c r="F49" i="1"/>
  <c r="L27" i="2"/>
  <c r="L28" i="2" s="1"/>
  <c r="E52" i="1"/>
  <c r="C54" i="1"/>
  <c r="C57" i="1"/>
  <c r="D49" i="1"/>
  <c r="H53" i="1"/>
  <c r="H52" i="1"/>
  <c r="L34" i="1"/>
  <c r="F34" i="1"/>
  <c r="B8" i="2"/>
  <c r="C7" i="2"/>
  <c r="D7" i="2" s="1"/>
  <c r="E7" i="2" s="1"/>
  <c r="F7" i="2" s="1"/>
  <c r="G7" i="2" s="1"/>
  <c r="H7" i="2" s="1"/>
  <c r="I7" i="2" s="1"/>
  <c r="J7" i="2" s="1"/>
  <c r="B7" i="2"/>
  <c r="B6" i="2"/>
  <c r="B14" i="2" s="1"/>
  <c r="C53" i="1"/>
  <c r="C56" i="1"/>
  <c r="C55" i="1"/>
  <c r="C50" i="1"/>
  <c r="G4" i="1"/>
  <c r="G7" i="1"/>
  <c r="G9" i="1"/>
  <c r="G13" i="1"/>
  <c r="G5" i="1"/>
  <c r="F10" i="1"/>
  <c r="F12" i="1" s="1"/>
  <c r="F6" i="1"/>
  <c r="M28" i="1"/>
  <c r="J25" i="1"/>
  <c r="M25" i="1" s="1"/>
  <c r="I25" i="1"/>
  <c r="L25" i="1" s="1"/>
  <c r="I33" i="1"/>
  <c r="L33" i="1" s="1"/>
  <c r="J33" i="1"/>
  <c r="M33" i="1" s="1"/>
  <c r="G30" i="1"/>
  <c r="G31" i="1"/>
  <c r="F32" i="1"/>
  <c r="G32" i="1"/>
  <c r="G24" i="1"/>
  <c r="F25" i="1"/>
  <c r="G25" i="1"/>
  <c r="K20" i="1"/>
  <c r="K41" i="1"/>
  <c r="K40" i="1"/>
  <c r="K37" i="1"/>
  <c r="K32" i="1"/>
  <c r="K31" i="1"/>
  <c r="K30" i="1"/>
  <c r="K29" i="1"/>
  <c r="K28" i="1"/>
  <c r="K27" i="1"/>
  <c r="K24" i="1"/>
  <c r="K23" i="1"/>
  <c r="K22" i="1"/>
  <c r="K21" i="1"/>
  <c r="E41" i="1"/>
  <c r="E40" i="1"/>
  <c r="E37" i="1"/>
  <c r="D33" i="1"/>
  <c r="G27" i="1" s="1"/>
  <c r="C33" i="1"/>
  <c r="F28" i="1" s="1"/>
  <c r="E32" i="1"/>
  <c r="E31" i="1"/>
  <c r="E30" i="1"/>
  <c r="E29" i="1"/>
  <c r="E28" i="1"/>
  <c r="E27" i="1"/>
  <c r="E23" i="1"/>
  <c r="E24" i="1"/>
  <c r="E21" i="1"/>
  <c r="E22" i="1"/>
  <c r="E20" i="1"/>
  <c r="D25" i="1"/>
  <c r="D34" i="1" s="1"/>
  <c r="D36" i="1" s="1"/>
  <c r="C25" i="1"/>
  <c r="C34" i="1" s="1"/>
  <c r="C51" i="1" s="1"/>
  <c r="C10" i="1"/>
  <c r="C12" i="1" s="1"/>
  <c r="E10" i="1"/>
  <c r="E12" i="1" s="1"/>
  <c r="E6" i="1"/>
  <c r="G6" i="1" s="1"/>
  <c r="B9" i="2" l="1"/>
  <c r="B10" i="2"/>
  <c r="B11" i="2" s="1"/>
  <c r="B12" i="2" s="1"/>
  <c r="G18" i="2"/>
  <c r="F18" i="2"/>
  <c r="B24" i="2"/>
  <c r="D26" i="2" s="1"/>
  <c r="E18" i="2"/>
  <c r="I8" i="2"/>
  <c r="J8" i="2"/>
  <c r="H8" i="2"/>
  <c r="C8" i="2"/>
  <c r="G8" i="2"/>
  <c r="F8" i="2"/>
  <c r="D8" i="2"/>
  <c r="C18" i="2"/>
  <c r="E8" i="2"/>
  <c r="D18" i="2"/>
  <c r="L29" i="1"/>
  <c r="L28" i="1"/>
  <c r="L23" i="1"/>
  <c r="M22" i="1"/>
  <c r="M21" i="1"/>
  <c r="L21" i="1"/>
  <c r="M20" i="1"/>
  <c r="F31" i="1"/>
  <c r="L20" i="1"/>
  <c r="G12" i="1"/>
  <c r="L22" i="1"/>
  <c r="F11" i="1"/>
  <c r="L30" i="1"/>
  <c r="M29" i="1"/>
  <c r="F24" i="1"/>
  <c r="G10" i="1"/>
  <c r="G23" i="1"/>
  <c r="F23" i="1"/>
  <c r="L32" i="1"/>
  <c r="M27" i="1"/>
  <c r="L27" i="1"/>
  <c r="M32" i="1"/>
  <c r="I34" i="1"/>
  <c r="J34" i="1"/>
  <c r="J36" i="1" s="1"/>
  <c r="J38" i="1" s="1"/>
  <c r="G22" i="1"/>
  <c r="M24" i="1"/>
  <c r="M31" i="1"/>
  <c r="C36" i="1"/>
  <c r="G33" i="1"/>
  <c r="L24" i="1"/>
  <c r="L31" i="1"/>
  <c r="E11" i="1"/>
  <c r="F33" i="1"/>
  <c r="M23" i="1"/>
  <c r="M30" i="1"/>
  <c r="K25" i="1"/>
  <c r="K33" i="1"/>
  <c r="F30" i="1"/>
  <c r="F22" i="1"/>
  <c r="G21" i="1"/>
  <c r="G29" i="1"/>
  <c r="F21" i="1"/>
  <c r="F29" i="1"/>
  <c r="F20" i="1"/>
  <c r="F27" i="1"/>
  <c r="G28" i="1"/>
  <c r="G20" i="1"/>
  <c r="E34" i="1"/>
  <c r="D38" i="1"/>
  <c r="G38" i="1" s="1"/>
  <c r="A38" i="1"/>
  <c r="E25" i="1"/>
  <c r="E33" i="1"/>
  <c r="F9" i="2" l="1"/>
  <c r="F10" i="2"/>
  <c r="F11" i="2" s="1"/>
  <c r="F12" i="2" s="1"/>
  <c r="G10" i="2"/>
  <c r="G11" i="2" s="1"/>
  <c r="G12" i="2" s="1"/>
  <c r="G9" i="2"/>
  <c r="C10" i="2"/>
  <c r="C11" i="2" s="1"/>
  <c r="C9" i="2"/>
  <c r="H9" i="2"/>
  <c r="H10" i="2"/>
  <c r="H11" i="2" s="1"/>
  <c r="H12" i="2" s="1"/>
  <c r="J9" i="2"/>
  <c r="J10" i="2"/>
  <c r="J11" i="2" s="1"/>
  <c r="J12" i="2" s="1"/>
  <c r="E9" i="2"/>
  <c r="E10" i="2"/>
  <c r="E11" i="2" s="1"/>
  <c r="E12" i="2" s="1"/>
  <c r="I9" i="2"/>
  <c r="I10" i="2"/>
  <c r="I11" i="2" s="1"/>
  <c r="I12" i="2" s="1"/>
  <c r="D9" i="2"/>
  <c r="D10" i="2"/>
  <c r="D11" i="2" s="1"/>
  <c r="D12" i="2" s="1"/>
  <c r="G11" i="1"/>
  <c r="J44" i="1"/>
  <c r="J43" i="1"/>
  <c r="M38" i="1"/>
  <c r="K34" i="1"/>
  <c r="I36" i="1"/>
  <c r="D44" i="1"/>
  <c r="D43" i="1"/>
  <c r="C38" i="1"/>
  <c r="F38" i="1" s="1"/>
  <c r="E36" i="1"/>
  <c r="A37" i="1"/>
  <c r="H18" i="2" l="1"/>
  <c r="C12" i="2"/>
  <c r="B26" i="2"/>
  <c r="I38" i="1"/>
  <c r="K36" i="1"/>
  <c r="C44" i="1"/>
  <c r="E44" i="1" s="1"/>
  <c r="E38" i="1"/>
  <c r="C43" i="1"/>
  <c r="E43" i="1" s="1"/>
  <c r="C6" i="1"/>
  <c r="J18" i="2" l="1"/>
  <c r="I18" i="2"/>
  <c r="B20" i="2" s="1"/>
  <c r="B21" i="2" s="1"/>
  <c r="E27" i="2" s="1"/>
  <c r="E28" i="2" s="1"/>
  <c r="I43" i="1"/>
  <c r="K43" i="1" s="1"/>
  <c r="I44" i="1"/>
  <c r="K44" i="1" s="1"/>
  <c r="L38" i="1"/>
  <c r="K38" i="1"/>
</calcChain>
</file>

<file path=xl/sharedStrings.xml><?xml version="1.0" encoding="utf-8"?>
<sst xmlns="http://schemas.openxmlformats.org/spreadsheetml/2006/main" count="88" uniqueCount="82">
  <si>
    <t>Current Asset</t>
  </si>
  <si>
    <t>LT Asset</t>
  </si>
  <si>
    <t xml:space="preserve">Total Asset </t>
  </si>
  <si>
    <t>Current Liab</t>
  </si>
  <si>
    <t>LT Liab</t>
  </si>
  <si>
    <t>Total Li &amp; SE</t>
  </si>
  <si>
    <t>SE</t>
  </si>
  <si>
    <t>3M to 9/30/22</t>
  </si>
  <si>
    <t>9M to 9/30/22</t>
  </si>
  <si>
    <t>Rev</t>
  </si>
  <si>
    <t xml:space="preserve">   Cloud</t>
  </si>
  <si>
    <t xml:space="preserve">   SW Lic</t>
  </si>
  <si>
    <t xml:space="preserve">   Maint</t>
  </si>
  <si>
    <t xml:space="preserve">   Hardware</t>
  </si>
  <si>
    <t>Cost &amp; Exp</t>
  </si>
  <si>
    <t xml:space="preserve">   Cost of SW Lic</t>
  </si>
  <si>
    <t xml:space="preserve">   Cost of cloud</t>
  </si>
  <si>
    <t xml:space="preserve">   R&amp;D</t>
  </si>
  <si>
    <t xml:space="preserve">   S&amp;M</t>
  </si>
  <si>
    <t xml:space="preserve">   G&amp;A</t>
  </si>
  <si>
    <t xml:space="preserve">   Dep &amp; Amrt</t>
  </si>
  <si>
    <t xml:space="preserve">   Serv</t>
  </si>
  <si>
    <t>Ops Inc (EBIT)</t>
  </si>
  <si>
    <t xml:space="preserve">    Total </t>
  </si>
  <si>
    <t xml:space="preserve">    Total rev</t>
  </si>
  <si>
    <t xml:space="preserve">    Other Inc (loss)</t>
  </si>
  <si>
    <t>Inc b4 tax</t>
  </si>
  <si>
    <t>Inc Tax</t>
  </si>
  <si>
    <t>Net Income</t>
  </si>
  <si>
    <t>Basic # share</t>
  </si>
  <si>
    <t>Diluted # share</t>
  </si>
  <si>
    <t>EPS Basic</t>
  </si>
  <si>
    <t>EPS Diluted</t>
  </si>
  <si>
    <t>2022Q3</t>
  </si>
  <si>
    <t>2021Q3</t>
  </si>
  <si>
    <t>3Q2022</t>
  </si>
  <si>
    <t>3Q2021</t>
  </si>
  <si>
    <t>Total Liab</t>
  </si>
  <si>
    <t>Some Financials</t>
  </si>
  <si>
    <t>Enterprise Value</t>
  </si>
  <si>
    <t>EBITDA</t>
  </si>
  <si>
    <t>Cash and equi</t>
  </si>
  <si>
    <t>Market Cap</t>
  </si>
  <si>
    <t>EV/Sales</t>
  </si>
  <si>
    <t>Revenue Growth Rate</t>
  </si>
  <si>
    <t>Net Income Margin</t>
  </si>
  <si>
    <t>Operating CF</t>
  </si>
  <si>
    <t>EPS</t>
  </si>
  <si>
    <t>3Q22</t>
  </si>
  <si>
    <t>Exp</t>
  </si>
  <si>
    <t>Growth rate</t>
  </si>
  <si>
    <t>EBIT</t>
  </si>
  <si>
    <t>Tax</t>
  </si>
  <si>
    <t>NI</t>
  </si>
  <si>
    <t>CFO</t>
  </si>
  <si>
    <t>r</t>
  </si>
  <si>
    <t>g</t>
  </si>
  <si>
    <t>rev</t>
  </si>
  <si>
    <t>exp</t>
  </si>
  <si>
    <t>P/E</t>
  </si>
  <si>
    <t>P/B</t>
  </si>
  <si>
    <t>DCF</t>
  </si>
  <si>
    <t>EV/S</t>
  </si>
  <si>
    <t>FCF</t>
  </si>
  <si>
    <t>3Q2022 + Q4F</t>
  </si>
  <si>
    <t>2023F</t>
  </si>
  <si>
    <t>2024F</t>
  </si>
  <si>
    <t>2025F</t>
  </si>
  <si>
    <t>2026F</t>
  </si>
  <si>
    <t>2027F</t>
  </si>
  <si>
    <t>2028F</t>
  </si>
  <si>
    <t>2029F</t>
  </si>
  <si>
    <t>2030F</t>
  </si>
  <si>
    <t>Terminal Growth Rate</t>
  </si>
  <si>
    <t xml:space="preserve">Required return </t>
  </si>
  <si>
    <t>Implied Value</t>
  </si>
  <si>
    <t>Market Value</t>
  </si>
  <si>
    <t>EV/S Valuation</t>
  </si>
  <si>
    <t>P/E Valuation</t>
  </si>
  <si>
    <t>Average Expected Price</t>
  </si>
  <si>
    <t>Valuation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</si>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</sst>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75" formatCode="_(* #,##0_);_(* \(#,##0\);_(* &quot;-&quot;??_);_(@_)"/>
    <numFmt numFmtId="177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9" fontId="0" fillId="0" borderId="0" xfId="3" applyFont="1"/>
    <xf numFmtId="164" fontId="0" fillId="0" borderId="0" xfId="3" applyNumberFormat="1" applyFont="1"/>
    <xf numFmtId="10" fontId="0" fillId="0" borderId="0" xfId="3" applyNumberFormat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75" fontId="0" fillId="0" borderId="0" xfId="1" applyNumberFormat="1" applyFont="1"/>
    <xf numFmtId="175" fontId="0" fillId="0" borderId="0" xfId="0" applyNumberFormat="1"/>
    <xf numFmtId="43" fontId="0" fillId="0" borderId="0" xfId="0" applyNumberFormat="1"/>
    <xf numFmtId="9" fontId="0" fillId="0" borderId="0" xfId="0" applyNumberFormat="1"/>
    <xf numFmtId="164" fontId="0" fillId="2" borderId="0" xfId="3" applyNumberFormat="1" applyFont="1" applyFill="1"/>
    <xf numFmtId="0" fontId="3" fillId="0" borderId="0" xfId="0" applyFont="1" applyAlignment="1">
      <alignment horizontal="center"/>
    </xf>
    <xf numFmtId="44" fontId="0" fillId="0" borderId="0" xfId="2" applyFont="1"/>
    <xf numFmtId="2" fontId="0" fillId="0" borderId="0" xfId="0" applyNumberFormat="1" applyBorder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44" fontId="0" fillId="0" borderId="1" xfId="2" applyFont="1" applyBorder="1"/>
    <xf numFmtId="0" fontId="4" fillId="3" borderId="0" xfId="0" applyFont="1" applyFill="1" applyBorder="1"/>
    <xf numFmtId="2" fontId="0" fillId="4" borderId="0" xfId="0" applyNumberFormat="1" applyFill="1"/>
    <xf numFmtId="44" fontId="3" fillId="0" borderId="0" xfId="2" applyFont="1"/>
    <xf numFmtId="0" fontId="0" fillId="5" borderId="0" xfId="0" applyFill="1" applyBorder="1"/>
    <xf numFmtId="2" fontId="0" fillId="5" borderId="0" xfId="0" applyNumberFormat="1" applyFill="1" applyBorder="1" applyAlignment="1">
      <alignment horizontal="right"/>
    </xf>
    <xf numFmtId="1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4" fontId="0" fillId="5" borderId="0" xfId="2" applyFont="1" applyFill="1" applyBorder="1" applyAlignment="1">
      <alignment horizontal="right"/>
    </xf>
    <xf numFmtId="177" fontId="0" fillId="5" borderId="0" xfId="2" applyNumberFormat="1" applyFont="1" applyFill="1" applyBorder="1" applyAlignment="1">
      <alignment horizontal="right" vertical="top"/>
    </xf>
    <xf numFmtId="43" fontId="0" fillId="5" borderId="0" xfId="0" applyNumberForma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1B0C-CC79-C942-A224-C7E817B8CF5D}">
  <dimension ref="A3:M57"/>
  <sheetViews>
    <sheetView tabSelected="1" topLeftCell="A37" zoomScale="170" zoomScaleNormal="170" workbookViewId="0">
      <selection activeCell="F52" sqref="F52"/>
    </sheetView>
  </sheetViews>
  <sheetFormatPr baseColWidth="10" defaultRowHeight="16" x14ac:dyDescent="0.2"/>
  <cols>
    <col min="2" max="2" width="19.33203125" bestFit="1" customWidth="1"/>
    <col min="3" max="3" width="14" bestFit="1" customWidth="1"/>
  </cols>
  <sheetData>
    <row r="3" spans="2:7" x14ac:dyDescent="0.2">
      <c r="C3" s="1">
        <v>44926</v>
      </c>
      <c r="E3" s="1">
        <v>44834</v>
      </c>
      <c r="F3" s="1">
        <v>44469</v>
      </c>
    </row>
    <row r="4" spans="2:7" x14ac:dyDescent="0.2">
      <c r="B4" t="s">
        <v>41</v>
      </c>
      <c r="C4" s="7">
        <v>263706</v>
      </c>
      <c r="E4" s="7">
        <v>197055</v>
      </c>
      <c r="F4" s="7">
        <v>246400</v>
      </c>
      <c r="G4" s="4">
        <f>(E4-F4)/F4</f>
        <v>-0.20026379870129871</v>
      </c>
    </row>
    <row r="5" spans="2:7" x14ac:dyDescent="0.2">
      <c r="B5" t="s">
        <v>0</v>
      </c>
      <c r="C5">
        <v>408419</v>
      </c>
      <c r="E5">
        <v>366695</v>
      </c>
      <c r="F5">
        <v>385700</v>
      </c>
      <c r="G5" s="4">
        <f>(E5-F5)/F5</f>
        <v>-4.9274047186932853E-2</v>
      </c>
    </row>
    <row r="6" spans="2:7" x14ac:dyDescent="0.2">
      <c r="B6" t="s">
        <v>1</v>
      </c>
      <c r="C6">
        <f>C7-C5</f>
        <v>131289</v>
      </c>
      <c r="E6">
        <f>E7-E5</f>
        <v>148024</v>
      </c>
      <c r="F6">
        <f>F7-F5</f>
        <v>128600</v>
      </c>
      <c r="G6" s="4">
        <f t="shared" ref="G6:G13" si="0">(E6-F6)/F6</f>
        <v>0.15104199066874027</v>
      </c>
    </row>
    <row r="7" spans="2:7" x14ac:dyDescent="0.2">
      <c r="B7" t="s">
        <v>2</v>
      </c>
      <c r="C7">
        <v>539708</v>
      </c>
      <c r="E7">
        <v>514719</v>
      </c>
      <c r="F7">
        <v>514300</v>
      </c>
      <c r="G7" s="4">
        <f t="shared" si="0"/>
        <v>8.14699591678009E-4</v>
      </c>
    </row>
    <row r="8" spans="2:7" x14ac:dyDescent="0.2">
      <c r="G8" s="4"/>
    </row>
    <row r="9" spans="2:7" x14ac:dyDescent="0.2">
      <c r="B9" t="s">
        <v>3</v>
      </c>
      <c r="C9">
        <v>249042</v>
      </c>
      <c r="E9">
        <v>283970</v>
      </c>
      <c r="F9">
        <v>232900</v>
      </c>
      <c r="G9" s="4">
        <f t="shared" si="0"/>
        <v>0.21927866036925719</v>
      </c>
    </row>
    <row r="10" spans="2:7" x14ac:dyDescent="0.2">
      <c r="B10" t="s">
        <v>4</v>
      </c>
      <c r="C10">
        <f>23157+16865</f>
        <v>40022</v>
      </c>
      <c r="E10">
        <f>17186+15429</f>
        <v>32615</v>
      </c>
      <c r="F10">
        <f>23900+18900</f>
        <v>42800</v>
      </c>
      <c r="G10" s="4">
        <f t="shared" si="0"/>
        <v>-0.23796728971962616</v>
      </c>
    </row>
    <row r="11" spans="2:7" x14ac:dyDescent="0.2">
      <c r="B11" t="s">
        <v>37</v>
      </c>
      <c r="E11">
        <f>E9+E10</f>
        <v>316585</v>
      </c>
      <c r="F11">
        <f>F9+F10</f>
        <v>275700</v>
      </c>
      <c r="G11" s="4">
        <f t="shared" si="0"/>
        <v>0.14829524845846936</v>
      </c>
    </row>
    <row r="12" spans="2:7" x14ac:dyDescent="0.2">
      <c r="B12" t="s">
        <v>6</v>
      </c>
      <c r="C12">
        <f>C13-SUM(C9:C10)</f>
        <v>250644</v>
      </c>
      <c r="E12">
        <f>E13-SUM(E9:E10)</f>
        <v>198134</v>
      </c>
      <c r="F12">
        <f>F13-SUM(F9:F10)</f>
        <v>238600</v>
      </c>
      <c r="G12" s="4">
        <f t="shared" si="0"/>
        <v>-0.16959765297569154</v>
      </c>
    </row>
    <row r="13" spans="2:7" x14ac:dyDescent="0.2">
      <c r="B13" t="s">
        <v>5</v>
      </c>
      <c r="C13">
        <v>539708</v>
      </c>
      <c r="E13">
        <v>514719</v>
      </c>
      <c r="F13">
        <v>514300</v>
      </c>
      <c r="G13" s="4">
        <f t="shared" si="0"/>
        <v>8.14699591678009E-4</v>
      </c>
    </row>
    <row r="18" spans="2:13" x14ac:dyDescent="0.2">
      <c r="C18" t="s">
        <v>33</v>
      </c>
      <c r="D18" t="s">
        <v>34</v>
      </c>
      <c r="E18" t="s">
        <v>7</v>
      </c>
      <c r="I18" t="s">
        <v>35</v>
      </c>
      <c r="J18" t="s">
        <v>36</v>
      </c>
      <c r="K18" t="s">
        <v>8</v>
      </c>
    </row>
    <row r="19" spans="2:13" x14ac:dyDescent="0.2">
      <c r="B19" t="s">
        <v>9</v>
      </c>
    </row>
    <row r="20" spans="2:13" x14ac:dyDescent="0.2">
      <c r="B20" t="s">
        <v>10</v>
      </c>
      <c r="C20">
        <v>45267</v>
      </c>
      <c r="D20">
        <v>32196</v>
      </c>
      <c r="E20" s="4">
        <f>(C20-D20)/D20</f>
        <v>0.40598210957882969</v>
      </c>
      <c r="F20" s="2">
        <f>C20/C$25</f>
        <v>0.22850465166758371</v>
      </c>
      <c r="G20" s="2">
        <f>D20/D$25</f>
        <v>0.19030055856015604</v>
      </c>
      <c r="H20" s="2"/>
      <c r="I20">
        <v>124767</v>
      </c>
      <c r="J20">
        <v>87434</v>
      </c>
      <c r="K20" s="4">
        <f>(I20-J20)/J20</f>
        <v>0.42698492577258274</v>
      </c>
      <c r="L20" s="2">
        <f t="shared" ref="L20:L24" si="1">I20/I$25</f>
        <v>0.21928148743103901</v>
      </c>
      <c r="M20" s="2">
        <f t="shared" ref="M20:M24" si="2">J20/J$25</f>
        <v>0.17765757931033083</v>
      </c>
    </row>
    <row r="21" spans="2:13" x14ac:dyDescent="0.2">
      <c r="B21" t="s">
        <v>11</v>
      </c>
      <c r="C21">
        <v>6386</v>
      </c>
      <c r="D21">
        <v>8461</v>
      </c>
      <c r="E21" s="4">
        <f t="shared" ref="E21:E32" si="3">(C21-D21)/D21</f>
        <v>-0.24524287909230588</v>
      </c>
      <c r="F21" s="2">
        <f t="shared" ref="F21:F25" si="4">C21/C$25</f>
        <v>3.2236081594742075E-2</v>
      </c>
      <c r="G21" s="2">
        <f t="shared" ref="G21:G25" si="5">D21/D$25</f>
        <v>5.0010343706593373E-2</v>
      </c>
      <c r="H21" s="2"/>
      <c r="I21">
        <v>19869</v>
      </c>
      <c r="J21">
        <v>25122</v>
      </c>
      <c r="K21" s="4">
        <f t="shared" ref="K21:K41" si="6">(I21-J21)/J21</f>
        <v>-0.2090995939813709</v>
      </c>
      <c r="L21" s="2">
        <f t="shared" si="1"/>
        <v>3.4920322471224875E-2</v>
      </c>
      <c r="M21" s="2">
        <f t="shared" si="2"/>
        <v>5.1045516703274819E-2</v>
      </c>
    </row>
    <row r="22" spans="2:13" x14ac:dyDescent="0.2">
      <c r="B22" t="s">
        <v>12</v>
      </c>
      <c r="C22">
        <v>35820</v>
      </c>
      <c r="D22">
        <v>34479</v>
      </c>
      <c r="E22" s="4">
        <f t="shared" si="3"/>
        <v>3.8893239363090575E-2</v>
      </c>
      <c r="F22" s="2">
        <f t="shared" si="4"/>
        <v>0.18081685604817743</v>
      </c>
      <c r="G22" s="2">
        <f t="shared" si="5"/>
        <v>0.20379466264739782</v>
      </c>
      <c r="H22" s="2"/>
      <c r="I22">
        <v>107115</v>
      </c>
      <c r="J22">
        <v>108370</v>
      </c>
      <c r="K22" s="4">
        <f t="shared" si="6"/>
        <v>-1.1580695764510473E-2</v>
      </c>
      <c r="L22" s="2">
        <f t="shared" si="1"/>
        <v>0.18825760438397768</v>
      </c>
      <c r="M22" s="2">
        <f t="shared" si="2"/>
        <v>0.22019754180136503</v>
      </c>
    </row>
    <row r="23" spans="2:13" x14ac:dyDescent="0.2">
      <c r="B23" t="s">
        <v>21</v>
      </c>
      <c r="C23">
        <v>103425</v>
      </c>
      <c r="D23">
        <v>88172</v>
      </c>
      <c r="E23" s="4">
        <f>(C23-D23)/D23</f>
        <v>0.17299142584947602</v>
      </c>
      <c r="F23" s="2">
        <f t="shared" si="4"/>
        <v>0.52208217020610703</v>
      </c>
      <c r="G23" s="2">
        <f t="shared" si="5"/>
        <v>0.52115731300056156</v>
      </c>
      <c r="H23" s="2"/>
      <c r="I23">
        <v>294284</v>
      </c>
      <c r="J23">
        <v>253234</v>
      </c>
      <c r="K23" s="4">
        <f>(I23-J23)/J23</f>
        <v>0.1621030351374618</v>
      </c>
      <c r="L23" s="2">
        <f t="shared" si="1"/>
        <v>0.51721234979726916</v>
      </c>
      <c r="M23" s="2">
        <f t="shared" si="2"/>
        <v>0.51454742364609096</v>
      </c>
    </row>
    <row r="24" spans="2:13" x14ac:dyDescent="0.2">
      <c r="B24" t="s">
        <v>13</v>
      </c>
      <c r="C24">
        <v>7203</v>
      </c>
      <c r="D24">
        <v>5877</v>
      </c>
      <c r="E24" s="4">
        <f t="shared" si="3"/>
        <v>0.22562531904032671</v>
      </c>
      <c r="F24" s="2">
        <f t="shared" si="4"/>
        <v>3.6360240483389789E-2</v>
      </c>
      <c r="G24" s="2">
        <f t="shared" si="5"/>
        <v>3.4737122085291249E-2</v>
      </c>
      <c r="H24" s="2"/>
      <c r="I24">
        <v>22946</v>
      </c>
      <c r="J24">
        <v>17989</v>
      </c>
      <c r="K24" s="4">
        <f t="shared" si="6"/>
        <v>0.27555728500750459</v>
      </c>
      <c r="L24" s="2">
        <f t="shared" si="1"/>
        <v>4.0328235916489305E-2</v>
      </c>
      <c r="M24" s="2">
        <f t="shared" si="2"/>
        <v>3.6551938538938414E-2</v>
      </c>
    </row>
    <row r="25" spans="2:13" x14ac:dyDescent="0.2">
      <c r="B25" t="s">
        <v>24</v>
      </c>
      <c r="C25">
        <f>SUM(C20:C24)</f>
        <v>198101</v>
      </c>
      <c r="D25">
        <f>SUM(D20:D24)</f>
        <v>169185</v>
      </c>
      <c r="E25" s="4">
        <f t="shared" si="3"/>
        <v>0.17091349705943198</v>
      </c>
      <c r="F25" s="2">
        <f t="shared" si="4"/>
        <v>1</v>
      </c>
      <c r="G25" s="2">
        <f t="shared" si="5"/>
        <v>1</v>
      </c>
      <c r="H25" s="2"/>
      <c r="I25">
        <f>SUM(I20:I24)</f>
        <v>568981</v>
      </c>
      <c r="J25">
        <f>SUM(J20:J24)</f>
        <v>492149</v>
      </c>
      <c r="K25" s="4">
        <f t="shared" si="6"/>
        <v>0.15611532279858337</v>
      </c>
      <c r="L25" s="2">
        <f t="shared" ref="L25" si="7">I25/I$25</f>
        <v>1</v>
      </c>
      <c r="M25" s="2">
        <f t="shared" ref="M25" si="8">J25/J$25</f>
        <v>1</v>
      </c>
    </row>
    <row r="26" spans="2:13" x14ac:dyDescent="0.2">
      <c r="B26" t="s">
        <v>14</v>
      </c>
    </row>
    <row r="27" spans="2:13" x14ac:dyDescent="0.2">
      <c r="B27" t="s">
        <v>15</v>
      </c>
      <c r="C27">
        <v>467</v>
      </c>
      <c r="D27">
        <v>690</v>
      </c>
      <c r="E27" s="4">
        <f t="shared" si="3"/>
        <v>-0.32318840579710145</v>
      </c>
      <c r="F27" s="2">
        <f>C27/C$33</f>
        <v>2.8946699642350198E-3</v>
      </c>
      <c r="G27" s="2">
        <f>D27/D$33</f>
        <v>5.4426276059537614E-3</v>
      </c>
      <c r="H27" s="2"/>
      <c r="I27">
        <v>1749</v>
      </c>
      <c r="J27">
        <v>1802</v>
      </c>
      <c r="K27" s="4">
        <f t="shared" si="6"/>
        <v>-2.9411764705882353E-2</v>
      </c>
      <c r="L27" s="2">
        <f t="shared" ref="L27:L32" si="9">I27/I$33</f>
        <v>3.7940414676367611E-3</v>
      </c>
      <c r="M27" s="2">
        <f t="shared" ref="M27:M32" si="10">J27/J$33</f>
        <v>4.6810179785379746E-3</v>
      </c>
    </row>
    <row r="28" spans="2:13" x14ac:dyDescent="0.2">
      <c r="B28" t="s">
        <v>16</v>
      </c>
      <c r="C28">
        <v>95691</v>
      </c>
      <c r="D28">
        <v>70813</v>
      </c>
      <c r="E28" s="4">
        <f t="shared" si="3"/>
        <v>0.35131967294140909</v>
      </c>
      <c r="F28" s="2">
        <f t="shared" ref="F28:F33" si="11">C28/C$33</f>
        <v>0.59313461145099211</v>
      </c>
      <c r="G28" s="2">
        <f t="shared" ref="G28:G33" si="12">D28/D$33</f>
        <v>0.55856346182667205</v>
      </c>
      <c r="H28" s="2"/>
      <c r="I28">
        <v>266482</v>
      </c>
      <c r="J28">
        <v>214394</v>
      </c>
      <c r="K28" s="4">
        <f t="shared" si="6"/>
        <v>0.24295456029553067</v>
      </c>
      <c r="L28" s="2">
        <f t="shared" si="9"/>
        <v>0.57806961599701512</v>
      </c>
      <c r="M28" s="2">
        <f t="shared" si="10"/>
        <v>0.55692684155975047</v>
      </c>
    </row>
    <row r="29" spans="2:13" x14ac:dyDescent="0.2">
      <c r="B29" t="s">
        <v>17</v>
      </c>
      <c r="C29">
        <v>29375</v>
      </c>
      <c r="D29">
        <v>23372</v>
      </c>
      <c r="E29" s="4">
        <f t="shared" si="3"/>
        <v>0.25684579839123739</v>
      </c>
      <c r="F29" s="2">
        <f t="shared" si="11"/>
        <v>0.18207907965611073</v>
      </c>
      <c r="G29" s="2">
        <f t="shared" si="12"/>
        <v>0.18435520638601638</v>
      </c>
      <c r="H29" s="2"/>
      <c r="I29">
        <v>84754</v>
      </c>
      <c r="J29">
        <v>70845</v>
      </c>
      <c r="K29" s="4">
        <f t="shared" si="6"/>
        <v>0.1963300162326205</v>
      </c>
      <c r="L29" s="2">
        <f t="shared" si="9"/>
        <v>0.18385373959295945</v>
      </c>
      <c r="M29" s="2">
        <f t="shared" si="10"/>
        <v>0.18403258528830344</v>
      </c>
    </row>
    <row r="30" spans="2:13" x14ac:dyDescent="0.2">
      <c r="B30" t="s">
        <v>18</v>
      </c>
      <c r="C30">
        <v>15742</v>
      </c>
      <c r="D30">
        <v>14057</v>
      </c>
      <c r="E30" s="4">
        <f t="shared" si="3"/>
        <v>0.11986910436081667</v>
      </c>
      <c r="F30" s="2">
        <f t="shared" si="11"/>
        <v>9.75757913854126E-2</v>
      </c>
      <c r="G30" s="2">
        <f t="shared" si="12"/>
        <v>0.11087973370564061</v>
      </c>
      <c r="H30" s="2"/>
      <c r="I30">
        <v>47881</v>
      </c>
      <c r="J30">
        <v>41203</v>
      </c>
      <c r="K30" s="4">
        <f t="shared" si="6"/>
        <v>0.16207557702109071</v>
      </c>
      <c r="L30" s="2">
        <f t="shared" si="9"/>
        <v>0.1038664948610153</v>
      </c>
      <c r="M30" s="2">
        <f t="shared" si="10"/>
        <v>0.10703217745266379</v>
      </c>
    </row>
    <row r="31" spans="2:13" x14ac:dyDescent="0.2">
      <c r="B31" t="s">
        <v>19</v>
      </c>
      <c r="C31">
        <v>18392</v>
      </c>
      <c r="D31">
        <v>15928</v>
      </c>
      <c r="E31" s="4">
        <f t="shared" si="3"/>
        <v>0.15469613259668508</v>
      </c>
      <c r="F31" s="2">
        <f t="shared" si="11"/>
        <v>0.11400164878417664</v>
      </c>
      <c r="G31" s="2">
        <f t="shared" si="12"/>
        <v>0.12563793117048044</v>
      </c>
      <c r="H31" s="2"/>
      <c r="I31">
        <v>54963</v>
      </c>
      <c r="J31">
        <v>50579</v>
      </c>
      <c r="K31" s="4">
        <f t="shared" si="6"/>
        <v>8.6676288578263705E-2</v>
      </c>
      <c r="L31" s="2">
        <f t="shared" si="9"/>
        <v>0.11922921737319571</v>
      </c>
      <c r="M31" s="2">
        <f t="shared" si="10"/>
        <v>0.13138801794476815</v>
      </c>
    </row>
    <row r="32" spans="2:13" x14ac:dyDescent="0.2">
      <c r="B32" t="s">
        <v>20</v>
      </c>
      <c r="C32">
        <v>1664</v>
      </c>
      <c r="D32">
        <v>1917</v>
      </c>
      <c r="E32" s="4">
        <f t="shared" si="3"/>
        <v>-0.13197704747000522</v>
      </c>
      <c r="F32" s="2">
        <f t="shared" si="11"/>
        <v>1.0314198759072963E-2</v>
      </c>
      <c r="G32" s="2">
        <f t="shared" si="12"/>
        <v>1.5121039305236754E-2</v>
      </c>
      <c r="H32" s="2"/>
      <c r="I32">
        <v>5157</v>
      </c>
      <c r="J32">
        <v>6136</v>
      </c>
      <c r="K32" s="4">
        <f t="shared" si="6"/>
        <v>-0.15955019556714473</v>
      </c>
      <c r="L32" s="2">
        <f t="shared" si="9"/>
        <v>1.1186890708177688E-2</v>
      </c>
      <c r="M32" s="2">
        <f t="shared" si="10"/>
        <v>1.5939359775976145E-2</v>
      </c>
    </row>
    <row r="33" spans="1:13" x14ac:dyDescent="0.2">
      <c r="B33" t="s">
        <v>23</v>
      </c>
      <c r="C33">
        <f>SUM(C27:C32)</f>
        <v>161331</v>
      </c>
      <c r="D33">
        <f>SUM(D27:D32)</f>
        <v>126777</v>
      </c>
      <c r="E33" s="4">
        <f t="shared" ref="E33:E41" si="13">(C33-D33)/D33</f>
        <v>0.27255732506684965</v>
      </c>
      <c r="F33" s="2">
        <f t="shared" si="11"/>
        <v>1</v>
      </c>
      <c r="G33" s="2">
        <f t="shared" si="12"/>
        <v>1</v>
      </c>
      <c r="H33" s="2"/>
      <c r="I33">
        <f>SUM(I27:I32)</f>
        <v>460986</v>
      </c>
      <c r="J33">
        <f>SUM(J27:J32)</f>
        <v>384959</v>
      </c>
      <c r="K33" s="4">
        <f t="shared" si="6"/>
        <v>0.19749375907564182</v>
      </c>
      <c r="L33" s="2">
        <f t="shared" ref="L33" si="14">I33/I$33</f>
        <v>1</v>
      </c>
      <c r="M33" s="2">
        <f t="shared" ref="M33" si="15">J33/J$33</f>
        <v>1</v>
      </c>
    </row>
    <row r="34" spans="1:13" x14ac:dyDescent="0.2">
      <c r="B34" t="s">
        <v>22</v>
      </c>
      <c r="C34">
        <f>C25-C33</f>
        <v>36770</v>
      </c>
      <c r="D34">
        <f>D25-D33</f>
        <v>42408</v>
      </c>
      <c r="E34" s="4">
        <f t="shared" si="13"/>
        <v>-0.13294661384644407</v>
      </c>
      <c r="F34" s="2">
        <f>C34/C25</f>
        <v>0.18561238963962828</v>
      </c>
      <c r="I34">
        <f>I25-I33</f>
        <v>107995</v>
      </c>
      <c r="J34">
        <f>J25-J33</f>
        <v>107190</v>
      </c>
      <c r="K34" s="4">
        <f t="shared" si="6"/>
        <v>7.510028920608266E-3</v>
      </c>
      <c r="L34" s="2">
        <f>I34/I25</f>
        <v>0.1898042289637088</v>
      </c>
    </row>
    <row r="35" spans="1:13" x14ac:dyDescent="0.2">
      <c r="B35" t="s">
        <v>25</v>
      </c>
      <c r="C35">
        <v>1612</v>
      </c>
      <c r="D35">
        <v>-42</v>
      </c>
      <c r="E35" s="4"/>
      <c r="I35">
        <v>4593</v>
      </c>
      <c r="J35">
        <v>-29</v>
      </c>
      <c r="K35" s="4"/>
    </row>
    <row r="36" spans="1:13" x14ac:dyDescent="0.2">
      <c r="B36" t="s">
        <v>26</v>
      </c>
      <c r="C36">
        <f>C34+C35</f>
        <v>38382</v>
      </c>
      <c r="D36">
        <f>D34+D35</f>
        <v>42366</v>
      </c>
      <c r="E36" s="4">
        <f t="shared" si="13"/>
        <v>-9.4037671717886989E-2</v>
      </c>
      <c r="I36">
        <f>I34+I35</f>
        <v>112588</v>
      </c>
      <c r="J36">
        <f>J34+J35</f>
        <v>107161</v>
      </c>
      <c r="K36" s="4">
        <f t="shared" ref="K36" si="16">(I36-J36)/J36</f>
        <v>5.0643424380138295E-2</v>
      </c>
    </row>
    <row r="37" spans="1:13" x14ac:dyDescent="0.2">
      <c r="A37">
        <f>C37/C36</f>
        <v>0.22687718201240165</v>
      </c>
      <c r="B37" t="s">
        <v>27</v>
      </c>
      <c r="C37">
        <v>8708</v>
      </c>
      <c r="D37">
        <v>5712</v>
      </c>
      <c r="E37" s="4">
        <f t="shared" si="13"/>
        <v>0.52450980392156865</v>
      </c>
      <c r="I37">
        <v>21497</v>
      </c>
      <c r="J37">
        <v>17271</v>
      </c>
      <c r="K37" s="4">
        <f t="shared" si="6"/>
        <v>0.2446876266574026</v>
      </c>
    </row>
    <row r="38" spans="1:13" x14ac:dyDescent="0.2">
      <c r="A38">
        <f>D37/D36</f>
        <v>0.13482509559552472</v>
      </c>
      <c r="B38" t="s">
        <v>28</v>
      </c>
      <c r="C38">
        <f>C36-C37</f>
        <v>29674</v>
      </c>
      <c r="D38">
        <f>D36-D37</f>
        <v>36654</v>
      </c>
      <c r="E38" s="4">
        <f t="shared" si="13"/>
        <v>-0.19042942107273422</v>
      </c>
      <c r="F38" s="2">
        <f>C38/C25</f>
        <v>0.14979227767653874</v>
      </c>
      <c r="G38" s="2">
        <f>D38/D25</f>
        <v>0.21665041227059137</v>
      </c>
      <c r="I38">
        <f>I36-I37</f>
        <v>91091</v>
      </c>
      <c r="J38">
        <f>J36-J37</f>
        <v>89890</v>
      </c>
      <c r="K38" s="4">
        <f t="shared" si="6"/>
        <v>1.3360774279675159E-2</v>
      </c>
      <c r="L38" s="3">
        <f>I38/I25</f>
        <v>0.16009497680941895</v>
      </c>
      <c r="M38" s="3">
        <f>J38/J25</f>
        <v>0.18264793792123929</v>
      </c>
    </row>
    <row r="40" spans="1:13" x14ac:dyDescent="0.2">
      <c r="B40" t="s">
        <v>29</v>
      </c>
      <c r="C40">
        <v>62592</v>
      </c>
      <c r="D40">
        <v>63363</v>
      </c>
      <c r="E40" s="4">
        <f t="shared" si="13"/>
        <v>-1.2167984470432271E-2</v>
      </c>
      <c r="I40">
        <v>62917</v>
      </c>
      <c r="J40">
        <v>63514</v>
      </c>
      <c r="K40" s="4">
        <f t="shared" si="6"/>
        <v>-9.3995024718959604E-3</v>
      </c>
    </row>
    <row r="41" spans="1:13" x14ac:dyDescent="0.2">
      <c r="B41" t="s">
        <v>30</v>
      </c>
      <c r="C41">
        <v>63165</v>
      </c>
      <c r="D41">
        <v>64238</v>
      </c>
      <c r="E41" s="4">
        <f t="shared" si="13"/>
        <v>-1.6703508826551264E-2</v>
      </c>
      <c r="I41">
        <v>63483</v>
      </c>
      <c r="J41">
        <v>64339</v>
      </c>
      <c r="K41" s="4">
        <f t="shared" si="6"/>
        <v>-1.3304527580472186E-2</v>
      </c>
    </row>
    <row r="43" spans="1:13" x14ac:dyDescent="0.2">
      <c r="B43" t="s">
        <v>31</v>
      </c>
      <c r="C43" s="6">
        <f>C$38/C40</f>
        <v>0.47408614519427406</v>
      </c>
      <c r="D43" s="6">
        <f>D$38/D40</f>
        <v>0.57847639789782679</v>
      </c>
      <c r="E43" s="4">
        <f t="shared" ref="E43:E44" si="17">(C43-D43)/D43</f>
        <v>-0.18045723746535744</v>
      </c>
      <c r="I43" s="6">
        <f>I$38/I40</f>
        <v>1.447796303065944</v>
      </c>
      <c r="J43" s="6">
        <f>J$38/J40</f>
        <v>1.4152785212709009</v>
      </c>
      <c r="K43" s="4">
        <f t="shared" ref="K43:K44" si="18">(I43-J43)/J43</f>
        <v>2.2976241994997936E-2</v>
      </c>
    </row>
    <row r="44" spans="1:13" x14ac:dyDescent="0.2">
      <c r="B44" t="s">
        <v>32</v>
      </c>
      <c r="C44" s="6">
        <f>C$38/C41</f>
        <v>0.46978548246655583</v>
      </c>
      <c r="D44" s="6">
        <f>D$38/D41</f>
        <v>0.57059684299013047</v>
      </c>
      <c r="E44" s="4">
        <f t="shared" si="17"/>
        <v>-0.17667703872192361</v>
      </c>
      <c r="I44" s="6">
        <f>I$38/I41</f>
        <v>1.4348880802734589</v>
      </c>
      <c r="J44" s="6">
        <f>J$38/J41</f>
        <v>1.3971308226736505</v>
      </c>
      <c r="K44" s="4">
        <f t="shared" si="18"/>
        <v>2.7024854786005935E-2</v>
      </c>
    </row>
    <row r="48" spans="1:13" x14ac:dyDescent="0.2">
      <c r="B48" s="28" t="s">
        <v>38</v>
      </c>
      <c r="C48" s="27" t="s">
        <v>81</v>
      </c>
      <c r="F48" s="10">
        <f>D49/F49</f>
        <v>34.673503790364094</v>
      </c>
      <c r="G48" t="s">
        <v>60</v>
      </c>
    </row>
    <row r="49" spans="2:8" x14ac:dyDescent="0.2">
      <c r="B49" s="23" t="s">
        <v>42</v>
      </c>
      <c r="C49" s="30">
        <v>6870000</v>
      </c>
      <c r="D49" s="10">
        <f>C49/C41</f>
        <v>108.76276418902873</v>
      </c>
      <c r="F49">
        <f>E12/C41</f>
        <v>3.1367687801788966</v>
      </c>
    </row>
    <row r="50" spans="2:8" x14ac:dyDescent="0.2">
      <c r="B50" s="23" t="s">
        <v>39</v>
      </c>
      <c r="C50" s="30">
        <f>C49+E10-E4</f>
        <v>6705560</v>
      </c>
      <c r="D50" s="10"/>
    </row>
    <row r="51" spans="2:8" x14ac:dyDescent="0.2">
      <c r="B51" s="23" t="s">
        <v>40</v>
      </c>
      <c r="C51" s="30">
        <f>C34+C32</f>
        <v>38434</v>
      </c>
    </row>
    <row r="52" spans="2:8" x14ac:dyDescent="0.2">
      <c r="B52" s="23" t="s">
        <v>46</v>
      </c>
      <c r="C52" s="30">
        <v>124402</v>
      </c>
      <c r="D52" t="s">
        <v>48</v>
      </c>
      <c r="E52" s="10">
        <f>C52/I25</f>
        <v>0.21863998973603688</v>
      </c>
      <c r="H52">
        <f>185-141</f>
        <v>44</v>
      </c>
    </row>
    <row r="53" spans="2:8" x14ac:dyDescent="0.2">
      <c r="B53" s="23" t="s">
        <v>47</v>
      </c>
      <c r="C53" s="29">
        <f>I44</f>
        <v>1.4348880802734589</v>
      </c>
      <c r="H53">
        <f>H52/141</f>
        <v>0.31205673758865249</v>
      </c>
    </row>
    <row r="54" spans="2:8" x14ac:dyDescent="0.2">
      <c r="B54" s="23" t="s">
        <v>43</v>
      </c>
      <c r="C54" s="24">
        <f>C50/(C25+I25)</f>
        <v>8.741646916496542</v>
      </c>
      <c r="E54" s="8"/>
    </row>
    <row r="55" spans="2:8" x14ac:dyDescent="0.2">
      <c r="B55" s="23" t="s">
        <v>44</v>
      </c>
      <c r="C55" s="25">
        <f>K25</f>
        <v>0.15611532279858337</v>
      </c>
    </row>
    <row r="56" spans="2:8" x14ac:dyDescent="0.2">
      <c r="B56" s="23" t="s">
        <v>45</v>
      </c>
      <c r="C56" s="26">
        <f>L38</f>
        <v>0.16009497680941895</v>
      </c>
    </row>
    <row r="57" spans="2:8" x14ac:dyDescent="0.2">
      <c r="B57" s="23" t="s">
        <v>59</v>
      </c>
      <c r="C57" s="31">
        <f>(C49/C41)/(C44+I44)</f>
        <v>57.103099615960119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1242-F480-E745-95BF-E7A968ED0973}">
  <dimension ref="A1:U28"/>
  <sheetViews>
    <sheetView showGridLines="0" topLeftCell="F1" workbookViewId="0">
      <selection activeCell="M4" sqref="M4"/>
    </sheetView>
  </sheetViews>
  <sheetFormatPr baseColWidth="10" defaultRowHeight="16" x14ac:dyDescent="0.2"/>
  <cols>
    <col min="2" max="2" width="13" bestFit="1" customWidth="1"/>
    <col min="3" max="5" width="11.5" bestFit="1" customWidth="1"/>
    <col min="6" max="10" width="13" bestFit="1" customWidth="1"/>
    <col min="12" max="12" width="20.6640625" bestFit="1" customWidth="1"/>
    <col min="13" max="13" width="16.6640625" bestFit="1" customWidth="1"/>
    <col min="14" max="20" width="12.5" bestFit="1" customWidth="1"/>
    <col min="21" max="21" width="13.1640625" bestFit="1" customWidth="1"/>
  </cols>
  <sheetData>
    <row r="1" spans="1:21" x14ac:dyDescent="0.2">
      <c r="B1" t="s">
        <v>57</v>
      </c>
      <c r="C1" t="s">
        <v>58</v>
      </c>
      <c r="D1" t="s">
        <v>54</v>
      </c>
      <c r="E1" t="s">
        <v>56</v>
      </c>
      <c r="F1" t="s">
        <v>55</v>
      </c>
    </row>
    <row r="2" spans="1:21" x14ac:dyDescent="0.2">
      <c r="A2" t="s">
        <v>50</v>
      </c>
      <c r="B2" s="11">
        <v>0.23</v>
      </c>
      <c r="C2" s="2">
        <v>0.2</v>
      </c>
      <c r="D2" s="11">
        <v>0.25</v>
      </c>
      <c r="E2" s="11">
        <v>0.04</v>
      </c>
      <c r="F2" s="2">
        <v>0.1</v>
      </c>
    </row>
    <row r="3" spans="1:21" x14ac:dyDescent="0.2">
      <c r="A3" t="s">
        <v>52</v>
      </c>
      <c r="B3" s="11">
        <v>0.2</v>
      </c>
    </row>
    <row r="4" spans="1:21" ht="17" x14ac:dyDescent="0.2">
      <c r="B4" s="11"/>
      <c r="C4">
        <v>0.25</v>
      </c>
      <c r="D4">
        <v>0.25</v>
      </c>
      <c r="E4">
        <v>0.25</v>
      </c>
      <c r="F4">
        <v>0.23</v>
      </c>
      <c r="G4">
        <v>0.23</v>
      </c>
      <c r="H4">
        <v>0.23</v>
      </c>
      <c r="I4">
        <v>0.22</v>
      </c>
      <c r="J4">
        <v>0.22</v>
      </c>
      <c r="L4" s="20" t="s">
        <v>80</v>
      </c>
      <c r="M4" s="17"/>
      <c r="N4" s="17"/>
      <c r="O4" s="17"/>
      <c r="P4" s="17"/>
      <c r="Q4" s="17"/>
      <c r="R4" s="17"/>
      <c r="S4" s="17"/>
      <c r="T4" s="17"/>
      <c r="U4" s="17"/>
    </row>
    <row r="5" spans="1:21" x14ac:dyDescent="0.2">
      <c r="B5">
        <v>22</v>
      </c>
      <c r="C5">
        <v>23</v>
      </c>
      <c r="D5">
        <v>24</v>
      </c>
      <c r="E5">
        <v>25</v>
      </c>
      <c r="F5">
        <v>26</v>
      </c>
      <c r="G5">
        <v>27</v>
      </c>
      <c r="H5">
        <v>28</v>
      </c>
      <c r="I5">
        <v>29</v>
      </c>
      <c r="J5">
        <v>30</v>
      </c>
      <c r="M5" s="13" t="s">
        <v>64</v>
      </c>
      <c r="N5" s="13" t="s">
        <v>65</v>
      </c>
      <c r="O5" s="13" t="s">
        <v>66</v>
      </c>
      <c r="P5" s="13" t="s">
        <v>67</v>
      </c>
      <c r="Q5" s="13" t="s">
        <v>68</v>
      </c>
      <c r="R5" s="13" t="s">
        <v>69</v>
      </c>
      <c r="S5" s="13" t="s">
        <v>70</v>
      </c>
      <c r="T5" s="13" t="s">
        <v>71</v>
      </c>
      <c r="U5" s="13" t="s">
        <v>72</v>
      </c>
    </row>
    <row r="6" spans="1:21" x14ac:dyDescent="0.2">
      <c r="A6" t="s">
        <v>9</v>
      </c>
      <c r="B6" s="8">
        <f>Sheet1!I25+Sheet1!C25*1.15/3</f>
        <v>644919.71666666667</v>
      </c>
      <c r="C6" s="8">
        <f>B6*(1+C4)</f>
        <v>806149.64583333337</v>
      </c>
      <c r="D6" s="8">
        <f t="shared" ref="D6:J6" si="0">C6*(1+D4)</f>
        <v>1007687.0572916667</v>
      </c>
      <c r="E6" s="8">
        <f t="shared" si="0"/>
        <v>1259608.8216145835</v>
      </c>
      <c r="F6" s="8">
        <f t="shared" si="0"/>
        <v>1549318.8505859377</v>
      </c>
      <c r="G6" s="8">
        <f t="shared" si="0"/>
        <v>1905662.1862207034</v>
      </c>
      <c r="H6" s="8">
        <f t="shared" si="0"/>
        <v>2343964.4890514649</v>
      </c>
      <c r="I6" s="8">
        <f t="shared" si="0"/>
        <v>2859636.6766427872</v>
      </c>
      <c r="J6" s="8">
        <f t="shared" si="0"/>
        <v>3488756.7455042005</v>
      </c>
      <c r="L6" s="18" t="s">
        <v>63</v>
      </c>
      <c r="M6" s="19">
        <v>161229.92916666667</v>
      </c>
      <c r="N6" s="19">
        <v>201537.41145833334</v>
      </c>
      <c r="O6" s="19">
        <v>251921.76432291669</v>
      </c>
      <c r="P6" s="19">
        <v>314902.20540364587</v>
      </c>
      <c r="Q6" s="19">
        <v>387329.71264648443</v>
      </c>
      <c r="R6" s="19">
        <v>476415.54655517585</v>
      </c>
      <c r="S6" s="19">
        <v>585991.12226286624</v>
      </c>
      <c r="T6" s="19">
        <v>714909.16916069679</v>
      </c>
      <c r="U6" s="19">
        <v>872189.18637605011</v>
      </c>
    </row>
    <row r="7" spans="1:21" x14ac:dyDescent="0.2">
      <c r="A7" t="s">
        <v>49</v>
      </c>
      <c r="B7" s="8">
        <f>Sheet1!I33+Sheet1!C33/3*1.15</f>
        <v>522829.55</v>
      </c>
      <c r="C7" s="8">
        <f>B7*(1+$C$2)</f>
        <v>627395.46</v>
      </c>
      <c r="D7" s="8">
        <f t="shared" ref="D7:J7" si="1">C7*(1+$C$2)</f>
        <v>752874.55199999991</v>
      </c>
      <c r="E7" s="8">
        <f t="shared" si="1"/>
        <v>903449.46239999984</v>
      </c>
      <c r="F7" s="8">
        <f t="shared" si="1"/>
        <v>1084139.3548799998</v>
      </c>
      <c r="G7" s="8">
        <f t="shared" si="1"/>
        <v>1300967.2258559996</v>
      </c>
      <c r="H7" s="8">
        <f t="shared" si="1"/>
        <v>1561160.6710271996</v>
      </c>
      <c r="I7" s="8">
        <f t="shared" si="1"/>
        <v>1873392.8052326394</v>
      </c>
      <c r="J7" s="8">
        <f t="shared" si="1"/>
        <v>2248071.3662791671</v>
      </c>
      <c r="L7" t="s">
        <v>75</v>
      </c>
      <c r="M7" s="22">
        <v>139.77000000000001</v>
      </c>
    </row>
    <row r="8" spans="1:21" x14ac:dyDescent="0.2">
      <c r="A8" t="s">
        <v>51</v>
      </c>
      <c r="B8" s="9">
        <f>B6-B7</f>
        <v>122090.16666666669</v>
      </c>
      <c r="C8" s="9">
        <f t="shared" ref="C8:J8" si="2">C6-C7</f>
        <v>178754.18583333341</v>
      </c>
      <c r="D8" s="9">
        <f t="shared" si="2"/>
        <v>254812.50529166684</v>
      </c>
      <c r="E8" s="9">
        <f t="shared" si="2"/>
        <v>356159.35921458364</v>
      </c>
      <c r="F8" s="9">
        <f t="shared" si="2"/>
        <v>465179.49570593797</v>
      </c>
      <c r="G8" s="9">
        <f t="shared" si="2"/>
        <v>604694.96036470379</v>
      </c>
      <c r="H8" s="9">
        <f t="shared" si="2"/>
        <v>782803.81802426535</v>
      </c>
      <c r="I8" s="9">
        <f t="shared" si="2"/>
        <v>986243.87141014775</v>
      </c>
      <c r="J8" s="9">
        <f t="shared" si="2"/>
        <v>1240685.3792250333</v>
      </c>
    </row>
    <row r="9" spans="1:21" x14ac:dyDescent="0.2">
      <c r="B9" s="2">
        <f>B8/B6</f>
        <v>0.18931064365298392</v>
      </c>
      <c r="C9" s="2">
        <f t="shared" ref="C9:M9" si="3">C8/C6</f>
        <v>0.22173821790686463</v>
      </c>
      <c r="D9" s="2">
        <f t="shared" si="3"/>
        <v>0.25286868919059008</v>
      </c>
      <c r="E9" s="2">
        <f t="shared" si="3"/>
        <v>0.28275394162296658</v>
      </c>
      <c r="F9" s="2">
        <f t="shared" si="3"/>
        <v>0.30024774792484549</v>
      </c>
      <c r="G9" s="2">
        <f t="shared" si="3"/>
        <v>0.31731487602423952</v>
      </c>
      <c r="H9" s="2">
        <f t="shared" si="3"/>
        <v>0.33396573270657509</v>
      </c>
      <c r="I9" s="2">
        <f t="shared" si="3"/>
        <v>0.34488432725236895</v>
      </c>
      <c r="J9" s="2">
        <f t="shared" si="3"/>
        <v>0.35562392844495311</v>
      </c>
      <c r="L9" t="s">
        <v>73</v>
      </c>
      <c r="M9" s="11">
        <v>0.04</v>
      </c>
    </row>
    <row r="10" spans="1:21" x14ac:dyDescent="0.2">
      <c r="A10" t="s">
        <v>52</v>
      </c>
      <c r="B10" s="10">
        <f>B8*$B$3</f>
        <v>24418.03333333334</v>
      </c>
      <c r="C10" s="10">
        <f t="shared" ref="C10:J10" si="4">C8*$B$3</f>
        <v>35750.837166666686</v>
      </c>
      <c r="D10" s="10">
        <f t="shared" si="4"/>
        <v>50962.501058333371</v>
      </c>
      <c r="E10" s="10">
        <f t="shared" si="4"/>
        <v>71231.871842916735</v>
      </c>
      <c r="F10" s="10">
        <f t="shared" si="4"/>
        <v>93035.899141187605</v>
      </c>
      <c r="G10" s="10">
        <f t="shared" si="4"/>
        <v>120938.99207294076</v>
      </c>
      <c r="H10" s="10">
        <f t="shared" si="4"/>
        <v>156560.76360485307</v>
      </c>
      <c r="I10" s="10">
        <f t="shared" si="4"/>
        <v>197248.77428202957</v>
      </c>
      <c r="J10" s="10">
        <f t="shared" si="4"/>
        <v>248137.07584500668</v>
      </c>
      <c r="L10" t="s">
        <v>74</v>
      </c>
      <c r="M10" s="11">
        <v>0.1</v>
      </c>
    </row>
    <row r="11" spans="1:21" x14ac:dyDescent="0.2">
      <c r="A11" t="s">
        <v>53</v>
      </c>
      <c r="B11" s="10">
        <f>B8-B10</f>
        <v>97672.133333333346</v>
      </c>
      <c r="C11" s="10">
        <f t="shared" ref="C11:J11" si="5">C8-C10</f>
        <v>143003.34866666672</v>
      </c>
      <c r="D11" s="10">
        <f t="shared" si="5"/>
        <v>203850.00423333346</v>
      </c>
      <c r="E11" s="10">
        <f t="shared" si="5"/>
        <v>284927.48737166694</v>
      </c>
      <c r="F11" s="10">
        <f t="shared" si="5"/>
        <v>372143.59656475036</v>
      </c>
      <c r="G11" s="10">
        <f t="shared" si="5"/>
        <v>483755.96829176304</v>
      </c>
      <c r="H11" s="10">
        <f t="shared" si="5"/>
        <v>626243.05441941228</v>
      </c>
      <c r="I11" s="10">
        <f t="shared" si="5"/>
        <v>788995.09712811816</v>
      </c>
      <c r="J11" s="10">
        <f t="shared" si="5"/>
        <v>992548.30338002671</v>
      </c>
    </row>
    <row r="12" spans="1:21" x14ac:dyDescent="0.2">
      <c r="B12" s="3">
        <f>B11/B6</f>
        <v>0.15144851492238712</v>
      </c>
      <c r="C12" s="3">
        <f t="shared" ref="C12:J12" si="6">C11/C6</f>
        <v>0.17739057432549168</v>
      </c>
      <c r="D12" s="3">
        <f t="shared" si="6"/>
        <v>0.20229495135247208</v>
      </c>
      <c r="E12" s="3">
        <f t="shared" si="6"/>
        <v>0.22620315329837326</v>
      </c>
      <c r="F12" s="3">
        <f t="shared" si="6"/>
        <v>0.24019819833987638</v>
      </c>
      <c r="G12" s="3">
        <f t="shared" si="6"/>
        <v>0.25385190081939163</v>
      </c>
      <c r="H12" s="3">
        <f t="shared" si="6"/>
        <v>0.26717258616526007</v>
      </c>
      <c r="I12" s="3">
        <f t="shared" si="6"/>
        <v>0.27590746180189513</v>
      </c>
      <c r="J12" s="3">
        <f t="shared" si="6"/>
        <v>0.2844991427559625</v>
      </c>
      <c r="L12" t="s">
        <v>62</v>
      </c>
      <c r="M12" s="6">
        <v>8.741646916496542</v>
      </c>
    </row>
    <row r="13" spans="1:21" x14ac:dyDescent="0.2">
      <c r="L13" t="s">
        <v>77</v>
      </c>
      <c r="M13" s="22">
        <v>111.56614526610842</v>
      </c>
    </row>
    <row r="14" spans="1:21" x14ac:dyDescent="0.2">
      <c r="A14" t="s">
        <v>54</v>
      </c>
      <c r="B14" s="10">
        <f>B6*$D$2</f>
        <v>161229.92916666667</v>
      </c>
      <c r="C14" s="10">
        <f t="shared" ref="C14:J14" si="7">C6*$D$2</f>
        <v>201537.41145833334</v>
      </c>
      <c r="D14" s="10">
        <f t="shared" si="7"/>
        <v>251921.76432291669</v>
      </c>
      <c r="E14" s="10">
        <f t="shared" si="7"/>
        <v>314902.20540364587</v>
      </c>
      <c r="F14" s="10">
        <f t="shared" si="7"/>
        <v>387329.71264648443</v>
      </c>
      <c r="G14" s="10">
        <f t="shared" si="7"/>
        <v>476415.54655517585</v>
      </c>
      <c r="H14" s="10">
        <f t="shared" si="7"/>
        <v>585991.12226286624</v>
      </c>
      <c r="I14" s="10">
        <f t="shared" si="7"/>
        <v>714909.16916069679</v>
      </c>
      <c r="J14" s="10">
        <f t="shared" si="7"/>
        <v>872189.18637605011</v>
      </c>
      <c r="M14" s="15"/>
    </row>
    <row r="15" spans="1:21" x14ac:dyDescent="0.2">
      <c r="L15" t="s">
        <v>59</v>
      </c>
      <c r="M15" s="15">
        <v>57.103099615960119</v>
      </c>
      <c r="N15" s="16"/>
      <c r="P15" s="16"/>
    </row>
    <row r="16" spans="1:21" x14ac:dyDescent="0.2">
      <c r="L16" t="s">
        <v>78</v>
      </c>
      <c r="M16" s="22">
        <v>129.27941841729671</v>
      </c>
      <c r="N16" s="16"/>
    </row>
    <row r="17" spans="2:18" x14ac:dyDescent="0.2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M17" s="6"/>
    </row>
    <row r="18" spans="2:18" x14ac:dyDescent="0.2">
      <c r="B18" s="10">
        <f>B14/(1+$F$2)^B17</f>
        <v>161229.92916666667</v>
      </c>
      <c r="C18" s="10">
        <f>C14/(1+$F$2)^C17</f>
        <v>183215.82859848483</v>
      </c>
      <c r="D18" s="10">
        <f>D14/(1+$F$2)^D17</f>
        <v>208199.80522555095</v>
      </c>
      <c r="E18" s="10">
        <f>E14/(1+$F$2)^E17</f>
        <v>236590.68775630786</v>
      </c>
      <c r="F18" s="10">
        <f>F14/(1+$F$2)^F17</f>
        <v>264551.40540023521</v>
      </c>
      <c r="G18" s="10">
        <f>G14/(1+$F$2)^G17</f>
        <v>295816.57149299025</v>
      </c>
      <c r="H18" s="10">
        <f>H14/(1+$F$2)^H17</f>
        <v>330776.71176034352</v>
      </c>
      <c r="I18" s="10">
        <f>I14/(1+$F$2)^I17</f>
        <v>366861.44395238097</v>
      </c>
      <c r="J18" s="10">
        <f>J14/((F2-E2)*(1+F2)^J17)</f>
        <v>6781378.2063924968</v>
      </c>
      <c r="L18" t="s">
        <v>76</v>
      </c>
      <c r="M18" s="14">
        <v>110.13</v>
      </c>
      <c r="N18" s="12">
        <f>(M19-M18)/M18</f>
        <v>0.15201901898787862</v>
      </c>
      <c r="O18" s="10"/>
      <c r="P18" s="10"/>
      <c r="Q18" s="10"/>
      <c r="R18" s="10"/>
    </row>
    <row r="19" spans="2:18" x14ac:dyDescent="0.2">
      <c r="C19" s="10"/>
      <c r="D19" s="10"/>
      <c r="E19" s="10"/>
      <c r="F19" s="10"/>
      <c r="G19" s="10"/>
      <c r="H19" s="10"/>
      <c r="I19" s="10"/>
      <c r="J19" s="10"/>
      <c r="L19" s="5" t="s">
        <v>79</v>
      </c>
      <c r="M19" s="21">
        <f>AVERAGE(M16,M13,M7)</f>
        <v>126.87185456113507</v>
      </c>
    </row>
    <row r="20" spans="2:18" x14ac:dyDescent="0.2">
      <c r="B20" s="10">
        <f>SUM(B18:J18)</f>
        <v>8828620.5897454564</v>
      </c>
      <c r="C20" t="s">
        <v>61</v>
      </c>
      <c r="J20" s="10"/>
    </row>
    <row r="21" spans="2:18" x14ac:dyDescent="0.2">
      <c r="B21" s="10">
        <f>B20/Sheet1!C41</f>
        <v>139.77076845951802</v>
      </c>
    </row>
    <row r="23" spans="2:18" x14ac:dyDescent="0.2">
      <c r="B23" s="10">
        <f>C6*Sheet1!C54</f>
        <v>7047075.5657337382</v>
      </c>
      <c r="C23" t="s">
        <v>62</v>
      </c>
    </row>
    <row r="24" spans="2:18" x14ac:dyDescent="0.2">
      <c r="B24" s="10">
        <f>B23/Sheet1!C41</f>
        <v>111.56614526610842</v>
      </c>
    </row>
    <row r="25" spans="2:18" x14ac:dyDescent="0.2">
      <c r="L25">
        <v>18.7</v>
      </c>
    </row>
    <row r="26" spans="2:18" x14ac:dyDescent="0.2">
      <c r="B26">
        <f>Sheet1!C57*Sheet2!C11/Sheet1!C41</f>
        <v>129.27941841729671</v>
      </c>
      <c r="C26" t="s">
        <v>59</v>
      </c>
      <c r="D26" s="10">
        <f>AVERAGE(B21,B24,B26)</f>
        <v>126.87211071430772</v>
      </c>
      <c r="E26">
        <v>108.83</v>
      </c>
      <c r="L26">
        <v>52.6</v>
      </c>
    </row>
    <row r="27" spans="2:18" x14ac:dyDescent="0.2">
      <c r="E27" s="10">
        <f>D26-E26</f>
        <v>18.042110714307725</v>
      </c>
      <c r="L27">
        <f>L26/L25</f>
        <v>2.8128342245989306</v>
      </c>
    </row>
    <row r="28" spans="2:18" x14ac:dyDescent="0.2">
      <c r="E28" s="10">
        <f>E27/E26</f>
        <v>0.16578251138755606</v>
      </c>
      <c r="L28">
        <f>L27^(1/10)</f>
        <v>1.1089562521659764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2022-11-03T17:46:11Z</dcterms:created>
  <dcterms:modified xsi:type="dcterms:W3CDTF">2022-11-05T22:47:03Z</dcterms:modified>
</cp:coreProperties>
</file>