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sse\OneDrive\Documentos\PUCP 2024-2\CONTABILIDAD Y FINANZAS\0. Contabilidad Material\Practica 7\"/>
    </mc:Choice>
  </mc:AlternateContent>
  <xr:revisionPtr revIDLastSave="0" documentId="13_ncr:1_{B2173BCD-79C7-4077-AEF9-7B277272FCEB}" xr6:coauthVersionLast="36" xr6:coauthVersionMax="47" xr10:uidLastSave="{00000000-0000-0000-0000-000000000000}"/>
  <bookViews>
    <workbookView xWindow="0" yWindow="0" windowWidth="28800" windowHeight="12810" activeTab="1" xr2:uid="{6ADEE2B6-A3CF-4D28-9307-6695F1FB2701}"/>
  </bookViews>
  <sheets>
    <sheet name="Datos" sheetId="3" r:id="rId1"/>
    <sheet name="Respuesta" sheetId="2" r:id="rId2"/>
  </sheets>
  <definedNames>
    <definedName name="_xlnm._FilterDatabase" localSheetId="1" hidden="1">Respuesta!$A$3:$AQ$195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0" i="3" l="1"/>
  <c r="G60" i="3"/>
  <c r="G59" i="3"/>
  <c r="G57" i="2"/>
  <c r="D59" i="3"/>
  <c r="F58" i="3"/>
  <c r="F57" i="3"/>
  <c r="D58" i="3"/>
  <c r="D57" i="3"/>
  <c r="O53" i="2" l="1"/>
  <c r="O52" i="2"/>
  <c r="N51" i="2"/>
  <c r="N50" i="2"/>
  <c r="N49" i="2"/>
  <c r="O48" i="2"/>
  <c r="O47" i="2"/>
  <c r="O46" i="2"/>
  <c r="O45" i="2"/>
  <c r="O44" i="2"/>
  <c r="O43" i="2"/>
  <c r="N43" i="2"/>
  <c r="O42" i="2"/>
  <c r="O41" i="2"/>
  <c r="O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N31" i="2"/>
  <c r="O30" i="2"/>
  <c r="O29" i="2"/>
  <c r="N29" i="2"/>
  <c r="O28" i="2"/>
  <c r="N28" i="2"/>
  <c r="O24" i="2"/>
  <c r="N23" i="2"/>
  <c r="N22" i="2"/>
  <c r="N21" i="2"/>
  <c r="O18" i="2"/>
  <c r="N18" i="2"/>
  <c r="N16" i="2"/>
  <c r="N15" i="2"/>
  <c r="N14" i="2"/>
  <c r="O13" i="2"/>
  <c r="N13" i="2"/>
  <c r="O12" i="2"/>
  <c r="N12" i="2"/>
  <c r="O11" i="2"/>
  <c r="N9" i="2"/>
  <c r="O8" i="2"/>
  <c r="N8" i="2"/>
  <c r="M53" i="2"/>
  <c r="L53" i="2"/>
  <c r="M52" i="2"/>
  <c r="L52" i="2"/>
  <c r="M51" i="2"/>
  <c r="L51" i="2"/>
  <c r="M50" i="2"/>
  <c r="L50" i="2"/>
  <c r="M49" i="2"/>
  <c r="L49" i="2"/>
  <c r="M48" i="2"/>
  <c r="L48" i="2"/>
  <c r="M47" i="2"/>
  <c r="L47" i="2"/>
  <c r="M46" i="2"/>
  <c r="L46" i="2"/>
  <c r="M45" i="2"/>
  <c r="L45" i="2"/>
  <c r="M44" i="2"/>
  <c r="L44" i="2"/>
  <c r="M43" i="2"/>
  <c r="L43" i="2"/>
  <c r="M42" i="2"/>
  <c r="L42" i="2"/>
  <c r="M41" i="2"/>
  <c r="L41" i="2"/>
  <c r="M40" i="2"/>
  <c r="L40" i="2"/>
  <c r="M39" i="2"/>
  <c r="L39" i="2"/>
  <c r="M38" i="2"/>
  <c r="L38" i="2"/>
  <c r="M37" i="2"/>
  <c r="L37" i="2"/>
  <c r="M36" i="2"/>
  <c r="L36" i="2"/>
  <c r="M35" i="2"/>
  <c r="L35" i="2"/>
  <c r="M34" i="2"/>
  <c r="L34" i="2"/>
  <c r="M33" i="2"/>
  <c r="L33" i="2"/>
  <c r="M32" i="2"/>
  <c r="L32" i="2"/>
  <c r="M31" i="2"/>
  <c r="L31" i="2"/>
  <c r="M30" i="2"/>
  <c r="L30" i="2"/>
  <c r="M27" i="2"/>
  <c r="L27" i="2"/>
  <c r="M26" i="2"/>
  <c r="L26" i="2"/>
  <c r="M21" i="2"/>
  <c r="L21" i="2"/>
  <c r="M20" i="2"/>
  <c r="L20" i="2"/>
  <c r="M14" i="2"/>
  <c r="L14" i="2"/>
  <c r="M11" i="2"/>
  <c r="L11" i="2"/>
  <c r="M9" i="2"/>
  <c r="L9" i="2"/>
  <c r="F60" i="2"/>
  <c r="G62" i="2"/>
  <c r="G93" i="3" s="1"/>
  <c r="G95" i="3" s="1"/>
  <c r="G182" i="2"/>
  <c r="G94" i="3" s="1"/>
  <c r="F6" i="2"/>
  <c r="F92" i="3" s="1"/>
  <c r="F95" i="3" s="1"/>
  <c r="E181" i="2"/>
  <c r="F87" i="3"/>
  <c r="F85" i="3"/>
  <c r="D180" i="2" s="1"/>
  <c r="N41" i="2" s="1"/>
  <c r="D80" i="3"/>
  <c r="F78" i="3"/>
  <c r="F77" i="3"/>
  <c r="F76" i="3"/>
  <c r="F75" i="3"/>
  <c r="D129" i="2"/>
  <c r="E130" i="2" s="1"/>
  <c r="D125" i="2"/>
  <c r="E126" i="2" s="1"/>
  <c r="D133" i="2" s="1"/>
  <c r="E134" i="2" s="1"/>
  <c r="F67" i="3"/>
  <c r="G67" i="3" s="1"/>
  <c r="H67" i="3" s="1"/>
  <c r="H75" i="3" s="1"/>
  <c r="L75" i="3" s="1"/>
  <c r="F71" i="3"/>
  <c r="F70" i="3"/>
  <c r="G70" i="3" s="1"/>
  <c r="H70" i="3" s="1"/>
  <c r="H78" i="3" s="1"/>
  <c r="L78" i="3" s="1"/>
  <c r="N78" i="3" s="1"/>
  <c r="F69" i="3"/>
  <c r="G69" i="3" s="1"/>
  <c r="H69" i="3" s="1"/>
  <c r="H77" i="3" s="1"/>
  <c r="L77" i="3" s="1"/>
  <c r="N77" i="3" s="1"/>
  <c r="F68" i="3"/>
  <c r="G68" i="3" s="1"/>
  <c r="H68" i="3" s="1"/>
  <c r="H76" i="3" s="1"/>
  <c r="D161" i="2"/>
  <c r="E158" i="2"/>
  <c r="O23" i="2" s="1"/>
  <c r="E157" i="2"/>
  <c r="O22" i="2" s="1"/>
  <c r="E156" i="2"/>
  <c r="O21" i="2" s="1"/>
  <c r="D144" i="2"/>
  <c r="D145" i="2" s="1"/>
  <c r="E140" i="2"/>
  <c r="D149" i="2" s="1"/>
  <c r="E150" i="2" s="1"/>
  <c r="E139" i="2"/>
  <c r="O19" i="2" s="1"/>
  <c r="N22" i="3"/>
  <c r="R22" i="3" s="1"/>
  <c r="N23" i="3"/>
  <c r="N21" i="3"/>
  <c r="N24" i="3"/>
  <c r="D112" i="2"/>
  <c r="E113" i="2" s="1"/>
  <c r="O9" i="2" s="1"/>
  <c r="D102" i="2"/>
  <c r="D103" i="2" s="1"/>
  <c r="E104" i="2" s="1"/>
  <c r="D98" i="2"/>
  <c r="E99" i="2" s="1"/>
  <c r="D77" i="2"/>
  <c r="D50" i="3"/>
  <c r="H50" i="3" s="1"/>
  <c r="D49" i="3"/>
  <c r="H49" i="3" s="1"/>
  <c r="D48" i="3"/>
  <c r="H48" i="3" s="1"/>
  <c r="D47" i="3"/>
  <c r="H47" i="3" s="1"/>
  <c r="D46" i="3"/>
  <c r="H46" i="3" s="1"/>
  <c r="D66" i="2"/>
  <c r="N19" i="2" s="1"/>
  <c r="D67" i="2"/>
  <c r="N24" i="2" s="1"/>
  <c r="E19" i="2"/>
  <c r="M24" i="2" s="1"/>
  <c r="D19" i="2"/>
  <c r="L24" i="2" s="1"/>
  <c r="E16" i="2"/>
  <c r="M19" i="2" s="1"/>
  <c r="D16" i="2"/>
  <c r="L19" i="2" s="1"/>
  <c r="N20" i="3"/>
  <c r="D65" i="2"/>
  <c r="D60" i="2"/>
  <c r="N27" i="2" s="1"/>
  <c r="F60" i="3"/>
  <c r="F59" i="3"/>
  <c r="F56" i="3"/>
  <c r="D55" i="2" s="1"/>
  <c r="D71" i="3" s="1"/>
  <c r="E79" i="3" s="1"/>
  <c r="E80" i="3" s="1"/>
  <c r="E39" i="2"/>
  <c r="D38" i="2" s="1"/>
  <c r="D34" i="2"/>
  <c r="F40" i="3"/>
  <c r="F39" i="3"/>
  <c r="E21" i="2"/>
  <c r="M28" i="2" s="1"/>
  <c r="E15" i="2"/>
  <c r="M18" i="2" s="1"/>
  <c r="E14" i="2"/>
  <c r="M17" i="2" s="1"/>
  <c r="E18" i="2"/>
  <c r="M23" i="2" s="1"/>
  <c r="E17" i="2"/>
  <c r="M22" i="2" s="1"/>
  <c r="E11" i="2"/>
  <c r="M12" i="2" s="1"/>
  <c r="E10" i="2"/>
  <c r="M13" i="2" s="1"/>
  <c r="E9" i="2"/>
  <c r="M10" i="2" s="1"/>
  <c r="E8" i="2"/>
  <c r="M8" i="2" s="1"/>
  <c r="E7" i="2"/>
  <c r="M7" i="2" s="1"/>
  <c r="E6" i="2"/>
  <c r="M6" i="2" s="1"/>
  <c r="E5" i="2"/>
  <c r="D22" i="2"/>
  <c r="L29" i="2" s="1"/>
  <c r="D21" i="2"/>
  <c r="L28" i="2" s="1"/>
  <c r="D20" i="2"/>
  <c r="L25" i="2" s="1"/>
  <c r="D15" i="2"/>
  <c r="L18" i="2" s="1"/>
  <c r="D14" i="2"/>
  <c r="L17" i="2" s="1"/>
  <c r="D18" i="2"/>
  <c r="L23" i="2" s="1"/>
  <c r="D17" i="2"/>
  <c r="L22" i="2" s="1"/>
  <c r="D13" i="2"/>
  <c r="L15" i="2" s="1"/>
  <c r="D12" i="2"/>
  <c r="L16" i="2" s="1"/>
  <c r="D11" i="2"/>
  <c r="L12" i="2" s="1"/>
  <c r="D10" i="2"/>
  <c r="L13" i="2" s="1"/>
  <c r="D8" i="2"/>
  <c r="L8" i="2" s="1"/>
  <c r="D7" i="2"/>
  <c r="L7" i="2" s="1"/>
  <c r="D5" i="2"/>
  <c r="E20" i="2"/>
  <c r="M25" i="2" s="1"/>
  <c r="M26" i="3"/>
  <c r="E22" i="2" s="1"/>
  <c r="M29" i="2" s="1"/>
  <c r="N29" i="3"/>
  <c r="N28" i="3"/>
  <c r="N27" i="3"/>
  <c r="O19" i="3"/>
  <c r="O22" i="3" s="1"/>
  <c r="S22" i="3" s="1"/>
  <c r="E12" i="2"/>
  <c r="M16" i="2" s="1"/>
  <c r="H12" i="3"/>
  <c r="H11" i="3"/>
  <c r="H10" i="3"/>
  <c r="H5" i="3"/>
  <c r="D6" i="2" s="1"/>
  <c r="L6" i="2" l="1"/>
  <c r="D92" i="3"/>
  <c r="D95" i="3" s="1"/>
  <c r="E182" i="2"/>
  <c r="E94" i="3" s="1"/>
  <c r="D179" i="2"/>
  <c r="F96" i="3"/>
  <c r="E146" i="2"/>
  <c r="Q33" i="2"/>
  <c r="Q28" i="2"/>
  <c r="P32" i="2"/>
  <c r="N11" i="2"/>
  <c r="Q11" i="2" s="1"/>
  <c r="Q13" i="2"/>
  <c r="P29" i="2"/>
  <c r="Q24" i="2"/>
  <c r="P41" i="2"/>
  <c r="D185" i="2"/>
  <c r="E186" i="2" s="1"/>
  <c r="N20" i="2"/>
  <c r="N40" i="2"/>
  <c r="Q40" i="2" s="1"/>
  <c r="P28" i="2"/>
  <c r="O20" i="2"/>
  <c r="Q32" i="2"/>
  <c r="Q36" i="2"/>
  <c r="N42" i="2"/>
  <c r="P42" i="2" s="1"/>
  <c r="P21" i="2"/>
  <c r="P36" i="2"/>
  <c r="P43" i="2"/>
  <c r="Q8" i="2"/>
  <c r="Q12" i="2"/>
  <c r="P33" i="2"/>
  <c r="Q9" i="2"/>
  <c r="Q29" i="2"/>
  <c r="Q37" i="2"/>
  <c r="Q41" i="2"/>
  <c r="P24" i="2"/>
  <c r="P37" i="2"/>
  <c r="P13" i="2"/>
  <c r="T13" i="2" s="1"/>
  <c r="AK80" i="2" s="1"/>
  <c r="Q23" i="2"/>
  <c r="Q39" i="2"/>
  <c r="P8" i="2"/>
  <c r="P12" i="2"/>
  <c r="Q43" i="2"/>
  <c r="P35" i="2"/>
  <c r="P19" i="2"/>
  <c r="Q35" i="2"/>
  <c r="Q21" i="2"/>
  <c r="Q19" i="2"/>
  <c r="P23" i="2"/>
  <c r="P39" i="2"/>
  <c r="P9" i="2"/>
  <c r="Q18" i="2"/>
  <c r="Q34" i="2"/>
  <c r="Q22" i="2"/>
  <c r="Q38" i="2"/>
  <c r="P18" i="2"/>
  <c r="P22" i="2"/>
  <c r="P34" i="2"/>
  <c r="P38" i="2"/>
  <c r="G78" i="3"/>
  <c r="I78" i="3" s="1"/>
  <c r="J78" i="3" s="1"/>
  <c r="L76" i="3"/>
  <c r="M76" i="3" s="1"/>
  <c r="D167" i="2"/>
  <c r="M75" i="3"/>
  <c r="N75" i="3" s="1"/>
  <c r="D168" i="2"/>
  <c r="G75" i="3"/>
  <c r="G76" i="3"/>
  <c r="I76" i="3" s="1"/>
  <c r="J76" i="3" s="1"/>
  <c r="G77" i="3"/>
  <c r="I77" i="3" s="1"/>
  <c r="J77" i="3" s="1"/>
  <c r="F79" i="3"/>
  <c r="G71" i="3"/>
  <c r="H71" i="3" s="1"/>
  <c r="H79" i="3" s="1"/>
  <c r="D166" i="2" s="1"/>
  <c r="F41" i="3"/>
  <c r="D162" i="2"/>
  <c r="E163" i="2" s="1"/>
  <c r="T22" i="3"/>
  <c r="D116" i="2"/>
  <c r="P22" i="3"/>
  <c r="O24" i="3"/>
  <c r="P24" i="3" s="1"/>
  <c r="O21" i="3"/>
  <c r="P21" i="3" s="1"/>
  <c r="R21" i="3" s="1"/>
  <c r="P19" i="3"/>
  <c r="O23" i="3"/>
  <c r="P23" i="3" s="1"/>
  <c r="R23" i="3" s="1"/>
  <c r="D78" i="2"/>
  <c r="E68" i="2"/>
  <c r="H59" i="3"/>
  <c r="D61" i="2" s="1"/>
  <c r="O20" i="3"/>
  <c r="P20" i="3" s="1"/>
  <c r="R20" i="3" s="1"/>
  <c r="E62" i="2"/>
  <c r="E93" i="3" s="1"/>
  <c r="E95" i="3" s="1"/>
  <c r="H60" i="3"/>
  <c r="D190" i="2" s="1"/>
  <c r="E189" i="2" s="1"/>
  <c r="H51" i="3"/>
  <c r="D47" i="2" s="1"/>
  <c r="N48" i="2" s="1"/>
  <c r="Q48" i="2" s="1"/>
  <c r="F46" i="3"/>
  <c r="F47" i="3"/>
  <c r="F48" i="3"/>
  <c r="F49" i="3"/>
  <c r="F50" i="3"/>
  <c r="E13" i="2"/>
  <c r="M15" i="2" s="1"/>
  <c r="D9" i="2"/>
  <c r="L10" i="2" s="1"/>
  <c r="D25" i="2"/>
  <c r="N30" i="2" s="1"/>
  <c r="Q30" i="2" s="1"/>
  <c r="H33" i="3"/>
  <c r="O26" i="3"/>
  <c r="I33" i="3"/>
  <c r="D96" i="3" l="1"/>
  <c r="F97" i="3"/>
  <c r="D97" i="3" s="1"/>
  <c r="U29" i="2"/>
  <c r="AF18" i="2" s="1"/>
  <c r="AQ18" i="2" s="1"/>
  <c r="T28" i="2"/>
  <c r="AK95" i="2" s="1"/>
  <c r="V33" i="2"/>
  <c r="AK41" i="2" s="1"/>
  <c r="V43" i="2"/>
  <c r="AK51" i="2" s="1"/>
  <c r="T8" i="2"/>
  <c r="W32" i="2"/>
  <c r="W41" i="2"/>
  <c r="W38" i="2"/>
  <c r="U19" i="2"/>
  <c r="AJ86" i="2" s="1"/>
  <c r="W39" i="2"/>
  <c r="U9" i="2"/>
  <c r="AJ76" i="2" s="1"/>
  <c r="W36" i="2"/>
  <c r="U24" i="2"/>
  <c r="AJ91" i="2" s="1"/>
  <c r="U22" i="2"/>
  <c r="AJ89" i="2" s="1"/>
  <c r="U21" i="2"/>
  <c r="AJ88" i="2" s="1"/>
  <c r="W35" i="2"/>
  <c r="U12" i="2"/>
  <c r="AJ79" i="2" s="1"/>
  <c r="W34" i="2"/>
  <c r="V37" i="2"/>
  <c r="AK31" i="2" s="1"/>
  <c r="V41" i="2"/>
  <c r="T29" i="2"/>
  <c r="AK96" i="2" s="1"/>
  <c r="U13" i="2"/>
  <c r="AJ80" i="2" s="1"/>
  <c r="V32" i="2"/>
  <c r="AK40" i="2" s="1"/>
  <c r="U28" i="2"/>
  <c r="T19" i="2"/>
  <c r="AK86" i="2" s="1"/>
  <c r="U8" i="2"/>
  <c r="AJ75" i="2" s="1"/>
  <c r="V38" i="2"/>
  <c r="AK32" i="2" s="1"/>
  <c r="V35" i="2"/>
  <c r="AK43" i="2" s="1"/>
  <c r="T24" i="2"/>
  <c r="AK91" i="2" s="1"/>
  <c r="V34" i="2"/>
  <c r="AK42" i="2" s="1"/>
  <c r="T9" i="2"/>
  <c r="W43" i="2"/>
  <c r="V36" i="2"/>
  <c r="AK44" i="2" s="1"/>
  <c r="T22" i="2"/>
  <c r="AK89" i="2" s="1"/>
  <c r="V39" i="2"/>
  <c r="AK33" i="2" s="1"/>
  <c r="T12" i="2"/>
  <c r="AK79" i="2" s="1"/>
  <c r="W37" i="2"/>
  <c r="T21" i="2"/>
  <c r="AK88" i="2" s="1"/>
  <c r="W33" i="2"/>
  <c r="P20" i="2"/>
  <c r="P11" i="2"/>
  <c r="T11" i="2" s="1"/>
  <c r="AK78" i="2" s="1"/>
  <c r="Q42" i="2"/>
  <c r="W42" i="2" s="1"/>
  <c r="Q20" i="2"/>
  <c r="P40" i="2"/>
  <c r="V40" i="2" s="1"/>
  <c r="AK34" i="2" s="1"/>
  <c r="O6" i="2"/>
  <c r="E169" i="2"/>
  <c r="O14" i="2" s="1"/>
  <c r="N45" i="2"/>
  <c r="E170" i="2"/>
  <c r="O15" i="2" s="1"/>
  <c r="N46" i="2"/>
  <c r="E171" i="2"/>
  <c r="O16" i="2" s="1"/>
  <c r="N47" i="2"/>
  <c r="N44" i="2"/>
  <c r="P30" i="2"/>
  <c r="V30" i="2" s="1"/>
  <c r="E79" i="2"/>
  <c r="P48" i="2"/>
  <c r="N76" i="3"/>
  <c r="L80" i="3"/>
  <c r="D174" i="2" s="1"/>
  <c r="I75" i="3"/>
  <c r="J75" i="3" s="1"/>
  <c r="G80" i="3"/>
  <c r="I79" i="3"/>
  <c r="M79" i="3"/>
  <c r="H80" i="3"/>
  <c r="F80" i="3"/>
  <c r="F51" i="3"/>
  <c r="E44" i="2" s="1"/>
  <c r="O49" i="2" s="1"/>
  <c r="I34" i="3"/>
  <c r="D98" i="3" l="1"/>
  <c r="D193" i="2" s="1"/>
  <c r="E194" i="2" s="1"/>
  <c r="O50" i="2" s="1"/>
  <c r="N6" i="2"/>
  <c r="P6" i="2" s="1"/>
  <c r="AC15" i="2"/>
  <c r="AN15" i="2" s="1"/>
  <c r="AK76" i="2"/>
  <c r="AF17" i="2"/>
  <c r="AQ17" i="2" s="1"/>
  <c r="AJ95" i="2"/>
  <c r="AC12" i="2"/>
  <c r="AN12" i="2" s="1"/>
  <c r="AK75" i="2"/>
  <c r="AC58" i="2"/>
  <c r="AN58" i="2" s="1"/>
  <c r="AK45" i="2"/>
  <c r="AC57" i="2"/>
  <c r="AN57" i="2" s="1"/>
  <c r="AC52" i="2"/>
  <c r="AN52" i="2" s="1"/>
  <c r="AK25" i="2"/>
  <c r="AC55" i="2"/>
  <c r="AN55" i="2" s="1"/>
  <c r="T20" i="2"/>
  <c r="AK87" i="2" s="1"/>
  <c r="V42" i="2"/>
  <c r="U11" i="2"/>
  <c r="AJ78" i="2" s="1"/>
  <c r="X48" i="2"/>
  <c r="AC33" i="2" s="1"/>
  <c r="AN33" i="2" s="1"/>
  <c r="S48" i="2"/>
  <c r="U20" i="2"/>
  <c r="AJ87" i="2" s="1"/>
  <c r="W30" i="2"/>
  <c r="W40" i="2"/>
  <c r="Q15" i="2"/>
  <c r="P15" i="2"/>
  <c r="P45" i="2"/>
  <c r="Q45" i="2"/>
  <c r="P14" i="2"/>
  <c r="Q14" i="2"/>
  <c r="Q44" i="2"/>
  <c r="P44" i="2"/>
  <c r="P47" i="2"/>
  <c r="Q47" i="2"/>
  <c r="P16" i="2"/>
  <c r="Q16" i="2"/>
  <c r="Q49" i="2"/>
  <c r="P49" i="2"/>
  <c r="P46" i="2"/>
  <c r="Q46" i="2"/>
  <c r="I80" i="3"/>
  <c r="J79" i="3"/>
  <c r="J80" i="3" s="1"/>
  <c r="N79" i="3"/>
  <c r="N80" i="3" s="1"/>
  <c r="M80" i="3"/>
  <c r="D175" i="2" s="1"/>
  <c r="E176" i="2" s="1"/>
  <c r="P50" i="2" l="1"/>
  <c r="Q50" i="2"/>
  <c r="Q6" i="2"/>
  <c r="T6" i="2" s="1"/>
  <c r="AK73" i="2" s="1"/>
  <c r="AC60" i="2"/>
  <c r="AN60" i="2" s="1"/>
  <c r="AK50" i="2"/>
  <c r="U16" i="2"/>
  <c r="AJ83" i="2" s="1"/>
  <c r="U14" i="2"/>
  <c r="AJ81" i="2" s="1"/>
  <c r="R31" i="2"/>
  <c r="AJ19" i="2" s="1"/>
  <c r="AK20" i="2"/>
  <c r="W48" i="2"/>
  <c r="V49" i="2"/>
  <c r="V46" i="2"/>
  <c r="AK53" i="2" s="1"/>
  <c r="W44" i="2"/>
  <c r="U15" i="2"/>
  <c r="AJ82" i="2" s="1"/>
  <c r="V47" i="2"/>
  <c r="AK54" i="2" s="1"/>
  <c r="V45" i="2"/>
  <c r="AK52" i="2" s="1"/>
  <c r="V48" i="2"/>
  <c r="W49" i="2"/>
  <c r="Y49" i="2"/>
  <c r="AC32" i="2" s="1"/>
  <c r="AN32" i="2" s="1"/>
  <c r="AN34" i="2" s="1"/>
  <c r="T16" i="2"/>
  <c r="AK83" i="2" s="1"/>
  <c r="T14" i="2"/>
  <c r="AK81" i="2" s="1"/>
  <c r="W47" i="2"/>
  <c r="W45" i="2"/>
  <c r="W46" i="2"/>
  <c r="X44" i="2"/>
  <c r="V44" i="2"/>
  <c r="T15" i="2"/>
  <c r="AK82" i="2" s="1"/>
  <c r="U6" i="2" l="1"/>
  <c r="AJ73" i="2" s="1"/>
  <c r="W50" i="2"/>
  <c r="AJ60" i="2" s="1"/>
  <c r="Y50" i="2"/>
  <c r="AC38" i="2" s="1"/>
  <c r="AN38" i="2" s="1"/>
  <c r="V50" i="2"/>
  <c r="AK59" i="2"/>
  <c r="AC19" i="2"/>
  <c r="AN19" i="2" s="1"/>
  <c r="AN20" i="2" s="1"/>
  <c r="AC51" i="2"/>
  <c r="AJ24" i="2"/>
  <c r="AC61" i="2"/>
  <c r="AN61" i="2" s="1"/>
  <c r="AC63" i="2" l="1"/>
  <c r="AN63" i="2" s="1"/>
  <c r="AN51" i="2"/>
  <c r="AK39" i="2"/>
  <c r="AK6" i="2"/>
  <c r="E117" i="2"/>
  <c r="D108" i="2"/>
  <c r="E109" i="2" s="1"/>
  <c r="D120" i="2" s="1"/>
  <c r="E121" i="2" s="1"/>
  <c r="D92" i="2"/>
  <c r="D88" i="2"/>
  <c r="E89" i="2" s="1"/>
  <c r="D72" i="2"/>
  <c r="E48" i="2"/>
  <c r="O10" i="2" s="1"/>
  <c r="E43" i="2"/>
  <c r="O17" i="2" s="1"/>
  <c r="D56" i="2"/>
  <c r="E57" i="2" s="1"/>
  <c r="E35" i="2"/>
  <c r="D30" i="2"/>
  <c r="D26" i="2"/>
  <c r="M5" i="2"/>
  <c r="L5" i="2"/>
  <c r="O27" i="2" l="1"/>
  <c r="Q27" i="2" s="1"/>
  <c r="D93" i="2"/>
  <c r="N53" i="2" s="1"/>
  <c r="N52" i="2"/>
  <c r="E27" i="2"/>
  <c r="N17" i="2"/>
  <c r="P17" i="2" s="1"/>
  <c r="E31" i="2"/>
  <c r="O31" i="2" s="1"/>
  <c r="N10" i="2"/>
  <c r="P10" i="2" s="1"/>
  <c r="E74" i="2"/>
  <c r="E73" i="2"/>
  <c r="D42" i="2"/>
  <c r="N7" i="2" s="1"/>
  <c r="M55" i="2"/>
  <c r="L55" i="2"/>
  <c r="P27" i="2" l="1"/>
  <c r="T27" i="2" s="1"/>
  <c r="AK94" i="2" s="1"/>
  <c r="Q31" i="2"/>
  <c r="P31" i="2"/>
  <c r="D82" i="2"/>
  <c r="N26" i="2" s="1"/>
  <c r="O26" i="2"/>
  <c r="Q17" i="2"/>
  <c r="U17" i="2" s="1"/>
  <c r="AJ84" i="2" s="1"/>
  <c r="O25" i="2"/>
  <c r="E94" i="2"/>
  <c r="O51" i="2" s="1"/>
  <c r="Q10" i="2"/>
  <c r="U10" i="2" s="1"/>
  <c r="AJ77" i="2" s="1"/>
  <c r="Q52" i="2"/>
  <c r="P52" i="2"/>
  <c r="Q53" i="2"/>
  <c r="P53" i="2"/>
  <c r="D83" i="2"/>
  <c r="N25" i="2" s="1"/>
  <c r="S23" i="2"/>
  <c r="E52" i="2"/>
  <c r="O7" i="2" s="1"/>
  <c r="Q7" i="2" s="1"/>
  <c r="X23" i="2"/>
  <c r="L56" i="2"/>
  <c r="Y55" i="2"/>
  <c r="U27" i="2" l="1"/>
  <c r="AJ94" i="2" s="1"/>
  <c r="V31" i="2"/>
  <c r="AC53" i="2" s="1"/>
  <c r="AN53" i="2" s="1"/>
  <c r="AN54" i="2" s="1"/>
  <c r="AN56" i="2" s="1"/>
  <c r="AN59" i="2" s="1"/>
  <c r="AN62" i="2" s="1"/>
  <c r="AN64" i="2" s="1"/>
  <c r="T17" i="2"/>
  <c r="U23" i="2"/>
  <c r="AJ90" i="2" s="1"/>
  <c r="T23" i="2"/>
  <c r="AK90" i="2" s="1"/>
  <c r="X52" i="2"/>
  <c r="AC35" i="2" s="1"/>
  <c r="AN35" i="2" s="1"/>
  <c r="S52" i="2"/>
  <c r="W31" i="2"/>
  <c r="S53" i="2"/>
  <c r="X53" i="2"/>
  <c r="AC36" i="2" s="1"/>
  <c r="AN36" i="2" s="1"/>
  <c r="T10" i="2"/>
  <c r="P25" i="2"/>
  <c r="P26" i="2"/>
  <c r="Q25" i="2"/>
  <c r="Q26" i="2"/>
  <c r="Q51" i="2"/>
  <c r="P51" i="2"/>
  <c r="P7" i="2"/>
  <c r="T7" i="2" s="1"/>
  <c r="E84" i="2"/>
  <c r="O5" i="2" s="1"/>
  <c r="R18" i="2"/>
  <c r="AC20" i="2"/>
  <c r="D51" i="2"/>
  <c r="N5" i="2" s="1"/>
  <c r="Y57" i="2"/>
  <c r="AC34" i="2"/>
  <c r="AN37" i="2" l="1"/>
  <c r="AN39" i="2" s="1"/>
  <c r="AC13" i="2"/>
  <c r="AN13" i="2" s="1"/>
  <c r="AK77" i="2"/>
  <c r="AC14" i="2"/>
  <c r="AN14" i="2" s="1"/>
  <c r="AK84" i="2"/>
  <c r="AC11" i="2"/>
  <c r="AN11" i="2" s="1"/>
  <c r="AK74" i="2"/>
  <c r="D197" i="2"/>
  <c r="AK26" i="2"/>
  <c r="AK23" i="2" s="1"/>
  <c r="AJ30" i="2" s="1"/>
  <c r="AK29" i="2" s="1"/>
  <c r="U7" i="2"/>
  <c r="AJ74" i="2" s="1"/>
  <c r="V52" i="2"/>
  <c r="AK14" i="2"/>
  <c r="V53" i="2"/>
  <c r="AK15" i="2"/>
  <c r="T26" i="2"/>
  <c r="AK93" i="2" s="1"/>
  <c r="T25" i="2"/>
  <c r="AK92" i="2" s="1"/>
  <c r="W52" i="2"/>
  <c r="W53" i="2"/>
  <c r="R51" i="2"/>
  <c r="U26" i="2"/>
  <c r="AJ93" i="2" s="1"/>
  <c r="U18" i="2"/>
  <c r="AF11" i="2" s="1"/>
  <c r="T18" i="2"/>
  <c r="AK85" i="2" s="1"/>
  <c r="U25" i="2"/>
  <c r="E197" i="2"/>
  <c r="X55" i="2"/>
  <c r="X56" i="2" s="1"/>
  <c r="X57" i="2" s="1"/>
  <c r="AC37" i="2"/>
  <c r="AC39" i="2" s="1"/>
  <c r="AC41" i="2" s="1"/>
  <c r="S55" i="2"/>
  <c r="O55" i="2"/>
  <c r="P5" i="2"/>
  <c r="Q5" i="2"/>
  <c r="N55" i="2"/>
  <c r="AC54" i="2"/>
  <c r="AF10" i="2" l="1"/>
  <c r="AQ10" i="2" s="1"/>
  <c r="AJ92" i="2"/>
  <c r="AJ38" i="2"/>
  <c r="U5" i="2"/>
  <c r="V51" i="2"/>
  <c r="V55" i="2" s="1"/>
  <c r="AJ16" i="2"/>
  <c r="W51" i="2"/>
  <c r="W55" i="2" s="1"/>
  <c r="W57" i="2" s="1"/>
  <c r="R55" i="2"/>
  <c r="T5" i="2"/>
  <c r="AC10" i="2" s="1"/>
  <c r="AN10" i="2" s="1"/>
  <c r="AN16" i="2" s="1"/>
  <c r="AN22" i="2" s="1"/>
  <c r="N56" i="2"/>
  <c r="Q55" i="2"/>
  <c r="P55" i="2"/>
  <c r="AC56" i="2"/>
  <c r="AC59" i="2" s="1"/>
  <c r="AK37" i="2" l="1"/>
  <c r="AJ49" i="2" s="1"/>
  <c r="V56" i="2"/>
  <c r="V57" i="2" s="1"/>
  <c r="AK72" i="2"/>
  <c r="AC16" i="2"/>
  <c r="AC22" i="2" s="1"/>
  <c r="T55" i="2"/>
  <c r="AJ72" i="2"/>
  <c r="U55" i="2"/>
  <c r="AC62" i="2"/>
  <c r="AC64" i="2" s="1"/>
  <c r="AK48" i="2" l="1"/>
  <c r="AJ58" i="2" s="1"/>
  <c r="AK57" i="2" s="1"/>
  <c r="AJ64" i="2" s="1"/>
  <c r="T57" i="2"/>
  <c r="U56" i="2"/>
  <c r="AF19" i="2" s="1"/>
  <c r="AJ10" i="2" l="1"/>
  <c r="AN65" i="2" s="1"/>
  <c r="AN66" i="2" s="1"/>
  <c r="U57" i="2"/>
  <c r="AC66" i="2" l="1"/>
  <c r="AN40" i="2"/>
  <c r="AN41" i="2" s="1"/>
  <c r="AQ19" i="2"/>
  <c r="AQ20" i="2" s="1"/>
  <c r="AF20" i="2"/>
  <c r="AK11" i="2"/>
  <c r="AQ11" i="2" s="1"/>
  <c r="AQ12" i="2" s="1"/>
  <c r="AQ14" i="2" s="1"/>
  <c r="AK65" i="2"/>
  <c r="AK63" i="2" s="1"/>
  <c r="AJ69" i="2" s="1"/>
  <c r="AK68" i="2" s="1"/>
  <c r="AJ96" i="2" s="1"/>
  <c r="AQ22" i="2" l="1"/>
  <c r="AJ85" i="2"/>
  <c r="AF12" i="2"/>
  <c r="AF14" i="2" s="1"/>
  <c r="AF22" i="2" s="1"/>
</calcChain>
</file>

<file path=xl/sharedStrings.xml><?xml version="1.0" encoding="utf-8"?>
<sst xmlns="http://schemas.openxmlformats.org/spreadsheetml/2006/main" count="622" uniqueCount="264">
  <si>
    <t>Cuenta</t>
  </si>
  <si>
    <t>Nombre de cuenta</t>
  </si>
  <si>
    <t>Venta de mercaderías</t>
  </si>
  <si>
    <t>Debe
S/</t>
  </si>
  <si>
    <t>Haber
S/</t>
  </si>
  <si>
    <t>Efectivo y equivalente de efectivo</t>
  </si>
  <si>
    <t>Mercaderías</t>
  </si>
  <si>
    <t>Impuesto a la renta</t>
  </si>
  <si>
    <t>Resultados acumulados</t>
  </si>
  <si>
    <t>Cuentas por pagar comerciales</t>
  </si>
  <si>
    <t>Variación de existencias</t>
  </si>
  <si>
    <t>Costo de ventas</t>
  </si>
  <si>
    <t>Gastos de ventas</t>
  </si>
  <si>
    <t>Cargas imputables a cuentas de costos</t>
  </si>
  <si>
    <t>Energía electrica</t>
  </si>
  <si>
    <t>Saldo inicial</t>
  </si>
  <si>
    <t>Movimientos</t>
  </si>
  <si>
    <t>Saldos finales</t>
  </si>
  <si>
    <t>ESF</t>
  </si>
  <si>
    <t>ERF</t>
  </si>
  <si>
    <t>ERN</t>
  </si>
  <si>
    <t>Estado de Situación Financiera</t>
  </si>
  <si>
    <t>Activos</t>
  </si>
  <si>
    <t>Activo Corriente</t>
  </si>
  <si>
    <t>Cuentas por cobrar comerciales - neto</t>
  </si>
  <si>
    <t>Inventarios</t>
  </si>
  <si>
    <t>Total Activo Corriente</t>
  </si>
  <si>
    <t>Activo no Corriente</t>
  </si>
  <si>
    <t>Propiedades,planta y equipo - neto</t>
  </si>
  <si>
    <t>Total Activo no Corriente</t>
  </si>
  <si>
    <t>Total Activo</t>
  </si>
  <si>
    <t>Pasivo y Patrimonio</t>
  </si>
  <si>
    <t>Pasivo corriente</t>
  </si>
  <si>
    <t>Otras cuentas por pagar</t>
  </si>
  <si>
    <t>Total Pasivo corriente</t>
  </si>
  <si>
    <t>Total Pasivo</t>
  </si>
  <si>
    <t>Patrimonio</t>
  </si>
  <si>
    <t>Capital</t>
  </si>
  <si>
    <t>Resultado del periodo</t>
  </si>
  <si>
    <t>Total Patrimonio</t>
  </si>
  <si>
    <t>Total Pasivo y Patrimonio</t>
  </si>
  <si>
    <t>Estado de resultados</t>
  </si>
  <si>
    <t>Ingresos operativos</t>
  </si>
  <si>
    <t>Resultado bruto</t>
  </si>
  <si>
    <t>Administración</t>
  </si>
  <si>
    <t>Ventas</t>
  </si>
  <si>
    <t>Resultado operativo</t>
  </si>
  <si>
    <t>1/01 Por el asiento de apertura 2024</t>
  </si>
  <si>
    <t>x/01 Por las compras realizadas</t>
  </si>
  <si>
    <t>x/01 Por el ingreso de almacén de las compras</t>
  </si>
  <si>
    <t>x/01 Por el pago de cuentas por pagar</t>
  </si>
  <si>
    <t>x/01 Por la cobranza de cuentas por cobrar</t>
  </si>
  <si>
    <t>x/01 Por la venta de mercaderías</t>
  </si>
  <si>
    <t>x/01 Por el costo de la venta de mercaderías</t>
  </si>
  <si>
    <t>x/01 Por la depreciación del mes</t>
  </si>
  <si>
    <t>x/01 Por el destino de la depreciación del mes</t>
  </si>
  <si>
    <t>x/01 Por el servicio de energía electrica</t>
  </si>
  <si>
    <t>x/01 Por destino del gasto de servicio de energía electrica</t>
  </si>
  <si>
    <t>Anulaciones ERN</t>
  </si>
  <si>
    <t>Total</t>
  </si>
  <si>
    <t>(Expresado en soles)</t>
  </si>
  <si>
    <t>Al 31 de enero 2024</t>
  </si>
  <si>
    <t>Del 1 al 31 de enero de 2024</t>
  </si>
  <si>
    <t>Estado de resultados - Por Naturaleza</t>
  </si>
  <si>
    <t>Compras</t>
  </si>
  <si>
    <t>Servicios prestados por terceros</t>
  </si>
  <si>
    <t>Cargas diversas de gestión</t>
  </si>
  <si>
    <t>Provisiones</t>
  </si>
  <si>
    <t>x/01 Por el cierre de las cuentas de explotación</t>
  </si>
  <si>
    <t>x/01 Por el cierre del transferencia de variacion de existencias</t>
  </si>
  <si>
    <t>Margen comercial</t>
  </si>
  <si>
    <t>Valor agregado</t>
  </si>
  <si>
    <t>Excedente bruto de explotación</t>
  </si>
  <si>
    <t>Excente bruto de explotación</t>
  </si>
  <si>
    <t>x/01 Por el cierre de las cuentas de ventas, compras y variación de existencias</t>
  </si>
  <si>
    <t>x/01 Por el cierre de las cuentas de gastos de servicios de terceros</t>
  </si>
  <si>
    <t>Resultado de explotación</t>
  </si>
  <si>
    <t>x/01 Por el cierre de las cuentas de gastos de personal y tributos</t>
  </si>
  <si>
    <t>x/01 Por el cierre de las cuentas de gastos diversos de gestión y provisiones</t>
  </si>
  <si>
    <t>Resultado de operación</t>
  </si>
  <si>
    <t>Resultado antes de impuesto a la renta</t>
  </si>
  <si>
    <t>x/01 Por el cierre de las cuentas de gastos financieros</t>
  </si>
  <si>
    <t>x/01 Por el impuesto a la renta del periodo</t>
  </si>
  <si>
    <t>Participación de los trabajadores</t>
  </si>
  <si>
    <t>Utilidad antes de impuestos y participaciones</t>
  </si>
  <si>
    <t>x/01 Por la participación de utilidades a los trabajadores</t>
  </si>
  <si>
    <t>Resultado del periodo - Utilidad</t>
  </si>
  <si>
    <t>x/01 Por el cierre de las cuentas de resultados</t>
  </si>
  <si>
    <t>x/01 Por el cierre del resultado del periodo</t>
  </si>
  <si>
    <t>x/01 Por el cierre de las cuentas del estado de situación financiera</t>
  </si>
  <si>
    <t>Asientos de cierre:</t>
  </si>
  <si>
    <t>S/</t>
  </si>
  <si>
    <t>US$</t>
  </si>
  <si>
    <t>TC</t>
  </si>
  <si>
    <t>Cuenta corriente Banco BCP en Soles</t>
  </si>
  <si>
    <t>Cuenta corriente Banco BCP en Dólares</t>
  </si>
  <si>
    <t>Item</t>
  </si>
  <si>
    <t>Concepto</t>
  </si>
  <si>
    <t>Cuentas corrientes operativas MN</t>
  </si>
  <si>
    <t>Cuentas corrientes operativas ME</t>
  </si>
  <si>
    <t>Factura por cobrar F001-00045</t>
  </si>
  <si>
    <t>Factura por cobrar F001-00047</t>
  </si>
  <si>
    <t>Factura por cobrar F001-00048</t>
  </si>
  <si>
    <t>Cuentas por cobrar comerciales emitidas MN</t>
  </si>
  <si>
    <t>Depósito en garantía por alquiler de almacén</t>
  </si>
  <si>
    <t>Cant</t>
  </si>
  <si>
    <t>C.U.</t>
  </si>
  <si>
    <t>Crema corporal</t>
  </si>
  <si>
    <t>Mercadería</t>
  </si>
  <si>
    <t>Jabón de glicerína</t>
  </si>
  <si>
    <t>Shampoo anticaspa</t>
  </si>
  <si>
    <t>Silla ergonómica</t>
  </si>
  <si>
    <t>Laptop - Costo</t>
  </si>
  <si>
    <t>Armarios para colocar los productos</t>
  </si>
  <si>
    <t>Módulo de oficina de melamine</t>
  </si>
  <si>
    <t>Muebles y enseres</t>
  </si>
  <si>
    <t>Equipos de procesamiento de datos</t>
  </si>
  <si>
    <t>Laptop - Depreciación</t>
  </si>
  <si>
    <t>Armarios para colocar los productos - Depreciación</t>
  </si>
  <si>
    <t>Silla ergonómica - Depreciación</t>
  </si>
  <si>
    <t>Módulo de oficina de melamine - Depreciación</t>
  </si>
  <si>
    <t>Vida util años</t>
  </si>
  <si>
    <t>Debe</t>
  </si>
  <si>
    <t>Haber</t>
  </si>
  <si>
    <t>Saldo de vacaciones por pagar</t>
  </si>
  <si>
    <t>Saldo de CTS por pagar</t>
  </si>
  <si>
    <t>IGV por pagar</t>
  </si>
  <si>
    <t>Vacaciones</t>
  </si>
  <si>
    <t>E1</t>
  </si>
  <si>
    <t>Tiempo</t>
  </si>
  <si>
    <t>CTS</t>
  </si>
  <si>
    <t>Cuentas por pagar comerciales emitidas MN</t>
  </si>
  <si>
    <t>Recibo de luz por pagar</t>
  </si>
  <si>
    <t>Factura por servicio de internet</t>
  </si>
  <si>
    <t>Factura por servicio de publicidad</t>
  </si>
  <si>
    <t>Impuesto a la renta del año 2023</t>
  </si>
  <si>
    <t>Factura por productos de almacén</t>
  </si>
  <si>
    <t>Resultados del año 2023 luego del IR</t>
  </si>
  <si>
    <t>Capital social</t>
  </si>
  <si>
    <t>Depósito en garantía por alquileres</t>
  </si>
  <si>
    <t>Equipos de procesamiento de datos - Costo</t>
  </si>
  <si>
    <t>Muebles y enseres - Costo</t>
  </si>
  <si>
    <t>Equipos de procesamiento de datos - Dep</t>
  </si>
  <si>
    <t>Muebles y enseres - Dep</t>
  </si>
  <si>
    <t>IGV cuenta propia</t>
  </si>
  <si>
    <t>Vacaciones por pagar</t>
  </si>
  <si>
    <t>CTS por pagar</t>
  </si>
  <si>
    <t>Crema exfoliante</t>
  </si>
  <si>
    <t>Crema hidratante para el cabello</t>
  </si>
  <si>
    <t>% Anual</t>
  </si>
  <si>
    <t>Dep Anual</t>
  </si>
  <si>
    <t>Producto</t>
  </si>
  <si>
    <t>V.Venta</t>
  </si>
  <si>
    <t>Costo</t>
  </si>
  <si>
    <t>Valor Unit</t>
  </si>
  <si>
    <t>Costo Unit</t>
  </si>
  <si>
    <t>Costo Venta</t>
  </si>
  <si>
    <t>Compra</t>
  </si>
  <si>
    <t>Pago Primera cuota</t>
  </si>
  <si>
    <t>Actualización al 31.01.24</t>
  </si>
  <si>
    <t>Unidades de transporte</t>
  </si>
  <si>
    <t>x/01 Por la compra del vehiculo</t>
  </si>
  <si>
    <t>Pasivo por compra de PPE</t>
  </si>
  <si>
    <t>T.C.</t>
  </si>
  <si>
    <t xml:space="preserve">S/ </t>
  </si>
  <si>
    <t>S/ Origin</t>
  </si>
  <si>
    <t>Dif. Cambio</t>
  </si>
  <si>
    <t>Diferencia en cambio</t>
  </si>
  <si>
    <t>x/01 Por el pago de la primera cuota del vehiculo</t>
  </si>
  <si>
    <t>x/01 Por la actualización de DC al cierre enero 2023</t>
  </si>
  <si>
    <t>E2</t>
  </si>
  <si>
    <t>Sueldo</t>
  </si>
  <si>
    <t>EsSalud</t>
  </si>
  <si>
    <t>EsSalud por pagar</t>
  </si>
  <si>
    <t>AFP</t>
  </si>
  <si>
    <t>x/01 Por la cobranza del 60% de las ventas</t>
  </si>
  <si>
    <t>x/01 Por el pago del AFP, IGV, EsSalud</t>
  </si>
  <si>
    <t>Alquiler de edificaciones</t>
  </si>
  <si>
    <t>Detracciones por pagar MN</t>
  </si>
  <si>
    <t>Gastos de administración</t>
  </si>
  <si>
    <t>x/01 Por el servicio de alquiler de local</t>
  </si>
  <si>
    <t>x/01 Por el destino del servicio de alquiler de local</t>
  </si>
  <si>
    <t>Internet</t>
  </si>
  <si>
    <t>x/01 Por el servicio de internet</t>
  </si>
  <si>
    <t>x/01 Por destino del gasto de servicio de internet</t>
  </si>
  <si>
    <t>Seguros</t>
  </si>
  <si>
    <t>x/01 Por la contratación de seguro multiriesgo por todo el año</t>
  </si>
  <si>
    <t>x/01 Por el pago del alquiler</t>
  </si>
  <si>
    <t>x/01 Por el devengue del gasto de seguro del mes de enero</t>
  </si>
  <si>
    <t>Gratificación</t>
  </si>
  <si>
    <t>Saldo a Dic</t>
  </si>
  <si>
    <t>(2 meses)</t>
  </si>
  <si>
    <t>(+gratificación)</t>
  </si>
  <si>
    <t>Remuneraciones</t>
  </si>
  <si>
    <t>Régimen de prestaciones de salud</t>
  </si>
  <si>
    <t>Sueldos por pagar</t>
  </si>
  <si>
    <t>x/01 Por la planilla del mes</t>
  </si>
  <si>
    <t>x/01 Por el destino de la planilla del mes</t>
  </si>
  <si>
    <t>Gratificaciones</t>
  </si>
  <si>
    <t>x/01 Por la provisión de BBSS planilla del mes</t>
  </si>
  <si>
    <t>x/01 Por el destino de la provisión de BBSS del mes</t>
  </si>
  <si>
    <t>Vehiculo</t>
  </si>
  <si>
    <t>Mensual</t>
  </si>
  <si>
    <t>Suministros (combustible)</t>
  </si>
  <si>
    <t>x/01 Por el pago del seguro</t>
  </si>
  <si>
    <t>x/01 Por el abastecimiento de combustible para el vehiculo</t>
  </si>
  <si>
    <t>x/01 Por destino del gasto de combustible para el vechiculo</t>
  </si>
  <si>
    <t xml:space="preserve">x/01 Por el pago del combustible </t>
  </si>
  <si>
    <t>x/01 Por el pago de la planilla del mes</t>
  </si>
  <si>
    <t>Depreciación</t>
  </si>
  <si>
    <t>Saldo Final</t>
  </si>
  <si>
    <t>Dep. Enero</t>
  </si>
  <si>
    <t>Saldo Neto</t>
  </si>
  <si>
    <t>Adm</t>
  </si>
  <si>
    <t>Vtas</t>
  </si>
  <si>
    <t>Depreciación Unidades de transporte</t>
  </si>
  <si>
    <t>Depreciación Muebles y enseres</t>
  </si>
  <si>
    <t>Depreciación Equipos diversos</t>
  </si>
  <si>
    <t>Depreciación Acumulada Unidades de transporte</t>
  </si>
  <si>
    <t>Depreciación Acumulada Muebles y enseres</t>
  </si>
  <si>
    <t>Depreciación Acumulada Equipos diversos</t>
  </si>
  <si>
    <t>ITF</t>
  </si>
  <si>
    <t>ITF - cta soles</t>
  </si>
  <si>
    <t>ITF - cta dolares</t>
  </si>
  <si>
    <t>Comisión - cta dolares</t>
  </si>
  <si>
    <t>Comisión - cta soles</t>
  </si>
  <si>
    <t>Gastos Bancarios</t>
  </si>
  <si>
    <t>Haber
US$</t>
  </si>
  <si>
    <t>Debe
US$</t>
  </si>
  <si>
    <t>x/01 Por los cargos bancarios</t>
  </si>
  <si>
    <t>x/01 Por el destino de los cargos bancarios</t>
  </si>
  <si>
    <t>Cuentas por cobrar diversas - neto</t>
  </si>
  <si>
    <t>Gastos pagados por anticipado</t>
  </si>
  <si>
    <t>Créditos tributarios</t>
  </si>
  <si>
    <t>Pérdida por diferencia en cambio - Neta</t>
  </si>
  <si>
    <t>La empresa tiene menos de 20 trabajadores no tiene participaciones</t>
  </si>
  <si>
    <t>Gastos de personal</t>
  </si>
  <si>
    <t>Gastos por tributos</t>
  </si>
  <si>
    <t>Resultado antes del IR</t>
  </si>
  <si>
    <t>Libro diario (Asiento de apertura y operaciones)</t>
  </si>
  <si>
    <t>Balance de comprobación</t>
  </si>
  <si>
    <t>Estados Financieros (Sin Impuesto a la renta):</t>
  </si>
  <si>
    <t>Estados Financieros (Con Impuesto a la renta):</t>
  </si>
  <si>
    <t>I. Detalle del asiento de apertura:</t>
  </si>
  <si>
    <t>II. Operaciones:</t>
  </si>
  <si>
    <t>1. Compra:</t>
  </si>
  <si>
    <t>4. Venta de productos:</t>
  </si>
  <si>
    <t>5. Compra de vehiculo</t>
  </si>
  <si>
    <t>9. Depreciación:</t>
  </si>
  <si>
    <t>Laptop</t>
  </si>
  <si>
    <t>10. Cargos bancarios</t>
  </si>
  <si>
    <t>11. Actuaización DC de bancos:</t>
  </si>
  <si>
    <t>Tipo de cambio al 31.01.24</t>
  </si>
  <si>
    <t>Saldo actual</t>
  </si>
  <si>
    <t>x/01 Por el destino del gasto de seguro</t>
  </si>
  <si>
    <t>Igv</t>
  </si>
  <si>
    <t>Total factura</t>
  </si>
  <si>
    <t>Aquí van todas las cuentas que estan en I. Detalle del asiento de apertura</t>
  </si>
  <si>
    <t>Los datos como 5,500 son obtenidos en datos,II. Operaciones , 1. Compra</t>
  </si>
  <si>
    <t>el 21,240 es la suma de las facturas de I. Detalle del asiento de apertura:</t>
  </si>
  <si>
    <t>El 1,180 es la suma de la luz, internet y publicidad</t>
  </si>
  <si>
    <t>Aquí se pone el total de valor de venta calculado en 4. Venta de productos:</t>
  </si>
  <si>
    <t>Aquí se pone el total del costo de venta calculado en 4. Venta de productos</t>
  </si>
  <si>
    <t>60% de la cuenta por cobrar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</si>
</sst>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?_-;_-@_-"/>
    <numFmt numFmtId="165" formatCode="_-* #,##0.0_-;\-* #,##0.0_-;_-* &quot;-&quot;?_-;_-@_-"/>
    <numFmt numFmtId="166" formatCode="_-* #,##0.000_-;\-* #,##0.000_-;_-* &quot;-&quot;???_-;_-@_-"/>
    <numFmt numFmtId="167" formatCode="_-* #,##0.00_-;\-* #,##0.00_-;_-* &quot;-&quot;?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theme="4"/>
      </left>
      <right style="thin">
        <color theme="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164" fontId="0" fillId="0" borderId="0" xfId="0" applyNumberFormat="1"/>
    <xf numFmtId="0" fontId="0" fillId="0" borderId="0" xfId="0" applyAlignment="1">
      <alignment horizontal="center"/>
    </xf>
    <xf numFmtId="0" fontId="5" fillId="0" borderId="0" xfId="0" applyFont="1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3" fontId="2" fillId="2" borderId="0" xfId="1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Border="1"/>
    <xf numFmtId="0" fontId="0" fillId="0" borderId="4" xfId="0" applyBorder="1" applyAlignment="1">
      <alignment horizontal="center"/>
    </xf>
    <xf numFmtId="0" fontId="3" fillId="0" borderId="4" xfId="0" applyFont="1" applyBorder="1" applyAlignment="1">
      <alignment horizontal="left"/>
    </xf>
    <xf numFmtId="0" fontId="4" fillId="2" borderId="5" xfId="0" applyFont="1" applyFill="1" applyBorder="1"/>
    <xf numFmtId="0" fontId="2" fillId="2" borderId="6" xfId="0" applyFont="1" applyFill="1" applyBorder="1"/>
    <xf numFmtId="164" fontId="2" fillId="2" borderId="6" xfId="0" applyNumberFormat="1" applyFont="1" applyFill="1" applyBorder="1"/>
    <xf numFmtId="164" fontId="2" fillId="2" borderId="7" xfId="0" applyNumberFormat="1" applyFont="1" applyFill="1" applyBorder="1"/>
    <xf numFmtId="164" fontId="0" fillId="3" borderId="4" xfId="0" applyNumberFormat="1" applyFill="1" applyBorder="1"/>
    <xf numFmtId="0" fontId="3" fillId="0" borderId="0" xfId="0" applyFont="1" applyAlignment="1">
      <alignment horizontal="right"/>
    </xf>
    <xf numFmtId="167" fontId="0" fillId="0" borderId="4" xfId="0" applyNumberFormat="1" applyBorder="1"/>
    <xf numFmtId="166" fontId="0" fillId="0" borderId="4" xfId="0" applyNumberFormat="1" applyBorder="1"/>
    <xf numFmtId="43" fontId="0" fillId="0" borderId="0" xfId="0" applyNumberFormat="1"/>
    <xf numFmtId="165" fontId="0" fillId="0" borderId="0" xfId="0" applyNumberFormat="1"/>
    <xf numFmtId="164" fontId="0" fillId="0" borderId="8" xfId="0" applyNumberFormat="1" applyBorder="1"/>
    <xf numFmtId="166" fontId="0" fillId="0" borderId="0" xfId="0" applyNumberFormat="1"/>
    <xf numFmtId="164" fontId="3" fillId="0" borderId="4" xfId="0" applyNumberFormat="1" applyFont="1" applyBorder="1"/>
    <xf numFmtId="0" fontId="5" fillId="0" borderId="0" xfId="0" applyFont="1" applyAlignment="1">
      <alignment horizontal="left"/>
    </xf>
    <xf numFmtId="164" fontId="3" fillId="3" borderId="2" xfId="0" applyNumberFormat="1" applyFont="1" applyFill="1" applyBorder="1"/>
    <xf numFmtId="164" fontId="0" fillId="3" borderId="0" xfId="0" applyNumberFormat="1" applyFill="1"/>
    <xf numFmtId="164" fontId="3" fillId="4" borderId="2" xfId="0" applyNumberFormat="1" applyFont="1" applyFill="1" applyBorder="1"/>
    <xf numFmtId="164" fontId="0" fillId="4" borderId="0" xfId="0" applyNumberFormat="1" applyFill="1"/>
    <xf numFmtId="164" fontId="0" fillId="0" borderId="9" xfId="0" applyNumberFormat="1" applyBorder="1"/>
    <xf numFmtId="164" fontId="0" fillId="4" borderId="4" xfId="0" applyNumberFormat="1" applyFill="1" applyBorder="1"/>
    <xf numFmtId="164" fontId="0" fillId="5" borderId="4" xfId="0" applyNumberFormat="1" applyFill="1" applyBorder="1"/>
    <xf numFmtId="0" fontId="2" fillId="2" borderId="0" xfId="0" applyFont="1" applyFill="1" applyAlignment="1">
      <alignment horizontal="center" vertical="center" wrapText="1"/>
    </xf>
    <xf numFmtId="0" fontId="2" fillId="2" borderId="3" xfId="0" applyFont="1" applyFill="1" applyBorder="1" applyAlignment="1">
      <alignment horizontal="center"/>
    </xf>
    <xf numFmtId="0" fontId="0" fillId="0" borderId="10" xfId="0" applyBorder="1" applyAlignment="1">
      <alignment horizontal="left" wrapText="1"/>
    </xf>
    <xf numFmtId="0" fontId="0" fillId="0" borderId="11" xfId="0" applyBorder="1" applyAlignment="1">
      <alignment horizontal="left" wrapText="1"/>
    </xf>
    <xf numFmtId="164" fontId="0" fillId="6" borderId="4" xfId="0" applyNumberFormat="1" applyFill="1" applyBorder="1"/>
    <xf numFmtId="164" fontId="0" fillId="7" borderId="4" xfId="0" applyNumberForma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52DD-58BF-4D28-8D28-84CA712EF9FB}">
  <dimension ref="B1:V98"/>
  <sheetViews>
    <sheetView topLeftCell="A61" workbookViewId="0">
      <selection activeCell="A84" sqref="A84:XFD84"/>
    </sheetView>
  </sheetViews>
  <sheetFormatPr baseColWidth="10" defaultColWidth="8.85546875" defaultRowHeight="15" x14ac:dyDescent="0.25"/>
  <cols>
    <col min="3" max="3" width="45.140625" customWidth="1"/>
    <col min="4" max="5" width="10.42578125" customWidth="1"/>
    <col min="6" max="6" width="8.7109375" customWidth="1"/>
    <col min="7" max="7" width="10.5703125" bestFit="1" customWidth="1"/>
    <col min="8" max="8" width="9.5703125" bestFit="1" customWidth="1"/>
    <col min="9" max="9" width="10.5703125" bestFit="1" customWidth="1"/>
    <col min="11" max="11" width="37.7109375" customWidth="1"/>
    <col min="12" max="12" width="7.5703125" customWidth="1"/>
    <col min="13" max="14" width="6.42578125" customWidth="1"/>
    <col min="15" max="15" width="7.85546875" customWidth="1"/>
    <col min="16" max="16" width="6.140625" customWidth="1"/>
    <col min="17" max="17" width="3.42578125" customWidth="1"/>
    <col min="18" max="18" width="4.7109375" customWidth="1"/>
    <col min="19" max="19" width="5.7109375" customWidth="1"/>
    <col min="20" max="20" width="2.5703125" customWidth="1"/>
    <col min="21" max="22" width="3.85546875" customWidth="1"/>
  </cols>
  <sheetData>
    <row r="1" spans="2:14" x14ac:dyDescent="0.25">
      <c r="B1" s="7" t="s">
        <v>243</v>
      </c>
    </row>
    <row r="2" spans="2:14" x14ac:dyDescent="0.25">
      <c r="H2" s="12" t="s">
        <v>122</v>
      </c>
      <c r="I2" s="12" t="s">
        <v>123</v>
      </c>
    </row>
    <row r="3" spans="2:14" x14ac:dyDescent="0.25">
      <c r="B3" s="12" t="s">
        <v>96</v>
      </c>
      <c r="C3" s="12" t="s">
        <v>97</v>
      </c>
      <c r="D3" s="12" t="s">
        <v>105</v>
      </c>
      <c r="E3" s="12" t="s">
        <v>106</v>
      </c>
      <c r="F3" s="12" t="s">
        <v>92</v>
      </c>
      <c r="G3" s="12" t="s">
        <v>93</v>
      </c>
      <c r="H3" s="12" t="s">
        <v>91</v>
      </c>
      <c r="I3" s="12" t="s">
        <v>91</v>
      </c>
      <c r="J3" s="12" t="s">
        <v>0</v>
      </c>
      <c r="K3" s="12" t="s">
        <v>1</v>
      </c>
    </row>
    <row r="4" spans="2:14" x14ac:dyDescent="0.25">
      <c r="B4" s="17">
        <v>1</v>
      </c>
      <c r="C4" s="15" t="s">
        <v>94</v>
      </c>
      <c r="D4" s="15"/>
      <c r="E4" s="15"/>
      <c r="F4" s="16"/>
      <c r="G4" s="26"/>
      <c r="H4" s="16">
        <v>15000</v>
      </c>
      <c r="I4" s="16"/>
      <c r="J4" s="17">
        <v>10411</v>
      </c>
      <c r="K4" s="15" t="s">
        <v>98</v>
      </c>
    </row>
    <row r="5" spans="2:14" x14ac:dyDescent="0.25">
      <c r="B5" s="17">
        <v>1</v>
      </c>
      <c r="C5" s="15" t="s">
        <v>95</v>
      </c>
      <c r="D5" s="15"/>
      <c r="E5" s="15"/>
      <c r="F5" s="16">
        <v>10000</v>
      </c>
      <c r="G5" s="26">
        <v>3.65</v>
      </c>
      <c r="H5" s="16">
        <f>F5*G5</f>
        <v>36500</v>
      </c>
      <c r="I5" s="16"/>
      <c r="J5" s="17">
        <v>10412</v>
      </c>
      <c r="K5" s="15" t="s">
        <v>99</v>
      </c>
    </row>
    <row r="6" spans="2:14" x14ac:dyDescent="0.25">
      <c r="B6" s="17">
        <v>2</v>
      </c>
      <c r="C6" s="15" t="s">
        <v>100</v>
      </c>
      <c r="D6" s="15"/>
      <c r="E6" s="15"/>
      <c r="F6" s="16"/>
      <c r="G6" s="26"/>
      <c r="H6" s="16">
        <v>8260</v>
      </c>
      <c r="I6" s="16"/>
      <c r="J6" s="17">
        <v>1212</v>
      </c>
      <c r="K6" s="15" t="s">
        <v>103</v>
      </c>
      <c r="M6" s="27"/>
      <c r="N6" s="27"/>
    </row>
    <row r="7" spans="2:14" x14ac:dyDescent="0.25">
      <c r="B7" s="17">
        <v>2</v>
      </c>
      <c r="C7" s="15" t="s">
        <v>101</v>
      </c>
      <c r="D7" s="15"/>
      <c r="E7" s="15"/>
      <c r="F7" s="16"/>
      <c r="G7" s="26"/>
      <c r="H7" s="16">
        <v>2360</v>
      </c>
      <c r="I7" s="16"/>
      <c r="J7" s="17">
        <v>1212</v>
      </c>
      <c r="K7" s="15" t="s">
        <v>103</v>
      </c>
      <c r="M7" s="27"/>
      <c r="N7" s="27"/>
    </row>
    <row r="8" spans="2:14" x14ac:dyDescent="0.25">
      <c r="B8" s="17">
        <v>2</v>
      </c>
      <c r="C8" s="15" t="s">
        <v>102</v>
      </c>
      <c r="D8" s="15"/>
      <c r="E8" s="15"/>
      <c r="F8" s="16"/>
      <c r="G8" s="26"/>
      <c r="H8" s="16">
        <v>10620</v>
      </c>
      <c r="I8" s="16"/>
      <c r="J8" s="17">
        <v>1212</v>
      </c>
      <c r="K8" s="15" t="s">
        <v>103</v>
      </c>
      <c r="M8" s="27"/>
      <c r="N8" s="27"/>
    </row>
    <row r="9" spans="2:14" x14ac:dyDescent="0.25">
      <c r="B9" s="17">
        <v>3</v>
      </c>
      <c r="C9" s="15" t="s">
        <v>104</v>
      </c>
      <c r="D9" s="15"/>
      <c r="E9" s="15"/>
      <c r="F9" s="16"/>
      <c r="G9" s="26"/>
      <c r="H9" s="38">
        <v>1500</v>
      </c>
      <c r="I9" s="16"/>
      <c r="J9" s="17">
        <v>1643</v>
      </c>
      <c r="K9" s="15" t="s">
        <v>139</v>
      </c>
    </row>
    <row r="10" spans="2:14" x14ac:dyDescent="0.25">
      <c r="B10" s="17">
        <v>4</v>
      </c>
      <c r="C10" s="15" t="s">
        <v>107</v>
      </c>
      <c r="D10" s="15">
        <v>250</v>
      </c>
      <c r="E10" s="15">
        <v>20</v>
      </c>
      <c r="F10" s="16"/>
      <c r="G10" s="26"/>
      <c r="H10" s="16">
        <f>D10*E10</f>
        <v>5000</v>
      </c>
      <c r="I10" s="16"/>
      <c r="J10" s="17">
        <v>20111</v>
      </c>
      <c r="K10" s="15" t="s">
        <v>108</v>
      </c>
    </row>
    <row r="11" spans="2:14" x14ac:dyDescent="0.25">
      <c r="B11" s="17">
        <v>4</v>
      </c>
      <c r="C11" s="15" t="s">
        <v>109</v>
      </c>
      <c r="D11" s="15">
        <v>500</v>
      </c>
      <c r="E11" s="15">
        <v>5</v>
      </c>
      <c r="F11" s="16"/>
      <c r="G11" s="26"/>
      <c r="H11" s="16">
        <f t="shared" ref="H11:H12" si="0">D11*E11</f>
        <v>2500</v>
      </c>
      <c r="I11" s="16"/>
      <c r="J11" s="17">
        <v>20111</v>
      </c>
      <c r="K11" s="15" t="s">
        <v>108</v>
      </c>
    </row>
    <row r="12" spans="2:14" x14ac:dyDescent="0.25">
      <c r="B12" s="17">
        <v>4</v>
      </c>
      <c r="C12" s="15" t="s">
        <v>110</v>
      </c>
      <c r="D12" s="15">
        <v>150</v>
      </c>
      <c r="E12" s="15">
        <v>25</v>
      </c>
      <c r="F12" s="16"/>
      <c r="G12" s="26"/>
      <c r="H12" s="16">
        <f t="shared" si="0"/>
        <v>3750</v>
      </c>
      <c r="I12" s="16"/>
      <c r="J12" s="17">
        <v>20111</v>
      </c>
      <c r="K12" s="15" t="s">
        <v>108</v>
      </c>
    </row>
    <row r="13" spans="2:14" x14ac:dyDescent="0.25">
      <c r="B13" s="17">
        <v>5</v>
      </c>
      <c r="C13" s="15" t="s">
        <v>112</v>
      </c>
      <c r="D13" s="15"/>
      <c r="E13" s="15"/>
      <c r="F13" s="16"/>
      <c r="G13" s="26"/>
      <c r="H13" s="16">
        <v>4500</v>
      </c>
      <c r="I13" s="16"/>
      <c r="J13" s="17">
        <v>33611</v>
      </c>
      <c r="K13" s="15" t="s">
        <v>140</v>
      </c>
    </row>
    <row r="14" spans="2:14" x14ac:dyDescent="0.25">
      <c r="B14" s="17">
        <v>5</v>
      </c>
      <c r="C14" s="15" t="s">
        <v>113</v>
      </c>
      <c r="D14" s="15"/>
      <c r="E14" s="15"/>
      <c r="F14" s="16"/>
      <c r="G14" s="26"/>
      <c r="H14" s="16">
        <v>2000</v>
      </c>
      <c r="I14" s="16"/>
      <c r="J14" s="17">
        <v>33511</v>
      </c>
      <c r="K14" s="15" t="s">
        <v>141</v>
      </c>
    </row>
    <row r="15" spans="2:14" x14ac:dyDescent="0.25">
      <c r="B15" s="17">
        <v>5</v>
      </c>
      <c r="C15" s="15" t="s">
        <v>111</v>
      </c>
      <c r="D15" s="15"/>
      <c r="E15" s="15"/>
      <c r="F15" s="16"/>
      <c r="G15" s="26"/>
      <c r="H15" s="16">
        <v>1500</v>
      </c>
      <c r="I15" s="16"/>
      <c r="J15" s="17">
        <v>33511</v>
      </c>
      <c r="K15" s="15" t="s">
        <v>141</v>
      </c>
    </row>
    <row r="16" spans="2:14" x14ac:dyDescent="0.25">
      <c r="B16" s="17">
        <v>5</v>
      </c>
      <c r="C16" s="15" t="s">
        <v>114</v>
      </c>
      <c r="D16" s="15"/>
      <c r="E16" s="15"/>
      <c r="F16" s="16"/>
      <c r="G16" s="26"/>
      <c r="H16" s="16">
        <v>1700</v>
      </c>
      <c r="I16" s="16"/>
      <c r="J16" s="17">
        <v>33511</v>
      </c>
      <c r="K16" s="15" t="s">
        <v>141</v>
      </c>
    </row>
    <row r="17" spans="2:20" x14ac:dyDescent="0.25">
      <c r="B17" s="17">
        <v>5</v>
      </c>
      <c r="C17" s="15" t="s">
        <v>117</v>
      </c>
      <c r="D17" s="15"/>
      <c r="E17" s="15"/>
      <c r="F17" s="16"/>
      <c r="G17" s="26"/>
      <c r="H17" s="16"/>
      <c r="I17" s="16">
        <v>1125</v>
      </c>
      <c r="J17" s="17">
        <v>39527</v>
      </c>
      <c r="K17" s="15" t="s">
        <v>142</v>
      </c>
    </row>
    <row r="18" spans="2:20" x14ac:dyDescent="0.25">
      <c r="B18" s="17">
        <v>5</v>
      </c>
      <c r="C18" s="15" t="s">
        <v>118</v>
      </c>
      <c r="D18" s="15"/>
      <c r="E18" s="15"/>
      <c r="F18" s="16"/>
      <c r="G18" s="26"/>
      <c r="H18" s="16"/>
      <c r="I18" s="16">
        <v>200</v>
      </c>
      <c r="J18" s="17">
        <v>39526</v>
      </c>
      <c r="K18" s="15" t="s">
        <v>143</v>
      </c>
      <c r="N18" s="12" t="s">
        <v>128</v>
      </c>
      <c r="O18" s="12" t="s">
        <v>170</v>
      </c>
      <c r="P18" s="12" t="s">
        <v>59</v>
      </c>
      <c r="R18" t="s">
        <v>190</v>
      </c>
    </row>
    <row r="19" spans="2:20" x14ac:dyDescent="0.25">
      <c r="B19" s="17">
        <v>5</v>
      </c>
      <c r="C19" s="15" t="s">
        <v>119</v>
      </c>
      <c r="D19" s="15"/>
      <c r="E19" s="15"/>
      <c r="F19" s="16"/>
      <c r="G19" s="26"/>
      <c r="H19" s="16"/>
      <c r="I19" s="16">
        <v>300</v>
      </c>
      <c r="J19" s="17">
        <v>39526</v>
      </c>
      <c r="K19" s="15" t="s">
        <v>143</v>
      </c>
      <c r="M19" t="s">
        <v>171</v>
      </c>
      <c r="N19" s="16">
        <v>1440</v>
      </c>
      <c r="O19" s="16">
        <f>N19*3</f>
        <v>4320</v>
      </c>
      <c r="P19">
        <f t="shared" ref="P19:P24" si="1">SUM(N19:O19)</f>
        <v>5760</v>
      </c>
      <c r="Q19" t="s">
        <v>129</v>
      </c>
      <c r="R19">
        <v>6</v>
      </c>
      <c r="S19">
        <v>12</v>
      </c>
    </row>
    <row r="20" spans="2:20" x14ac:dyDescent="0.25">
      <c r="B20" s="17">
        <v>5</v>
      </c>
      <c r="C20" s="15" t="s">
        <v>120</v>
      </c>
      <c r="D20" s="15"/>
      <c r="E20" s="15"/>
      <c r="F20" s="16"/>
      <c r="G20" s="26"/>
      <c r="H20" s="16"/>
      <c r="I20" s="16">
        <v>170</v>
      </c>
      <c r="J20" s="17">
        <v>39526</v>
      </c>
      <c r="K20" s="15" t="s">
        <v>143</v>
      </c>
      <c r="M20" t="s">
        <v>172</v>
      </c>
      <c r="N20" s="16">
        <f>ROUND(N19*0.09,0)</f>
        <v>130</v>
      </c>
      <c r="O20" s="16">
        <f>ROUND(O19*0.09,0)</f>
        <v>389</v>
      </c>
      <c r="P20">
        <f t="shared" si="1"/>
        <v>519</v>
      </c>
      <c r="R20" s="1">
        <f>P20</f>
        <v>519</v>
      </c>
    </row>
    <row r="21" spans="2:20" x14ac:dyDescent="0.25">
      <c r="B21" s="17">
        <v>6</v>
      </c>
      <c r="C21" s="15" t="s">
        <v>124</v>
      </c>
      <c r="D21" s="15"/>
      <c r="E21" s="15"/>
      <c r="F21" s="16"/>
      <c r="G21" s="26"/>
      <c r="H21" s="16"/>
      <c r="I21" s="16">
        <v>5040</v>
      </c>
      <c r="J21" s="17">
        <v>4115</v>
      </c>
      <c r="K21" s="15" t="s">
        <v>145</v>
      </c>
      <c r="M21" t="s">
        <v>174</v>
      </c>
      <c r="N21" s="16">
        <f>ROUND(N19*0.13,0)</f>
        <v>187</v>
      </c>
      <c r="O21" s="16">
        <f>ROUND(O19*0.13,0)</f>
        <v>562</v>
      </c>
      <c r="P21">
        <f t="shared" si="1"/>
        <v>749</v>
      </c>
      <c r="R21" s="1">
        <f>P21*2</f>
        <v>1498</v>
      </c>
      <c r="S21" t="s">
        <v>192</v>
      </c>
    </row>
    <row r="22" spans="2:20" ht="15.75" customHeight="1" x14ac:dyDescent="0.25">
      <c r="B22" s="17">
        <v>6</v>
      </c>
      <c r="C22" s="15" t="s">
        <v>125</v>
      </c>
      <c r="D22" s="15"/>
      <c r="E22" s="15"/>
      <c r="F22" s="16"/>
      <c r="G22" s="26"/>
      <c r="H22" s="16"/>
      <c r="I22" s="16">
        <v>1120</v>
      </c>
      <c r="J22" s="17">
        <v>4151</v>
      </c>
      <c r="K22" s="15" t="s">
        <v>146</v>
      </c>
      <c r="M22" t="s">
        <v>127</v>
      </c>
      <c r="N22" s="16">
        <f>N19/12</f>
        <v>120</v>
      </c>
      <c r="O22" s="16">
        <f>O19/12</f>
        <v>360</v>
      </c>
      <c r="P22">
        <f t="shared" si="1"/>
        <v>480</v>
      </c>
      <c r="R22">
        <f>N22*R19</f>
        <v>720</v>
      </c>
      <c r="S22">
        <f>O22*S19</f>
        <v>4320</v>
      </c>
      <c r="T22" s="1">
        <f>SUM(R22:S22)</f>
        <v>5040</v>
      </c>
    </row>
    <row r="23" spans="2:20" x14ac:dyDescent="0.25">
      <c r="B23" s="17">
        <v>7</v>
      </c>
      <c r="C23" s="15" t="s">
        <v>174</v>
      </c>
      <c r="D23" s="15"/>
      <c r="E23" s="15"/>
      <c r="F23" s="16"/>
      <c r="G23" s="26"/>
      <c r="H23" s="16"/>
      <c r="I23" s="16">
        <v>749</v>
      </c>
      <c r="J23" s="17">
        <v>417</v>
      </c>
      <c r="K23" s="15" t="s">
        <v>174</v>
      </c>
      <c r="M23" t="s">
        <v>130</v>
      </c>
      <c r="N23" s="16">
        <f>(N19*14)/12/12</f>
        <v>140</v>
      </c>
      <c r="O23" s="16">
        <f>(O19*14)/12/12</f>
        <v>420</v>
      </c>
      <c r="P23">
        <f t="shared" si="1"/>
        <v>560</v>
      </c>
      <c r="R23">
        <f>P23*2</f>
        <v>1120</v>
      </c>
      <c r="S23" t="s">
        <v>191</v>
      </c>
    </row>
    <row r="24" spans="2:20" x14ac:dyDescent="0.25">
      <c r="B24" s="17">
        <v>8</v>
      </c>
      <c r="C24" s="15" t="s">
        <v>126</v>
      </c>
      <c r="D24" s="15"/>
      <c r="E24" s="15"/>
      <c r="F24" s="16"/>
      <c r="G24" s="26"/>
      <c r="H24" s="16"/>
      <c r="I24" s="16">
        <v>1512</v>
      </c>
      <c r="J24" s="17">
        <v>40111</v>
      </c>
      <c r="K24" s="15" t="s">
        <v>144</v>
      </c>
      <c r="M24" t="s">
        <v>189</v>
      </c>
      <c r="N24" s="16">
        <f>N19/6</f>
        <v>240</v>
      </c>
      <c r="O24" s="16">
        <f>O19/6</f>
        <v>720</v>
      </c>
      <c r="P24">
        <f t="shared" si="1"/>
        <v>960</v>
      </c>
      <c r="R24">
        <v>0</v>
      </c>
    </row>
    <row r="25" spans="2:20" x14ac:dyDescent="0.25">
      <c r="B25" s="17">
        <v>8</v>
      </c>
      <c r="C25" s="15" t="s">
        <v>173</v>
      </c>
      <c r="D25" s="15"/>
      <c r="E25" s="15"/>
      <c r="F25" s="16"/>
      <c r="G25" s="26"/>
      <c r="H25" s="16"/>
      <c r="I25" s="16">
        <v>519</v>
      </c>
      <c r="J25" s="17">
        <v>4031</v>
      </c>
      <c r="K25" s="15" t="s">
        <v>172</v>
      </c>
    </row>
    <row r="26" spans="2:20" x14ac:dyDescent="0.25">
      <c r="B26" s="17">
        <v>8</v>
      </c>
      <c r="C26" s="15" t="s">
        <v>135</v>
      </c>
      <c r="D26" s="15"/>
      <c r="E26" s="15"/>
      <c r="F26" s="16"/>
      <c r="G26" s="26"/>
      <c r="H26" s="16"/>
      <c r="I26" s="16">
        <v>14750</v>
      </c>
      <c r="J26" s="17">
        <v>40171</v>
      </c>
      <c r="K26" s="15" t="s">
        <v>7</v>
      </c>
      <c r="M26" s="27">
        <f>I26*100/29.5</f>
        <v>50000</v>
      </c>
      <c r="O26" s="27">
        <f>M26-I26</f>
        <v>35250</v>
      </c>
    </row>
    <row r="27" spans="2:20" x14ac:dyDescent="0.25">
      <c r="B27" s="17">
        <v>9</v>
      </c>
      <c r="C27" s="15" t="s">
        <v>132</v>
      </c>
      <c r="D27" s="15"/>
      <c r="E27" s="15"/>
      <c r="F27" s="16"/>
      <c r="G27" s="26"/>
      <c r="H27" s="16"/>
      <c r="I27" s="16">
        <v>236</v>
      </c>
      <c r="J27" s="17">
        <v>4212</v>
      </c>
      <c r="K27" s="15" t="s">
        <v>131</v>
      </c>
      <c r="M27" s="27">
        <v>200</v>
      </c>
      <c r="N27" s="27">
        <f t="shared" ref="N27:N29" si="2">M27*0.18</f>
        <v>36</v>
      </c>
    </row>
    <row r="28" spans="2:20" x14ac:dyDescent="0.25">
      <c r="B28" s="17">
        <v>9</v>
      </c>
      <c r="C28" s="15" t="s">
        <v>133</v>
      </c>
      <c r="D28" s="15"/>
      <c r="E28" s="15"/>
      <c r="F28" s="16"/>
      <c r="G28" s="26"/>
      <c r="H28" s="16"/>
      <c r="I28" s="16">
        <v>354</v>
      </c>
      <c r="J28" s="17">
        <v>4212</v>
      </c>
      <c r="K28" s="15" t="s">
        <v>131</v>
      </c>
      <c r="M28" s="27">
        <v>300</v>
      </c>
      <c r="N28" s="27">
        <f t="shared" si="2"/>
        <v>54</v>
      </c>
    </row>
    <row r="29" spans="2:20" x14ac:dyDescent="0.25">
      <c r="B29" s="17">
        <v>9</v>
      </c>
      <c r="C29" s="15" t="s">
        <v>134</v>
      </c>
      <c r="D29" s="15"/>
      <c r="E29" s="15"/>
      <c r="F29" s="16"/>
      <c r="G29" s="26"/>
      <c r="H29" s="16"/>
      <c r="I29" s="16">
        <v>590</v>
      </c>
      <c r="J29" s="17">
        <v>4212</v>
      </c>
      <c r="K29" s="15" t="s">
        <v>131</v>
      </c>
      <c r="M29" s="27">
        <v>500</v>
      </c>
      <c r="N29" s="27">
        <f t="shared" si="2"/>
        <v>90</v>
      </c>
    </row>
    <row r="30" spans="2:20" x14ac:dyDescent="0.25">
      <c r="B30" s="17">
        <v>9</v>
      </c>
      <c r="C30" s="15" t="s">
        <v>136</v>
      </c>
      <c r="D30" s="15"/>
      <c r="E30" s="15"/>
      <c r="F30" s="16"/>
      <c r="G30" s="26"/>
      <c r="H30" s="16"/>
      <c r="I30" s="16">
        <v>13275</v>
      </c>
      <c r="J30" s="17">
        <v>4212</v>
      </c>
      <c r="K30" s="15" t="s">
        <v>131</v>
      </c>
    </row>
    <row r="31" spans="2:20" x14ac:dyDescent="0.25">
      <c r="B31" s="17">
        <v>10</v>
      </c>
      <c r="C31" s="15" t="s">
        <v>138</v>
      </c>
      <c r="D31" s="15"/>
      <c r="E31" s="15"/>
      <c r="F31" s="16"/>
      <c r="G31" s="26"/>
      <c r="H31" s="16"/>
      <c r="I31" s="29">
        <v>20000</v>
      </c>
      <c r="J31" s="17">
        <v>5011</v>
      </c>
      <c r="K31" s="15" t="s">
        <v>138</v>
      </c>
    </row>
    <row r="32" spans="2:20" x14ac:dyDescent="0.25">
      <c r="B32" s="17">
        <v>11</v>
      </c>
      <c r="C32" s="15" t="s">
        <v>137</v>
      </c>
      <c r="D32" s="15"/>
      <c r="E32" s="15"/>
      <c r="F32" s="16"/>
      <c r="G32" s="26"/>
      <c r="H32" s="16"/>
      <c r="I32" s="16">
        <v>35250</v>
      </c>
      <c r="J32" s="17">
        <v>5911</v>
      </c>
      <c r="K32" s="15" t="s">
        <v>8</v>
      </c>
    </row>
    <row r="33" spans="2:18" x14ac:dyDescent="0.25">
      <c r="H33" s="8">
        <f>SUM(H4:H32)</f>
        <v>95190</v>
      </c>
      <c r="I33" s="8">
        <f>SUM(I4:I32)</f>
        <v>95190</v>
      </c>
    </row>
    <row r="34" spans="2:18" x14ac:dyDescent="0.25">
      <c r="B34" s="7" t="s">
        <v>244</v>
      </c>
      <c r="I34" s="5">
        <f>H33-I33</f>
        <v>0</v>
      </c>
      <c r="R34">
        <v>70</v>
      </c>
    </row>
    <row r="35" spans="2:18" x14ac:dyDescent="0.25">
      <c r="B35" s="7"/>
      <c r="I35" s="5"/>
    </row>
    <row r="36" spans="2:18" x14ac:dyDescent="0.25">
      <c r="B36" s="7" t="s">
        <v>245</v>
      </c>
      <c r="I36" s="27"/>
    </row>
    <row r="37" spans="2:18" x14ac:dyDescent="0.25">
      <c r="B37" s="7"/>
      <c r="I37" s="27"/>
    </row>
    <row r="38" spans="2:18" x14ac:dyDescent="0.25">
      <c r="B38" s="7"/>
      <c r="C38" s="13" t="s">
        <v>151</v>
      </c>
      <c r="D38" s="13" t="s">
        <v>105</v>
      </c>
      <c r="E38" s="13" t="s">
        <v>155</v>
      </c>
      <c r="F38" s="13" t="s">
        <v>59</v>
      </c>
      <c r="I38" s="27"/>
    </row>
    <row r="39" spans="2:18" x14ac:dyDescent="0.25">
      <c r="C39" s="15" t="s">
        <v>147</v>
      </c>
      <c r="D39" s="15">
        <v>100</v>
      </c>
      <c r="E39" s="15">
        <v>30</v>
      </c>
      <c r="F39" s="16">
        <f>D39*E39</f>
        <v>3000</v>
      </c>
      <c r="I39" s="27"/>
    </row>
    <row r="40" spans="2:18" x14ac:dyDescent="0.25">
      <c r="C40" s="15" t="s">
        <v>148</v>
      </c>
      <c r="D40" s="15">
        <v>50</v>
      </c>
      <c r="E40" s="15">
        <v>50</v>
      </c>
      <c r="F40" s="16">
        <f>D40*E40</f>
        <v>2500</v>
      </c>
      <c r="I40" s="27"/>
    </row>
    <row r="41" spans="2:18" x14ac:dyDescent="0.25">
      <c r="F41" s="8">
        <f>SUM(F39:F40)</f>
        <v>5500</v>
      </c>
      <c r="G41" s="30"/>
      <c r="H41" s="5"/>
      <c r="I41" s="5"/>
      <c r="J41" s="6"/>
    </row>
    <row r="42" spans="2:18" x14ac:dyDescent="0.25">
      <c r="F42" s="8"/>
      <c r="G42" s="30"/>
      <c r="H42" s="5"/>
      <c r="I42" s="5"/>
      <c r="J42" s="6"/>
    </row>
    <row r="43" spans="2:18" x14ac:dyDescent="0.25">
      <c r="B43" s="7" t="s">
        <v>246</v>
      </c>
      <c r="F43" s="5"/>
      <c r="G43" s="30"/>
      <c r="H43" s="5"/>
      <c r="I43" s="5"/>
      <c r="J43" s="6"/>
    </row>
    <row r="44" spans="2:18" x14ac:dyDescent="0.25">
      <c r="B44" s="7"/>
      <c r="F44" s="5"/>
      <c r="G44" s="30"/>
      <c r="H44" s="5"/>
      <c r="I44" s="5"/>
      <c r="J44" s="6"/>
    </row>
    <row r="45" spans="2:18" ht="30" x14ac:dyDescent="0.25">
      <c r="C45" s="13" t="s">
        <v>151</v>
      </c>
      <c r="D45" s="13" t="s">
        <v>105</v>
      </c>
      <c r="E45" s="13" t="s">
        <v>154</v>
      </c>
      <c r="F45" s="13" t="s">
        <v>152</v>
      </c>
      <c r="G45" s="13" t="s">
        <v>155</v>
      </c>
      <c r="H45" s="13" t="s">
        <v>156</v>
      </c>
      <c r="I45" s="5"/>
      <c r="J45" s="6"/>
    </row>
    <row r="46" spans="2:18" x14ac:dyDescent="0.25">
      <c r="C46" s="15" t="s">
        <v>107</v>
      </c>
      <c r="D46" s="15">
        <f>D10*0.8</f>
        <v>200</v>
      </c>
      <c r="E46" s="16">
        <v>50</v>
      </c>
      <c r="F46" s="16">
        <f>D46*E46</f>
        <v>10000</v>
      </c>
      <c r="G46" s="15">
        <v>20</v>
      </c>
      <c r="H46" s="16">
        <f>D46*G46</f>
        <v>4000</v>
      </c>
      <c r="I46" s="5"/>
      <c r="J46" s="6"/>
    </row>
    <row r="47" spans="2:18" x14ac:dyDescent="0.25">
      <c r="C47" s="15" t="s">
        <v>109</v>
      </c>
      <c r="D47" s="15">
        <f>D11*0.8</f>
        <v>400</v>
      </c>
      <c r="E47" s="16">
        <v>12</v>
      </c>
      <c r="F47" s="16">
        <f t="shared" ref="F47:F50" si="3">D47*E47</f>
        <v>4800</v>
      </c>
      <c r="G47" s="15">
        <v>5</v>
      </c>
      <c r="H47" s="16">
        <f>D47*G47</f>
        <v>2000</v>
      </c>
      <c r="I47" s="5"/>
      <c r="J47" s="6"/>
      <c r="R47">
        <v>70</v>
      </c>
    </row>
    <row r="48" spans="2:18" x14ac:dyDescent="0.25">
      <c r="C48" s="15" t="s">
        <v>110</v>
      </c>
      <c r="D48" s="15">
        <f>D12*0.8</f>
        <v>120</v>
      </c>
      <c r="E48" s="16">
        <v>60</v>
      </c>
      <c r="F48" s="16">
        <f t="shared" si="3"/>
        <v>7200</v>
      </c>
      <c r="G48" s="15">
        <v>25</v>
      </c>
      <c r="H48" s="16">
        <f>D48*G48</f>
        <v>3000</v>
      </c>
      <c r="I48" s="5"/>
      <c r="J48" s="6"/>
    </row>
    <row r="49" spans="2:10" x14ac:dyDescent="0.25">
      <c r="C49" s="15" t="s">
        <v>147</v>
      </c>
      <c r="D49" s="15">
        <f>D39*0.8</f>
        <v>80</v>
      </c>
      <c r="E49" s="16">
        <v>70</v>
      </c>
      <c r="F49" s="16">
        <f t="shared" si="3"/>
        <v>5600</v>
      </c>
      <c r="G49" s="15">
        <v>30</v>
      </c>
      <c r="H49" s="16">
        <f>D49*G49</f>
        <v>2400</v>
      </c>
      <c r="I49" s="5"/>
      <c r="J49" s="6"/>
    </row>
    <row r="50" spans="2:10" x14ac:dyDescent="0.25">
      <c r="C50" s="15" t="s">
        <v>148</v>
      </c>
      <c r="D50" s="15">
        <f>D40*0.8</f>
        <v>40</v>
      </c>
      <c r="E50" s="16">
        <v>110</v>
      </c>
      <c r="F50" s="16">
        <f t="shared" si="3"/>
        <v>4400</v>
      </c>
      <c r="G50" s="15">
        <v>50</v>
      </c>
      <c r="H50" s="16">
        <f>D50*G50</f>
        <v>2000</v>
      </c>
      <c r="I50" s="5"/>
      <c r="J50" s="6"/>
    </row>
    <row r="51" spans="2:10" x14ac:dyDescent="0.25">
      <c r="F51" s="8">
        <f>SUM(F46:F50)</f>
        <v>32000</v>
      </c>
      <c r="G51" s="1"/>
      <c r="H51" s="8">
        <f>SUM(H46:H50)</f>
        <v>13400</v>
      </c>
    </row>
    <row r="53" spans="2:10" x14ac:dyDescent="0.25">
      <c r="B53" s="7" t="s">
        <v>247</v>
      </c>
    </row>
    <row r="54" spans="2:10" x14ac:dyDescent="0.25">
      <c r="B54" s="7"/>
    </row>
    <row r="55" spans="2:10" ht="30" x14ac:dyDescent="0.25">
      <c r="C55" s="13"/>
      <c r="D55" s="13" t="s">
        <v>92</v>
      </c>
      <c r="E55" s="13" t="s">
        <v>163</v>
      </c>
      <c r="F55" s="13" t="s">
        <v>164</v>
      </c>
      <c r="G55" s="13" t="s">
        <v>165</v>
      </c>
      <c r="H55" s="13" t="s">
        <v>166</v>
      </c>
    </row>
    <row r="56" spans="2:10" x14ac:dyDescent="0.25">
      <c r="C56" s="15" t="s">
        <v>157</v>
      </c>
      <c r="D56" s="16">
        <v>25000</v>
      </c>
      <c r="E56" s="26">
        <v>3.6</v>
      </c>
      <c r="F56" s="38">
        <f>D56*E56</f>
        <v>90000</v>
      </c>
      <c r="G56" s="16"/>
      <c r="H56" s="16"/>
    </row>
    <row r="57" spans="2:10" x14ac:dyDescent="0.25">
      <c r="C57" s="15" t="s">
        <v>255</v>
      </c>
      <c r="D57" s="16">
        <f>D56*0.18</f>
        <v>4500</v>
      </c>
      <c r="E57" s="26">
        <v>3.6</v>
      </c>
      <c r="F57" s="38">
        <f t="shared" ref="F57:F58" si="4">D57*E57</f>
        <v>16200</v>
      </c>
      <c r="G57" s="16"/>
      <c r="H57" s="16"/>
    </row>
    <row r="58" spans="2:10" x14ac:dyDescent="0.25">
      <c r="C58" s="15" t="s">
        <v>256</v>
      </c>
      <c r="D58" s="38">
        <f>SUM(D56:D57)</f>
        <v>29500</v>
      </c>
      <c r="E58" s="26">
        <v>3.6</v>
      </c>
      <c r="F58" s="16">
        <f t="shared" si="4"/>
        <v>106200</v>
      </c>
      <c r="G58" s="16"/>
      <c r="H58" s="16"/>
    </row>
    <row r="59" spans="2:10" x14ac:dyDescent="0.25">
      <c r="C59" s="15" t="s">
        <v>158</v>
      </c>
      <c r="D59" s="44">
        <f>D58/5</f>
        <v>5900</v>
      </c>
      <c r="E59" s="26">
        <v>3.7</v>
      </c>
      <c r="F59" s="45">
        <f>D59*E59</f>
        <v>21830</v>
      </c>
      <c r="G59" s="44">
        <f>D59*E58</f>
        <v>21240</v>
      </c>
      <c r="H59" s="44">
        <f>F59-G59</f>
        <v>590</v>
      </c>
    </row>
    <row r="60" spans="2:10" x14ac:dyDescent="0.25">
      <c r="C60" s="15" t="s">
        <v>159</v>
      </c>
      <c r="D60" s="39">
        <f>D58-D59</f>
        <v>23600</v>
      </c>
      <c r="E60" s="26">
        <v>3.8</v>
      </c>
      <c r="F60" s="39">
        <f>D60*E60</f>
        <v>89680</v>
      </c>
      <c r="G60" s="16">
        <f>D60*E58</f>
        <v>84960</v>
      </c>
      <c r="H60" s="16">
        <f>F60-G60</f>
        <v>4720</v>
      </c>
    </row>
    <row r="63" spans="2:10" x14ac:dyDescent="0.25">
      <c r="B63" s="7" t="s">
        <v>248</v>
      </c>
    </row>
    <row r="64" spans="2:10" x14ac:dyDescent="0.25">
      <c r="B64" s="7"/>
    </row>
    <row r="65" spans="2:14" x14ac:dyDescent="0.25">
      <c r="B65" s="7"/>
    </row>
    <row r="66" spans="2:14" ht="30" x14ac:dyDescent="0.25">
      <c r="C66" s="13" t="s">
        <v>22</v>
      </c>
      <c r="D66" s="13" t="s">
        <v>153</v>
      </c>
      <c r="E66" s="13" t="s">
        <v>121</v>
      </c>
      <c r="F66" s="13" t="s">
        <v>149</v>
      </c>
      <c r="G66" s="13" t="s">
        <v>150</v>
      </c>
      <c r="H66" s="13" t="s">
        <v>202</v>
      </c>
    </row>
    <row r="67" spans="2:14" x14ac:dyDescent="0.25">
      <c r="C67" s="15" t="s">
        <v>249</v>
      </c>
      <c r="D67" s="16">
        <v>4500</v>
      </c>
      <c r="E67" s="15">
        <v>4</v>
      </c>
      <c r="F67" s="25">
        <f>1/E67</f>
        <v>0.25</v>
      </c>
      <c r="G67" s="16">
        <f>D67*F67</f>
        <v>1125</v>
      </c>
      <c r="H67" s="16">
        <f>ROUND(G67/12,0)</f>
        <v>94</v>
      </c>
    </row>
    <row r="68" spans="2:14" x14ac:dyDescent="0.25">
      <c r="C68" s="15" t="s">
        <v>113</v>
      </c>
      <c r="D68" s="16">
        <v>2000</v>
      </c>
      <c r="E68" s="15">
        <v>10</v>
      </c>
      <c r="F68" s="25">
        <f t="shared" ref="F68:F71" si="5">1/E68</f>
        <v>0.1</v>
      </c>
      <c r="G68" s="16">
        <f t="shared" ref="G68:G71" si="6">D68*F68</f>
        <v>200</v>
      </c>
      <c r="H68" s="16">
        <f t="shared" ref="H68:H71" si="7">ROUND(G68/12,0)</f>
        <v>17</v>
      </c>
    </row>
    <row r="69" spans="2:14" x14ac:dyDescent="0.25">
      <c r="C69" s="15" t="s">
        <v>111</v>
      </c>
      <c r="D69" s="16">
        <v>1500</v>
      </c>
      <c r="E69" s="15">
        <v>5</v>
      </c>
      <c r="F69" s="25">
        <f t="shared" si="5"/>
        <v>0.2</v>
      </c>
      <c r="G69" s="16">
        <f t="shared" si="6"/>
        <v>300</v>
      </c>
      <c r="H69" s="16">
        <f t="shared" si="7"/>
        <v>25</v>
      </c>
    </row>
    <row r="70" spans="2:14" x14ac:dyDescent="0.25">
      <c r="C70" s="15" t="s">
        <v>114</v>
      </c>
      <c r="D70" s="16">
        <v>1700</v>
      </c>
      <c r="E70" s="15">
        <v>10</v>
      </c>
      <c r="F70" s="25">
        <f t="shared" si="5"/>
        <v>0.1</v>
      </c>
      <c r="G70" s="16">
        <f t="shared" si="6"/>
        <v>170</v>
      </c>
      <c r="H70" s="16">
        <f t="shared" si="7"/>
        <v>14</v>
      </c>
    </row>
    <row r="71" spans="2:14" x14ac:dyDescent="0.25">
      <c r="C71" s="15" t="s">
        <v>201</v>
      </c>
      <c r="D71" s="16">
        <f>Respuesta!D55</f>
        <v>90000</v>
      </c>
      <c r="E71" s="15">
        <v>4</v>
      </c>
      <c r="F71" s="25">
        <f t="shared" si="5"/>
        <v>0.25</v>
      </c>
      <c r="G71" s="16">
        <f t="shared" si="6"/>
        <v>22500</v>
      </c>
      <c r="H71" s="16">
        <f t="shared" si="7"/>
        <v>1875</v>
      </c>
    </row>
    <row r="73" spans="2:14" x14ac:dyDescent="0.25">
      <c r="D73" s="40" t="s">
        <v>153</v>
      </c>
      <c r="E73" s="40"/>
      <c r="F73" s="40"/>
      <c r="G73" s="40" t="s">
        <v>209</v>
      </c>
      <c r="H73" s="40"/>
      <c r="I73" s="40"/>
    </row>
    <row r="74" spans="2:14" ht="30" x14ac:dyDescent="0.25">
      <c r="C74" s="13" t="s">
        <v>22</v>
      </c>
      <c r="D74" s="13" t="s">
        <v>15</v>
      </c>
      <c r="E74" s="13" t="s">
        <v>64</v>
      </c>
      <c r="F74" s="13" t="s">
        <v>210</v>
      </c>
      <c r="G74" s="13" t="s">
        <v>15</v>
      </c>
      <c r="H74" s="13" t="s">
        <v>211</v>
      </c>
      <c r="I74" s="13" t="s">
        <v>210</v>
      </c>
      <c r="J74" s="13" t="s">
        <v>212</v>
      </c>
      <c r="L74" s="13" t="s">
        <v>213</v>
      </c>
      <c r="M74" s="13" t="s">
        <v>214</v>
      </c>
      <c r="N74" s="13" t="s">
        <v>59</v>
      </c>
    </row>
    <row r="75" spans="2:14" x14ac:dyDescent="0.25">
      <c r="C75" s="15" t="s">
        <v>249</v>
      </c>
      <c r="D75" s="16">
        <v>4500</v>
      </c>
      <c r="E75" s="16"/>
      <c r="F75" s="16">
        <f>SUM(D75:E75)</f>
        <v>4500</v>
      </c>
      <c r="G75" s="16">
        <f>G67</f>
        <v>1125</v>
      </c>
      <c r="H75" s="16">
        <f>H67</f>
        <v>94</v>
      </c>
      <c r="I75" s="16">
        <f>SUM(G75:H75)</f>
        <v>1219</v>
      </c>
      <c r="J75" s="16">
        <f>F75-I75</f>
        <v>3281</v>
      </c>
      <c r="L75" s="16">
        <f>H75/2</f>
        <v>47</v>
      </c>
      <c r="M75" s="16">
        <f>L75</f>
        <v>47</v>
      </c>
      <c r="N75" s="31">
        <f>SUM(L75:M75)</f>
        <v>94</v>
      </c>
    </row>
    <row r="76" spans="2:14" x14ac:dyDescent="0.25">
      <c r="C76" s="15" t="s">
        <v>113</v>
      </c>
      <c r="D76" s="16">
        <v>2000</v>
      </c>
      <c r="E76" s="16"/>
      <c r="F76" s="16">
        <f t="shared" ref="F76:F79" si="8">SUM(D76:E76)</f>
        <v>2000</v>
      </c>
      <c r="G76" s="16">
        <f t="shared" ref="G76:H78" si="9">G68</f>
        <v>200</v>
      </c>
      <c r="H76" s="16">
        <f t="shared" si="9"/>
        <v>17</v>
      </c>
      <c r="I76" s="16">
        <f t="shared" ref="I76:I79" si="10">SUM(G76:H76)</f>
        <v>217</v>
      </c>
      <c r="J76" s="16">
        <f t="shared" ref="J76:J79" si="11">F76-I76</f>
        <v>1783</v>
      </c>
      <c r="L76" s="16">
        <f>H76/2</f>
        <v>8.5</v>
      </c>
      <c r="M76" s="16">
        <f>L76</f>
        <v>8.5</v>
      </c>
      <c r="N76" s="31">
        <f>SUM(L76:M76)</f>
        <v>17</v>
      </c>
    </row>
    <row r="77" spans="2:14" x14ac:dyDescent="0.25">
      <c r="C77" s="15" t="s">
        <v>111</v>
      </c>
      <c r="D77" s="16">
        <v>1500</v>
      </c>
      <c r="E77" s="16"/>
      <c r="F77" s="16">
        <f t="shared" si="8"/>
        <v>1500</v>
      </c>
      <c r="G77" s="16">
        <f t="shared" si="9"/>
        <v>300</v>
      </c>
      <c r="H77" s="16">
        <f t="shared" si="9"/>
        <v>25</v>
      </c>
      <c r="I77" s="16">
        <f t="shared" si="10"/>
        <v>325</v>
      </c>
      <c r="J77" s="16">
        <f t="shared" si="11"/>
        <v>1175</v>
      </c>
      <c r="L77" s="16">
        <f>H77</f>
        <v>25</v>
      </c>
      <c r="M77" s="16"/>
      <c r="N77" s="31">
        <f t="shared" ref="N77:N79" si="12">SUM(L77:M77)</f>
        <v>25</v>
      </c>
    </row>
    <row r="78" spans="2:14" x14ac:dyDescent="0.25">
      <c r="C78" s="15" t="s">
        <v>114</v>
      </c>
      <c r="D78" s="16">
        <v>1700</v>
      </c>
      <c r="E78" s="16"/>
      <c r="F78" s="16">
        <f t="shared" si="8"/>
        <v>1700</v>
      </c>
      <c r="G78" s="16">
        <f t="shared" si="9"/>
        <v>170</v>
      </c>
      <c r="H78" s="16">
        <f t="shared" si="9"/>
        <v>14</v>
      </c>
      <c r="I78" s="16">
        <f t="shared" si="10"/>
        <v>184</v>
      </c>
      <c r="J78" s="16">
        <f t="shared" si="11"/>
        <v>1516</v>
      </c>
      <c r="L78" s="16">
        <f>H78</f>
        <v>14</v>
      </c>
      <c r="M78" s="16"/>
      <c r="N78" s="31">
        <f t="shared" si="12"/>
        <v>14</v>
      </c>
    </row>
    <row r="79" spans="2:14" x14ac:dyDescent="0.25">
      <c r="C79" s="15" t="s">
        <v>201</v>
      </c>
      <c r="D79" s="16"/>
      <c r="E79" s="16">
        <f>D71</f>
        <v>90000</v>
      </c>
      <c r="F79" s="16">
        <f t="shared" si="8"/>
        <v>90000</v>
      </c>
      <c r="G79" s="16"/>
      <c r="H79" s="16">
        <f t="shared" ref="H79" si="13">H71</f>
        <v>1875</v>
      </c>
      <c r="I79" s="16">
        <f t="shared" si="10"/>
        <v>1875</v>
      </c>
      <c r="J79" s="16">
        <f t="shared" si="11"/>
        <v>88125</v>
      </c>
      <c r="L79" s="16"/>
      <c r="M79" s="16">
        <f>H79</f>
        <v>1875</v>
      </c>
      <c r="N79" s="31">
        <f t="shared" si="12"/>
        <v>1875</v>
      </c>
    </row>
    <row r="80" spans="2:14" x14ac:dyDescent="0.25">
      <c r="D80" s="8">
        <f>SUM(D75:D79)</f>
        <v>9700</v>
      </c>
      <c r="E80" s="8">
        <f t="shared" ref="E80:J80" si="14">SUM(E75:E79)</f>
        <v>90000</v>
      </c>
      <c r="F80" s="8">
        <f t="shared" si="14"/>
        <v>99700</v>
      </c>
      <c r="G80" s="8">
        <f t="shared" si="14"/>
        <v>1795</v>
      </c>
      <c r="H80" s="8">
        <f t="shared" si="14"/>
        <v>2025</v>
      </c>
      <c r="I80" s="8">
        <f t="shared" si="14"/>
        <v>3820</v>
      </c>
      <c r="J80" s="8">
        <f t="shared" si="14"/>
        <v>95880</v>
      </c>
      <c r="L80" s="31">
        <f>SUM(L75:L79)</f>
        <v>94.5</v>
      </c>
      <c r="M80" s="31">
        <f t="shared" ref="M80:N80" si="15">SUM(M75:M79)</f>
        <v>1930.5</v>
      </c>
      <c r="N80" s="31">
        <f t="shared" si="15"/>
        <v>2025</v>
      </c>
    </row>
    <row r="82" spans="2:7" x14ac:dyDescent="0.25">
      <c r="B82" s="7" t="s">
        <v>250</v>
      </c>
    </row>
    <row r="83" spans="2:7" x14ac:dyDescent="0.25">
      <c r="D83" s="13" t="s">
        <v>92</v>
      </c>
      <c r="E83" s="13" t="s">
        <v>163</v>
      </c>
      <c r="F83" s="13" t="s">
        <v>164</v>
      </c>
    </row>
    <row r="84" spans="2:7" x14ac:dyDescent="0.25">
      <c r="C84" s="15" t="s">
        <v>222</v>
      </c>
      <c r="D84" s="16"/>
      <c r="E84" s="16"/>
      <c r="F84" s="16">
        <v>10</v>
      </c>
    </row>
    <row r="85" spans="2:7" x14ac:dyDescent="0.25">
      <c r="C85" s="15" t="s">
        <v>223</v>
      </c>
      <c r="D85" s="16">
        <v>5</v>
      </c>
      <c r="E85" s="25">
        <v>3.8</v>
      </c>
      <c r="F85" s="16">
        <f>D85*E85</f>
        <v>19</v>
      </c>
    </row>
    <row r="86" spans="2:7" x14ac:dyDescent="0.25">
      <c r="C86" s="15" t="s">
        <v>225</v>
      </c>
      <c r="D86" s="16"/>
      <c r="E86" s="16"/>
      <c r="F86" s="16">
        <v>50</v>
      </c>
    </row>
    <row r="87" spans="2:7" x14ac:dyDescent="0.25">
      <c r="C87" s="15" t="s">
        <v>224</v>
      </c>
      <c r="D87" s="16">
        <v>10</v>
      </c>
      <c r="E87" s="25">
        <v>3.8</v>
      </c>
      <c r="F87" s="16">
        <f>D87*E87</f>
        <v>38</v>
      </c>
    </row>
    <row r="89" spans="2:7" x14ac:dyDescent="0.25">
      <c r="B89" s="7" t="s">
        <v>251</v>
      </c>
    </row>
    <row r="91" spans="2:7" ht="30" x14ac:dyDescent="0.25">
      <c r="B91" s="11" t="s">
        <v>0</v>
      </c>
      <c r="C91" s="12" t="s">
        <v>1</v>
      </c>
      <c r="D91" s="13" t="s">
        <v>3</v>
      </c>
      <c r="E91" s="13" t="s">
        <v>4</v>
      </c>
      <c r="F91" s="13" t="s">
        <v>228</v>
      </c>
      <c r="G91" s="13" t="s">
        <v>227</v>
      </c>
    </row>
    <row r="92" spans="2:7" x14ac:dyDescent="0.25">
      <c r="B92" s="17">
        <v>10412</v>
      </c>
      <c r="C92" s="15" t="s">
        <v>99</v>
      </c>
      <c r="D92" s="16">
        <f>Respuesta!D6</f>
        <v>36500</v>
      </c>
      <c r="E92" s="16">
        <v>0</v>
      </c>
      <c r="F92" s="16">
        <f>Respuesta!F6</f>
        <v>10000</v>
      </c>
      <c r="G92" s="16"/>
    </row>
    <row r="93" spans="2:7" x14ac:dyDescent="0.25">
      <c r="B93" s="17">
        <v>10412</v>
      </c>
      <c r="C93" s="15" t="s">
        <v>99</v>
      </c>
      <c r="D93" s="16"/>
      <c r="E93" s="16">
        <f>Respuesta!E62</f>
        <v>21830</v>
      </c>
      <c r="F93" s="16"/>
      <c r="G93" s="16">
        <f>Respuesta!G62</f>
        <v>5900</v>
      </c>
    </row>
    <row r="94" spans="2:7" x14ac:dyDescent="0.25">
      <c r="B94" s="17">
        <v>10412</v>
      </c>
      <c r="C94" s="15" t="s">
        <v>99</v>
      </c>
      <c r="D94" s="16"/>
      <c r="E94" s="16">
        <f>Respuesta!E182</f>
        <v>57</v>
      </c>
      <c r="F94" s="16"/>
      <c r="G94" s="16">
        <f>Respuesta!G182</f>
        <v>15</v>
      </c>
    </row>
    <row r="95" spans="2:7" x14ac:dyDescent="0.25">
      <c r="C95" s="1" t="s">
        <v>59</v>
      </c>
      <c r="D95" s="8">
        <f>SUM(D92:D94)</f>
        <v>36500</v>
      </c>
      <c r="E95" s="8">
        <f t="shared" ref="E95" si="16">SUM(E92:E94)</f>
        <v>21887</v>
      </c>
      <c r="F95" s="8">
        <f>SUM(F92:F94)</f>
        <v>10000</v>
      </c>
      <c r="G95" s="8">
        <f t="shared" ref="G95" si="17">SUM(G92:G94)</f>
        <v>5915</v>
      </c>
    </row>
    <row r="96" spans="2:7" x14ac:dyDescent="0.25">
      <c r="C96" s="1" t="s">
        <v>253</v>
      </c>
      <c r="D96" s="8">
        <f>D95-E95</f>
        <v>14613</v>
      </c>
      <c r="E96" s="1"/>
      <c r="F96" s="8">
        <f>F95-G95</f>
        <v>4085</v>
      </c>
    </row>
    <row r="97" spans="3:6" x14ac:dyDescent="0.25">
      <c r="C97" t="s">
        <v>252</v>
      </c>
      <c r="D97" s="5">
        <f>F97*E97</f>
        <v>15523</v>
      </c>
      <c r="E97">
        <v>3.8</v>
      </c>
      <c r="F97" s="5">
        <f>F96</f>
        <v>4085</v>
      </c>
    </row>
    <row r="98" spans="3:6" x14ac:dyDescent="0.25">
      <c r="C98" s="1" t="s">
        <v>167</v>
      </c>
      <c r="D98" s="8">
        <f>D97-D96</f>
        <v>910</v>
      </c>
    </row>
  </sheetData>
  <mergeCells count="2">
    <mergeCell ref="D73:F73"/>
    <mergeCell ref="G73:I7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8640D4-4F8F-4383-9F2B-09D1AE53675D}">
  <dimension ref="A1:AQ235"/>
  <sheetViews>
    <sheetView showGridLines="0" tabSelected="1" topLeftCell="K1" workbookViewId="0">
      <pane ySplit="3" topLeftCell="A23" activePane="bottomLeft" state="frozen"/>
      <selection pane="bottomLeft" activeCell="AF19" sqref="AF19"/>
    </sheetView>
  </sheetViews>
  <sheetFormatPr baseColWidth="10" defaultColWidth="8.85546875" defaultRowHeight="15" x14ac:dyDescent="0.25"/>
  <cols>
    <col min="2" max="2" width="8.7109375" style="6" bestFit="1" customWidth="1"/>
    <col min="3" max="3" width="45.140625" bestFit="1" customWidth="1"/>
    <col min="4" max="9" width="11.42578125" customWidth="1"/>
    <col min="10" max="10" width="9.140625" customWidth="1"/>
    <col min="11" max="11" width="41.85546875" customWidth="1"/>
    <col min="12" max="15" width="9.140625" customWidth="1"/>
    <col min="16" max="16" width="10.5703125" customWidth="1"/>
    <col min="17" max="25" width="9.140625" customWidth="1"/>
    <col min="28" max="28" width="35.140625" bestFit="1" customWidth="1"/>
    <col min="31" max="31" width="28.42578125" bestFit="1" customWidth="1"/>
    <col min="34" max="34" width="8.7109375" style="6" bestFit="1" customWidth="1"/>
    <col min="35" max="35" width="45.140625" bestFit="1" customWidth="1"/>
    <col min="36" max="37" width="11.42578125" customWidth="1"/>
    <col min="39" max="39" width="37.140625" customWidth="1"/>
    <col min="42" max="42" width="28.42578125" bestFit="1" customWidth="1"/>
  </cols>
  <sheetData>
    <row r="1" spans="1:43" x14ac:dyDescent="0.25">
      <c r="B1" s="7" t="s">
        <v>239</v>
      </c>
      <c r="C1" s="3"/>
      <c r="D1" s="4"/>
      <c r="E1" s="4"/>
      <c r="F1" s="4"/>
      <c r="G1" s="4"/>
      <c r="H1" s="4"/>
      <c r="I1" s="4"/>
      <c r="J1" s="7" t="s">
        <v>240</v>
      </c>
      <c r="K1" s="3"/>
      <c r="AB1" s="7" t="s">
        <v>241</v>
      </c>
      <c r="AH1" s="32" t="s">
        <v>90</v>
      </c>
      <c r="AI1" s="3"/>
      <c r="AJ1" s="4"/>
      <c r="AK1" s="4"/>
      <c r="AM1" s="7" t="s">
        <v>242</v>
      </c>
    </row>
    <row r="2" spans="1:43" x14ac:dyDescent="0.25">
      <c r="L2" s="41" t="s">
        <v>15</v>
      </c>
      <c r="M2" s="41"/>
      <c r="N2" s="41" t="s">
        <v>16</v>
      </c>
      <c r="O2" s="41"/>
      <c r="P2" s="41" t="s">
        <v>17</v>
      </c>
      <c r="Q2" s="41"/>
      <c r="R2" s="41" t="s">
        <v>58</v>
      </c>
      <c r="S2" s="41"/>
      <c r="T2" s="41" t="s">
        <v>18</v>
      </c>
      <c r="U2" s="41"/>
      <c r="V2" s="41" t="s">
        <v>20</v>
      </c>
      <c r="W2" s="41"/>
      <c r="X2" s="41" t="s">
        <v>19</v>
      </c>
      <c r="Y2" s="41"/>
    </row>
    <row r="3" spans="1:43" ht="30" x14ac:dyDescent="0.25">
      <c r="A3" s="11" t="s">
        <v>96</v>
      </c>
      <c r="B3" s="11" t="s">
        <v>0</v>
      </c>
      <c r="C3" s="12" t="s">
        <v>1</v>
      </c>
      <c r="D3" s="13" t="s">
        <v>3</v>
      </c>
      <c r="E3" s="13" t="s">
        <v>4</v>
      </c>
      <c r="F3" s="13" t="s">
        <v>228</v>
      </c>
      <c r="G3" s="13" t="s">
        <v>227</v>
      </c>
      <c r="J3" s="11" t="s">
        <v>0</v>
      </c>
      <c r="K3" s="12" t="s">
        <v>1</v>
      </c>
      <c r="L3" s="14" t="s">
        <v>3</v>
      </c>
      <c r="M3" s="14" t="s">
        <v>4</v>
      </c>
      <c r="N3" s="14" t="s">
        <v>3</v>
      </c>
      <c r="O3" s="14" t="s">
        <v>4</v>
      </c>
      <c r="P3" s="14" t="s">
        <v>3</v>
      </c>
      <c r="Q3" s="14" t="s">
        <v>4</v>
      </c>
      <c r="R3" s="14" t="s">
        <v>3</v>
      </c>
      <c r="S3" s="14" t="s">
        <v>4</v>
      </c>
      <c r="T3" s="14" t="s">
        <v>3</v>
      </c>
      <c r="U3" s="14" t="s">
        <v>4</v>
      </c>
      <c r="V3" s="14" t="s">
        <v>3</v>
      </c>
      <c r="W3" s="14" t="s">
        <v>4</v>
      </c>
      <c r="X3" s="14" t="s">
        <v>3</v>
      </c>
      <c r="Y3" s="14" t="s">
        <v>4</v>
      </c>
      <c r="AD3" s="2" t="s">
        <v>21</v>
      </c>
      <c r="AH3" s="11" t="s">
        <v>0</v>
      </c>
      <c r="AI3" s="12" t="s">
        <v>1</v>
      </c>
      <c r="AJ3" s="13" t="s">
        <v>3</v>
      </c>
      <c r="AK3" s="13" t="s">
        <v>4</v>
      </c>
      <c r="AO3" s="2" t="s">
        <v>21</v>
      </c>
    </row>
    <row r="4" spans="1:43" x14ac:dyDescent="0.25">
      <c r="AD4" s="6" t="s">
        <v>61</v>
      </c>
      <c r="AO4" s="6" t="s">
        <v>61</v>
      </c>
    </row>
    <row r="5" spans="1:43" x14ac:dyDescent="0.25">
      <c r="B5" s="17">
        <v>10411</v>
      </c>
      <c r="C5" s="15" t="s">
        <v>98</v>
      </c>
      <c r="D5" s="16">
        <f>SUMIFS(Datos!$H$4:$H$32,Datos!$J$4:$J$32,Respuesta!B5)</f>
        <v>15000</v>
      </c>
      <c r="E5" s="16">
        <f>SUMIFS(Datos!$I$4:$I$32,Datos!$J$4:$J$32,Respuesta!B5)</f>
        <v>0</v>
      </c>
      <c r="F5" s="16"/>
      <c r="G5" s="16"/>
      <c r="J5" s="17">
        <v>10411</v>
      </c>
      <c r="K5" s="15" t="s">
        <v>98</v>
      </c>
      <c r="L5" s="16">
        <f>SUMIFS($D$5:$D$22,$B$5:$B$22,J5)</f>
        <v>15000</v>
      </c>
      <c r="M5" s="16">
        <f>SUMIFS($E$5:$E$22,$B$5:$B$22,J5)</f>
        <v>0</v>
      </c>
      <c r="N5" s="16">
        <f t="shared" ref="N5:N36" si="0">SUMIFS($D$25:$D$296,$B$25:$B$296,J5)</f>
        <v>43896</v>
      </c>
      <c r="O5" s="16">
        <f t="shared" ref="O5:O36" si="1">SUMIFS($E$25:$E$296,$B$25:$B$296,J5)</f>
        <v>13633</v>
      </c>
      <c r="P5" s="16">
        <f t="shared" ref="P5" si="2">IF(L5-M5+N5-O5&gt;0,L5-M5+N5-O5,0)</f>
        <v>45263</v>
      </c>
      <c r="Q5" s="16">
        <f t="shared" ref="Q5" si="3">IF(M5-L5+O5-N5&gt;0,M5-L5+O5-N5,0)</f>
        <v>0</v>
      </c>
      <c r="R5" s="16"/>
      <c r="S5" s="16"/>
      <c r="T5" s="16">
        <f t="shared" ref="T5" si="4">IF(P5-Q5+R5-S5&gt;0,P5-Q5+R5-S5,0)</f>
        <v>45263</v>
      </c>
      <c r="U5" s="16">
        <f t="shared" ref="U5" si="5">IF(Q5-P5+S5-R5&gt;0,Q5-P5+S5-R5,0)</f>
        <v>0</v>
      </c>
      <c r="V5" s="16"/>
      <c r="W5" s="16"/>
      <c r="X5" s="16"/>
      <c r="Y5" s="16"/>
      <c r="AD5" s="6" t="s">
        <v>60</v>
      </c>
      <c r="AH5" s="17">
        <v>62</v>
      </c>
      <c r="AI5" s="15" t="s">
        <v>83</v>
      </c>
      <c r="AJ5" s="16">
        <v>0</v>
      </c>
      <c r="AK5" s="16"/>
      <c r="AO5" s="6" t="s">
        <v>60</v>
      </c>
    </row>
    <row r="6" spans="1:43" x14ac:dyDescent="0.25">
      <c r="B6" s="17">
        <v>10412</v>
      </c>
      <c r="C6" s="15" t="s">
        <v>99</v>
      </c>
      <c r="D6" s="16">
        <f>SUMIFS(Datos!$H$4:$H$32,Datos!$J$4:$J$32,Respuesta!B6)</f>
        <v>36500</v>
      </c>
      <c r="E6" s="16">
        <f>SUMIFS(Datos!$I$4:$I$32,Datos!$J$4:$J$32,Respuesta!B6)</f>
        <v>0</v>
      </c>
      <c r="F6" s="16">
        <f>Datos!F5</f>
        <v>10000</v>
      </c>
      <c r="G6" s="16"/>
      <c r="J6" s="17">
        <v>10412</v>
      </c>
      <c r="K6" s="15" t="s">
        <v>99</v>
      </c>
      <c r="L6" s="16">
        <f t="shared" ref="L6:L53" si="6">SUMIFS($D$5:$D$22,$B$5:$B$22,J6)</f>
        <v>36500</v>
      </c>
      <c r="M6" s="16">
        <f t="shared" ref="M6:M53" si="7">SUMIFS($E$5:$E$22,$B$5:$B$22,J6)</f>
        <v>0</v>
      </c>
      <c r="N6" s="16">
        <f t="shared" si="0"/>
        <v>910</v>
      </c>
      <c r="O6" s="16">
        <f t="shared" si="1"/>
        <v>21887</v>
      </c>
      <c r="P6" s="16">
        <f t="shared" ref="P6:P53" si="8">IF(L6-M6+N6-O6&gt;0,L6-M6+N6-O6,0)</f>
        <v>15523</v>
      </c>
      <c r="Q6" s="16">
        <f t="shared" ref="Q6:Q53" si="9">IF(M6-L6+O6-N6&gt;0,M6-L6+O6-N6,0)</f>
        <v>0</v>
      </c>
      <c r="R6" s="16"/>
      <c r="S6" s="16"/>
      <c r="T6" s="16">
        <f t="shared" ref="T6:T29" si="10">IF(P6-Q6+R6-S6&gt;0,P6-Q6+R6-S6,0)</f>
        <v>15523</v>
      </c>
      <c r="U6" s="16">
        <f t="shared" ref="U6:U29" si="11">IF(Q6-P6+S6-R6&gt;0,Q6-P6+S6-R6,0)</f>
        <v>0</v>
      </c>
      <c r="V6" s="16"/>
      <c r="W6" s="16"/>
      <c r="X6" s="16"/>
      <c r="Y6" s="16"/>
      <c r="AH6" s="17">
        <v>411</v>
      </c>
      <c r="AI6" s="15" t="s">
        <v>83</v>
      </c>
      <c r="AJ6" s="16"/>
      <c r="AK6" s="16">
        <f>AJ5</f>
        <v>0</v>
      </c>
    </row>
    <row r="7" spans="1:43" x14ac:dyDescent="0.25">
      <c r="B7" s="17">
        <v>1212</v>
      </c>
      <c r="C7" s="15" t="s">
        <v>103</v>
      </c>
      <c r="D7" s="16">
        <f>SUMIFS(Datos!$H$4:$H$32,Datos!$J$4:$J$32,Respuesta!B7)</f>
        <v>21240</v>
      </c>
      <c r="E7" s="16">
        <f>SUMIFS(Datos!$I$4:$I$32,Datos!$J$4:$J$32,Respuesta!B7)</f>
        <v>0</v>
      </c>
      <c r="F7" s="16"/>
      <c r="G7" s="16"/>
      <c r="J7" s="17">
        <v>1212</v>
      </c>
      <c r="K7" s="15" t="s">
        <v>103</v>
      </c>
      <c r="L7" s="16">
        <f t="shared" si="6"/>
        <v>21240</v>
      </c>
      <c r="M7" s="16">
        <f t="shared" si="7"/>
        <v>0</v>
      </c>
      <c r="N7" s="16">
        <f t="shared" si="0"/>
        <v>37760</v>
      </c>
      <c r="O7" s="16">
        <f t="shared" si="1"/>
        <v>43896</v>
      </c>
      <c r="P7" s="16">
        <f t="shared" si="8"/>
        <v>15104</v>
      </c>
      <c r="Q7" s="16">
        <f t="shared" si="9"/>
        <v>0</v>
      </c>
      <c r="R7" s="16"/>
      <c r="S7" s="16"/>
      <c r="T7" s="16">
        <f t="shared" si="10"/>
        <v>15104</v>
      </c>
      <c r="U7" s="16">
        <f t="shared" si="11"/>
        <v>0</v>
      </c>
      <c r="V7" s="16"/>
      <c r="W7" s="16"/>
      <c r="X7" s="16"/>
      <c r="Y7" s="16"/>
      <c r="AH7" s="18" t="s">
        <v>85</v>
      </c>
      <c r="AI7" s="15"/>
      <c r="AJ7" s="16"/>
      <c r="AK7" s="16"/>
    </row>
    <row r="8" spans="1:43" x14ac:dyDescent="0.25">
      <c r="B8" s="17">
        <v>1643</v>
      </c>
      <c r="C8" s="15" t="s">
        <v>139</v>
      </c>
      <c r="D8" s="16">
        <f>SUMIFS(Datos!$H$4:$H$32,Datos!$J$4:$J$32,Respuesta!B8)</f>
        <v>1500</v>
      </c>
      <c r="E8" s="16">
        <f>SUMIFS(Datos!$I$4:$I$32,Datos!$J$4:$J$32,Respuesta!B8)</f>
        <v>0</v>
      </c>
      <c r="F8" s="16"/>
      <c r="G8" s="16"/>
      <c r="J8" s="17">
        <v>1643</v>
      </c>
      <c r="K8" s="15" t="s">
        <v>139</v>
      </c>
      <c r="L8" s="16">
        <f t="shared" si="6"/>
        <v>1500</v>
      </c>
      <c r="M8" s="16">
        <f t="shared" si="7"/>
        <v>0</v>
      </c>
      <c r="N8" s="16">
        <f t="shared" si="0"/>
        <v>0</v>
      </c>
      <c r="O8" s="16">
        <f t="shared" si="1"/>
        <v>0</v>
      </c>
      <c r="P8" s="16">
        <f t="shared" si="8"/>
        <v>1500</v>
      </c>
      <c r="Q8" s="16">
        <f t="shared" si="9"/>
        <v>0</v>
      </c>
      <c r="R8" s="16"/>
      <c r="S8" s="16"/>
      <c r="T8" s="16">
        <f t="shared" si="10"/>
        <v>1500</v>
      </c>
      <c r="U8" s="16">
        <f t="shared" si="11"/>
        <v>0</v>
      </c>
      <c r="V8" s="16"/>
      <c r="W8" s="16"/>
      <c r="X8" s="16"/>
      <c r="Y8" s="16"/>
      <c r="AB8" s="7" t="s">
        <v>22</v>
      </c>
      <c r="AC8" s="7"/>
      <c r="AD8" s="7"/>
      <c r="AE8" s="7" t="s">
        <v>31</v>
      </c>
      <c r="AH8" t="s">
        <v>235</v>
      </c>
      <c r="AM8" s="7" t="s">
        <v>22</v>
      </c>
      <c r="AN8" s="7"/>
      <c r="AO8" s="7"/>
      <c r="AP8" s="7" t="s">
        <v>31</v>
      </c>
    </row>
    <row r="9" spans="1:43" x14ac:dyDescent="0.25">
      <c r="B9" s="17">
        <v>20111</v>
      </c>
      <c r="C9" s="15" t="s">
        <v>108</v>
      </c>
      <c r="D9" s="16">
        <f>SUMIFS(Datos!$H$4:$H$32,Datos!$J$4:$J$32,Respuesta!B9)</f>
        <v>11250</v>
      </c>
      <c r="E9" s="16">
        <f>SUMIFS(Datos!$I$4:$I$32,Datos!$J$4:$J$32,Respuesta!B9)</f>
        <v>0</v>
      </c>
      <c r="F9" s="16"/>
      <c r="G9" s="16"/>
      <c r="J9" s="17">
        <v>182</v>
      </c>
      <c r="K9" s="15" t="s">
        <v>185</v>
      </c>
      <c r="L9" s="16">
        <f t="shared" si="6"/>
        <v>0</v>
      </c>
      <c r="M9" s="16">
        <f t="shared" si="7"/>
        <v>0</v>
      </c>
      <c r="N9" s="16">
        <f t="shared" si="0"/>
        <v>1200</v>
      </c>
      <c r="O9" s="16">
        <f t="shared" si="1"/>
        <v>100</v>
      </c>
      <c r="P9" s="16">
        <f t="shared" si="8"/>
        <v>1100</v>
      </c>
      <c r="Q9" s="16">
        <f t="shared" si="9"/>
        <v>0</v>
      </c>
      <c r="R9" s="16"/>
      <c r="S9" s="16"/>
      <c r="T9" s="16">
        <f t="shared" si="10"/>
        <v>1100</v>
      </c>
      <c r="U9" s="16">
        <f t="shared" si="11"/>
        <v>0</v>
      </c>
      <c r="V9" s="16"/>
      <c r="W9" s="16"/>
      <c r="X9" s="16"/>
      <c r="Y9" s="16"/>
      <c r="AB9" s="1" t="s">
        <v>23</v>
      </c>
      <c r="AC9" s="1"/>
      <c r="AD9" s="1"/>
      <c r="AE9" s="1" t="s">
        <v>32</v>
      </c>
      <c r="AH9"/>
      <c r="AM9" s="1" t="s">
        <v>23</v>
      </c>
      <c r="AN9" s="1"/>
      <c r="AO9" s="1"/>
      <c r="AP9" s="1" t="s">
        <v>32</v>
      </c>
    </row>
    <row r="10" spans="1:43" x14ac:dyDescent="0.25">
      <c r="B10" s="17">
        <v>33611</v>
      </c>
      <c r="C10" s="15" t="s">
        <v>116</v>
      </c>
      <c r="D10" s="16">
        <f>SUMIFS(Datos!$H$4:$H$32,Datos!$J$4:$J$32,Respuesta!B10)</f>
        <v>4500</v>
      </c>
      <c r="E10" s="16">
        <f>SUMIFS(Datos!$I$4:$I$32,Datos!$J$4:$J$32,Respuesta!B10)</f>
        <v>0</v>
      </c>
      <c r="F10" s="16"/>
      <c r="G10" s="16"/>
      <c r="J10" s="17">
        <v>20111</v>
      </c>
      <c r="K10" s="15" t="s">
        <v>108</v>
      </c>
      <c r="L10" s="16">
        <f t="shared" si="6"/>
        <v>11250</v>
      </c>
      <c r="M10" s="16">
        <f t="shared" si="7"/>
        <v>0</v>
      </c>
      <c r="N10" s="16">
        <f t="shared" si="0"/>
        <v>5500</v>
      </c>
      <c r="O10" s="16">
        <f t="shared" si="1"/>
        <v>13400</v>
      </c>
      <c r="P10" s="16">
        <f t="shared" si="8"/>
        <v>3350</v>
      </c>
      <c r="Q10" s="16">
        <f t="shared" si="9"/>
        <v>0</v>
      </c>
      <c r="R10" s="16"/>
      <c r="S10" s="16"/>
      <c r="T10" s="16">
        <f t="shared" si="10"/>
        <v>3350</v>
      </c>
      <c r="U10" s="16">
        <f t="shared" si="11"/>
        <v>0</v>
      </c>
      <c r="V10" s="16"/>
      <c r="W10" s="16"/>
      <c r="X10" s="16"/>
      <c r="Y10" s="16"/>
      <c r="AB10" t="s">
        <v>5</v>
      </c>
      <c r="AC10" s="5">
        <f>T5+T6</f>
        <v>60786</v>
      </c>
      <c r="AE10" t="s">
        <v>9</v>
      </c>
      <c r="AF10" s="5">
        <f>U25</f>
        <v>20355</v>
      </c>
      <c r="AH10" s="17">
        <v>881</v>
      </c>
      <c r="AI10" s="15" t="s">
        <v>7</v>
      </c>
      <c r="AJ10" s="16">
        <f>U56*0.295</f>
        <v>141.30499999999998</v>
      </c>
      <c r="AK10" s="16"/>
      <c r="AM10" t="s">
        <v>5</v>
      </c>
      <c r="AN10" s="5">
        <f>AC10</f>
        <v>60786</v>
      </c>
      <c r="AP10" t="s">
        <v>9</v>
      </c>
      <c r="AQ10" s="5">
        <f>AF10</f>
        <v>20355</v>
      </c>
    </row>
    <row r="11" spans="1:43" ht="15.75" thickBot="1" x14ac:dyDescent="0.3">
      <c r="B11" s="17">
        <v>33511</v>
      </c>
      <c r="C11" s="15" t="s">
        <v>115</v>
      </c>
      <c r="D11" s="16">
        <f>SUMIFS(Datos!$H$4:$H$32,Datos!$J$4:$J$32,Respuesta!B11)</f>
        <v>5200</v>
      </c>
      <c r="E11" s="16">
        <f>SUMIFS(Datos!$I$4:$I$32,Datos!$J$4:$J$32,Respuesta!B11)</f>
        <v>0</v>
      </c>
      <c r="F11" s="16"/>
      <c r="G11" s="16"/>
      <c r="J11" s="17">
        <v>33411</v>
      </c>
      <c r="K11" s="15" t="s">
        <v>160</v>
      </c>
      <c r="L11" s="16">
        <f t="shared" si="6"/>
        <v>0</v>
      </c>
      <c r="M11" s="16">
        <f t="shared" si="7"/>
        <v>0</v>
      </c>
      <c r="N11" s="16">
        <f t="shared" si="0"/>
        <v>90000</v>
      </c>
      <c r="O11" s="16">
        <f t="shared" si="1"/>
        <v>0</v>
      </c>
      <c r="P11" s="16">
        <f t="shared" si="8"/>
        <v>90000</v>
      </c>
      <c r="Q11" s="16">
        <f t="shared" si="9"/>
        <v>0</v>
      </c>
      <c r="R11" s="16"/>
      <c r="S11" s="16"/>
      <c r="T11" s="16">
        <f t="shared" si="10"/>
        <v>90000</v>
      </c>
      <c r="U11" s="16">
        <f t="shared" si="11"/>
        <v>0</v>
      </c>
      <c r="V11" s="16"/>
      <c r="W11" s="16"/>
      <c r="X11" s="16"/>
      <c r="Y11" s="16"/>
      <c r="AB11" t="s">
        <v>24</v>
      </c>
      <c r="AC11" s="5">
        <f>T7</f>
        <v>15104</v>
      </c>
      <c r="AE11" t="s">
        <v>33</v>
      </c>
      <c r="AF11" s="5">
        <f>U18+U19+U21+U22+U23+U24+U27</f>
        <v>113858</v>
      </c>
      <c r="AH11" s="17">
        <v>4017</v>
      </c>
      <c r="AI11" s="15" t="s">
        <v>7</v>
      </c>
      <c r="AJ11" s="16"/>
      <c r="AK11" s="16">
        <f>AJ10</f>
        <v>141.30499999999998</v>
      </c>
      <c r="AM11" t="s">
        <v>24</v>
      </c>
      <c r="AN11" s="5">
        <f t="shared" ref="AN11:AN15" si="12">AC11</f>
        <v>15104</v>
      </c>
      <c r="AP11" t="s">
        <v>33</v>
      </c>
      <c r="AQ11" s="36">
        <f>AF11+AK11</f>
        <v>113999.30499999999</v>
      </c>
    </row>
    <row r="12" spans="1:43" x14ac:dyDescent="0.25">
      <c r="B12" s="17">
        <v>39527</v>
      </c>
      <c r="C12" s="15" t="s">
        <v>220</v>
      </c>
      <c r="D12" s="16">
        <f>SUMIFS(Datos!$H$4:$H$32,Datos!$J$4:$J$32,Respuesta!B12)</f>
        <v>0</v>
      </c>
      <c r="E12" s="16">
        <f>SUMIFS(Datos!$I$4:$I$32,Datos!$J$4:$J$32,Respuesta!B12)</f>
        <v>1125</v>
      </c>
      <c r="F12" s="16"/>
      <c r="G12" s="16"/>
      <c r="J12" s="17">
        <v>33511</v>
      </c>
      <c r="K12" s="15" t="s">
        <v>115</v>
      </c>
      <c r="L12" s="16">
        <f t="shared" si="6"/>
        <v>5200</v>
      </c>
      <c r="M12" s="16">
        <f t="shared" si="7"/>
        <v>0</v>
      </c>
      <c r="N12" s="16">
        <f t="shared" si="0"/>
        <v>0</v>
      </c>
      <c r="O12" s="16">
        <f t="shared" si="1"/>
        <v>0</v>
      </c>
      <c r="P12" s="16">
        <f t="shared" si="8"/>
        <v>5200</v>
      </c>
      <c r="Q12" s="16">
        <f t="shared" si="9"/>
        <v>0</v>
      </c>
      <c r="R12" s="16"/>
      <c r="S12" s="16"/>
      <c r="T12" s="16">
        <f t="shared" si="10"/>
        <v>5200</v>
      </c>
      <c r="U12" s="16">
        <f t="shared" si="11"/>
        <v>0</v>
      </c>
      <c r="V12" s="16"/>
      <c r="W12" s="16"/>
      <c r="X12" s="16"/>
      <c r="Y12" s="16"/>
      <c r="AB12" t="s">
        <v>231</v>
      </c>
      <c r="AC12" s="5">
        <f>T8</f>
        <v>1500</v>
      </c>
      <c r="AE12" s="1" t="s">
        <v>34</v>
      </c>
      <c r="AF12" s="9">
        <f>SUM(AF10:AF11)</f>
        <v>134213</v>
      </c>
      <c r="AH12" s="18" t="s">
        <v>82</v>
      </c>
      <c r="AI12" s="15"/>
      <c r="AJ12" s="16"/>
      <c r="AK12" s="16"/>
      <c r="AM12" t="s">
        <v>231</v>
      </c>
      <c r="AN12" s="5">
        <f t="shared" si="12"/>
        <v>1500</v>
      </c>
      <c r="AP12" s="1" t="s">
        <v>34</v>
      </c>
      <c r="AQ12" s="9">
        <f>SUM(AQ10:AQ11)</f>
        <v>134354.30499999999</v>
      </c>
    </row>
    <row r="13" spans="1:43" ht="15.75" thickBot="1" x14ac:dyDescent="0.3">
      <c r="B13" s="17">
        <v>39526</v>
      </c>
      <c r="C13" s="15" t="s">
        <v>219</v>
      </c>
      <c r="D13" s="16">
        <f>SUMIFS(Datos!$H$4:$H$32,Datos!$J$4:$J$32,Respuesta!B13)</f>
        <v>0</v>
      </c>
      <c r="E13" s="16">
        <f>SUMIFS(Datos!$I$4:$I$32,Datos!$J$4:$J$32,Respuesta!B13)</f>
        <v>670</v>
      </c>
      <c r="F13" s="16"/>
      <c r="G13" s="16"/>
      <c r="J13" s="17">
        <v>33611</v>
      </c>
      <c r="K13" s="15" t="s">
        <v>116</v>
      </c>
      <c r="L13" s="16">
        <f t="shared" si="6"/>
        <v>4500</v>
      </c>
      <c r="M13" s="16">
        <f t="shared" si="7"/>
        <v>0</v>
      </c>
      <c r="N13" s="16">
        <f t="shared" si="0"/>
        <v>0</v>
      </c>
      <c r="O13" s="16">
        <f t="shared" si="1"/>
        <v>0</v>
      </c>
      <c r="P13" s="16">
        <f t="shared" si="8"/>
        <v>4500</v>
      </c>
      <c r="Q13" s="16">
        <f t="shared" si="9"/>
        <v>0</v>
      </c>
      <c r="R13" s="16"/>
      <c r="S13" s="16"/>
      <c r="T13" s="16">
        <f t="shared" si="10"/>
        <v>4500</v>
      </c>
      <c r="U13" s="16">
        <f t="shared" si="11"/>
        <v>0</v>
      </c>
      <c r="V13" s="16"/>
      <c r="W13" s="16"/>
      <c r="X13" s="16"/>
      <c r="Y13" s="16"/>
      <c r="AB13" t="s">
        <v>25</v>
      </c>
      <c r="AC13" s="5">
        <f>T10</f>
        <v>3350</v>
      </c>
      <c r="AH13"/>
      <c r="AM13" t="s">
        <v>25</v>
      </c>
      <c r="AN13" s="5">
        <f t="shared" si="12"/>
        <v>3350</v>
      </c>
    </row>
    <row r="14" spans="1:43" x14ac:dyDescent="0.25">
      <c r="B14" s="17">
        <v>40111</v>
      </c>
      <c r="C14" s="15" t="s">
        <v>144</v>
      </c>
      <c r="D14" s="16">
        <f>SUMIFS(Datos!$H$4:$H$32,Datos!$J$4:$J$32,Respuesta!B14)</f>
        <v>0</v>
      </c>
      <c r="E14" s="16">
        <f>SUMIFS(Datos!$I$4:$I$32,Datos!$J$4:$J$32,Respuesta!B14)</f>
        <v>1512</v>
      </c>
      <c r="F14" s="16"/>
      <c r="G14" s="16"/>
      <c r="J14" s="17">
        <v>39525</v>
      </c>
      <c r="K14" s="15" t="s">
        <v>218</v>
      </c>
      <c r="L14" s="16">
        <f t="shared" si="6"/>
        <v>0</v>
      </c>
      <c r="M14" s="16">
        <f t="shared" si="7"/>
        <v>0</v>
      </c>
      <c r="N14" s="16">
        <f t="shared" si="0"/>
        <v>0</v>
      </c>
      <c r="O14" s="16">
        <f t="shared" si="1"/>
        <v>1875</v>
      </c>
      <c r="P14" s="16">
        <f t="shared" si="8"/>
        <v>0</v>
      </c>
      <c r="Q14" s="16">
        <f t="shared" si="9"/>
        <v>1875</v>
      </c>
      <c r="R14" s="16"/>
      <c r="S14" s="16"/>
      <c r="T14" s="16">
        <f t="shared" si="10"/>
        <v>0</v>
      </c>
      <c r="U14" s="16">
        <f t="shared" si="11"/>
        <v>1875</v>
      </c>
      <c r="V14" s="16"/>
      <c r="W14" s="16"/>
      <c r="X14" s="16"/>
      <c r="Y14" s="16"/>
      <c r="AB14" t="s">
        <v>233</v>
      </c>
      <c r="AC14" s="5">
        <f>T17</f>
        <v>12222</v>
      </c>
      <c r="AE14" s="1" t="s">
        <v>35</v>
      </c>
      <c r="AF14" s="9">
        <f>AF12</f>
        <v>134213</v>
      </c>
      <c r="AH14" s="17">
        <v>94</v>
      </c>
      <c r="AI14" s="15" t="s">
        <v>179</v>
      </c>
      <c r="AJ14" s="16"/>
      <c r="AK14" s="16">
        <f>S52</f>
        <v>4951</v>
      </c>
      <c r="AM14" t="s">
        <v>233</v>
      </c>
      <c r="AN14" s="5">
        <f t="shared" si="12"/>
        <v>12222</v>
      </c>
      <c r="AP14" s="1" t="s">
        <v>35</v>
      </c>
      <c r="AQ14" s="9">
        <f>AQ12</f>
        <v>134354.30499999999</v>
      </c>
    </row>
    <row r="15" spans="1:43" ht="15.75" thickBot="1" x14ac:dyDescent="0.3">
      <c r="B15" s="17">
        <v>40171</v>
      </c>
      <c r="C15" s="15" t="s">
        <v>7</v>
      </c>
      <c r="D15" s="16">
        <f>SUMIFS(Datos!$H$4:$H$32,Datos!$J$4:$J$32,Respuesta!B15)</f>
        <v>0</v>
      </c>
      <c r="E15" s="16">
        <f>SUMIFS(Datos!$I$4:$I$32,Datos!$J$4:$J$32,Respuesta!B15)</f>
        <v>14750</v>
      </c>
      <c r="F15" s="16"/>
      <c r="G15" s="16"/>
      <c r="J15" s="17">
        <v>39526</v>
      </c>
      <c r="K15" s="15" t="s">
        <v>219</v>
      </c>
      <c r="L15" s="16">
        <f t="shared" si="6"/>
        <v>0</v>
      </c>
      <c r="M15" s="16">
        <f t="shared" si="7"/>
        <v>670</v>
      </c>
      <c r="N15" s="16">
        <f t="shared" si="0"/>
        <v>0</v>
      </c>
      <c r="O15" s="16">
        <f t="shared" si="1"/>
        <v>56</v>
      </c>
      <c r="P15" s="16">
        <f t="shared" si="8"/>
        <v>0</v>
      </c>
      <c r="Q15" s="16">
        <f t="shared" si="9"/>
        <v>726</v>
      </c>
      <c r="R15" s="16"/>
      <c r="S15" s="16"/>
      <c r="T15" s="16">
        <f t="shared" si="10"/>
        <v>0</v>
      </c>
      <c r="U15" s="16">
        <f t="shared" si="11"/>
        <v>726</v>
      </c>
      <c r="V15" s="16"/>
      <c r="W15" s="16"/>
      <c r="X15" s="16"/>
      <c r="Y15" s="16"/>
      <c r="AB15" t="s">
        <v>232</v>
      </c>
      <c r="AC15" s="5">
        <f>T9</f>
        <v>1100</v>
      </c>
      <c r="AH15" s="17">
        <v>95</v>
      </c>
      <c r="AI15" s="15" t="s">
        <v>12</v>
      </c>
      <c r="AJ15" s="16"/>
      <c r="AK15" s="16">
        <f>S53</f>
        <v>8770</v>
      </c>
      <c r="AM15" t="s">
        <v>232</v>
      </c>
      <c r="AN15" s="5">
        <f t="shared" si="12"/>
        <v>1100</v>
      </c>
    </row>
    <row r="16" spans="1:43" x14ac:dyDescent="0.25">
      <c r="B16" s="17">
        <v>4031</v>
      </c>
      <c r="C16" s="15" t="s">
        <v>172</v>
      </c>
      <c r="D16" s="16">
        <f>SUMIFS(Datos!$H$4:$H$32,Datos!$J$4:$J$32,Respuesta!B16)</f>
        <v>0</v>
      </c>
      <c r="E16" s="16">
        <f>SUMIFS(Datos!$I$4:$I$32,Datos!$J$4:$J$32,Respuesta!B16)</f>
        <v>519</v>
      </c>
      <c r="F16" s="16"/>
      <c r="G16" s="16"/>
      <c r="J16" s="17">
        <v>39527</v>
      </c>
      <c r="K16" s="15" t="s">
        <v>220</v>
      </c>
      <c r="L16" s="16">
        <f t="shared" si="6"/>
        <v>0</v>
      </c>
      <c r="M16" s="16">
        <f t="shared" si="7"/>
        <v>1125</v>
      </c>
      <c r="N16" s="16">
        <f t="shared" si="0"/>
        <v>0</v>
      </c>
      <c r="O16" s="16">
        <f t="shared" si="1"/>
        <v>94</v>
      </c>
      <c r="P16" s="16">
        <f t="shared" si="8"/>
        <v>0</v>
      </c>
      <c r="Q16" s="16">
        <f t="shared" si="9"/>
        <v>1219</v>
      </c>
      <c r="R16" s="16"/>
      <c r="S16" s="16"/>
      <c r="T16" s="16">
        <f t="shared" si="10"/>
        <v>0</v>
      </c>
      <c r="U16" s="16">
        <f t="shared" si="11"/>
        <v>1219</v>
      </c>
      <c r="V16" s="16"/>
      <c r="W16" s="16"/>
      <c r="X16" s="16"/>
      <c r="Y16" s="16"/>
      <c r="AB16" s="1" t="s">
        <v>26</v>
      </c>
      <c r="AC16" s="9">
        <f>SUM(AC10:AC15)</f>
        <v>94062</v>
      </c>
      <c r="AE16" s="1" t="s">
        <v>36</v>
      </c>
      <c r="AF16" s="1"/>
      <c r="AH16" s="17">
        <v>79</v>
      </c>
      <c r="AI16" s="15" t="s">
        <v>13</v>
      </c>
      <c r="AJ16" s="16">
        <f>R51</f>
        <v>13721</v>
      </c>
      <c r="AK16" s="16"/>
      <c r="AM16" s="1" t="s">
        <v>26</v>
      </c>
      <c r="AN16" s="9">
        <f>SUM(AN10:AN15)</f>
        <v>94062</v>
      </c>
      <c r="AP16" s="1" t="s">
        <v>36</v>
      </c>
      <c r="AQ16" s="1"/>
    </row>
    <row r="17" spans="1:43" x14ac:dyDescent="0.25">
      <c r="B17" s="17">
        <v>4115</v>
      </c>
      <c r="C17" s="15" t="s">
        <v>145</v>
      </c>
      <c r="D17" s="16">
        <f>SUMIFS(Datos!$H$4:$H$32,Datos!$J$4:$J$32,Respuesta!B17)</f>
        <v>0</v>
      </c>
      <c r="E17" s="16">
        <f>SUMIFS(Datos!$I$4:$I$32,Datos!$J$4:$J$32,Respuesta!B17)</f>
        <v>5040</v>
      </c>
      <c r="F17" s="16"/>
      <c r="G17" s="16"/>
      <c r="J17" s="17">
        <v>40111</v>
      </c>
      <c r="K17" s="15" t="s">
        <v>144</v>
      </c>
      <c r="L17" s="16">
        <f t="shared" si="6"/>
        <v>0</v>
      </c>
      <c r="M17" s="16">
        <f t="shared" si="7"/>
        <v>1512</v>
      </c>
      <c r="N17" s="16">
        <f t="shared" si="0"/>
        <v>19494</v>
      </c>
      <c r="O17" s="16">
        <f t="shared" si="1"/>
        <v>5760</v>
      </c>
      <c r="P17" s="16">
        <f t="shared" si="8"/>
        <v>12222</v>
      </c>
      <c r="Q17" s="16">
        <f t="shared" si="9"/>
        <v>0</v>
      </c>
      <c r="R17" s="16"/>
      <c r="S17" s="16"/>
      <c r="T17" s="16">
        <f t="shared" si="10"/>
        <v>12222</v>
      </c>
      <c r="U17" s="16">
        <f t="shared" si="11"/>
        <v>0</v>
      </c>
      <c r="V17" s="16"/>
      <c r="W17" s="15"/>
      <c r="X17" s="16"/>
      <c r="Y17" s="15"/>
      <c r="AE17" t="s">
        <v>37</v>
      </c>
      <c r="AF17" s="5">
        <f>U28</f>
        <v>20000</v>
      </c>
      <c r="AH17" s="18" t="s">
        <v>68</v>
      </c>
      <c r="AI17" s="15"/>
      <c r="AJ17" s="16"/>
      <c r="AK17" s="16"/>
      <c r="AP17" t="s">
        <v>37</v>
      </c>
      <c r="AQ17" s="5">
        <f t="shared" ref="AQ17:AQ18" si="13">AF17</f>
        <v>20000</v>
      </c>
    </row>
    <row r="18" spans="1:43" x14ac:dyDescent="0.25">
      <c r="B18" s="17">
        <v>4151</v>
      </c>
      <c r="C18" s="15" t="s">
        <v>146</v>
      </c>
      <c r="D18" s="16">
        <f>SUMIFS(Datos!$H$4:$H$32,Datos!$J$4:$J$32,Respuesta!B18)</f>
        <v>0</v>
      </c>
      <c r="E18" s="16">
        <f>SUMIFS(Datos!$I$4:$I$32,Datos!$J$4:$J$32,Respuesta!B18)</f>
        <v>1120</v>
      </c>
      <c r="F18" s="16"/>
      <c r="G18" s="16"/>
      <c r="J18" s="17">
        <v>40171</v>
      </c>
      <c r="K18" s="15" t="s">
        <v>7</v>
      </c>
      <c r="L18" s="16">
        <f t="shared" si="6"/>
        <v>0</v>
      </c>
      <c r="M18" s="16">
        <f t="shared" si="7"/>
        <v>14750</v>
      </c>
      <c r="N18" s="16">
        <f t="shared" si="0"/>
        <v>0</v>
      </c>
      <c r="O18" s="16">
        <f t="shared" si="1"/>
        <v>0</v>
      </c>
      <c r="P18" s="16">
        <f t="shared" si="8"/>
        <v>0</v>
      </c>
      <c r="Q18" s="16">
        <f t="shared" si="9"/>
        <v>14750</v>
      </c>
      <c r="R18" s="16">
        <f>S23</f>
        <v>0</v>
      </c>
      <c r="S18" s="16"/>
      <c r="T18" s="16">
        <f t="shared" si="10"/>
        <v>0</v>
      </c>
      <c r="U18" s="16">
        <f t="shared" si="11"/>
        <v>14750</v>
      </c>
      <c r="V18" s="16"/>
      <c r="W18" s="15"/>
      <c r="X18" s="16"/>
      <c r="Y18" s="15"/>
      <c r="AB18" s="1" t="s">
        <v>27</v>
      </c>
      <c r="AE18" t="s">
        <v>8</v>
      </c>
      <c r="AF18" s="5">
        <f>U29</f>
        <v>35250</v>
      </c>
      <c r="AH18"/>
      <c r="AM18" s="1" t="s">
        <v>27</v>
      </c>
      <c r="AP18" t="s">
        <v>8</v>
      </c>
      <c r="AQ18" s="5">
        <f t="shared" si="13"/>
        <v>35250</v>
      </c>
    </row>
    <row r="19" spans="1:43" ht="15.75" thickBot="1" x14ac:dyDescent="0.3">
      <c r="B19" s="17">
        <v>417</v>
      </c>
      <c r="C19" s="15" t="s">
        <v>174</v>
      </c>
      <c r="D19" s="16">
        <f>SUMIFS(Datos!$H$4:$H$32,Datos!$J$4:$J$32,Respuesta!B19)</f>
        <v>0</v>
      </c>
      <c r="E19" s="16">
        <f>SUMIFS(Datos!$I$4:$I$32,Datos!$J$4:$J$32,Respuesta!B19)</f>
        <v>749</v>
      </c>
      <c r="F19" s="16"/>
      <c r="G19" s="16"/>
      <c r="J19" s="17">
        <v>4031</v>
      </c>
      <c r="K19" s="15" t="s">
        <v>172</v>
      </c>
      <c r="L19" s="16">
        <f t="shared" si="6"/>
        <v>0</v>
      </c>
      <c r="M19" s="16">
        <f t="shared" si="7"/>
        <v>519</v>
      </c>
      <c r="N19" s="16">
        <f t="shared" si="0"/>
        <v>519</v>
      </c>
      <c r="O19" s="16">
        <f t="shared" si="1"/>
        <v>519</v>
      </c>
      <c r="P19" s="16">
        <f t="shared" si="8"/>
        <v>0</v>
      </c>
      <c r="Q19" s="16">
        <f t="shared" si="9"/>
        <v>519</v>
      </c>
      <c r="R19" s="16"/>
      <c r="S19" s="16"/>
      <c r="T19" s="16">
        <f t="shared" si="10"/>
        <v>0</v>
      </c>
      <c r="U19" s="16">
        <f t="shared" si="11"/>
        <v>519</v>
      </c>
      <c r="V19" s="16"/>
      <c r="W19" s="15"/>
      <c r="X19" s="16"/>
      <c r="Y19" s="15"/>
      <c r="AB19" t="s">
        <v>28</v>
      </c>
      <c r="AC19" s="5">
        <f>T11+T12+T13-U14-U15-U16</f>
        <v>95880</v>
      </c>
      <c r="AE19" t="s">
        <v>38</v>
      </c>
      <c r="AF19" s="34">
        <f>U56</f>
        <v>479</v>
      </c>
      <c r="AH19" s="17">
        <v>611</v>
      </c>
      <c r="AI19" s="15" t="s">
        <v>10</v>
      </c>
      <c r="AJ19" s="16">
        <f>R31</f>
        <v>13400</v>
      </c>
      <c r="AK19" s="16"/>
      <c r="AM19" t="s">
        <v>28</v>
      </c>
      <c r="AN19" s="5">
        <f t="shared" ref="AN19" si="14">AC19</f>
        <v>95880</v>
      </c>
      <c r="AP19" t="s">
        <v>38</v>
      </c>
      <c r="AQ19" s="36">
        <f>AF19-AJ10</f>
        <v>337.69500000000005</v>
      </c>
    </row>
    <row r="20" spans="1:43" ht="15" customHeight="1" x14ac:dyDescent="0.25">
      <c r="B20" s="17">
        <v>4212</v>
      </c>
      <c r="C20" s="15" t="s">
        <v>131</v>
      </c>
      <c r="D20" s="16">
        <f>SUMIFS(Datos!$H$4:$H$32,Datos!$J$4:$J$32,Respuesta!B20)</f>
        <v>0</v>
      </c>
      <c r="E20" s="16">
        <f>SUMIFS(Datos!$I$4:$I$32,Datos!$J$4:$J$32,Respuesta!B20)</f>
        <v>14455</v>
      </c>
      <c r="F20" s="16"/>
      <c r="G20" s="16"/>
      <c r="H20" s="42" t="s">
        <v>257</v>
      </c>
      <c r="I20" s="43"/>
      <c r="J20" s="17">
        <v>4111</v>
      </c>
      <c r="K20" s="15" t="s">
        <v>195</v>
      </c>
      <c r="L20" s="16">
        <f t="shared" si="6"/>
        <v>0</v>
      </c>
      <c r="M20" s="16">
        <f t="shared" si="7"/>
        <v>0</v>
      </c>
      <c r="N20" s="16">
        <f t="shared" si="0"/>
        <v>5011</v>
      </c>
      <c r="O20" s="16">
        <f t="shared" si="1"/>
        <v>5011</v>
      </c>
      <c r="P20" s="16">
        <f t="shared" si="8"/>
        <v>0</v>
      </c>
      <c r="Q20" s="16">
        <f t="shared" si="9"/>
        <v>0</v>
      </c>
      <c r="R20" s="16"/>
      <c r="S20" s="16"/>
      <c r="T20" s="16">
        <f t="shared" si="10"/>
        <v>0</v>
      </c>
      <c r="U20" s="16">
        <f t="shared" si="11"/>
        <v>0</v>
      </c>
      <c r="V20" s="16"/>
      <c r="W20" s="15"/>
      <c r="X20" s="16"/>
      <c r="Y20" s="15"/>
      <c r="AB20" s="1" t="s">
        <v>29</v>
      </c>
      <c r="AC20" s="9">
        <f>SUM(AC19)</f>
        <v>95880</v>
      </c>
      <c r="AE20" s="1" t="s">
        <v>39</v>
      </c>
      <c r="AF20" s="9">
        <f>SUM(AF17:AF19)</f>
        <v>55729</v>
      </c>
      <c r="AH20" s="17">
        <v>691</v>
      </c>
      <c r="AI20" s="15" t="s">
        <v>11</v>
      </c>
      <c r="AJ20" s="16"/>
      <c r="AK20" s="16">
        <f>S48</f>
        <v>13400</v>
      </c>
      <c r="AM20" s="1" t="s">
        <v>29</v>
      </c>
      <c r="AN20" s="9">
        <f>SUM(AN19)</f>
        <v>95880</v>
      </c>
      <c r="AP20" s="1" t="s">
        <v>39</v>
      </c>
      <c r="AQ20" s="9">
        <f>SUM(AQ17:AQ19)</f>
        <v>55587.695</v>
      </c>
    </row>
    <row r="21" spans="1:43" x14ac:dyDescent="0.25">
      <c r="B21" s="17">
        <v>5011</v>
      </c>
      <c r="C21" s="15" t="s">
        <v>138</v>
      </c>
      <c r="D21" s="16">
        <f>SUMIFS(Datos!$H$4:$H$32,Datos!$J$4:$J$32,Respuesta!B21)</f>
        <v>0</v>
      </c>
      <c r="E21" s="16">
        <f>SUMIFS(Datos!$I$4:$I$32,Datos!$J$4:$J$32,Respuesta!B21)</f>
        <v>20000</v>
      </c>
      <c r="F21" s="16"/>
      <c r="G21" s="16"/>
      <c r="H21" s="42"/>
      <c r="I21" s="43"/>
      <c r="J21" s="17">
        <v>4114</v>
      </c>
      <c r="K21" s="15" t="s">
        <v>198</v>
      </c>
      <c r="L21" s="16">
        <f t="shared" si="6"/>
        <v>0</v>
      </c>
      <c r="M21" s="16">
        <f t="shared" si="7"/>
        <v>0</v>
      </c>
      <c r="N21" s="16">
        <f t="shared" si="0"/>
        <v>0</v>
      </c>
      <c r="O21" s="16">
        <f t="shared" si="1"/>
        <v>960</v>
      </c>
      <c r="P21" s="16">
        <f t="shared" si="8"/>
        <v>0</v>
      </c>
      <c r="Q21" s="16">
        <f t="shared" si="9"/>
        <v>960</v>
      </c>
      <c r="R21" s="16"/>
      <c r="S21" s="16"/>
      <c r="T21" s="16">
        <f t="shared" si="10"/>
        <v>0</v>
      </c>
      <c r="U21" s="16">
        <f t="shared" si="11"/>
        <v>960</v>
      </c>
      <c r="V21" s="16"/>
      <c r="W21" s="15"/>
      <c r="X21" s="16"/>
      <c r="Y21" s="15"/>
      <c r="AH21" s="18" t="s">
        <v>69</v>
      </c>
      <c r="AI21" s="15"/>
      <c r="AJ21" s="16"/>
      <c r="AK21" s="16"/>
    </row>
    <row r="22" spans="1:43" ht="15.75" thickBot="1" x14ac:dyDescent="0.3">
      <c r="B22" s="17">
        <v>5911</v>
      </c>
      <c r="C22" s="15" t="s">
        <v>8</v>
      </c>
      <c r="D22" s="16">
        <f>SUMIFS(Datos!$H$4:$H$32,Datos!$J$4:$J$32,Respuesta!B22)</f>
        <v>0</v>
      </c>
      <c r="E22" s="16">
        <f>SUMIFS(Datos!$I$4:$I$32,Datos!$J$4:$J$32,Respuesta!B22)</f>
        <v>35250</v>
      </c>
      <c r="F22" s="16"/>
      <c r="G22" s="16"/>
      <c r="H22" s="42"/>
      <c r="I22" s="43"/>
      <c r="J22" s="17">
        <v>4115</v>
      </c>
      <c r="K22" s="15" t="s">
        <v>145</v>
      </c>
      <c r="L22" s="16">
        <f t="shared" si="6"/>
        <v>0</v>
      </c>
      <c r="M22" s="16">
        <f t="shared" si="7"/>
        <v>5040</v>
      </c>
      <c r="N22" s="16">
        <f t="shared" si="0"/>
        <v>0</v>
      </c>
      <c r="O22" s="16">
        <f t="shared" si="1"/>
        <v>480</v>
      </c>
      <c r="P22" s="16">
        <f t="shared" si="8"/>
        <v>0</v>
      </c>
      <c r="Q22" s="16">
        <f t="shared" si="9"/>
        <v>5520</v>
      </c>
      <c r="R22" s="16"/>
      <c r="S22" s="16"/>
      <c r="T22" s="16">
        <f t="shared" si="10"/>
        <v>0</v>
      </c>
      <c r="U22" s="16">
        <f t="shared" si="11"/>
        <v>5520</v>
      </c>
      <c r="V22" s="16"/>
      <c r="W22" s="15"/>
      <c r="X22" s="16"/>
      <c r="Y22" s="15"/>
      <c r="AB22" s="1" t="s">
        <v>30</v>
      </c>
      <c r="AC22" s="10">
        <f>AC16+AC20</f>
        <v>189942</v>
      </c>
      <c r="AE22" s="1" t="s">
        <v>40</v>
      </c>
      <c r="AF22" s="10">
        <f>AF14+AF20</f>
        <v>189942</v>
      </c>
      <c r="AH22"/>
      <c r="AM22" s="1" t="s">
        <v>30</v>
      </c>
      <c r="AN22" s="10">
        <f>AN16+AN20</f>
        <v>189942</v>
      </c>
      <c r="AP22" s="1" t="s">
        <v>40</v>
      </c>
      <c r="AQ22" s="10">
        <f>AQ14+AQ20</f>
        <v>189942</v>
      </c>
    </row>
    <row r="23" spans="1:43" ht="15.75" thickTop="1" x14ac:dyDescent="0.25">
      <c r="B23" s="18" t="s">
        <v>47</v>
      </c>
      <c r="C23" s="15"/>
      <c r="D23" s="16"/>
      <c r="E23" s="16"/>
      <c r="F23" s="16"/>
      <c r="G23" s="16"/>
      <c r="H23" s="42"/>
      <c r="I23" s="43"/>
      <c r="J23" s="17">
        <v>4151</v>
      </c>
      <c r="K23" s="15" t="s">
        <v>146</v>
      </c>
      <c r="L23" s="16">
        <f t="shared" si="6"/>
        <v>0</v>
      </c>
      <c r="M23" s="16">
        <f t="shared" si="7"/>
        <v>1120</v>
      </c>
      <c r="N23" s="16">
        <f t="shared" si="0"/>
        <v>0</v>
      </c>
      <c r="O23" s="16">
        <f t="shared" si="1"/>
        <v>560</v>
      </c>
      <c r="P23" s="16">
        <f t="shared" si="8"/>
        <v>0</v>
      </c>
      <c r="Q23" s="16">
        <f t="shared" si="9"/>
        <v>1680</v>
      </c>
      <c r="R23" s="16"/>
      <c r="S23" s="16">
        <f>P23</f>
        <v>0</v>
      </c>
      <c r="T23" s="16">
        <f t="shared" si="10"/>
        <v>0</v>
      </c>
      <c r="U23" s="16">
        <f t="shared" si="11"/>
        <v>1680</v>
      </c>
      <c r="V23" s="16"/>
      <c r="W23" s="15"/>
      <c r="X23" s="16">
        <f>P23</f>
        <v>0</v>
      </c>
      <c r="Y23" s="15"/>
      <c r="AH23" s="17">
        <v>801</v>
      </c>
      <c r="AI23" s="15" t="s">
        <v>70</v>
      </c>
      <c r="AJ23" s="16"/>
      <c r="AK23" s="16">
        <f>AJ24-AK25-AK26</f>
        <v>18600</v>
      </c>
    </row>
    <row r="24" spans="1:43" x14ac:dyDescent="0.25">
      <c r="D24" s="5"/>
      <c r="E24" s="5"/>
      <c r="F24" s="5"/>
      <c r="G24" s="5"/>
      <c r="J24" s="17">
        <v>417</v>
      </c>
      <c r="K24" s="15" t="s">
        <v>174</v>
      </c>
      <c r="L24" s="16">
        <f t="shared" si="6"/>
        <v>0</v>
      </c>
      <c r="M24" s="16">
        <f t="shared" si="7"/>
        <v>749</v>
      </c>
      <c r="N24" s="16">
        <f t="shared" si="0"/>
        <v>749</v>
      </c>
      <c r="O24" s="16">
        <f t="shared" si="1"/>
        <v>749</v>
      </c>
      <c r="P24" s="16">
        <f t="shared" si="8"/>
        <v>0</v>
      </c>
      <c r="Q24" s="16">
        <f t="shared" si="9"/>
        <v>749</v>
      </c>
      <c r="R24" s="16"/>
      <c r="S24" s="16"/>
      <c r="T24" s="16">
        <f t="shared" si="10"/>
        <v>0</v>
      </c>
      <c r="U24" s="16">
        <f t="shared" si="11"/>
        <v>749</v>
      </c>
      <c r="V24" s="16"/>
      <c r="W24" s="15"/>
      <c r="X24" s="16"/>
      <c r="Y24" s="15"/>
      <c r="AH24" s="17">
        <v>701</v>
      </c>
      <c r="AI24" s="15" t="s">
        <v>2</v>
      </c>
      <c r="AJ24" s="16">
        <f>W49</f>
        <v>32000</v>
      </c>
      <c r="AK24" s="16"/>
    </row>
    <row r="25" spans="1:43" x14ac:dyDescent="0.25">
      <c r="B25" s="17">
        <v>6011</v>
      </c>
      <c r="C25" s="15" t="s">
        <v>6</v>
      </c>
      <c r="D25" s="16">
        <f>Datos!F39+Datos!F40</f>
        <v>5500</v>
      </c>
      <c r="E25" s="16"/>
      <c r="F25" s="16"/>
      <c r="G25" s="16"/>
      <c r="J25" s="17">
        <v>4212</v>
      </c>
      <c r="K25" s="15" t="s">
        <v>131</v>
      </c>
      <c r="L25" s="16">
        <f t="shared" si="6"/>
        <v>0</v>
      </c>
      <c r="M25" s="16">
        <f t="shared" si="7"/>
        <v>14455</v>
      </c>
      <c r="N25" s="16">
        <f t="shared" si="0"/>
        <v>5487</v>
      </c>
      <c r="O25" s="16">
        <f t="shared" si="1"/>
        <v>11387</v>
      </c>
      <c r="P25" s="16">
        <f t="shared" si="8"/>
        <v>0</v>
      </c>
      <c r="Q25" s="16">
        <f t="shared" si="9"/>
        <v>20355</v>
      </c>
      <c r="R25" s="16"/>
      <c r="S25" s="16"/>
      <c r="T25" s="16">
        <f t="shared" si="10"/>
        <v>0</v>
      </c>
      <c r="U25" s="16">
        <f t="shared" si="11"/>
        <v>20355</v>
      </c>
      <c r="V25" s="16"/>
      <c r="W25" s="15"/>
      <c r="X25" s="16"/>
      <c r="Y25" s="15"/>
      <c r="AH25" s="17">
        <v>601</v>
      </c>
      <c r="AI25" s="15" t="s">
        <v>6</v>
      </c>
      <c r="AJ25" s="16"/>
      <c r="AK25" s="16">
        <f>V30</f>
        <v>5500</v>
      </c>
    </row>
    <row r="26" spans="1:43" x14ac:dyDescent="0.25">
      <c r="B26" s="17">
        <v>40111</v>
      </c>
      <c r="C26" s="15" t="s">
        <v>144</v>
      </c>
      <c r="D26" s="16">
        <f>D25*0.18</f>
        <v>990</v>
      </c>
      <c r="E26" s="16"/>
      <c r="F26" s="16"/>
      <c r="G26" s="16"/>
      <c r="H26" s="42" t="s">
        <v>258</v>
      </c>
      <c r="I26" s="43"/>
      <c r="J26" s="17">
        <v>4213</v>
      </c>
      <c r="K26" s="15" t="s">
        <v>178</v>
      </c>
      <c r="L26" s="16">
        <f t="shared" si="6"/>
        <v>0</v>
      </c>
      <c r="M26" s="16">
        <f t="shared" si="7"/>
        <v>0</v>
      </c>
      <c r="N26" s="16">
        <f t="shared" si="0"/>
        <v>295</v>
      </c>
      <c r="O26" s="16">
        <f t="shared" si="1"/>
        <v>295</v>
      </c>
      <c r="P26" s="16">
        <f t="shared" si="8"/>
        <v>0</v>
      </c>
      <c r="Q26" s="16">
        <f t="shared" si="9"/>
        <v>0</v>
      </c>
      <c r="R26" s="16"/>
      <c r="S26" s="16"/>
      <c r="T26" s="16">
        <f t="shared" si="10"/>
        <v>0</v>
      </c>
      <c r="U26" s="16">
        <f t="shared" si="11"/>
        <v>0</v>
      </c>
      <c r="V26" s="16"/>
      <c r="W26" s="15"/>
      <c r="X26" s="16"/>
      <c r="Y26" s="15"/>
      <c r="AH26" s="17">
        <v>611</v>
      </c>
      <c r="AI26" s="15" t="s">
        <v>10</v>
      </c>
      <c r="AJ26" s="16"/>
      <c r="AK26" s="16">
        <f>V31</f>
        <v>7900</v>
      </c>
    </row>
    <row r="27" spans="1:43" x14ac:dyDescent="0.25">
      <c r="B27" s="17">
        <v>4212</v>
      </c>
      <c r="C27" s="15" t="s">
        <v>131</v>
      </c>
      <c r="D27" s="16"/>
      <c r="E27" s="16">
        <f>SUM(D25:D26)</f>
        <v>6490</v>
      </c>
      <c r="F27" s="16"/>
      <c r="G27" s="16"/>
      <c r="H27" s="42"/>
      <c r="I27" s="43"/>
      <c r="J27" s="17">
        <v>4654</v>
      </c>
      <c r="K27" s="15" t="s">
        <v>162</v>
      </c>
      <c r="L27" s="16">
        <f t="shared" si="6"/>
        <v>0</v>
      </c>
      <c r="M27" s="16">
        <f t="shared" si="7"/>
        <v>0</v>
      </c>
      <c r="N27" s="16">
        <f t="shared" si="0"/>
        <v>21240</v>
      </c>
      <c r="O27" s="16">
        <f t="shared" si="1"/>
        <v>110920</v>
      </c>
      <c r="P27" s="16">
        <f t="shared" si="8"/>
        <v>0</v>
      </c>
      <c r="Q27" s="16">
        <f t="shared" si="9"/>
        <v>89680</v>
      </c>
      <c r="R27" s="16"/>
      <c r="S27" s="16"/>
      <c r="T27" s="16">
        <f t="shared" si="10"/>
        <v>0</v>
      </c>
      <c r="U27" s="16">
        <f t="shared" si="11"/>
        <v>89680</v>
      </c>
      <c r="V27" s="16"/>
      <c r="W27" s="15"/>
      <c r="X27" s="16"/>
      <c r="Y27" s="15"/>
      <c r="AB27" s="1" t="s">
        <v>41</v>
      </c>
      <c r="AC27" s="1"/>
      <c r="AH27" s="18" t="s">
        <v>74</v>
      </c>
      <c r="AI27" s="15"/>
      <c r="AJ27" s="16"/>
      <c r="AK27" s="16"/>
      <c r="AM27" s="1" t="s">
        <v>41</v>
      </c>
      <c r="AN27" s="1"/>
    </row>
    <row r="28" spans="1:43" x14ac:dyDescent="0.25">
      <c r="A28" s="2">
        <v>1</v>
      </c>
      <c r="B28" s="18" t="s">
        <v>48</v>
      </c>
      <c r="C28" s="15"/>
      <c r="D28" s="16"/>
      <c r="E28" s="16"/>
      <c r="F28" s="16"/>
      <c r="G28" s="16"/>
      <c r="H28" s="42"/>
      <c r="I28" s="43"/>
      <c r="J28" s="17">
        <v>5011</v>
      </c>
      <c r="K28" s="15" t="s">
        <v>138</v>
      </c>
      <c r="L28" s="16">
        <f t="shared" si="6"/>
        <v>0</v>
      </c>
      <c r="M28" s="16">
        <f t="shared" si="7"/>
        <v>20000</v>
      </c>
      <c r="N28" s="16">
        <f t="shared" si="0"/>
        <v>0</v>
      </c>
      <c r="O28" s="16">
        <f t="shared" si="1"/>
        <v>0</v>
      </c>
      <c r="P28" s="16">
        <f t="shared" si="8"/>
        <v>0</v>
      </c>
      <c r="Q28" s="16">
        <f t="shared" si="9"/>
        <v>20000</v>
      </c>
      <c r="R28" s="16"/>
      <c r="S28" s="16"/>
      <c r="T28" s="16">
        <f t="shared" si="10"/>
        <v>0</v>
      </c>
      <c r="U28" s="16">
        <f t="shared" si="11"/>
        <v>20000</v>
      </c>
      <c r="V28" s="16"/>
      <c r="W28" s="15"/>
      <c r="X28" s="16"/>
      <c r="Y28" s="15"/>
      <c r="AB28" t="s">
        <v>62</v>
      </c>
      <c r="AH28"/>
      <c r="AM28" t="s">
        <v>62</v>
      </c>
    </row>
    <row r="29" spans="1:43" x14ac:dyDescent="0.25">
      <c r="A29" s="2"/>
      <c r="D29" s="5"/>
      <c r="E29" s="5"/>
      <c r="F29" s="5"/>
      <c r="G29" s="5"/>
      <c r="J29" s="17">
        <v>5911</v>
      </c>
      <c r="K29" s="15" t="s">
        <v>8</v>
      </c>
      <c r="L29" s="16">
        <f t="shared" si="6"/>
        <v>0</v>
      </c>
      <c r="M29" s="16">
        <f t="shared" si="7"/>
        <v>35250</v>
      </c>
      <c r="N29" s="16">
        <f t="shared" si="0"/>
        <v>0</v>
      </c>
      <c r="O29" s="16">
        <f t="shared" si="1"/>
        <v>0</v>
      </c>
      <c r="P29" s="16">
        <f t="shared" si="8"/>
        <v>0</v>
      </c>
      <c r="Q29" s="16">
        <f t="shared" si="9"/>
        <v>35250</v>
      </c>
      <c r="R29" s="16"/>
      <c r="S29" s="16"/>
      <c r="T29" s="16">
        <f t="shared" si="10"/>
        <v>0</v>
      </c>
      <c r="U29" s="16">
        <f t="shared" si="11"/>
        <v>35250</v>
      </c>
      <c r="V29" s="16"/>
      <c r="W29" s="15"/>
      <c r="X29" s="16"/>
      <c r="Y29" s="15"/>
      <c r="AB29" t="s">
        <v>60</v>
      </c>
      <c r="AH29" s="17">
        <v>821</v>
      </c>
      <c r="AI29" s="15" t="s">
        <v>71</v>
      </c>
      <c r="AJ29" s="16"/>
      <c r="AK29" s="16">
        <f>AJ30-AK31-AK32-AK33-AK34</f>
        <v>15512</v>
      </c>
      <c r="AM29" t="s">
        <v>60</v>
      </c>
    </row>
    <row r="30" spans="1:43" x14ac:dyDescent="0.25">
      <c r="A30" s="2"/>
      <c r="B30" s="17">
        <v>20111</v>
      </c>
      <c r="C30" s="15" t="s">
        <v>108</v>
      </c>
      <c r="D30" s="16">
        <f>D25</f>
        <v>5500</v>
      </c>
      <c r="E30" s="16"/>
      <c r="F30" s="16"/>
      <c r="G30" s="16"/>
      <c r="J30" s="17">
        <v>6011</v>
      </c>
      <c r="K30" s="15" t="s">
        <v>6</v>
      </c>
      <c r="L30" s="16">
        <f t="shared" si="6"/>
        <v>0</v>
      </c>
      <c r="M30" s="16">
        <f t="shared" si="7"/>
        <v>0</v>
      </c>
      <c r="N30" s="16">
        <f t="shared" si="0"/>
        <v>5500</v>
      </c>
      <c r="O30" s="16">
        <f t="shared" si="1"/>
        <v>0</v>
      </c>
      <c r="P30" s="16">
        <f t="shared" si="8"/>
        <v>5500</v>
      </c>
      <c r="Q30" s="16">
        <f t="shared" si="9"/>
        <v>0</v>
      </c>
      <c r="R30" s="16"/>
      <c r="S30" s="16"/>
      <c r="T30" s="16"/>
      <c r="U30" s="16"/>
      <c r="V30" s="16">
        <f>IF(P30-Q30+R30-S30&gt;0,P30-Q30+R30-S30,0)</f>
        <v>5500</v>
      </c>
      <c r="W30" s="16">
        <f>IF(Q30-P30+S30-R30&gt;0,Q30-P30+S30-R30,0)</f>
        <v>0</v>
      </c>
      <c r="X30" s="16"/>
      <c r="Y30" s="16"/>
      <c r="AH30" s="17">
        <v>801</v>
      </c>
      <c r="AI30" s="15" t="s">
        <v>70</v>
      </c>
      <c r="AJ30" s="16">
        <f>AK23</f>
        <v>18600</v>
      </c>
      <c r="AK30" s="16"/>
    </row>
    <row r="31" spans="1:43" x14ac:dyDescent="0.25">
      <c r="A31" s="2"/>
      <c r="B31" s="17">
        <v>6111</v>
      </c>
      <c r="C31" s="15" t="s">
        <v>10</v>
      </c>
      <c r="D31" s="16"/>
      <c r="E31" s="16">
        <f>D30</f>
        <v>5500</v>
      </c>
      <c r="F31" s="16"/>
      <c r="G31" s="16"/>
      <c r="J31" s="17">
        <v>6111</v>
      </c>
      <c r="K31" s="15" t="s">
        <v>10</v>
      </c>
      <c r="L31" s="16">
        <f t="shared" si="6"/>
        <v>0</v>
      </c>
      <c r="M31" s="16">
        <f t="shared" si="7"/>
        <v>0</v>
      </c>
      <c r="N31" s="16">
        <f t="shared" si="0"/>
        <v>0</v>
      </c>
      <c r="O31" s="16">
        <f t="shared" si="1"/>
        <v>5500</v>
      </c>
      <c r="P31" s="16">
        <f t="shared" si="8"/>
        <v>0</v>
      </c>
      <c r="Q31" s="16">
        <f t="shared" si="9"/>
        <v>5500</v>
      </c>
      <c r="R31" s="16">
        <f>S48</f>
        <v>13400</v>
      </c>
      <c r="S31" s="16"/>
      <c r="T31" s="16"/>
      <c r="U31" s="15"/>
      <c r="V31" s="16">
        <f t="shared" ref="V31:V53" si="15">IF(P31-Q31+R31-S31&gt;0,P31-Q31+R31-S31,0)</f>
        <v>7900</v>
      </c>
      <c r="W31" s="16">
        <f t="shared" ref="W31:W53" si="16">IF(Q31-P31+S31-R31&gt;0,Q31-P31+S31-R31,0)</f>
        <v>0</v>
      </c>
      <c r="X31" s="16"/>
      <c r="Y31" s="15"/>
      <c r="AH31" s="17">
        <v>6352</v>
      </c>
      <c r="AI31" s="15" t="s">
        <v>177</v>
      </c>
      <c r="AJ31" s="16"/>
      <c r="AK31" s="16">
        <f>V37</f>
        <v>2500</v>
      </c>
    </row>
    <row r="32" spans="1:43" x14ac:dyDescent="0.25">
      <c r="A32" s="2">
        <v>1</v>
      </c>
      <c r="B32" s="18" t="s">
        <v>49</v>
      </c>
      <c r="C32" s="15"/>
      <c r="D32" s="16"/>
      <c r="E32" s="16"/>
      <c r="F32" s="16"/>
      <c r="G32" s="16"/>
      <c r="J32" s="17">
        <v>6211</v>
      </c>
      <c r="K32" s="15" t="s">
        <v>193</v>
      </c>
      <c r="L32" s="16">
        <f t="shared" si="6"/>
        <v>0</v>
      </c>
      <c r="M32" s="16">
        <f t="shared" si="7"/>
        <v>0</v>
      </c>
      <c r="N32" s="16">
        <f t="shared" si="0"/>
        <v>5760</v>
      </c>
      <c r="O32" s="16">
        <f t="shared" si="1"/>
        <v>0</v>
      </c>
      <c r="P32" s="16">
        <f t="shared" si="8"/>
        <v>5760</v>
      </c>
      <c r="Q32" s="16">
        <f t="shared" si="9"/>
        <v>0</v>
      </c>
      <c r="R32" s="16"/>
      <c r="S32" s="16"/>
      <c r="T32" s="16"/>
      <c r="U32" s="15"/>
      <c r="V32" s="16">
        <f t="shared" si="15"/>
        <v>5760</v>
      </c>
      <c r="W32" s="16">
        <f t="shared" si="16"/>
        <v>0</v>
      </c>
      <c r="X32" s="16"/>
      <c r="Y32" s="15"/>
      <c r="AB32" t="s">
        <v>42</v>
      </c>
      <c r="AC32" s="5">
        <f>Y49</f>
        <v>32000</v>
      </c>
      <c r="AH32" s="17">
        <v>6361</v>
      </c>
      <c r="AI32" s="15" t="s">
        <v>14</v>
      </c>
      <c r="AJ32" s="16"/>
      <c r="AK32" s="16">
        <f>V38</f>
        <v>200</v>
      </c>
      <c r="AM32" t="s">
        <v>42</v>
      </c>
      <c r="AN32" s="5">
        <f>AC32</f>
        <v>32000</v>
      </c>
    </row>
    <row r="33" spans="1:40" ht="15.75" thickBot="1" x14ac:dyDescent="0.3">
      <c r="A33" s="2"/>
      <c r="D33" s="5"/>
      <c r="E33" s="5"/>
      <c r="F33" s="5"/>
      <c r="G33" s="5"/>
      <c r="J33" s="17">
        <v>6214</v>
      </c>
      <c r="K33" s="15" t="s">
        <v>198</v>
      </c>
      <c r="L33" s="16">
        <f t="shared" si="6"/>
        <v>0</v>
      </c>
      <c r="M33" s="16">
        <f t="shared" si="7"/>
        <v>0</v>
      </c>
      <c r="N33" s="16">
        <f t="shared" si="0"/>
        <v>960</v>
      </c>
      <c r="O33" s="16">
        <f t="shared" si="1"/>
        <v>0</v>
      </c>
      <c r="P33" s="16">
        <f t="shared" si="8"/>
        <v>960</v>
      </c>
      <c r="Q33" s="16">
        <f t="shared" si="9"/>
        <v>0</v>
      </c>
      <c r="R33" s="16"/>
      <c r="S33" s="16"/>
      <c r="T33" s="16"/>
      <c r="U33" s="15"/>
      <c r="V33" s="16">
        <f t="shared" si="15"/>
        <v>960</v>
      </c>
      <c r="W33" s="16">
        <f t="shared" si="16"/>
        <v>0</v>
      </c>
      <c r="X33" s="16"/>
      <c r="Y33" s="15"/>
      <c r="AB33" t="s">
        <v>11</v>
      </c>
      <c r="AC33" s="5">
        <f>-X48</f>
        <v>-13400</v>
      </c>
      <c r="AH33" s="17">
        <v>6365</v>
      </c>
      <c r="AI33" s="15" t="s">
        <v>182</v>
      </c>
      <c r="AJ33" s="16"/>
      <c r="AK33" s="16">
        <f>V39</f>
        <v>300</v>
      </c>
      <c r="AM33" t="s">
        <v>11</v>
      </c>
      <c r="AN33" s="5">
        <f>AC33</f>
        <v>-13400</v>
      </c>
    </row>
    <row r="34" spans="1:40" x14ac:dyDescent="0.25">
      <c r="A34" s="2"/>
      <c r="B34" s="17">
        <v>4212</v>
      </c>
      <c r="C34" s="15" t="s">
        <v>131</v>
      </c>
      <c r="D34" s="16">
        <f>Datos!I27+Datos!I28+Datos!I29</f>
        <v>1180</v>
      </c>
      <c r="E34" s="16"/>
      <c r="F34" s="16"/>
      <c r="G34" s="16"/>
      <c r="H34" s="42" t="s">
        <v>260</v>
      </c>
      <c r="I34" s="43"/>
      <c r="J34" s="17">
        <v>6215</v>
      </c>
      <c r="K34" s="15" t="s">
        <v>127</v>
      </c>
      <c r="L34" s="16">
        <f t="shared" si="6"/>
        <v>0</v>
      </c>
      <c r="M34" s="16">
        <f t="shared" si="7"/>
        <v>0</v>
      </c>
      <c r="N34" s="16">
        <f t="shared" si="0"/>
        <v>480</v>
      </c>
      <c r="O34" s="16">
        <f t="shared" si="1"/>
        <v>0</v>
      </c>
      <c r="P34" s="16">
        <f t="shared" si="8"/>
        <v>480</v>
      </c>
      <c r="Q34" s="16">
        <f t="shared" si="9"/>
        <v>0</v>
      </c>
      <c r="R34" s="16"/>
      <c r="S34" s="16"/>
      <c r="T34" s="16"/>
      <c r="U34" s="15"/>
      <c r="V34" s="16">
        <f t="shared" si="15"/>
        <v>480</v>
      </c>
      <c r="W34" s="16">
        <f t="shared" si="16"/>
        <v>0</v>
      </c>
      <c r="X34" s="16"/>
      <c r="Y34" s="15"/>
      <c r="AB34" s="1" t="s">
        <v>43</v>
      </c>
      <c r="AC34" s="9">
        <f>SUM(AC32:AC33)</f>
        <v>18600</v>
      </c>
      <c r="AH34" s="17">
        <v>6391</v>
      </c>
      <c r="AI34" s="15" t="s">
        <v>226</v>
      </c>
      <c r="AJ34" s="16"/>
      <c r="AK34" s="16">
        <f>V40</f>
        <v>88</v>
      </c>
      <c r="AM34" s="1" t="s">
        <v>43</v>
      </c>
      <c r="AN34" s="9">
        <f>SUM(AN32:AN33)</f>
        <v>18600</v>
      </c>
    </row>
    <row r="35" spans="1:40" x14ac:dyDescent="0.25">
      <c r="A35" s="2"/>
      <c r="B35" s="17">
        <v>10411</v>
      </c>
      <c r="C35" s="15" t="s">
        <v>98</v>
      </c>
      <c r="D35" s="16"/>
      <c r="E35" s="16">
        <f>D34</f>
        <v>1180</v>
      </c>
      <c r="F35" s="16"/>
      <c r="G35" s="16"/>
      <c r="H35" s="42"/>
      <c r="I35" s="43"/>
      <c r="J35" s="17">
        <v>6271</v>
      </c>
      <c r="K35" s="15" t="s">
        <v>194</v>
      </c>
      <c r="L35" s="16">
        <f t="shared" si="6"/>
        <v>0</v>
      </c>
      <c r="M35" s="16">
        <f t="shared" si="7"/>
        <v>0</v>
      </c>
      <c r="N35" s="16">
        <f t="shared" si="0"/>
        <v>519</v>
      </c>
      <c r="O35" s="16">
        <f t="shared" si="1"/>
        <v>0</v>
      </c>
      <c r="P35" s="16">
        <f t="shared" si="8"/>
        <v>519</v>
      </c>
      <c r="Q35" s="16">
        <f t="shared" si="9"/>
        <v>0</v>
      </c>
      <c r="R35" s="16"/>
      <c r="S35" s="16"/>
      <c r="T35" s="16"/>
      <c r="U35" s="15"/>
      <c r="V35" s="16">
        <f t="shared" si="15"/>
        <v>519</v>
      </c>
      <c r="W35" s="16">
        <f t="shared" si="16"/>
        <v>0</v>
      </c>
      <c r="X35" s="16"/>
      <c r="Y35" s="15"/>
      <c r="AB35" t="s">
        <v>44</v>
      </c>
      <c r="AC35" s="5">
        <f>-X52</f>
        <v>-4951</v>
      </c>
      <c r="AH35" s="18" t="s">
        <v>75</v>
      </c>
      <c r="AI35" s="15"/>
      <c r="AJ35" s="16"/>
      <c r="AK35" s="16"/>
      <c r="AM35" t="s">
        <v>44</v>
      </c>
      <c r="AN35" s="5">
        <f t="shared" ref="AN35:AN36" si="17">AC35</f>
        <v>-4951</v>
      </c>
    </row>
    <row r="36" spans="1:40" ht="15.75" thickBot="1" x14ac:dyDescent="0.3">
      <c r="A36" s="2">
        <v>2</v>
      </c>
      <c r="B36" s="18" t="s">
        <v>50</v>
      </c>
      <c r="C36" s="15"/>
      <c r="D36" s="16"/>
      <c r="E36" s="16"/>
      <c r="F36" s="16"/>
      <c r="G36" s="16"/>
      <c r="H36" s="42"/>
      <c r="I36" s="43"/>
      <c r="J36" s="17">
        <v>6291</v>
      </c>
      <c r="K36" s="15" t="s">
        <v>130</v>
      </c>
      <c r="L36" s="16">
        <f t="shared" si="6"/>
        <v>0</v>
      </c>
      <c r="M36" s="16">
        <f t="shared" si="7"/>
        <v>0</v>
      </c>
      <c r="N36" s="16">
        <f t="shared" si="0"/>
        <v>560</v>
      </c>
      <c r="O36" s="16">
        <f t="shared" si="1"/>
        <v>0</v>
      </c>
      <c r="P36" s="16">
        <f t="shared" si="8"/>
        <v>560</v>
      </c>
      <c r="Q36" s="16">
        <f t="shared" si="9"/>
        <v>0</v>
      </c>
      <c r="R36" s="16"/>
      <c r="S36" s="16"/>
      <c r="T36" s="16"/>
      <c r="U36" s="15"/>
      <c r="V36" s="16">
        <f t="shared" si="15"/>
        <v>560</v>
      </c>
      <c r="W36" s="16">
        <f t="shared" si="16"/>
        <v>0</v>
      </c>
      <c r="X36" s="16"/>
      <c r="Y36" s="15"/>
      <c r="AB36" t="s">
        <v>45</v>
      </c>
      <c r="AC36" s="5">
        <f>-X53</f>
        <v>-8770</v>
      </c>
      <c r="AH36"/>
      <c r="AM36" t="s">
        <v>45</v>
      </c>
      <c r="AN36" s="5">
        <f t="shared" si="17"/>
        <v>-8770</v>
      </c>
    </row>
    <row r="37" spans="1:40" x14ac:dyDescent="0.25">
      <c r="A37" s="2"/>
      <c r="D37" s="5"/>
      <c r="E37" s="5"/>
      <c r="F37" s="5"/>
      <c r="G37" s="5"/>
      <c r="J37" s="17">
        <v>6352</v>
      </c>
      <c r="K37" s="15" t="s">
        <v>177</v>
      </c>
      <c r="L37" s="16">
        <f t="shared" si="6"/>
        <v>0</v>
      </c>
      <c r="M37" s="16">
        <f t="shared" si="7"/>
        <v>0</v>
      </c>
      <c r="N37" s="16">
        <f t="shared" ref="N37:N53" si="18">SUMIFS($D$25:$D$296,$B$25:$B$296,J37)</f>
        <v>2500</v>
      </c>
      <c r="O37" s="16">
        <f t="shared" ref="O37:O53" si="19">SUMIFS($E$25:$E$296,$B$25:$B$296,J37)</f>
        <v>0</v>
      </c>
      <c r="P37" s="16">
        <f t="shared" si="8"/>
        <v>2500</v>
      </c>
      <c r="Q37" s="16">
        <f t="shared" si="9"/>
        <v>0</v>
      </c>
      <c r="R37" s="16"/>
      <c r="S37" s="16"/>
      <c r="T37" s="16"/>
      <c r="U37" s="15"/>
      <c r="V37" s="16">
        <f t="shared" si="15"/>
        <v>2500</v>
      </c>
      <c r="W37" s="16">
        <f t="shared" si="16"/>
        <v>0</v>
      </c>
      <c r="X37" s="16"/>
      <c r="Y37" s="15"/>
      <c r="AB37" s="1" t="s">
        <v>46</v>
      </c>
      <c r="AC37" s="9">
        <f>SUM(AC34:AC36)</f>
        <v>4879</v>
      </c>
      <c r="AH37" s="17">
        <v>831</v>
      </c>
      <c r="AI37" s="15" t="s">
        <v>72</v>
      </c>
      <c r="AJ37" s="16"/>
      <c r="AK37" s="16">
        <f>AJ38-AK39-AK40-AK41-AK42-AK43-AK44-AK45</f>
        <v>7204</v>
      </c>
      <c r="AM37" s="1" t="s">
        <v>46</v>
      </c>
      <c r="AN37" s="9">
        <f>SUM(AN34:AN36)</f>
        <v>4879</v>
      </c>
    </row>
    <row r="38" spans="1:40" ht="15.75" thickBot="1" x14ac:dyDescent="0.3">
      <c r="A38" s="2"/>
      <c r="B38" s="17">
        <v>10411</v>
      </c>
      <c r="C38" s="15" t="s">
        <v>98</v>
      </c>
      <c r="D38" s="16">
        <f>E39</f>
        <v>21240</v>
      </c>
      <c r="E38" s="16"/>
      <c r="F38" s="16"/>
      <c r="G38" s="16"/>
      <c r="H38" s="42" t="s">
        <v>259</v>
      </c>
      <c r="I38" s="43"/>
      <c r="J38" s="17">
        <v>6361</v>
      </c>
      <c r="K38" s="15" t="s">
        <v>14</v>
      </c>
      <c r="L38" s="16">
        <f t="shared" si="6"/>
        <v>0</v>
      </c>
      <c r="M38" s="16">
        <f t="shared" si="7"/>
        <v>0</v>
      </c>
      <c r="N38" s="16">
        <f t="shared" si="18"/>
        <v>200</v>
      </c>
      <c r="O38" s="16">
        <f t="shared" si="19"/>
        <v>0</v>
      </c>
      <c r="P38" s="16">
        <f t="shared" si="8"/>
        <v>200</v>
      </c>
      <c r="Q38" s="16">
        <f t="shared" si="9"/>
        <v>0</v>
      </c>
      <c r="R38" s="16"/>
      <c r="S38" s="16"/>
      <c r="T38" s="16"/>
      <c r="U38" s="15"/>
      <c r="V38" s="16">
        <f t="shared" si="15"/>
        <v>200</v>
      </c>
      <c r="W38" s="16">
        <f t="shared" si="16"/>
        <v>0</v>
      </c>
      <c r="X38" s="16"/>
      <c r="Y38" s="15"/>
      <c r="AB38" t="s">
        <v>234</v>
      </c>
      <c r="AC38" s="5">
        <f>-X44+Y50</f>
        <v>-4400</v>
      </c>
      <c r="AH38" s="17">
        <v>821</v>
      </c>
      <c r="AI38" s="15" t="s">
        <v>71</v>
      </c>
      <c r="AJ38" s="16">
        <f>AK29</f>
        <v>15512</v>
      </c>
      <c r="AK38" s="16"/>
      <c r="AM38" t="s">
        <v>234</v>
      </c>
      <c r="AN38" s="5">
        <f>AC38</f>
        <v>-4400</v>
      </c>
    </row>
    <row r="39" spans="1:40" x14ac:dyDescent="0.25">
      <c r="A39" s="2"/>
      <c r="B39" s="17">
        <v>1212</v>
      </c>
      <c r="C39" s="15" t="s">
        <v>103</v>
      </c>
      <c r="D39" s="16"/>
      <c r="E39" s="16">
        <f>Datos!H6+Datos!H7+Datos!H8</f>
        <v>21240</v>
      </c>
      <c r="F39" s="16"/>
      <c r="G39" s="16"/>
      <c r="H39" s="42"/>
      <c r="I39" s="43"/>
      <c r="J39" s="17">
        <v>6365</v>
      </c>
      <c r="K39" s="15" t="s">
        <v>182</v>
      </c>
      <c r="L39" s="16">
        <f t="shared" si="6"/>
        <v>0</v>
      </c>
      <c r="M39" s="16">
        <f t="shared" si="7"/>
        <v>0</v>
      </c>
      <c r="N39" s="16">
        <f t="shared" si="18"/>
        <v>300</v>
      </c>
      <c r="O39" s="16">
        <f t="shared" si="19"/>
        <v>0</v>
      </c>
      <c r="P39" s="16">
        <f t="shared" si="8"/>
        <v>300</v>
      </c>
      <c r="Q39" s="16">
        <f t="shared" si="9"/>
        <v>0</v>
      </c>
      <c r="R39" s="16"/>
      <c r="S39" s="16"/>
      <c r="T39" s="16"/>
      <c r="U39" s="15"/>
      <c r="V39" s="16">
        <f t="shared" si="15"/>
        <v>300</v>
      </c>
      <c r="W39" s="16">
        <f t="shared" si="16"/>
        <v>0</v>
      </c>
      <c r="X39" s="16"/>
      <c r="Y39" s="15"/>
      <c r="AB39" s="1" t="s">
        <v>238</v>
      </c>
      <c r="AC39" s="9">
        <f>SUM(AC37:AC38)</f>
        <v>479</v>
      </c>
      <c r="AH39" s="17">
        <v>62</v>
      </c>
      <c r="AI39" s="15" t="s">
        <v>83</v>
      </c>
      <c r="AJ39" s="16"/>
      <c r="AK39" s="16">
        <f>AJ5</f>
        <v>0</v>
      </c>
      <c r="AM39" s="1" t="s">
        <v>238</v>
      </c>
      <c r="AN39" s="9">
        <f>SUM(AN37:AN38)</f>
        <v>479</v>
      </c>
    </row>
    <row r="40" spans="1:40" x14ac:dyDescent="0.25">
      <c r="A40" s="2">
        <v>3</v>
      </c>
      <c r="B40" s="18" t="s">
        <v>51</v>
      </c>
      <c r="C40" s="15"/>
      <c r="D40" s="16"/>
      <c r="E40" s="16"/>
      <c r="F40" s="16"/>
      <c r="G40" s="16"/>
      <c r="H40" s="42"/>
      <c r="I40" s="43"/>
      <c r="J40" s="17">
        <v>6391</v>
      </c>
      <c r="K40" s="15" t="s">
        <v>226</v>
      </c>
      <c r="L40" s="16">
        <f t="shared" si="6"/>
        <v>0</v>
      </c>
      <c r="M40" s="16">
        <f t="shared" si="7"/>
        <v>0</v>
      </c>
      <c r="N40" s="16">
        <f t="shared" si="18"/>
        <v>88</v>
      </c>
      <c r="O40" s="16">
        <f t="shared" si="19"/>
        <v>0</v>
      </c>
      <c r="P40" s="16">
        <f t="shared" si="8"/>
        <v>88</v>
      </c>
      <c r="Q40" s="16">
        <f t="shared" si="9"/>
        <v>0</v>
      </c>
      <c r="R40" s="16"/>
      <c r="S40" s="16"/>
      <c r="T40" s="16"/>
      <c r="U40" s="15"/>
      <c r="V40" s="16">
        <f t="shared" si="15"/>
        <v>88</v>
      </c>
      <c r="W40" s="16">
        <f t="shared" si="16"/>
        <v>0</v>
      </c>
      <c r="X40" s="16"/>
      <c r="Y40" s="15"/>
      <c r="AB40" t="s">
        <v>7</v>
      </c>
      <c r="AC40" s="5"/>
      <c r="AH40" s="17">
        <v>6211</v>
      </c>
      <c r="AI40" s="15" t="s">
        <v>193</v>
      </c>
      <c r="AJ40" s="16"/>
      <c r="AK40" s="16">
        <f>V32</f>
        <v>5760</v>
      </c>
      <c r="AM40" t="s">
        <v>7</v>
      </c>
      <c r="AN40" s="5">
        <f>-AJ10</f>
        <v>-141.30499999999998</v>
      </c>
    </row>
    <row r="41" spans="1:40" ht="15.75" thickBot="1" x14ac:dyDescent="0.3">
      <c r="A41" s="2"/>
      <c r="D41" s="5"/>
      <c r="E41" s="5"/>
      <c r="F41" s="5"/>
      <c r="G41" s="5"/>
      <c r="J41" s="17">
        <v>6412</v>
      </c>
      <c r="K41" s="15" t="s">
        <v>221</v>
      </c>
      <c r="L41" s="16">
        <f t="shared" si="6"/>
        <v>0</v>
      </c>
      <c r="M41" s="16">
        <f t="shared" si="7"/>
        <v>0</v>
      </c>
      <c r="N41" s="16">
        <f t="shared" si="18"/>
        <v>29</v>
      </c>
      <c r="O41" s="16">
        <f t="shared" si="19"/>
        <v>0</v>
      </c>
      <c r="P41" s="16">
        <f t="shared" si="8"/>
        <v>29</v>
      </c>
      <c r="Q41" s="16">
        <f t="shared" si="9"/>
        <v>0</v>
      </c>
      <c r="R41" s="16"/>
      <c r="S41" s="16"/>
      <c r="T41" s="16"/>
      <c r="U41" s="15"/>
      <c r="V41" s="16">
        <f t="shared" si="15"/>
        <v>29</v>
      </c>
      <c r="W41" s="16">
        <f t="shared" si="16"/>
        <v>0</v>
      </c>
      <c r="X41" s="16"/>
      <c r="Y41" s="15"/>
      <c r="AB41" s="1" t="s">
        <v>38</v>
      </c>
      <c r="AC41" s="33">
        <f>SUM(AC39:AC40)</f>
        <v>479</v>
      </c>
      <c r="AH41" s="17">
        <v>6214</v>
      </c>
      <c r="AI41" s="15" t="s">
        <v>198</v>
      </c>
      <c r="AJ41" s="16"/>
      <c r="AK41" s="16">
        <f>V33</f>
        <v>960</v>
      </c>
      <c r="AM41" s="1" t="s">
        <v>38</v>
      </c>
      <c r="AN41" s="35">
        <f>SUM(AN39:AN40)</f>
        <v>337.69500000000005</v>
      </c>
    </row>
    <row r="42" spans="1:40" ht="15.75" thickTop="1" x14ac:dyDescent="0.25">
      <c r="A42" s="2"/>
      <c r="B42" s="17">
        <v>1212</v>
      </c>
      <c r="C42" s="15" t="s">
        <v>103</v>
      </c>
      <c r="D42" s="16">
        <f>E43+E44</f>
        <v>37760</v>
      </c>
      <c r="E42" s="16"/>
      <c r="F42" s="16"/>
      <c r="G42" s="16"/>
      <c r="H42" s="42" t="s">
        <v>261</v>
      </c>
      <c r="I42" s="43"/>
      <c r="J42" s="17">
        <v>651</v>
      </c>
      <c r="K42" s="15" t="s">
        <v>185</v>
      </c>
      <c r="L42" s="16">
        <f t="shared" si="6"/>
        <v>0</v>
      </c>
      <c r="M42" s="16">
        <f t="shared" si="7"/>
        <v>0</v>
      </c>
      <c r="N42" s="16">
        <f t="shared" si="18"/>
        <v>100</v>
      </c>
      <c r="O42" s="16">
        <f t="shared" si="19"/>
        <v>0</v>
      </c>
      <c r="P42" s="16">
        <f t="shared" si="8"/>
        <v>100</v>
      </c>
      <c r="Q42" s="16">
        <f t="shared" si="9"/>
        <v>0</v>
      </c>
      <c r="R42" s="16"/>
      <c r="S42" s="16"/>
      <c r="T42" s="16"/>
      <c r="U42" s="15"/>
      <c r="V42" s="16">
        <f t="shared" si="15"/>
        <v>100</v>
      </c>
      <c r="W42" s="16">
        <f t="shared" si="16"/>
        <v>0</v>
      </c>
      <c r="X42" s="16"/>
      <c r="Y42" s="15"/>
      <c r="AH42" s="17">
        <v>6215</v>
      </c>
      <c r="AI42" s="15" t="s">
        <v>127</v>
      </c>
      <c r="AJ42" s="16"/>
      <c r="AK42" s="16">
        <f>V34</f>
        <v>480</v>
      </c>
    </row>
    <row r="43" spans="1:40" x14ac:dyDescent="0.25">
      <c r="A43" s="2"/>
      <c r="B43" s="17">
        <v>40111</v>
      </c>
      <c r="C43" s="15" t="s">
        <v>144</v>
      </c>
      <c r="D43" s="16"/>
      <c r="E43" s="16">
        <f>E44*0.18</f>
        <v>5760</v>
      </c>
      <c r="F43" s="16"/>
      <c r="G43" s="16"/>
      <c r="H43" s="42"/>
      <c r="I43" s="43"/>
      <c r="J43" s="17">
        <v>656</v>
      </c>
      <c r="K43" s="15" t="s">
        <v>203</v>
      </c>
      <c r="L43" s="16">
        <f t="shared" si="6"/>
        <v>0</v>
      </c>
      <c r="M43" s="16">
        <f t="shared" si="7"/>
        <v>0</v>
      </c>
      <c r="N43" s="16">
        <f t="shared" si="18"/>
        <v>200</v>
      </c>
      <c r="O43" s="16">
        <f t="shared" si="19"/>
        <v>0</v>
      </c>
      <c r="P43" s="16">
        <f t="shared" si="8"/>
        <v>200</v>
      </c>
      <c r="Q43" s="16">
        <f t="shared" si="9"/>
        <v>0</v>
      </c>
      <c r="R43" s="16"/>
      <c r="S43" s="16"/>
      <c r="T43" s="16"/>
      <c r="U43" s="15"/>
      <c r="V43" s="16">
        <f t="shared" si="15"/>
        <v>200</v>
      </c>
      <c r="W43" s="16">
        <f t="shared" si="16"/>
        <v>0</v>
      </c>
      <c r="X43" s="16"/>
      <c r="Y43" s="15"/>
      <c r="AH43" s="17">
        <v>6271</v>
      </c>
      <c r="AI43" s="15" t="s">
        <v>194</v>
      </c>
      <c r="AJ43" s="16"/>
      <c r="AK43" s="16">
        <f>V35</f>
        <v>519</v>
      </c>
    </row>
    <row r="44" spans="1:40" x14ac:dyDescent="0.25">
      <c r="A44" s="2"/>
      <c r="B44" s="17">
        <v>70111</v>
      </c>
      <c r="C44" s="15" t="s">
        <v>2</v>
      </c>
      <c r="D44" s="16"/>
      <c r="E44" s="16">
        <f>Datos!F51</f>
        <v>32000</v>
      </c>
      <c r="F44" s="16"/>
      <c r="G44" s="16"/>
      <c r="H44" s="42"/>
      <c r="I44" s="43"/>
      <c r="J44" s="17">
        <v>676</v>
      </c>
      <c r="K44" s="15" t="s">
        <v>167</v>
      </c>
      <c r="L44" s="16">
        <f t="shared" si="6"/>
        <v>0</v>
      </c>
      <c r="M44" s="16">
        <f t="shared" si="7"/>
        <v>0</v>
      </c>
      <c r="N44" s="16">
        <f t="shared" si="18"/>
        <v>5310</v>
      </c>
      <c r="O44" s="16">
        <f t="shared" si="19"/>
        <v>0</v>
      </c>
      <c r="P44" s="16">
        <f t="shared" si="8"/>
        <v>5310</v>
      </c>
      <c r="Q44" s="16">
        <f t="shared" si="9"/>
        <v>0</v>
      </c>
      <c r="R44" s="16"/>
      <c r="S44" s="16"/>
      <c r="T44" s="16"/>
      <c r="U44" s="15"/>
      <c r="V44" s="16">
        <f t="shared" si="15"/>
        <v>5310</v>
      </c>
      <c r="W44" s="16">
        <f t="shared" si="16"/>
        <v>0</v>
      </c>
      <c r="X44" s="16">
        <f>P44</f>
        <v>5310</v>
      </c>
      <c r="Y44" s="15"/>
      <c r="AH44" s="17">
        <v>6291</v>
      </c>
      <c r="AI44" s="15" t="s">
        <v>130</v>
      </c>
      <c r="AJ44" s="16"/>
      <c r="AK44" s="16">
        <f>V36</f>
        <v>560</v>
      </c>
    </row>
    <row r="45" spans="1:40" x14ac:dyDescent="0.25">
      <c r="A45" s="2">
        <v>4</v>
      </c>
      <c r="B45" s="18" t="s">
        <v>52</v>
      </c>
      <c r="C45" s="15"/>
      <c r="D45" s="16"/>
      <c r="E45" s="16"/>
      <c r="F45" s="16"/>
      <c r="G45" s="16"/>
      <c r="H45" s="42"/>
      <c r="I45" s="43"/>
      <c r="J45" s="17">
        <v>68413</v>
      </c>
      <c r="K45" s="15" t="s">
        <v>215</v>
      </c>
      <c r="L45" s="16">
        <f t="shared" si="6"/>
        <v>0</v>
      </c>
      <c r="M45" s="16">
        <f t="shared" si="7"/>
        <v>0</v>
      </c>
      <c r="N45" s="16">
        <f t="shared" si="18"/>
        <v>1875</v>
      </c>
      <c r="O45" s="16">
        <f t="shared" si="19"/>
        <v>0</v>
      </c>
      <c r="P45" s="16">
        <f t="shared" si="8"/>
        <v>1875</v>
      </c>
      <c r="Q45" s="16">
        <f t="shared" si="9"/>
        <v>0</v>
      </c>
      <c r="R45" s="16"/>
      <c r="S45" s="16"/>
      <c r="T45" s="16"/>
      <c r="U45" s="15"/>
      <c r="V45" s="16">
        <f t="shared" si="15"/>
        <v>1875</v>
      </c>
      <c r="W45" s="16">
        <f t="shared" si="16"/>
        <v>0</v>
      </c>
      <c r="X45" s="16"/>
      <c r="Y45" s="15"/>
      <c r="AH45" s="17">
        <v>6412</v>
      </c>
      <c r="AI45" s="15" t="s">
        <v>221</v>
      </c>
      <c r="AJ45" s="16"/>
      <c r="AK45" s="16">
        <f>V41</f>
        <v>29</v>
      </c>
    </row>
    <row r="46" spans="1:40" x14ac:dyDescent="0.25">
      <c r="A46" s="2"/>
      <c r="D46" s="5"/>
      <c r="E46" s="5"/>
      <c r="F46" s="5"/>
      <c r="G46" s="5"/>
      <c r="J46" s="17">
        <v>68414</v>
      </c>
      <c r="K46" s="15" t="s">
        <v>216</v>
      </c>
      <c r="L46" s="16">
        <f t="shared" si="6"/>
        <v>0</v>
      </c>
      <c r="M46" s="16">
        <f t="shared" si="7"/>
        <v>0</v>
      </c>
      <c r="N46" s="16">
        <f t="shared" si="18"/>
        <v>56</v>
      </c>
      <c r="O46" s="16">
        <f t="shared" si="19"/>
        <v>0</v>
      </c>
      <c r="P46" s="16">
        <f t="shared" si="8"/>
        <v>56</v>
      </c>
      <c r="Q46" s="16">
        <f t="shared" si="9"/>
        <v>0</v>
      </c>
      <c r="R46" s="16"/>
      <c r="S46" s="16"/>
      <c r="T46" s="16"/>
      <c r="U46" s="15"/>
      <c r="V46" s="16">
        <f t="shared" si="15"/>
        <v>56</v>
      </c>
      <c r="W46" s="16">
        <f t="shared" si="16"/>
        <v>0</v>
      </c>
      <c r="X46" s="16"/>
      <c r="Y46" s="15"/>
      <c r="AB46" s="1" t="s">
        <v>63</v>
      </c>
      <c r="AC46" s="1"/>
      <c r="AH46" s="18" t="s">
        <v>77</v>
      </c>
      <c r="AI46" s="15"/>
      <c r="AJ46" s="16"/>
      <c r="AK46" s="16"/>
      <c r="AM46" s="1" t="s">
        <v>63</v>
      </c>
      <c r="AN46" s="1"/>
    </row>
    <row r="47" spans="1:40" x14ac:dyDescent="0.25">
      <c r="A47" s="2"/>
      <c r="B47" s="17">
        <v>69111</v>
      </c>
      <c r="C47" s="15" t="s">
        <v>11</v>
      </c>
      <c r="D47" s="16">
        <f>Datos!H51</f>
        <v>13400</v>
      </c>
      <c r="E47" s="16"/>
      <c r="F47" s="16"/>
      <c r="G47" s="16"/>
      <c r="H47" s="42" t="s">
        <v>262</v>
      </c>
      <c r="I47" s="43"/>
      <c r="J47" s="17">
        <v>68415</v>
      </c>
      <c r="K47" s="15" t="s">
        <v>217</v>
      </c>
      <c r="L47" s="16">
        <f t="shared" si="6"/>
        <v>0</v>
      </c>
      <c r="M47" s="16">
        <f t="shared" si="7"/>
        <v>0</v>
      </c>
      <c r="N47" s="16">
        <f t="shared" si="18"/>
        <v>94</v>
      </c>
      <c r="O47" s="16">
        <f t="shared" si="19"/>
        <v>0</v>
      </c>
      <c r="P47" s="16">
        <f t="shared" si="8"/>
        <v>94</v>
      </c>
      <c r="Q47" s="16">
        <f t="shared" si="9"/>
        <v>0</v>
      </c>
      <c r="R47" s="16"/>
      <c r="S47" s="16"/>
      <c r="T47" s="16"/>
      <c r="U47" s="15"/>
      <c r="V47" s="16">
        <f t="shared" si="15"/>
        <v>94</v>
      </c>
      <c r="W47" s="16">
        <f t="shared" si="16"/>
        <v>0</v>
      </c>
      <c r="X47" s="16"/>
      <c r="Y47" s="15"/>
      <c r="AB47" t="s">
        <v>62</v>
      </c>
      <c r="AH47"/>
      <c r="AM47" t="s">
        <v>62</v>
      </c>
    </row>
    <row r="48" spans="1:40" x14ac:dyDescent="0.25">
      <c r="A48" s="2"/>
      <c r="B48" s="17">
        <v>20111</v>
      </c>
      <c r="C48" s="15" t="s">
        <v>108</v>
      </c>
      <c r="D48" s="16"/>
      <c r="E48" s="16">
        <f>D47</f>
        <v>13400</v>
      </c>
      <c r="F48" s="16"/>
      <c r="G48" s="16"/>
      <c r="H48" s="42"/>
      <c r="I48" s="43"/>
      <c r="J48" s="17">
        <v>69111</v>
      </c>
      <c r="K48" s="15" t="s">
        <v>11</v>
      </c>
      <c r="L48" s="16">
        <f t="shared" si="6"/>
        <v>0</v>
      </c>
      <c r="M48" s="16">
        <f t="shared" si="7"/>
        <v>0</v>
      </c>
      <c r="N48" s="16">
        <f t="shared" si="18"/>
        <v>13400</v>
      </c>
      <c r="O48" s="16">
        <f t="shared" si="19"/>
        <v>0</v>
      </c>
      <c r="P48" s="16">
        <f t="shared" si="8"/>
        <v>13400</v>
      </c>
      <c r="Q48" s="16">
        <f t="shared" si="9"/>
        <v>0</v>
      </c>
      <c r="R48" s="16"/>
      <c r="S48" s="16">
        <f>P48</f>
        <v>13400</v>
      </c>
      <c r="T48" s="16"/>
      <c r="U48" s="15"/>
      <c r="V48" s="16">
        <f t="shared" si="15"/>
        <v>0</v>
      </c>
      <c r="W48" s="16">
        <f t="shared" si="16"/>
        <v>0</v>
      </c>
      <c r="X48" s="16">
        <f>P48</f>
        <v>13400</v>
      </c>
      <c r="Y48" s="15"/>
      <c r="AB48" t="s">
        <v>60</v>
      </c>
      <c r="AH48" s="17">
        <v>841</v>
      </c>
      <c r="AI48" s="15" t="s">
        <v>76</v>
      </c>
      <c r="AJ48" s="16"/>
      <c r="AK48" s="16">
        <f>AJ49-AK50-AK51-AK52-AK53-AK54</f>
        <v>4879</v>
      </c>
      <c r="AM48" t="s">
        <v>60</v>
      </c>
    </row>
    <row r="49" spans="1:40" x14ac:dyDescent="0.25">
      <c r="A49" s="2">
        <v>4</v>
      </c>
      <c r="B49" s="18" t="s">
        <v>53</v>
      </c>
      <c r="C49" s="15"/>
      <c r="D49" s="16"/>
      <c r="E49" s="16"/>
      <c r="F49" s="16"/>
      <c r="G49" s="16"/>
      <c r="H49" s="42"/>
      <c r="I49" s="43"/>
      <c r="J49" s="17">
        <v>70111</v>
      </c>
      <c r="K49" s="15" t="s">
        <v>2</v>
      </c>
      <c r="L49" s="16">
        <f t="shared" si="6"/>
        <v>0</v>
      </c>
      <c r="M49" s="16">
        <f t="shared" si="7"/>
        <v>0</v>
      </c>
      <c r="N49" s="16">
        <f t="shared" si="18"/>
        <v>0</v>
      </c>
      <c r="O49" s="16">
        <f t="shared" si="19"/>
        <v>32000</v>
      </c>
      <c r="P49" s="16">
        <f t="shared" si="8"/>
        <v>0</v>
      </c>
      <c r="Q49" s="16">
        <f t="shared" si="9"/>
        <v>32000</v>
      </c>
      <c r="R49" s="16"/>
      <c r="S49" s="16"/>
      <c r="T49" s="16"/>
      <c r="U49" s="15"/>
      <c r="V49" s="16">
        <f t="shared" si="15"/>
        <v>0</v>
      </c>
      <c r="W49" s="16">
        <f t="shared" si="16"/>
        <v>32000</v>
      </c>
      <c r="X49" s="16"/>
      <c r="Y49" s="16">
        <f>Q49</f>
        <v>32000</v>
      </c>
      <c r="AH49" s="17">
        <v>831</v>
      </c>
      <c r="AI49" s="15" t="s">
        <v>72</v>
      </c>
      <c r="AJ49" s="16">
        <f>AK37</f>
        <v>7204</v>
      </c>
      <c r="AK49" s="16"/>
    </row>
    <row r="50" spans="1:40" x14ac:dyDescent="0.25">
      <c r="A50" s="2"/>
      <c r="D50" s="5"/>
      <c r="E50" s="5"/>
      <c r="F50" s="5"/>
      <c r="G50" s="5"/>
      <c r="J50" s="17">
        <v>776</v>
      </c>
      <c r="K50" s="15" t="s">
        <v>167</v>
      </c>
      <c r="L50" s="16">
        <f t="shared" si="6"/>
        <v>0</v>
      </c>
      <c r="M50" s="16">
        <f t="shared" si="7"/>
        <v>0</v>
      </c>
      <c r="N50" s="16">
        <f t="shared" si="18"/>
        <v>0</v>
      </c>
      <c r="O50" s="16">
        <f t="shared" si="19"/>
        <v>910</v>
      </c>
      <c r="P50" s="16">
        <f t="shared" si="8"/>
        <v>0</v>
      </c>
      <c r="Q50" s="16">
        <f t="shared" si="9"/>
        <v>910</v>
      </c>
      <c r="R50" s="16"/>
      <c r="S50" s="16"/>
      <c r="T50" s="16"/>
      <c r="U50" s="15"/>
      <c r="V50" s="16">
        <f t="shared" si="15"/>
        <v>0</v>
      </c>
      <c r="W50" s="16">
        <f t="shared" si="16"/>
        <v>910</v>
      </c>
      <c r="X50" s="16"/>
      <c r="Y50" s="16">
        <f>Q50</f>
        <v>910</v>
      </c>
      <c r="AH50" s="17">
        <v>651</v>
      </c>
      <c r="AI50" s="15" t="s">
        <v>185</v>
      </c>
      <c r="AJ50" s="16"/>
      <c r="AK50" s="16">
        <f>V42</f>
        <v>100</v>
      </c>
    </row>
    <row r="51" spans="1:40" x14ac:dyDescent="0.25">
      <c r="A51" s="2"/>
      <c r="B51" s="17">
        <v>10411</v>
      </c>
      <c r="C51" s="15" t="s">
        <v>98</v>
      </c>
      <c r="D51" s="16">
        <f>E52</f>
        <v>22656</v>
      </c>
      <c r="E51" s="16"/>
      <c r="F51" s="16"/>
      <c r="G51" s="16"/>
      <c r="H51" s="42" t="s">
        <v>263</v>
      </c>
      <c r="I51" s="43"/>
      <c r="J51" s="17">
        <v>79</v>
      </c>
      <c r="K51" s="15" t="s">
        <v>13</v>
      </c>
      <c r="L51" s="16">
        <f t="shared" si="6"/>
        <v>0</v>
      </c>
      <c r="M51" s="16">
        <f t="shared" si="7"/>
        <v>0</v>
      </c>
      <c r="N51" s="16">
        <f t="shared" si="18"/>
        <v>0</v>
      </c>
      <c r="O51" s="16">
        <f t="shared" si="19"/>
        <v>13721</v>
      </c>
      <c r="P51" s="16">
        <f t="shared" si="8"/>
        <v>0</v>
      </c>
      <c r="Q51" s="16">
        <f t="shared" si="9"/>
        <v>13721</v>
      </c>
      <c r="R51" s="16">
        <f>Q51</f>
        <v>13721</v>
      </c>
      <c r="S51" s="16"/>
      <c r="T51" s="16"/>
      <c r="U51" s="15"/>
      <c r="V51" s="16">
        <f t="shared" si="15"/>
        <v>0</v>
      </c>
      <c r="W51" s="16">
        <f t="shared" si="16"/>
        <v>0</v>
      </c>
      <c r="X51" s="16"/>
      <c r="Y51" s="15"/>
      <c r="AB51" t="s">
        <v>42</v>
      </c>
      <c r="AC51" s="5">
        <f>W49</f>
        <v>32000</v>
      </c>
      <c r="AH51" s="17">
        <v>656</v>
      </c>
      <c r="AI51" s="15" t="s">
        <v>203</v>
      </c>
      <c r="AJ51" s="16"/>
      <c r="AK51" s="16">
        <f>V43</f>
        <v>200</v>
      </c>
      <c r="AM51" t="s">
        <v>42</v>
      </c>
      <c r="AN51" s="5">
        <f>AC51</f>
        <v>32000</v>
      </c>
    </row>
    <row r="52" spans="1:40" x14ac:dyDescent="0.25">
      <c r="A52" s="2"/>
      <c r="B52" s="17">
        <v>1212</v>
      </c>
      <c r="C52" s="15" t="s">
        <v>103</v>
      </c>
      <c r="D52" s="16"/>
      <c r="E52" s="16">
        <f>D42*0.6</f>
        <v>22656</v>
      </c>
      <c r="F52" s="16"/>
      <c r="G52" s="16"/>
      <c r="H52" s="42"/>
      <c r="I52" s="43"/>
      <c r="J52" s="17">
        <v>94</v>
      </c>
      <c r="K52" s="15" t="s">
        <v>179</v>
      </c>
      <c r="L52" s="16">
        <f t="shared" si="6"/>
        <v>0</v>
      </c>
      <c r="M52" s="16">
        <f t="shared" si="7"/>
        <v>0</v>
      </c>
      <c r="N52" s="16">
        <f t="shared" si="18"/>
        <v>4951</v>
      </c>
      <c r="O52" s="16">
        <f t="shared" si="19"/>
        <v>0</v>
      </c>
      <c r="P52" s="16">
        <f t="shared" si="8"/>
        <v>4951</v>
      </c>
      <c r="Q52" s="16">
        <f t="shared" si="9"/>
        <v>0</v>
      </c>
      <c r="R52" s="16"/>
      <c r="S52" s="16">
        <f>P52</f>
        <v>4951</v>
      </c>
      <c r="T52" s="16"/>
      <c r="U52" s="15"/>
      <c r="V52" s="16">
        <f t="shared" si="15"/>
        <v>0</v>
      </c>
      <c r="W52" s="16">
        <f t="shared" si="16"/>
        <v>0</v>
      </c>
      <c r="X52" s="16">
        <f>P52</f>
        <v>4951</v>
      </c>
      <c r="Y52" s="15"/>
      <c r="AB52" t="s">
        <v>64</v>
      </c>
      <c r="AC52" s="5">
        <f>-V30</f>
        <v>-5500</v>
      </c>
      <c r="AH52" s="17">
        <v>68413</v>
      </c>
      <c r="AI52" s="15" t="s">
        <v>215</v>
      </c>
      <c r="AJ52" s="16"/>
      <c r="AK52" s="16">
        <f>V45</f>
        <v>1875</v>
      </c>
      <c r="AM52" t="s">
        <v>64</v>
      </c>
      <c r="AN52" s="5">
        <f t="shared" ref="AN52:AN53" si="20">AC52</f>
        <v>-5500</v>
      </c>
    </row>
    <row r="53" spans="1:40" ht="15.75" thickBot="1" x14ac:dyDescent="0.3">
      <c r="A53" s="2">
        <v>4</v>
      </c>
      <c r="B53" s="18" t="s">
        <v>175</v>
      </c>
      <c r="C53" s="15"/>
      <c r="D53" s="16"/>
      <c r="E53" s="16"/>
      <c r="F53" s="16"/>
      <c r="G53" s="16"/>
      <c r="H53" s="42"/>
      <c r="I53" s="43"/>
      <c r="J53" s="17">
        <v>95</v>
      </c>
      <c r="K53" s="15" t="s">
        <v>12</v>
      </c>
      <c r="L53" s="16">
        <f t="shared" si="6"/>
        <v>0</v>
      </c>
      <c r="M53" s="16">
        <f t="shared" si="7"/>
        <v>0</v>
      </c>
      <c r="N53" s="16">
        <f t="shared" si="18"/>
        <v>8770</v>
      </c>
      <c r="O53" s="16">
        <f t="shared" si="19"/>
        <v>0</v>
      </c>
      <c r="P53" s="16">
        <f t="shared" si="8"/>
        <v>8770</v>
      </c>
      <c r="Q53" s="16">
        <f t="shared" si="9"/>
        <v>0</v>
      </c>
      <c r="R53" s="16"/>
      <c r="S53" s="16">
        <f>P53</f>
        <v>8770</v>
      </c>
      <c r="T53" s="16"/>
      <c r="U53" s="15"/>
      <c r="V53" s="16">
        <f t="shared" si="15"/>
        <v>0</v>
      </c>
      <c r="W53" s="16">
        <f t="shared" si="16"/>
        <v>0</v>
      </c>
      <c r="X53" s="16">
        <f>P53</f>
        <v>8770</v>
      </c>
      <c r="Y53" s="15"/>
      <c r="AB53" t="s">
        <v>10</v>
      </c>
      <c r="AC53" s="5">
        <f>-V31</f>
        <v>-7900</v>
      </c>
      <c r="AH53" s="17">
        <v>68414</v>
      </c>
      <c r="AI53" s="15" t="s">
        <v>216</v>
      </c>
      <c r="AJ53" s="16"/>
      <c r="AK53" s="16">
        <f>V46</f>
        <v>56</v>
      </c>
      <c r="AM53" t="s">
        <v>10</v>
      </c>
      <c r="AN53" s="5">
        <f t="shared" si="20"/>
        <v>-7900</v>
      </c>
    </row>
    <row r="54" spans="1:40" x14ac:dyDescent="0.25">
      <c r="A54" s="2"/>
      <c r="D54" s="5"/>
      <c r="E54" s="5"/>
      <c r="F54" s="5"/>
      <c r="G54" s="5"/>
      <c r="L54" s="5"/>
      <c r="M54" s="5"/>
      <c r="N54" s="5"/>
      <c r="O54" s="5"/>
      <c r="P54" s="5"/>
      <c r="AB54" s="1" t="s">
        <v>70</v>
      </c>
      <c r="AC54" s="9">
        <f>SUM(AC51:AC53)</f>
        <v>18600</v>
      </c>
      <c r="AH54" s="17">
        <v>68415</v>
      </c>
      <c r="AI54" s="15" t="s">
        <v>217</v>
      </c>
      <c r="AJ54" s="16"/>
      <c r="AK54" s="16">
        <f>V47</f>
        <v>94</v>
      </c>
      <c r="AM54" s="1" t="s">
        <v>70</v>
      </c>
      <c r="AN54" s="9">
        <f>SUM(AN51:AN53)</f>
        <v>18600</v>
      </c>
    </row>
    <row r="55" spans="1:40" ht="15.75" thickBot="1" x14ac:dyDescent="0.3">
      <c r="A55" s="2"/>
      <c r="B55" s="17">
        <v>33411</v>
      </c>
      <c r="C55" s="15" t="s">
        <v>160</v>
      </c>
      <c r="D55" s="16">
        <f>Datos!F56</f>
        <v>90000</v>
      </c>
      <c r="E55" s="16"/>
      <c r="F55" s="16"/>
      <c r="G55" s="16"/>
      <c r="J55" s="19"/>
      <c r="K55" s="20" t="s">
        <v>59</v>
      </c>
      <c r="L55" s="21">
        <f t="shared" ref="L55:Y55" si="21">SUM(L5:L54)</f>
        <v>95190</v>
      </c>
      <c r="M55" s="21">
        <f t="shared" si="21"/>
        <v>95190</v>
      </c>
      <c r="N55" s="21">
        <f t="shared" si="21"/>
        <v>283713</v>
      </c>
      <c r="O55" s="21">
        <f t="shared" si="21"/>
        <v>283713</v>
      </c>
      <c r="P55" s="21">
        <f t="shared" si="21"/>
        <v>245414</v>
      </c>
      <c r="Q55" s="21">
        <f t="shared" si="21"/>
        <v>245414</v>
      </c>
      <c r="R55" s="21">
        <f t="shared" si="21"/>
        <v>27121</v>
      </c>
      <c r="S55" s="21">
        <f t="shared" si="21"/>
        <v>27121</v>
      </c>
      <c r="T55" s="21">
        <f t="shared" si="21"/>
        <v>193762</v>
      </c>
      <c r="U55" s="21">
        <f t="shared" si="21"/>
        <v>193283</v>
      </c>
      <c r="V55" s="21">
        <f t="shared" si="21"/>
        <v>32431</v>
      </c>
      <c r="W55" s="21">
        <f t="shared" si="21"/>
        <v>32910</v>
      </c>
      <c r="X55" s="21">
        <f t="shared" si="21"/>
        <v>32431</v>
      </c>
      <c r="Y55" s="22">
        <f t="shared" si="21"/>
        <v>32910</v>
      </c>
      <c r="AB55" t="s">
        <v>65</v>
      </c>
      <c r="AC55" s="5">
        <f>-V37-V38-V39-V40</f>
        <v>-3088</v>
      </c>
      <c r="AH55" s="18" t="s">
        <v>78</v>
      </c>
      <c r="AI55" s="15"/>
      <c r="AJ55" s="16"/>
      <c r="AK55" s="16"/>
      <c r="AM55" t="s">
        <v>65</v>
      </c>
      <c r="AN55" s="5">
        <f>AC55</f>
        <v>-3088</v>
      </c>
    </row>
    <row r="56" spans="1:40" x14ac:dyDescent="0.25">
      <c r="A56" s="2"/>
      <c r="B56" s="17">
        <v>40111</v>
      </c>
      <c r="C56" s="15" t="s">
        <v>144</v>
      </c>
      <c r="D56" s="16">
        <f>D55*0.18</f>
        <v>16200</v>
      </c>
      <c r="E56" s="16"/>
      <c r="F56" s="16"/>
      <c r="G56" s="16"/>
      <c r="L56" s="8">
        <f>L55-M55</f>
        <v>0</v>
      </c>
      <c r="M56" s="1"/>
      <c r="N56" s="8">
        <f>N55-O55</f>
        <v>0</v>
      </c>
      <c r="O56" s="1"/>
      <c r="P56" s="1"/>
      <c r="Q56" s="1"/>
      <c r="R56" s="1"/>
      <c r="S56" s="24" t="s">
        <v>84</v>
      </c>
      <c r="T56" s="23"/>
      <c r="U56" s="23">
        <f>T55-U55</f>
        <v>479</v>
      </c>
      <c r="V56" s="23">
        <f>W55-V55</f>
        <v>479</v>
      </c>
      <c r="W56" s="23"/>
      <c r="X56" s="23">
        <f>Y55-X55</f>
        <v>479</v>
      </c>
      <c r="Y56" s="23"/>
      <c r="AB56" s="1" t="s">
        <v>71</v>
      </c>
      <c r="AC56" s="9">
        <f>SUM(AC54:AC55)</f>
        <v>15512</v>
      </c>
      <c r="AH56"/>
      <c r="AM56" s="1" t="s">
        <v>71</v>
      </c>
      <c r="AN56" s="9">
        <f>SUM(AN54:AN55)</f>
        <v>15512</v>
      </c>
    </row>
    <row r="57" spans="1:40" x14ac:dyDescent="0.25">
      <c r="A57" s="2"/>
      <c r="B57" s="17">
        <v>4654</v>
      </c>
      <c r="C57" s="15" t="s">
        <v>162</v>
      </c>
      <c r="D57" s="16"/>
      <c r="E57" s="16">
        <f>SUM(D55:D56)</f>
        <v>106200</v>
      </c>
      <c r="F57" s="25"/>
      <c r="G57" s="16">
        <f>Datos!D58</f>
        <v>29500</v>
      </c>
      <c r="T57" s="21">
        <f>T55+T56</f>
        <v>193762</v>
      </c>
      <c r="U57" s="21">
        <f t="shared" ref="U57" si="22">U55+U56</f>
        <v>193762</v>
      </c>
      <c r="V57" s="21">
        <f>V55+V56</f>
        <v>32910</v>
      </c>
      <c r="W57" s="21">
        <f t="shared" ref="W57" si="23">W55+W56</f>
        <v>32910</v>
      </c>
      <c r="X57" s="21">
        <f>X55+X56</f>
        <v>32910</v>
      </c>
      <c r="Y57" s="21">
        <f t="shared" ref="Y57" si="24">Y55+Y56</f>
        <v>32910</v>
      </c>
      <c r="AB57" t="s">
        <v>236</v>
      </c>
      <c r="AC57" s="5">
        <f>-V32-V33-V34-V35-V36</f>
        <v>-8279</v>
      </c>
      <c r="AH57" s="17">
        <v>851</v>
      </c>
      <c r="AI57" s="15" t="s">
        <v>80</v>
      </c>
      <c r="AJ57" s="16"/>
      <c r="AK57" s="16">
        <f>AJ58-AK59+AJ60</f>
        <v>479</v>
      </c>
      <c r="AM57" t="s">
        <v>236</v>
      </c>
      <c r="AN57" s="5">
        <f t="shared" ref="AN57:AN63" si="25">AC57</f>
        <v>-8279</v>
      </c>
    </row>
    <row r="58" spans="1:40" ht="15.75" thickBot="1" x14ac:dyDescent="0.3">
      <c r="A58" s="2">
        <v>5</v>
      </c>
      <c r="B58" s="18" t="s">
        <v>161</v>
      </c>
      <c r="C58" s="15"/>
      <c r="D58" s="16"/>
      <c r="E58" s="16"/>
      <c r="F58" s="16"/>
      <c r="G58" s="16"/>
      <c r="AB58" t="s">
        <v>237</v>
      </c>
      <c r="AC58" s="5">
        <f>-V41</f>
        <v>-29</v>
      </c>
      <c r="AH58" s="17">
        <v>841</v>
      </c>
      <c r="AI58" s="15" t="s">
        <v>76</v>
      </c>
      <c r="AJ58" s="16">
        <f>AK48</f>
        <v>4879</v>
      </c>
      <c r="AK58" s="16"/>
      <c r="AM58" t="s">
        <v>237</v>
      </c>
      <c r="AN58" s="5">
        <f t="shared" si="25"/>
        <v>-29</v>
      </c>
    </row>
    <row r="59" spans="1:40" x14ac:dyDescent="0.25">
      <c r="A59" s="2"/>
      <c r="D59" s="5"/>
      <c r="E59" s="5"/>
      <c r="F59" s="5"/>
      <c r="G59" s="5"/>
      <c r="AB59" s="1" t="s">
        <v>73</v>
      </c>
      <c r="AC59" s="9">
        <f>SUM(AC56:AC58)</f>
        <v>7204</v>
      </c>
      <c r="AH59" s="17">
        <v>676</v>
      </c>
      <c r="AI59" s="15" t="s">
        <v>167</v>
      </c>
      <c r="AJ59" s="16"/>
      <c r="AK59" s="16">
        <f>V44</f>
        <v>5310</v>
      </c>
      <c r="AM59" s="1" t="s">
        <v>73</v>
      </c>
      <c r="AN59" s="9">
        <f>SUM(AN56:AN58)</f>
        <v>7204</v>
      </c>
    </row>
    <row r="60" spans="1:40" x14ac:dyDescent="0.25">
      <c r="A60" s="2"/>
      <c r="B60" s="17">
        <v>4654</v>
      </c>
      <c r="C60" s="15" t="s">
        <v>162</v>
      </c>
      <c r="D60" s="16">
        <f>Datos!G59</f>
        <v>21240</v>
      </c>
      <c r="E60" s="16"/>
      <c r="F60" s="16">
        <f>Datos!D59</f>
        <v>5900</v>
      </c>
      <c r="G60" s="16"/>
      <c r="AB60" t="s">
        <v>66</v>
      </c>
      <c r="AC60" s="5">
        <f>-V42-V43</f>
        <v>-300</v>
      </c>
      <c r="AH60" s="17">
        <v>776</v>
      </c>
      <c r="AI60" s="15" t="s">
        <v>167</v>
      </c>
      <c r="AJ60" s="16">
        <f>W50</f>
        <v>910</v>
      </c>
      <c r="AK60" s="16"/>
      <c r="AM60" t="s">
        <v>66</v>
      </c>
      <c r="AN60" s="5">
        <f t="shared" si="25"/>
        <v>-300</v>
      </c>
    </row>
    <row r="61" spans="1:40" ht="15.75" thickBot="1" x14ac:dyDescent="0.3">
      <c r="A61" s="2"/>
      <c r="B61" s="17">
        <v>676</v>
      </c>
      <c r="C61" s="15" t="s">
        <v>167</v>
      </c>
      <c r="D61" s="16">
        <f>Datos!H59</f>
        <v>590</v>
      </c>
      <c r="E61" s="16"/>
      <c r="F61" s="16"/>
      <c r="G61" s="16"/>
      <c r="AB61" t="s">
        <v>67</v>
      </c>
      <c r="AC61" s="5">
        <f>-V45-V46-V47</f>
        <v>-2025</v>
      </c>
      <c r="AH61" s="18" t="s">
        <v>81</v>
      </c>
      <c r="AI61" s="15"/>
      <c r="AJ61" s="16"/>
      <c r="AK61" s="16"/>
      <c r="AM61" t="s">
        <v>67</v>
      </c>
      <c r="AN61" s="5">
        <f t="shared" si="25"/>
        <v>-2025</v>
      </c>
    </row>
    <row r="62" spans="1:40" x14ac:dyDescent="0.25">
      <c r="A62" s="2"/>
      <c r="B62" s="17">
        <v>10412</v>
      </c>
      <c r="C62" s="15" t="s">
        <v>99</v>
      </c>
      <c r="D62" s="16"/>
      <c r="E62" s="16">
        <f>Datos!F59</f>
        <v>21830</v>
      </c>
      <c r="F62" s="16"/>
      <c r="G62" s="16">
        <f>Datos!D59</f>
        <v>5900</v>
      </c>
      <c r="AB62" s="1" t="s">
        <v>79</v>
      </c>
      <c r="AC62" s="9">
        <f>SUM(AC59:AC61)</f>
        <v>4879</v>
      </c>
      <c r="AH62"/>
      <c r="AM62" s="1" t="s">
        <v>79</v>
      </c>
      <c r="AN62" s="9">
        <f>SUM(AN59:AN61)</f>
        <v>4879</v>
      </c>
    </row>
    <row r="63" spans="1:40" ht="15.75" thickBot="1" x14ac:dyDescent="0.3">
      <c r="A63" s="2">
        <v>5</v>
      </c>
      <c r="B63" s="18" t="s">
        <v>168</v>
      </c>
      <c r="C63" s="15"/>
      <c r="D63" s="16"/>
      <c r="E63" s="16"/>
      <c r="F63" s="16"/>
      <c r="G63" s="16"/>
      <c r="AB63" t="s">
        <v>234</v>
      </c>
      <c r="AC63" s="5">
        <f>-V44+W50</f>
        <v>-4400</v>
      </c>
      <c r="AH63" s="17">
        <v>891</v>
      </c>
      <c r="AI63" s="15" t="s">
        <v>86</v>
      </c>
      <c r="AJ63" s="16"/>
      <c r="AK63" s="16">
        <f>AJ64-AK65</f>
        <v>337.69500000000005</v>
      </c>
      <c r="AM63" t="s">
        <v>234</v>
      </c>
      <c r="AN63" s="5">
        <f t="shared" si="25"/>
        <v>-4400</v>
      </c>
    </row>
    <row r="64" spans="1:40" x14ac:dyDescent="0.25">
      <c r="A64" s="2"/>
      <c r="D64" s="5"/>
      <c r="E64" s="5"/>
      <c r="F64" s="5"/>
      <c r="G64" s="5"/>
      <c r="AB64" s="1" t="s">
        <v>238</v>
      </c>
      <c r="AC64" s="9">
        <f>SUM(AC62:AC63)</f>
        <v>479</v>
      </c>
      <c r="AH64" s="17">
        <v>851</v>
      </c>
      <c r="AI64" s="15" t="s">
        <v>80</v>
      </c>
      <c r="AJ64" s="16">
        <f>AK57</f>
        <v>479</v>
      </c>
      <c r="AK64" s="16"/>
      <c r="AM64" s="1" t="s">
        <v>238</v>
      </c>
      <c r="AN64" s="9">
        <f>SUM(AN62:AN63)</f>
        <v>479</v>
      </c>
    </row>
    <row r="65" spans="1:40" x14ac:dyDescent="0.25">
      <c r="A65" s="2"/>
      <c r="B65" s="17">
        <v>40111</v>
      </c>
      <c r="C65" s="15" t="s">
        <v>144</v>
      </c>
      <c r="D65" s="16">
        <f>Datos!I24</f>
        <v>1512</v>
      </c>
      <c r="E65" s="16"/>
      <c r="F65" s="16"/>
      <c r="G65" s="16"/>
      <c r="AB65" t="s">
        <v>7</v>
      </c>
      <c r="AC65" s="5"/>
      <c r="AH65" s="17">
        <v>881</v>
      </c>
      <c r="AI65" s="15" t="s">
        <v>7</v>
      </c>
      <c r="AJ65" s="16"/>
      <c r="AK65" s="16">
        <f>AJ10</f>
        <v>141.30499999999998</v>
      </c>
      <c r="AM65" t="s">
        <v>7</v>
      </c>
      <c r="AN65" s="5">
        <f>-AJ10</f>
        <v>-141.30499999999998</v>
      </c>
    </row>
    <row r="66" spans="1:40" ht="15.75" thickBot="1" x14ac:dyDescent="0.3">
      <c r="A66" s="2"/>
      <c r="B66" s="17">
        <v>4031</v>
      </c>
      <c r="C66" s="15" t="s">
        <v>172</v>
      </c>
      <c r="D66" s="16">
        <f>Datos!I25</f>
        <v>519</v>
      </c>
      <c r="E66" s="16"/>
      <c r="F66" s="16"/>
      <c r="G66" s="16"/>
      <c r="AB66" s="1" t="s">
        <v>38</v>
      </c>
      <c r="AC66" s="33">
        <f>SUM(AC64:AC65)</f>
        <v>479</v>
      </c>
      <c r="AH66" s="18" t="s">
        <v>87</v>
      </c>
      <c r="AI66" s="15"/>
      <c r="AJ66" s="16"/>
      <c r="AK66" s="16"/>
      <c r="AM66" s="1" t="s">
        <v>38</v>
      </c>
      <c r="AN66" s="35">
        <f>SUM(AN64:AN65)</f>
        <v>337.69500000000005</v>
      </c>
    </row>
    <row r="67" spans="1:40" ht="15.75" thickTop="1" x14ac:dyDescent="0.25">
      <c r="A67" s="2"/>
      <c r="B67" s="17">
        <v>417</v>
      </c>
      <c r="C67" s="15" t="s">
        <v>174</v>
      </c>
      <c r="D67" s="16">
        <f>Datos!I23</f>
        <v>749</v>
      </c>
      <c r="E67" s="16"/>
      <c r="F67" s="16"/>
      <c r="G67" s="16"/>
      <c r="AH67"/>
    </row>
    <row r="68" spans="1:40" x14ac:dyDescent="0.25">
      <c r="A68" s="2"/>
      <c r="B68" s="17">
        <v>10411</v>
      </c>
      <c r="C68" s="15" t="s">
        <v>98</v>
      </c>
      <c r="D68" s="16"/>
      <c r="E68" s="16">
        <f>SUM(D65:D68)</f>
        <v>2780</v>
      </c>
      <c r="F68" s="16"/>
      <c r="G68" s="16"/>
      <c r="AH68" s="17">
        <v>591</v>
      </c>
      <c r="AI68" s="15" t="s">
        <v>8</v>
      </c>
      <c r="AJ68" s="16"/>
      <c r="AK68" s="16">
        <f>AJ69</f>
        <v>337.69500000000005</v>
      </c>
    </row>
    <row r="69" spans="1:40" x14ac:dyDescent="0.25">
      <c r="A69" s="2">
        <v>6</v>
      </c>
      <c r="B69" s="18" t="s">
        <v>176</v>
      </c>
      <c r="C69" s="15"/>
      <c r="D69" s="16"/>
      <c r="E69" s="16"/>
      <c r="F69" s="16"/>
      <c r="G69" s="16"/>
      <c r="AH69" s="17">
        <v>891</v>
      </c>
      <c r="AI69" s="15" t="s">
        <v>86</v>
      </c>
      <c r="AJ69" s="16">
        <f>AK63</f>
        <v>337.69500000000005</v>
      </c>
      <c r="AK69" s="16"/>
    </row>
    <row r="70" spans="1:40" x14ac:dyDescent="0.25">
      <c r="A70" s="2"/>
      <c r="D70" s="5"/>
      <c r="E70" s="5"/>
      <c r="F70" s="5"/>
      <c r="G70" s="5"/>
      <c r="AH70" s="18" t="s">
        <v>88</v>
      </c>
      <c r="AI70" s="15"/>
      <c r="AJ70" s="16"/>
      <c r="AK70" s="16"/>
    </row>
    <row r="71" spans="1:40" x14ac:dyDescent="0.25">
      <c r="A71" s="2"/>
      <c r="B71" s="17">
        <v>6352</v>
      </c>
      <c r="C71" s="15" t="s">
        <v>177</v>
      </c>
      <c r="D71" s="16">
        <v>2500</v>
      </c>
      <c r="E71" s="16"/>
      <c r="F71" s="16"/>
      <c r="G71" s="16"/>
      <c r="AH71"/>
    </row>
    <row r="72" spans="1:40" x14ac:dyDescent="0.25">
      <c r="A72" s="2"/>
      <c r="B72" s="17">
        <v>40111</v>
      </c>
      <c r="C72" s="15" t="s">
        <v>144</v>
      </c>
      <c r="D72" s="16">
        <f>D71*0.18</f>
        <v>450</v>
      </c>
      <c r="E72" s="16"/>
      <c r="F72" s="16"/>
      <c r="G72" s="16"/>
      <c r="AH72" s="17">
        <v>10411</v>
      </c>
      <c r="AI72" s="15" t="s">
        <v>98</v>
      </c>
      <c r="AJ72" s="16">
        <f t="shared" ref="AJ72:AJ84" si="26">U5</f>
        <v>0</v>
      </c>
      <c r="AK72" s="16">
        <f t="shared" ref="AK72:AK96" si="27">T5</f>
        <v>45263</v>
      </c>
    </row>
    <row r="73" spans="1:40" x14ac:dyDescent="0.25">
      <c r="A73" s="2"/>
      <c r="B73" s="17">
        <v>4213</v>
      </c>
      <c r="C73" s="15" t="s">
        <v>178</v>
      </c>
      <c r="D73" s="16"/>
      <c r="E73" s="16">
        <f>(D71+D72)*0.1</f>
        <v>295</v>
      </c>
      <c r="F73" s="16"/>
      <c r="G73" s="16"/>
      <c r="AH73" s="17">
        <v>10412</v>
      </c>
      <c r="AI73" s="15" t="s">
        <v>99</v>
      </c>
      <c r="AJ73" s="16">
        <f t="shared" si="26"/>
        <v>0</v>
      </c>
      <c r="AK73" s="16">
        <f t="shared" si="27"/>
        <v>15523</v>
      </c>
    </row>
    <row r="74" spans="1:40" x14ac:dyDescent="0.25">
      <c r="A74" s="2"/>
      <c r="B74" s="17">
        <v>4212</v>
      </c>
      <c r="C74" s="15" t="s">
        <v>131</v>
      </c>
      <c r="D74" s="16"/>
      <c r="E74" s="16">
        <f>(D71+D72)*0.9</f>
        <v>2655</v>
      </c>
      <c r="F74" s="16"/>
      <c r="G74" s="16"/>
      <c r="AH74" s="17">
        <v>1212</v>
      </c>
      <c r="AI74" s="15" t="s">
        <v>103</v>
      </c>
      <c r="AJ74" s="16">
        <f t="shared" si="26"/>
        <v>0</v>
      </c>
      <c r="AK74" s="16">
        <f t="shared" si="27"/>
        <v>15104</v>
      </c>
    </row>
    <row r="75" spans="1:40" x14ac:dyDescent="0.25">
      <c r="A75" s="2">
        <v>7.1</v>
      </c>
      <c r="B75" s="18" t="s">
        <v>180</v>
      </c>
      <c r="C75" s="15"/>
      <c r="D75" s="16"/>
      <c r="E75" s="16"/>
      <c r="F75" s="16"/>
      <c r="G75" s="16"/>
      <c r="AH75" s="17">
        <v>1643</v>
      </c>
      <c r="AI75" s="15" t="s">
        <v>139</v>
      </c>
      <c r="AJ75" s="16">
        <f t="shared" si="26"/>
        <v>0</v>
      </c>
      <c r="AK75" s="16">
        <f t="shared" si="27"/>
        <v>1500</v>
      </c>
    </row>
    <row r="76" spans="1:40" x14ac:dyDescent="0.25">
      <c r="A76" s="2"/>
      <c r="D76" s="5"/>
      <c r="E76" s="5"/>
      <c r="F76" s="5"/>
      <c r="G76" s="5"/>
      <c r="AH76" s="17">
        <v>182</v>
      </c>
      <c r="AI76" s="15" t="s">
        <v>185</v>
      </c>
      <c r="AJ76" s="16">
        <f t="shared" si="26"/>
        <v>0</v>
      </c>
      <c r="AK76" s="16">
        <f t="shared" si="27"/>
        <v>1100</v>
      </c>
    </row>
    <row r="77" spans="1:40" x14ac:dyDescent="0.25">
      <c r="A77" s="2"/>
      <c r="B77" s="17">
        <v>95</v>
      </c>
      <c r="C77" s="15" t="s">
        <v>12</v>
      </c>
      <c r="D77" s="16">
        <f>D71*0.9</f>
        <v>2250</v>
      </c>
      <c r="E77" s="16"/>
      <c r="F77" s="16"/>
      <c r="G77" s="16"/>
      <c r="AH77" s="17">
        <v>20111</v>
      </c>
      <c r="AI77" s="15" t="s">
        <v>108</v>
      </c>
      <c r="AJ77" s="16">
        <f t="shared" si="26"/>
        <v>0</v>
      </c>
      <c r="AK77" s="16">
        <f t="shared" si="27"/>
        <v>3350</v>
      </c>
    </row>
    <row r="78" spans="1:40" x14ac:dyDescent="0.25">
      <c r="A78" s="2"/>
      <c r="B78" s="17">
        <v>94</v>
      </c>
      <c r="C78" s="15" t="s">
        <v>179</v>
      </c>
      <c r="D78" s="16">
        <f>D71-D77</f>
        <v>250</v>
      </c>
      <c r="E78" s="16"/>
      <c r="F78" s="16"/>
      <c r="G78" s="16"/>
      <c r="AH78" s="17">
        <v>33411</v>
      </c>
      <c r="AI78" s="15" t="s">
        <v>160</v>
      </c>
      <c r="AJ78" s="16">
        <f t="shared" si="26"/>
        <v>0</v>
      </c>
      <c r="AK78" s="16">
        <f t="shared" si="27"/>
        <v>90000</v>
      </c>
    </row>
    <row r="79" spans="1:40" x14ac:dyDescent="0.25">
      <c r="A79" s="2"/>
      <c r="B79" s="17">
        <v>79</v>
      </c>
      <c r="C79" s="15" t="s">
        <v>13</v>
      </c>
      <c r="D79" s="16"/>
      <c r="E79" s="16">
        <f>D77+D78</f>
        <v>2500</v>
      </c>
      <c r="F79" s="16"/>
      <c r="G79" s="16"/>
      <c r="AH79" s="17">
        <v>33511</v>
      </c>
      <c r="AI79" s="15" t="s">
        <v>115</v>
      </c>
      <c r="AJ79" s="16">
        <f t="shared" si="26"/>
        <v>0</v>
      </c>
      <c r="AK79" s="16">
        <f t="shared" si="27"/>
        <v>5200</v>
      </c>
    </row>
    <row r="80" spans="1:40" x14ac:dyDescent="0.25">
      <c r="A80" s="2">
        <v>7.1</v>
      </c>
      <c r="B80" s="18" t="s">
        <v>181</v>
      </c>
      <c r="C80" s="15"/>
      <c r="D80" s="16"/>
      <c r="E80" s="16"/>
      <c r="F80" s="16"/>
      <c r="G80" s="16"/>
      <c r="AH80" s="17">
        <v>33611</v>
      </c>
      <c r="AI80" s="15" t="s">
        <v>116</v>
      </c>
      <c r="AJ80" s="16">
        <f t="shared" si="26"/>
        <v>0</v>
      </c>
      <c r="AK80" s="16">
        <f t="shared" si="27"/>
        <v>4500</v>
      </c>
    </row>
    <row r="81" spans="1:37" x14ac:dyDescent="0.25">
      <c r="A81" s="2"/>
      <c r="B81"/>
      <c r="AH81" s="17">
        <v>39525</v>
      </c>
      <c r="AI81" s="15" t="s">
        <v>218</v>
      </c>
      <c r="AJ81" s="16">
        <f t="shared" si="26"/>
        <v>1875</v>
      </c>
      <c r="AK81" s="16">
        <f t="shared" si="27"/>
        <v>0</v>
      </c>
    </row>
    <row r="82" spans="1:37" x14ac:dyDescent="0.25">
      <c r="A82" s="2"/>
      <c r="B82" s="17">
        <v>4213</v>
      </c>
      <c r="C82" s="15" t="s">
        <v>178</v>
      </c>
      <c r="D82" s="16">
        <f>E73</f>
        <v>295</v>
      </c>
      <c r="E82" s="16"/>
      <c r="F82" s="16"/>
      <c r="G82" s="16"/>
      <c r="AH82" s="17">
        <v>39526</v>
      </c>
      <c r="AI82" s="15" t="s">
        <v>219</v>
      </c>
      <c r="AJ82" s="16">
        <f t="shared" si="26"/>
        <v>726</v>
      </c>
      <c r="AK82" s="16">
        <f t="shared" si="27"/>
        <v>0</v>
      </c>
    </row>
    <row r="83" spans="1:37" x14ac:dyDescent="0.25">
      <c r="A83" s="2"/>
      <c r="B83" s="17">
        <v>4212</v>
      </c>
      <c r="C83" s="15" t="s">
        <v>131</v>
      </c>
      <c r="D83" s="16">
        <f>E74</f>
        <v>2655</v>
      </c>
      <c r="E83" s="16"/>
      <c r="F83" s="16"/>
      <c r="G83" s="16"/>
      <c r="AH83" s="17">
        <v>39527</v>
      </c>
      <c r="AI83" s="15" t="s">
        <v>220</v>
      </c>
      <c r="AJ83" s="16">
        <f t="shared" si="26"/>
        <v>1219</v>
      </c>
      <c r="AK83" s="16">
        <f t="shared" si="27"/>
        <v>0</v>
      </c>
    </row>
    <row r="84" spans="1:37" x14ac:dyDescent="0.25">
      <c r="A84" s="2"/>
      <c r="B84" s="17">
        <v>10411</v>
      </c>
      <c r="C84" s="15" t="s">
        <v>98</v>
      </c>
      <c r="D84" s="16"/>
      <c r="E84" s="16">
        <f>D82+D83</f>
        <v>2950</v>
      </c>
      <c r="F84" s="16"/>
      <c r="G84" s="16"/>
      <c r="AH84" s="17">
        <v>40111</v>
      </c>
      <c r="AI84" s="15" t="s">
        <v>144</v>
      </c>
      <c r="AJ84" s="16">
        <f t="shared" si="26"/>
        <v>0</v>
      </c>
      <c r="AK84" s="16">
        <f t="shared" si="27"/>
        <v>12222</v>
      </c>
    </row>
    <row r="85" spans="1:37" x14ac:dyDescent="0.25">
      <c r="A85" s="2">
        <v>7.1</v>
      </c>
      <c r="B85" s="18" t="s">
        <v>187</v>
      </c>
      <c r="C85" s="15"/>
      <c r="D85" s="16"/>
      <c r="E85" s="16"/>
      <c r="F85" s="16"/>
      <c r="G85" s="16"/>
      <c r="AH85" s="17">
        <v>40171</v>
      </c>
      <c r="AI85" s="15" t="s">
        <v>7</v>
      </c>
      <c r="AJ85" s="16">
        <f>U18+AK11</f>
        <v>14891.305</v>
      </c>
      <c r="AK85" s="16">
        <f t="shared" si="27"/>
        <v>0</v>
      </c>
    </row>
    <row r="86" spans="1:37" x14ac:dyDescent="0.25">
      <c r="A86" s="2"/>
      <c r="D86" s="5"/>
      <c r="E86" s="5"/>
      <c r="F86" s="5"/>
      <c r="G86" s="5"/>
      <c r="AH86" s="17">
        <v>4031</v>
      </c>
      <c r="AI86" s="15" t="s">
        <v>172</v>
      </c>
      <c r="AJ86" s="16">
        <f t="shared" ref="AJ86:AJ95" si="28">U19</f>
        <v>519</v>
      </c>
      <c r="AK86" s="16">
        <f t="shared" si="27"/>
        <v>0</v>
      </c>
    </row>
    <row r="87" spans="1:37" x14ac:dyDescent="0.25">
      <c r="A87" s="2"/>
      <c r="B87" s="17">
        <v>6361</v>
      </c>
      <c r="C87" s="15" t="s">
        <v>14</v>
      </c>
      <c r="D87" s="16">
        <v>200</v>
      </c>
      <c r="E87" s="16"/>
      <c r="F87" s="16"/>
      <c r="G87" s="16"/>
      <c r="AH87" s="17">
        <v>4111</v>
      </c>
      <c r="AI87" s="15" t="s">
        <v>195</v>
      </c>
      <c r="AJ87" s="16">
        <f t="shared" si="28"/>
        <v>0</v>
      </c>
      <c r="AK87" s="16">
        <f t="shared" si="27"/>
        <v>0</v>
      </c>
    </row>
    <row r="88" spans="1:37" x14ac:dyDescent="0.25">
      <c r="A88" s="2"/>
      <c r="B88" s="17">
        <v>40111</v>
      </c>
      <c r="C88" s="15" t="s">
        <v>144</v>
      </c>
      <c r="D88" s="16">
        <f>D87*0.18</f>
        <v>36</v>
      </c>
      <c r="E88" s="16"/>
      <c r="F88" s="16"/>
      <c r="G88" s="16"/>
      <c r="AH88" s="17">
        <v>4114</v>
      </c>
      <c r="AI88" s="15" t="s">
        <v>198</v>
      </c>
      <c r="AJ88" s="16">
        <f t="shared" si="28"/>
        <v>960</v>
      </c>
      <c r="AK88" s="16">
        <f t="shared" si="27"/>
        <v>0</v>
      </c>
    </row>
    <row r="89" spans="1:37" x14ac:dyDescent="0.25">
      <c r="A89" s="2"/>
      <c r="B89" s="17">
        <v>4212</v>
      </c>
      <c r="C89" s="15" t="s">
        <v>131</v>
      </c>
      <c r="D89" s="16"/>
      <c r="E89" s="16">
        <f>D87+D88</f>
        <v>236</v>
      </c>
      <c r="F89" s="16"/>
      <c r="G89" s="16"/>
      <c r="AH89" s="17">
        <v>4115</v>
      </c>
      <c r="AI89" s="15" t="s">
        <v>145</v>
      </c>
      <c r="AJ89" s="16">
        <f t="shared" si="28"/>
        <v>5520</v>
      </c>
      <c r="AK89" s="16">
        <f t="shared" si="27"/>
        <v>0</v>
      </c>
    </row>
    <row r="90" spans="1:37" x14ac:dyDescent="0.25">
      <c r="A90" s="2">
        <v>7.2</v>
      </c>
      <c r="B90" s="18" t="s">
        <v>56</v>
      </c>
      <c r="C90" s="15"/>
      <c r="D90" s="16"/>
      <c r="E90" s="16"/>
      <c r="F90" s="16"/>
      <c r="G90" s="16"/>
      <c r="AH90" s="17">
        <v>4151</v>
      </c>
      <c r="AI90" s="15" t="s">
        <v>146</v>
      </c>
      <c r="AJ90" s="16">
        <f t="shared" si="28"/>
        <v>1680</v>
      </c>
      <c r="AK90" s="16">
        <f t="shared" si="27"/>
        <v>0</v>
      </c>
    </row>
    <row r="91" spans="1:37" x14ac:dyDescent="0.25">
      <c r="A91" s="2"/>
      <c r="B91"/>
      <c r="AH91" s="17">
        <v>417</v>
      </c>
      <c r="AI91" s="15" t="s">
        <v>174</v>
      </c>
      <c r="AJ91" s="16">
        <f t="shared" si="28"/>
        <v>749</v>
      </c>
      <c r="AK91" s="16">
        <f t="shared" si="27"/>
        <v>0</v>
      </c>
    </row>
    <row r="92" spans="1:37" x14ac:dyDescent="0.25">
      <c r="A92" s="2"/>
      <c r="B92" s="17">
        <v>94</v>
      </c>
      <c r="C92" s="15" t="s">
        <v>179</v>
      </c>
      <c r="D92" s="16">
        <f>D87/2</f>
        <v>100</v>
      </c>
      <c r="E92" s="16"/>
      <c r="F92" s="16"/>
      <c r="G92" s="16"/>
      <c r="AH92" s="17">
        <v>4212</v>
      </c>
      <c r="AI92" s="15" t="s">
        <v>131</v>
      </c>
      <c r="AJ92" s="16">
        <f t="shared" si="28"/>
        <v>20355</v>
      </c>
      <c r="AK92" s="16">
        <f t="shared" si="27"/>
        <v>0</v>
      </c>
    </row>
    <row r="93" spans="1:37" x14ac:dyDescent="0.25">
      <c r="A93" s="2"/>
      <c r="B93" s="17">
        <v>95</v>
      </c>
      <c r="C93" s="15" t="s">
        <v>12</v>
      </c>
      <c r="D93" s="16">
        <f>D92</f>
        <v>100</v>
      </c>
      <c r="E93" s="16"/>
      <c r="F93" s="16"/>
      <c r="G93" s="16"/>
      <c r="AH93" s="17">
        <v>4213</v>
      </c>
      <c r="AI93" s="15" t="s">
        <v>178</v>
      </c>
      <c r="AJ93" s="16">
        <f t="shared" si="28"/>
        <v>0</v>
      </c>
      <c r="AK93" s="16">
        <f t="shared" si="27"/>
        <v>0</v>
      </c>
    </row>
    <row r="94" spans="1:37" x14ac:dyDescent="0.25">
      <c r="A94" s="2"/>
      <c r="B94" s="17">
        <v>79</v>
      </c>
      <c r="C94" s="15" t="s">
        <v>13</v>
      </c>
      <c r="D94" s="16"/>
      <c r="E94" s="16">
        <f>D92+D93</f>
        <v>200</v>
      </c>
      <c r="F94" s="16"/>
      <c r="G94" s="16"/>
      <c r="AH94" s="17">
        <v>4654</v>
      </c>
      <c r="AI94" s="15" t="s">
        <v>162</v>
      </c>
      <c r="AJ94" s="16">
        <f t="shared" si="28"/>
        <v>89680</v>
      </c>
      <c r="AK94" s="16">
        <f t="shared" si="27"/>
        <v>0</v>
      </c>
    </row>
    <row r="95" spans="1:37" x14ac:dyDescent="0.25">
      <c r="A95" s="2">
        <v>7.2</v>
      </c>
      <c r="B95" s="18" t="s">
        <v>57</v>
      </c>
      <c r="C95" s="15"/>
      <c r="D95" s="16"/>
      <c r="E95" s="16"/>
      <c r="F95" s="16"/>
      <c r="G95" s="16"/>
      <c r="AH95" s="17">
        <v>5011</v>
      </c>
      <c r="AI95" s="15" t="s">
        <v>138</v>
      </c>
      <c r="AJ95" s="16">
        <f t="shared" si="28"/>
        <v>20000</v>
      </c>
      <c r="AK95" s="16">
        <f t="shared" si="27"/>
        <v>0</v>
      </c>
    </row>
    <row r="96" spans="1:37" x14ac:dyDescent="0.25">
      <c r="A96" s="2"/>
      <c r="B96"/>
      <c r="AH96" s="17">
        <v>5911</v>
      </c>
      <c r="AI96" s="15" t="s">
        <v>8</v>
      </c>
      <c r="AJ96" s="16">
        <f>U29+AK68</f>
        <v>35587.695</v>
      </c>
      <c r="AK96" s="16">
        <f t="shared" si="27"/>
        <v>0</v>
      </c>
    </row>
    <row r="97" spans="1:37" x14ac:dyDescent="0.25">
      <c r="A97" s="2"/>
      <c r="B97" s="17">
        <v>6365</v>
      </c>
      <c r="C97" s="15" t="s">
        <v>182</v>
      </c>
      <c r="D97" s="16">
        <v>300</v>
      </c>
      <c r="E97" s="16"/>
      <c r="F97" s="16"/>
      <c r="G97" s="16"/>
      <c r="AH97" s="18" t="s">
        <v>89</v>
      </c>
      <c r="AI97" s="15"/>
      <c r="AJ97" s="16"/>
      <c r="AK97" s="16"/>
    </row>
    <row r="98" spans="1:37" x14ac:dyDescent="0.25">
      <c r="A98" s="2"/>
      <c r="B98" s="17">
        <v>40111</v>
      </c>
      <c r="C98" s="15" t="s">
        <v>144</v>
      </c>
      <c r="D98" s="16">
        <f>D97*0.18</f>
        <v>54</v>
      </c>
      <c r="E98" s="16"/>
      <c r="F98" s="16"/>
      <c r="G98" s="16"/>
    </row>
    <row r="99" spans="1:37" x14ac:dyDescent="0.25">
      <c r="A99" s="2"/>
      <c r="B99" s="17">
        <v>4212</v>
      </c>
      <c r="C99" s="15" t="s">
        <v>131</v>
      </c>
      <c r="D99" s="16"/>
      <c r="E99" s="16">
        <f>D97+D98</f>
        <v>354</v>
      </c>
      <c r="F99" s="16"/>
      <c r="G99" s="16"/>
    </row>
    <row r="100" spans="1:37" x14ac:dyDescent="0.25">
      <c r="A100" s="2">
        <v>7.2</v>
      </c>
      <c r="B100" s="18" t="s">
        <v>183</v>
      </c>
      <c r="C100" s="15"/>
      <c r="D100" s="16"/>
      <c r="E100" s="16"/>
      <c r="F100" s="16"/>
      <c r="G100" s="16"/>
    </row>
    <row r="101" spans="1:37" x14ac:dyDescent="0.25">
      <c r="A101" s="2"/>
      <c r="B101"/>
    </row>
    <row r="102" spans="1:37" x14ac:dyDescent="0.25">
      <c r="A102" s="2"/>
      <c r="B102" s="17">
        <v>94</v>
      </c>
      <c r="C102" s="15" t="s">
        <v>179</v>
      </c>
      <c r="D102" s="16">
        <f>D97/2</f>
        <v>150</v>
      </c>
      <c r="E102" s="16"/>
      <c r="F102" s="16"/>
      <c r="G102" s="16"/>
    </row>
    <row r="103" spans="1:37" x14ac:dyDescent="0.25">
      <c r="A103" s="2"/>
      <c r="B103" s="17">
        <v>95</v>
      </c>
      <c r="C103" s="15" t="s">
        <v>12</v>
      </c>
      <c r="D103" s="16">
        <f>D102</f>
        <v>150</v>
      </c>
      <c r="E103" s="16"/>
      <c r="F103" s="16"/>
      <c r="G103" s="16"/>
    </row>
    <row r="104" spans="1:37" x14ac:dyDescent="0.25">
      <c r="A104" s="2"/>
      <c r="B104" s="17">
        <v>79</v>
      </c>
      <c r="C104" s="15" t="s">
        <v>13</v>
      </c>
      <c r="D104" s="16"/>
      <c r="E104" s="16">
        <f>D102+D103</f>
        <v>300</v>
      </c>
      <c r="F104" s="16"/>
      <c r="G104" s="16"/>
    </row>
    <row r="105" spans="1:37" x14ac:dyDescent="0.25">
      <c r="A105" s="2">
        <v>7.2</v>
      </c>
      <c r="B105" s="18" t="s">
        <v>184</v>
      </c>
      <c r="C105" s="15"/>
      <c r="D105" s="16"/>
      <c r="E105" s="16"/>
      <c r="F105" s="16"/>
      <c r="G105" s="16"/>
    </row>
    <row r="106" spans="1:37" x14ac:dyDescent="0.25">
      <c r="A106" s="2"/>
      <c r="B106"/>
    </row>
    <row r="107" spans="1:37" x14ac:dyDescent="0.25">
      <c r="A107" s="2"/>
      <c r="B107" s="17">
        <v>182</v>
      </c>
      <c r="C107" s="15" t="s">
        <v>185</v>
      </c>
      <c r="D107" s="16">
        <v>1200</v>
      </c>
      <c r="E107" s="16"/>
      <c r="F107" s="16"/>
      <c r="G107" s="16"/>
    </row>
    <row r="108" spans="1:37" x14ac:dyDescent="0.25">
      <c r="A108" s="2"/>
      <c r="B108" s="17">
        <v>40111</v>
      </c>
      <c r="C108" s="15" t="s">
        <v>144</v>
      </c>
      <c r="D108" s="16">
        <f>D107*0.18</f>
        <v>216</v>
      </c>
      <c r="E108" s="16"/>
      <c r="F108" s="16"/>
      <c r="G108" s="16"/>
    </row>
    <row r="109" spans="1:37" x14ac:dyDescent="0.25">
      <c r="A109" s="2"/>
      <c r="B109" s="17">
        <v>4212</v>
      </c>
      <c r="C109" s="15" t="s">
        <v>131</v>
      </c>
      <c r="D109" s="16"/>
      <c r="E109" s="16">
        <f>D107+D108</f>
        <v>1416</v>
      </c>
      <c r="F109" s="16"/>
      <c r="G109" s="16"/>
    </row>
    <row r="110" spans="1:37" x14ac:dyDescent="0.25">
      <c r="A110" s="2">
        <v>7.3</v>
      </c>
      <c r="B110" s="18" t="s">
        <v>186</v>
      </c>
      <c r="C110" s="15"/>
      <c r="D110" s="16"/>
      <c r="E110" s="16"/>
      <c r="F110" s="16"/>
      <c r="G110" s="16"/>
    </row>
    <row r="111" spans="1:37" x14ac:dyDescent="0.25">
      <c r="A111" s="2"/>
      <c r="B111"/>
    </row>
    <row r="112" spans="1:37" x14ac:dyDescent="0.25">
      <c r="A112" s="2"/>
      <c r="B112" s="17">
        <v>651</v>
      </c>
      <c r="C112" s="15" t="s">
        <v>185</v>
      </c>
      <c r="D112" s="16">
        <f>D107/12</f>
        <v>100</v>
      </c>
      <c r="E112" s="16"/>
      <c r="F112" s="16"/>
      <c r="G112" s="16"/>
    </row>
    <row r="113" spans="1:7" x14ac:dyDescent="0.25">
      <c r="A113" s="2"/>
      <c r="B113" s="17">
        <v>182</v>
      </c>
      <c r="C113" s="15" t="s">
        <v>185</v>
      </c>
      <c r="D113" s="16"/>
      <c r="E113" s="16">
        <f>D112</f>
        <v>100</v>
      </c>
      <c r="F113" s="16"/>
      <c r="G113" s="16"/>
    </row>
    <row r="114" spans="1:7" x14ac:dyDescent="0.25">
      <c r="A114" s="2">
        <v>7.3</v>
      </c>
      <c r="B114" s="18" t="s">
        <v>188</v>
      </c>
      <c r="C114" s="15"/>
      <c r="D114" s="16"/>
      <c r="E114" s="16"/>
      <c r="F114" s="16"/>
      <c r="G114" s="16"/>
    </row>
    <row r="115" spans="1:7" x14ac:dyDescent="0.25">
      <c r="A115" s="2"/>
    </row>
    <row r="116" spans="1:7" x14ac:dyDescent="0.25">
      <c r="A116" s="2"/>
      <c r="B116" s="17">
        <v>94</v>
      </c>
      <c r="C116" s="15" t="s">
        <v>179</v>
      </c>
      <c r="D116" s="16">
        <f>D112</f>
        <v>100</v>
      </c>
      <c r="E116" s="16"/>
      <c r="F116" s="16"/>
      <c r="G116" s="16"/>
    </row>
    <row r="117" spans="1:7" x14ac:dyDescent="0.25">
      <c r="A117" s="2"/>
      <c r="B117" s="17">
        <v>79</v>
      </c>
      <c r="C117" s="15" t="s">
        <v>13</v>
      </c>
      <c r="D117" s="16"/>
      <c r="E117" s="16">
        <f>D116</f>
        <v>100</v>
      </c>
      <c r="F117" s="16"/>
      <c r="G117" s="16"/>
    </row>
    <row r="118" spans="1:7" x14ac:dyDescent="0.25">
      <c r="A118" s="2">
        <v>7.3</v>
      </c>
      <c r="B118" s="18" t="s">
        <v>254</v>
      </c>
      <c r="C118" s="15"/>
      <c r="D118" s="16"/>
      <c r="E118" s="16"/>
      <c r="F118" s="16"/>
      <c r="G118" s="16"/>
    </row>
    <row r="119" spans="1:7" x14ac:dyDescent="0.25">
      <c r="A119" s="2"/>
    </row>
    <row r="120" spans="1:7" x14ac:dyDescent="0.25">
      <c r="A120" s="2"/>
      <c r="B120" s="17">
        <v>4212</v>
      </c>
      <c r="C120" s="15" t="s">
        <v>131</v>
      </c>
      <c r="D120" s="16">
        <f>E109</f>
        <v>1416</v>
      </c>
      <c r="E120" s="16"/>
      <c r="F120" s="16"/>
      <c r="G120" s="16"/>
    </row>
    <row r="121" spans="1:7" x14ac:dyDescent="0.25">
      <c r="A121" s="2"/>
      <c r="B121" s="17">
        <v>10411</v>
      </c>
      <c r="C121" s="15" t="s">
        <v>98</v>
      </c>
      <c r="D121" s="16"/>
      <c r="E121" s="16">
        <f>D120</f>
        <v>1416</v>
      </c>
      <c r="F121" s="16"/>
      <c r="G121" s="16"/>
    </row>
    <row r="122" spans="1:7" x14ac:dyDescent="0.25">
      <c r="A122" s="2">
        <v>7.3</v>
      </c>
      <c r="B122" s="18" t="s">
        <v>204</v>
      </c>
      <c r="C122" s="15"/>
      <c r="D122" s="16"/>
      <c r="E122" s="16"/>
      <c r="F122" s="16"/>
      <c r="G122" s="16"/>
    </row>
    <row r="123" spans="1:7" x14ac:dyDescent="0.25">
      <c r="A123" s="2"/>
      <c r="D123" s="5"/>
      <c r="E123" s="5"/>
      <c r="F123" s="5"/>
      <c r="G123" s="5"/>
    </row>
    <row r="124" spans="1:7" x14ac:dyDescent="0.25">
      <c r="A124" s="2"/>
      <c r="B124" s="17">
        <v>656</v>
      </c>
      <c r="C124" s="15" t="s">
        <v>203</v>
      </c>
      <c r="D124" s="16">
        <v>200</v>
      </c>
      <c r="E124" s="16"/>
      <c r="F124" s="16"/>
      <c r="G124" s="16"/>
    </row>
    <row r="125" spans="1:7" x14ac:dyDescent="0.25">
      <c r="A125" s="2"/>
      <c r="B125" s="17">
        <v>40111</v>
      </c>
      <c r="C125" s="15" t="s">
        <v>144</v>
      </c>
      <c r="D125" s="16">
        <f>D124*0.18</f>
        <v>36</v>
      </c>
      <c r="E125" s="16"/>
      <c r="F125" s="16"/>
      <c r="G125" s="16"/>
    </row>
    <row r="126" spans="1:7" x14ac:dyDescent="0.25">
      <c r="A126" s="2"/>
      <c r="B126" s="17">
        <v>4212</v>
      </c>
      <c r="C126" s="15" t="s">
        <v>131</v>
      </c>
      <c r="D126" s="16"/>
      <c r="E126" s="16">
        <f>D124+D125</f>
        <v>236</v>
      </c>
      <c r="F126" s="16"/>
      <c r="G126" s="16"/>
    </row>
    <row r="127" spans="1:7" x14ac:dyDescent="0.25">
      <c r="A127" s="2">
        <v>7.4</v>
      </c>
      <c r="B127" s="18" t="s">
        <v>205</v>
      </c>
      <c r="C127" s="15"/>
      <c r="D127" s="16"/>
      <c r="E127" s="16"/>
      <c r="F127" s="16"/>
      <c r="G127" s="16"/>
    </row>
    <row r="128" spans="1:7" x14ac:dyDescent="0.25">
      <c r="A128" s="2"/>
      <c r="B128"/>
    </row>
    <row r="129" spans="1:7" x14ac:dyDescent="0.25">
      <c r="A129" s="2"/>
      <c r="B129" s="17">
        <v>95</v>
      </c>
      <c r="C129" s="15" t="s">
        <v>12</v>
      </c>
      <c r="D129" s="16">
        <f>D124</f>
        <v>200</v>
      </c>
      <c r="E129" s="16"/>
      <c r="F129" s="16"/>
      <c r="G129" s="16"/>
    </row>
    <row r="130" spans="1:7" x14ac:dyDescent="0.25">
      <c r="A130" s="2"/>
      <c r="B130" s="17">
        <v>79</v>
      </c>
      <c r="C130" s="15" t="s">
        <v>13</v>
      </c>
      <c r="D130" s="16"/>
      <c r="E130" s="16">
        <f>D129</f>
        <v>200</v>
      </c>
      <c r="F130" s="16"/>
      <c r="G130" s="16"/>
    </row>
    <row r="131" spans="1:7" x14ac:dyDescent="0.25">
      <c r="A131" s="2">
        <v>7.4</v>
      </c>
      <c r="B131" s="18" t="s">
        <v>206</v>
      </c>
      <c r="C131" s="15"/>
      <c r="D131" s="16"/>
      <c r="E131" s="16"/>
      <c r="F131" s="16"/>
      <c r="G131" s="16"/>
    </row>
    <row r="132" spans="1:7" x14ac:dyDescent="0.25">
      <c r="A132" s="2"/>
      <c r="B132"/>
    </row>
    <row r="133" spans="1:7" x14ac:dyDescent="0.25">
      <c r="A133" s="2"/>
      <c r="B133" s="17">
        <v>4212</v>
      </c>
      <c r="C133" s="15" t="s">
        <v>131</v>
      </c>
      <c r="D133" s="16">
        <f>E126</f>
        <v>236</v>
      </c>
      <c r="E133" s="16"/>
      <c r="F133" s="16"/>
      <c r="G133" s="16"/>
    </row>
    <row r="134" spans="1:7" x14ac:dyDescent="0.25">
      <c r="A134" s="2"/>
      <c r="B134" s="17">
        <v>10411</v>
      </c>
      <c r="C134" s="15" t="s">
        <v>98</v>
      </c>
      <c r="D134" s="16"/>
      <c r="E134" s="16">
        <f>D133</f>
        <v>236</v>
      </c>
      <c r="F134" s="16"/>
      <c r="G134" s="16"/>
    </row>
    <row r="135" spans="1:7" x14ac:dyDescent="0.25">
      <c r="A135" s="2">
        <v>7.4</v>
      </c>
      <c r="B135" s="18" t="s">
        <v>207</v>
      </c>
      <c r="C135" s="15"/>
      <c r="D135" s="16"/>
      <c r="E135" s="16"/>
      <c r="F135" s="16"/>
      <c r="G135" s="16"/>
    </row>
    <row r="136" spans="1:7" x14ac:dyDescent="0.25">
      <c r="A136" s="2"/>
      <c r="D136" s="5"/>
      <c r="E136" s="5"/>
      <c r="F136" s="5"/>
      <c r="G136" s="5"/>
    </row>
    <row r="137" spans="1:7" x14ac:dyDescent="0.25">
      <c r="A137" s="2"/>
      <c r="B137" s="17">
        <v>6211</v>
      </c>
      <c r="C137" s="15" t="s">
        <v>193</v>
      </c>
      <c r="D137" s="16">
        <v>5760</v>
      </c>
      <c r="E137" s="16"/>
      <c r="F137" s="16"/>
      <c r="G137" s="16"/>
    </row>
    <row r="138" spans="1:7" x14ac:dyDescent="0.25">
      <c r="A138" s="2"/>
      <c r="B138" s="17">
        <v>6271</v>
      </c>
      <c r="C138" s="15" t="s">
        <v>194</v>
      </c>
      <c r="D138" s="16">
        <v>519</v>
      </c>
      <c r="E138" s="16"/>
      <c r="F138" s="16"/>
      <c r="G138" s="16"/>
    </row>
    <row r="139" spans="1:7" x14ac:dyDescent="0.25">
      <c r="A139" s="2"/>
      <c r="B139" s="17">
        <v>4031</v>
      </c>
      <c r="C139" s="15" t="s">
        <v>172</v>
      </c>
      <c r="D139" s="16"/>
      <c r="E139" s="16">
        <f>D138</f>
        <v>519</v>
      </c>
      <c r="F139" s="16"/>
      <c r="G139" s="16"/>
    </row>
    <row r="140" spans="1:7" x14ac:dyDescent="0.25">
      <c r="A140" s="2"/>
      <c r="B140" s="17">
        <v>4111</v>
      </c>
      <c r="C140" s="15" t="s">
        <v>195</v>
      </c>
      <c r="D140" s="16"/>
      <c r="E140" s="16">
        <f>D137-E141</f>
        <v>5011</v>
      </c>
      <c r="F140" s="16"/>
      <c r="G140" s="16"/>
    </row>
    <row r="141" spans="1:7" x14ac:dyDescent="0.25">
      <c r="A141" s="2"/>
      <c r="B141" s="17">
        <v>417</v>
      </c>
      <c r="C141" s="15" t="s">
        <v>174</v>
      </c>
      <c r="D141" s="16"/>
      <c r="E141" s="16">
        <v>749</v>
      </c>
      <c r="F141" s="16"/>
      <c r="G141" s="16"/>
    </row>
    <row r="142" spans="1:7" x14ac:dyDescent="0.25">
      <c r="A142" s="2">
        <v>8</v>
      </c>
      <c r="B142" s="18" t="s">
        <v>196</v>
      </c>
      <c r="C142" s="15"/>
      <c r="D142" s="16"/>
      <c r="E142" s="16"/>
      <c r="F142" s="16"/>
      <c r="G142" s="16"/>
    </row>
    <row r="143" spans="1:7" x14ac:dyDescent="0.25">
      <c r="A143" s="2"/>
      <c r="B143"/>
    </row>
    <row r="144" spans="1:7" x14ac:dyDescent="0.25">
      <c r="A144" s="2"/>
      <c r="B144" s="17">
        <v>94</v>
      </c>
      <c r="C144" s="15" t="s">
        <v>179</v>
      </c>
      <c r="D144" s="16">
        <f>(D137+D138)*0.5</f>
        <v>3139.5</v>
      </c>
      <c r="E144" s="16"/>
      <c r="F144" s="16"/>
      <c r="G144" s="16"/>
    </row>
    <row r="145" spans="1:7" x14ac:dyDescent="0.25">
      <c r="A145" s="2"/>
      <c r="B145" s="17">
        <v>95</v>
      </c>
      <c r="C145" s="15" t="s">
        <v>12</v>
      </c>
      <c r="D145" s="16">
        <f>D144</f>
        <v>3139.5</v>
      </c>
      <c r="E145" s="16"/>
      <c r="F145" s="16"/>
      <c r="G145" s="16"/>
    </row>
    <row r="146" spans="1:7" x14ac:dyDescent="0.25">
      <c r="A146" s="2"/>
      <c r="B146" s="17">
        <v>79</v>
      </c>
      <c r="C146" s="15" t="s">
        <v>13</v>
      </c>
      <c r="D146" s="16"/>
      <c r="E146" s="16">
        <f>SUM(D144:D146)</f>
        <v>6279</v>
      </c>
      <c r="F146" s="16"/>
      <c r="G146" s="16"/>
    </row>
    <row r="147" spans="1:7" x14ac:dyDescent="0.25">
      <c r="A147" s="2">
        <v>8</v>
      </c>
      <c r="B147" s="18" t="s">
        <v>197</v>
      </c>
      <c r="C147" s="15"/>
      <c r="D147" s="16"/>
      <c r="E147" s="16"/>
      <c r="F147" s="16"/>
      <c r="G147" s="16"/>
    </row>
    <row r="148" spans="1:7" x14ac:dyDescent="0.25">
      <c r="A148" s="2"/>
      <c r="B148"/>
    </row>
    <row r="149" spans="1:7" x14ac:dyDescent="0.25">
      <c r="A149" s="2"/>
      <c r="B149" s="17">
        <v>4111</v>
      </c>
      <c r="C149" s="15" t="s">
        <v>195</v>
      </c>
      <c r="D149" s="16">
        <f>E140</f>
        <v>5011</v>
      </c>
      <c r="E149" s="16"/>
      <c r="F149" s="16"/>
      <c r="G149" s="16"/>
    </row>
    <row r="150" spans="1:7" x14ac:dyDescent="0.25">
      <c r="A150" s="2"/>
      <c r="B150" s="17">
        <v>10411</v>
      </c>
      <c r="C150" s="15" t="s">
        <v>98</v>
      </c>
      <c r="D150" s="16"/>
      <c r="E150" s="16">
        <f>D149</f>
        <v>5011</v>
      </c>
      <c r="F150" s="16"/>
      <c r="G150" s="16"/>
    </row>
    <row r="151" spans="1:7" x14ac:dyDescent="0.25">
      <c r="A151" s="2">
        <v>8</v>
      </c>
      <c r="B151" s="18" t="s">
        <v>208</v>
      </c>
      <c r="C151" s="15"/>
      <c r="D151" s="16"/>
      <c r="E151" s="16"/>
      <c r="F151" s="16"/>
      <c r="G151" s="16"/>
    </row>
    <row r="152" spans="1:7" x14ac:dyDescent="0.25">
      <c r="A152" s="2"/>
      <c r="D152" s="5"/>
      <c r="E152" s="5"/>
      <c r="F152" s="5"/>
      <c r="G152" s="5"/>
    </row>
    <row r="153" spans="1:7" x14ac:dyDescent="0.25">
      <c r="A153" s="2"/>
      <c r="B153" s="17">
        <v>6214</v>
      </c>
      <c r="C153" s="15" t="s">
        <v>198</v>
      </c>
      <c r="D153" s="16">
        <v>960</v>
      </c>
      <c r="E153" s="16"/>
      <c r="F153" s="16"/>
      <c r="G153" s="16"/>
    </row>
    <row r="154" spans="1:7" x14ac:dyDescent="0.25">
      <c r="A154" s="2"/>
      <c r="B154" s="17">
        <v>6215</v>
      </c>
      <c r="C154" s="15" t="s">
        <v>127</v>
      </c>
      <c r="D154" s="16">
        <v>480</v>
      </c>
      <c r="E154" s="16"/>
      <c r="F154" s="16"/>
      <c r="G154" s="16"/>
    </row>
    <row r="155" spans="1:7" x14ac:dyDescent="0.25">
      <c r="A155" s="2"/>
      <c r="B155" s="17">
        <v>6291</v>
      </c>
      <c r="C155" s="15" t="s">
        <v>130</v>
      </c>
      <c r="D155" s="16">
        <v>560</v>
      </c>
      <c r="E155" s="16"/>
      <c r="F155" s="16"/>
      <c r="G155" s="16"/>
    </row>
    <row r="156" spans="1:7" x14ac:dyDescent="0.25">
      <c r="A156" s="2"/>
      <c r="B156" s="17">
        <v>4114</v>
      </c>
      <c r="C156" s="15" t="s">
        <v>198</v>
      </c>
      <c r="D156" s="16"/>
      <c r="E156" s="16">
        <f>D153</f>
        <v>960</v>
      </c>
      <c r="F156" s="16"/>
      <c r="G156" s="16"/>
    </row>
    <row r="157" spans="1:7" x14ac:dyDescent="0.25">
      <c r="A157" s="2"/>
      <c r="B157" s="17">
        <v>4115</v>
      </c>
      <c r="C157" s="15" t="s">
        <v>145</v>
      </c>
      <c r="D157" s="16"/>
      <c r="E157" s="16">
        <f t="shared" ref="E157:E158" si="29">D154</f>
        <v>480</v>
      </c>
      <c r="F157" s="16"/>
      <c r="G157" s="16"/>
    </row>
    <row r="158" spans="1:7" x14ac:dyDescent="0.25">
      <c r="A158" s="2"/>
      <c r="B158" s="17">
        <v>4151</v>
      </c>
      <c r="C158" s="15" t="s">
        <v>146</v>
      </c>
      <c r="D158" s="16"/>
      <c r="E158" s="16">
        <f t="shared" si="29"/>
        <v>560</v>
      </c>
      <c r="F158" s="16"/>
      <c r="G158" s="16"/>
    </row>
    <row r="159" spans="1:7" x14ac:dyDescent="0.25">
      <c r="A159" s="2">
        <v>8</v>
      </c>
      <c r="B159" s="18" t="s">
        <v>199</v>
      </c>
      <c r="C159" s="15"/>
      <c r="D159" s="16"/>
      <c r="E159" s="16"/>
      <c r="F159" s="16"/>
      <c r="G159" s="16"/>
    </row>
    <row r="160" spans="1:7" x14ac:dyDescent="0.25">
      <c r="A160" s="2"/>
      <c r="B160"/>
    </row>
    <row r="161" spans="1:7" x14ac:dyDescent="0.25">
      <c r="A161" s="2"/>
      <c r="B161" s="17">
        <v>94</v>
      </c>
      <c r="C161" s="15" t="s">
        <v>179</v>
      </c>
      <c r="D161" s="16">
        <f>(D153+D154+D155)*0.5</f>
        <v>1000</v>
      </c>
      <c r="E161" s="16"/>
      <c r="F161" s="16"/>
      <c r="G161" s="16"/>
    </row>
    <row r="162" spans="1:7" x14ac:dyDescent="0.25">
      <c r="A162" s="2"/>
      <c r="B162" s="17">
        <v>95</v>
      </c>
      <c r="C162" s="15" t="s">
        <v>12</v>
      </c>
      <c r="D162" s="16">
        <f>D161</f>
        <v>1000</v>
      </c>
      <c r="E162" s="16"/>
      <c r="F162" s="16"/>
      <c r="G162" s="16"/>
    </row>
    <row r="163" spans="1:7" x14ac:dyDescent="0.25">
      <c r="A163" s="2"/>
      <c r="B163" s="17">
        <v>79</v>
      </c>
      <c r="C163" s="15" t="s">
        <v>13</v>
      </c>
      <c r="D163" s="16"/>
      <c r="E163" s="16">
        <f>SUM(D161:D163)</f>
        <v>2000</v>
      </c>
      <c r="F163" s="16"/>
      <c r="G163" s="16"/>
    </row>
    <row r="164" spans="1:7" x14ac:dyDescent="0.25">
      <c r="A164" s="2">
        <v>8</v>
      </c>
      <c r="B164" s="18" t="s">
        <v>200</v>
      </c>
      <c r="C164" s="15"/>
      <c r="D164" s="16"/>
      <c r="E164" s="16"/>
      <c r="F164" s="16"/>
      <c r="G164" s="16"/>
    </row>
    <row r="165" spans="1:7" x14ac:dyDescent="0.25">
      <c r="A165" s="2"/>
      <c r="B165"/>
    </row>
    <row r="166" spans="1:7" x14ac:dyDescent="0.25">
      <c r="A166" s="2"/>
      <c r="B166" s="17">
        <v>68413</v>
      </c>
      <c r="C166" s="15" t="s">
        <v>215</v>
      </c>
      <c r="D166" s="16">
        <f>Datos!H79</f>
        <v>1875</v>
      </c>
      <c r="E166" s="16"/>
      <c r="F166" s="16"/>
      <c r="G166" s="16"/>
    </row>
    <row r="167" spans="1:7" x14ac:dyDescent="0.25">
      <c r="A167" s="2"/>
      <c r="B167" s="17">
        <v>68414</v>
      </c>
      <c r="C167" s="15" t="s">
        <v>216</v>
      </c>
      <c r="D167" s="16">
        <f>Datos!H76+Datos!H77+Datos!H78</f>
        <v>56</v>
      </c>
      <c r="E167" s="16"/>
      <c r="F167" s="16"/>
      <c r="G167" s="16"/>
    </row>
    <row r="168" spans="1:7" x14ac:dyDescent="0.25">
      <c r="A168" s="2"/>
      <c r="B168" s="17">
        <v>68415</v>
      </c>
      <c r="C168" s="15" t="s">
        <v>217</v>
      </c>
      <c r="D168" s="16">
        <f>Datos!H75</f>
        <v>94</v>
      </c>
      <c r="E168" s="16"/>
      <c r="F168" s="16"/>
      <c r="G168" s="16"/>
    </row>
    <row r="169" spans="1:7" x14ac:dyDescent="0.25">
      <c r="A169" s="2"/>
      <c r="B169" s="17">
        <v>39525</v>
      </c>
      <c r="C169" s="15" t="s">
        <v>218</v>
      </c>
      <c r="D169" s="16"/>
      <c r="E169" s="16">
        <f>D166</f>
        <v>1875</v>
      </c>
      <c r="F169" s="16"/>
      <c r="G169" s="16"/>
    </row>
    <row r="170" spans="1:7" x14ac:dyDescent="0.25">
      <c r="A170" s="2"/>
      <c r="B170" s="17">
        <v>39526</v>
      </c>
      <c r="C170" s="15" t="s">
        <v>219</v>
      </c>
      <c r="D170" s="16"/>
      <c r="E170" s="16">
        <f t="shared" ref="E170:E171" si="30">D167</f>
        <v>56</v>
      </c>
      <c r="F170" s="16"/>
      <c r="G170" s="16"/>
    </row>
    <row r="171" spans="1:7" x14ac:dyDescent="0.25">
      <c r="A171" s="2"/>
      <c r="B171" s="17">
        <v>39527</v>
      </c>
      <c r="C171" s="15" t="s">
        <v>220</v>
      </c>
      <c r="D171" s="16"/>
      <c r="E171" s="16">
        <f t="shared" si="30"/>
        <v>94</v>
      </c>
      <c r="F171" s="16"/>
      <c r="G171" s="16"/>
    </row>
    <row r="172" spans="1:7" x14ac:dyDescent="0.25">
      <c r="A172" s="2">
        <v>9</v>
      </c>
      <c r="B172" s="18" t="s">
        <v>54</v>
      </c>
      <c r="C172" s="15"/>
      <c r="D172" s="16"/>
      <c r="E172" s="16"/>
      <c r="F172" s="16"/>
      <c r="G172" s="16"/>
    </row>
    <row r="173" spans="1:7" x14ac:dyDescent="0.25">
      <c r="A173" s="2"/>
      <c r="B173"/>
    </row>
    <row r="174" spans="1:7" x14ac:dyDescent="0.25">
      <c r="A174" s="2"/>
      <c r="B174" s="17">
        <v>94</v>
      </c>
      <c r="C174" s="15" t="s">
        <v>179</v>
      </c>
      <c r="D174" s="16">
        <f>Datos!L80</f>
        <v>94.5</v>
      </c>
      <c r="E174" s="16"/>
      <c r="F174" s="16"/>
      <c r="G174" s="16"/>
    </row>
    <row r="175" spans="1:7" x14ac:dyDescent="0.25">
      <c r="A175" s="2"/>
      <c r="B175" s="17">
        <v>95</v>
      </c>
      <c r="C175" s="15" t="s">
        <v>12</v>
      </c>
      <c r="D175" s="16">
        <f>Datos!M80</f>
        <v>1930.5</v>
      </c>
      <c r="E175" s="16"/>
      <c r="F175" s="16"/>
      <c r="G175" s="16"/>
    </row>
    <row r="176" spans="1:7" x14ac:dyDescent="0.25">
      <c r="A176" s="2"/>
      <c r="B176" s="17">
        <v>79</v>
      </c>
      <c r="C176" s="15" t="s">
        <v>13</v>
      </c>
      <c r="D176" s="16"/>
      <c r="E176" s="16">
        <f>SUM(D174:D176)</f>
        <v>2025</v>
      </c>
      <c r="F176" s="16"/>
      <c r="G176" s="16"/>
    </row>
    <row r="177" spans="1:9" x14ac:dyDescent="0.25">
      <c r="A177" s="2">
        <v>9</v>
      </c>
      <c r="B177" s="18" t="s">
        <v>55</v>
      </c>
      <c r="C177" s="15"/>
      <c r="D177" s="16"/>
      <c r="E177" s="16"/>
      <c r="F177" s="16"/>
      <c r="G177" s="16"/>
    </row>
    <row r="178" spans="1:9" x14ac:dyDescent="0.25">
      <c r="A178" s="2"/>
      <c r="B178"/>
    </row>
    <row r="179" spans="1:9" x14ac:dyDescent="0.25">
      <c r="A179" s="2"/>
      <c r="B179" s="17">
        <v>6391</v>
      </c>
      <c r="C179" s="15" t="s">
        <v>226</v>
      </c>
      <c r="D179" s="16">
        <f>Datos!F86+Datos!F87</f>
        <v>88</v>
      </c>
      <c r="E179" s="16"/>
      <c r="F179" s="16"/>
      <c r="G179" s="16"/>
    </row>
    <row r="180" spans="1:9" x14ac:dyDescent="0.25">
      <c r="A180" s="2"/>
      <c r="B180" s="17">
        <v>6412</v>
      </c>
      <c r="C180" s="15" t="s">
        <v>221</v>
      </c>
      <c r="D180" s="16">
        <f>Datos!F84+Datos!F85</f>
        <v>29</v>
      </c>
      <c r="E180" s="16"/>
      <c r="F180" s="16"/>
      <c r="G180" s="16"/>
    </row>
    <row r="181" spans="1:9" x14ac:dyDescent="0.25">
      <c r="A181" s="2"/>
      <c r="B181" s="17">
        <v>10411</v>
      </c>
      <c r="C181" s="15" t="s">
        <v>98</v>
      </c>
      <c r="D181" s="16"/>
      <c r="E181" s="16">
        <f>Datos!F84+Datos!F86</f>
        <v>60</v>
      </c>
      <c r="F181" s="16"/>
      <c r="G181" s="16"/>
    </row>
    <row r="182" spans="1:9" x14ac:dyDescent="0.25">
      <c r="A182" s="2"/>
      <c r="B182" s="17">
        <v>10412</v>
      </c>
      <c r="C182" s="15" t="s">
        <v>99</v>
      </c>
      <c r="D182" s="16"/>
      <c r="E182" s="16">
        <f>Datos!F85+Datos!F87</f>
        <v>57</v>
      </c>
      <c r="F182" s="16"/>
      <c r="G182" s="16">
        <f>Datos!D85+Datos!D87</f>
        <v>15</v>
      </c>
    </row>
    <row r="183" spans="1:9" x14ac:dyDescent="0.25">
      <c r="A183" s="2">
        <v>10</v>
      </c>
      <c r="B183" s="18" t="s">
        <v>229</v>
      </c>
      <c r="C183" s="15"/>
      <c r="D183" s="16"/>
      <c r="E183" s="16"/>
      <c r="F183" s="16"/>
      <c r="G183" s="16"/>
    </row>
    <row r="184" spans="1:9" x14ac:dyDescent="0.25">
      <c r="A184" s="2"/>
      <c r="B184"/>
    </row>
    <row r="185" spans="1:9" x14ac:dyDescent="0.25">
      <c r="A185" s="2"/>
      <c r="B185" s="17">
        <v>94</v>
      </c>
      <c r="C185" s="15" t="s">
        <v>179</v>
      </c>
      <c r="D185" s="16">
        <f>D179+D180</f>
        <v>117</v>
      </c>
      <c r="E185" s="16"/>
      <c r="F185" s="16"/>
      <c r="G185" s="16"/>
    </row>
    <row r="186" spans="1:9" x14ac:dyDescent="0.25">
      <c r="A186" s="2"/>
      <c r="B186" s="17">
        <v>79</v>
      </c>
      <c r="C186" s="15" t="s">
        <v>13</v>
      </c>
      <c r="D186" s="16"/>
      <c r="E186" s="16">
        <f>SUM(D185:D186)</f>
        <v>117</v>
      </c>
      <c r="F186" s="16"/>
      <c r="G186" s="16"/>
      <c r="H186" s="5"/>
      <c r="I186" s="5"/>
    </row>
    <row r="187" spans="1:9" x14ac:dyDescent="0.25">
      <c r="A187" s="2">
        <v>10</v>
      </c>
      <c r="B187" s="18" t="s">
        <v>230</v>
      </c>
      <c r="C187" s="15"/>
      <c r="D187" s="16"/>
      <c r="E187" s="16"/>
      <c r="F187" s="16"/>
      <c r="G187" s="16"/>
    </row>
    <row r="188" spans="1:9" x14ac:dyDescent="0.25">
      <c r="A188" s="2"/>
      <c r="B188"/>
    </row>
    <row r="189" spans="1:9" x14ac:dyDescent="0.25">
      <c r="A189" s="2"/>
      <c r="B189" s="17">
        <v>4654</v>
      </c>
      <c r="C189" s="15" t="s">
        <v>162</v>
      </c>
      <c r="D189" s="16"/>
      <c r="E189" s="16">
        <f>D190</f>
        <v>4720</v>
      </c>
      <c r="F189" s="16"/>
      <c r="G189" s="16"/>
    </row>
    <row r="190" spans="1:9" x14ac:dyDescent="0.25">
      <c r="B190" s="17">
        <v>676</v>
      </c>
      <c r="C190" s="15" t="s">
        <v>167</v>
      </c>
      <c r="D190" s="16">
        <f>Datos!H60</f>
        <v>4720</v>
      </c>
      <c r="E190" s="16"/>
      <c r="F190" s="16"/>
      <c r="G190" s="16"/>
    </row>
    <row r="191" spans="1:9" x14ac:dyDescent="0.25">
      <c r="A191" s="2">
        <v>11</v>
      </c>
      <c r="B191" s="18" t="s">
        <v>169</v>
      </c>
      <c r="C191" s="15"/>
      <c r="D191" s="16"/>
      <c r="E191" s="16"/>
      <c r="F191" s="16"/>
      <c r="G191" s="16"/>
    </row>
    <row r="192" spans="1:9" x14ac:dyDescent="0.25">
      <c r="D192" s="5"/>
      <c r="E192" s="5"/>
      <c r="F192" s="5"/>
      <c r="G192" s="5"/>
      <c r="H192" s="28"/>
      <c r="I192" s="28"/>
    </row>
    <row r="193" spans="1:7" x14ac:dyDescent="0.25">
      <c r="B193" s="17">
        <v>10412</v>
      </c>
      <c r="C193" s="15" t="s">
        <v>99</v>
      </c>
      <c r="D193" s="16">
        <f>Datos!D98</f>
        <v>910</v>
      </c>
      <c r="E193" s="16"/>
      <c r="F193" s="16"/>
      <c r="G193" s="16"/>
    </row>
    <row r="194" spans="1:7" x14ac:dyDescent="0.25">
      <c r="B194" s="17">
        <v>776</v>
      </c>
      <c r="C194" s="15" t="s">
        <v>167</v>
      </c>
      <c r="D194" s="16"/>
      <c r="E194" s="16">
        <f>D193</f>
        <v>910</v>
      </c>
      <c r="F194" s="16"/>
      <c r="G194" s="16"/>
    </row>
    <row r="195" spans="1:7" x14ac:dyDescent="0.25">
      <c r="A195" s="2">
        <v>11</v>
      </c>
      <c r="B195" s="18" t="s">
        <v>169</v>
      </c>
      <c r="C195" s="15"/>
      <c r="D195" s="16"/>
      <c r="E195" s="16"/>
      <c r="F195" s="16"/>
      <c r="G195" s="16"/>
    </row>
    <row r="197" spans="1:7" ht="15.75" thickBot="1" x14ac:dyDescent="0.3">
      <c r="D197" s="37">
        <f>SUM(D5:D196)</f>
        <v>378903</v>
      </c>
      <c r="E197" s="37">
        <f>SUM(E5:E196)</f>
        <v>378903</v>
      </c>
    </row>
    <row r="198" spans="1:7" ht="15.75" thickTop="1" x14ac:dyDescent="0.25"/>
    <row r="235" spans="10:10" x14ac:dyDescent="0.25">
      <c r="J235" s="5"/>
    </row>
  </sheetData>
  <autoFilter ref="A3:AQ195" xr:uid="{008640D4-4F8F-4383-9F2B-09D1AE53675D}"/>
  <mergeCells count="14">
    <mergeCell ref="H42:I45"/>
    <mergeCell ref="H47:I49"/>
    <mergeCell ref="H51:I53"/>
    <mergeCell ref="H20:I23"/>
    <mergeCell ref="H26:I28"/>
    <mergeCell ref="H38:I40"/>
    <mergeCell ref="H34:I36"/>
    <mergeCell ref="X2:Y2"/>
    <mergeCell ref="L2:M2"/>
    <mergeCell ref="N2:O2"/>
    <mergeCell ref="P2:Q2"/>
    <mergeCell ref="R2:S2"/>
    <mergeCell ref="T2:U2"/>
    <mergeCell ref="V2:W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Datos</vt:lpstr>
      <vt:lpstr>Respuesta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Julissa Carranza (PE)</dc:creator>
  <cp:lastModifiedBy>Rosse</cp:lastModifiedBy>
  <dcterms:created xsi:type="dcterms:W3CDTF">2024-06-14T16:27:11Z</dcterms:created>
  <dcterms:modified xsi:type="dcterms:W3CDTF">2024-11-30T16:13:27Z</dcterms:modified>
</cp:coreProperties>
</file>