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e\OneDrive\Documentos\PUCP 2024-2\CONTABILIDAD Y FINANZAS\Datos para el EX2\"/>
    </mc:Choice>
  </mc:AlternateContent>
  <xr:revisionPtr revIDLastSave="0" documentId="13_ncr:1_{DC3E08A2-B08C-440D-B941-2444144C0E0A}" xr6:coauthVersionLast="36" xr6:coauthVersionMax="47" xr10:uidLastSave="{00000000-0000-0000-0000-000000000000}"/>
  <bookViews>
    <workbookView xWindow="0" yWindow="0" windowWidth="21570" windowHeight="8430" activeTab="1" xr2:uid="{6ADEE2B6-A3CF-4D28-9307-6695F1FB2701}"/>
  </bookViews>
  <sheets>
    <sheet name="Datos" sheetId="3" r:id="rId1"/>
    <sheet name="Respuesta" sheetId="2" r:id="rId2"/>
  </sheets>
  <definedNames>
    <definedName name="_xlnm._FilterDatabase" localSheetId="1" hidden="1">Respuesta!$A$3:$AS$200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" i="2" l="1"/>
  <c r="AP67" i="2" l="1"/>
  <c r="AB67" i="2"/>
  <c r="O54" i="2"/>
  <c r="M54" i="2"/>
  <c r="L54" i="2"/>
  <c r="O24" i="2"/>
  <c r="N24" i="2"/>
  <c r="O8" i="2"/>
  <c r="N8" i="2"/>
  <c r="E8" i="2"/>
  <c r="M8" i="2" s="1"/>
  <c r="E9" i="2"/>
  <c r="D8" i="2"/>
  <c r="L8" i="2" s="1"/>
  <c r="D7" i="2"/>
  <c r="E155" i="2"/>
  <c r="D149" i="2"/>
  <c r="E152" i="2" s="1"/>
  <c r="E154" i="2"/>
  <c r="D150" i="2"/>
  <c r="E151" i="2" s="1"/>
  <c r="D148" i="2"/>
  <c r="D167" i="2" s="1"/>
  <c r="H85" i="3"/>
  <c r="H82" i="3"/>
  <c r="H81" i="3"/>
  <c r="D85" i="3"/>
  <c r="D84" i="3"/>
  <c r="D82" i="3"/>
  <c r="D83" i="3"/>
  <c r="D81" i="3"/>
  <c r="F85" i="3"/>
  <c r="D135" i="2"/>
  <c r="D140" i="2" s="1"/>
  <c r="E141" i="2" s="1"/>
  <c r="D118" i="2"/>
  <c r="D123" i="2" s="1"/>
  <c r="D108" i="2"/>
  <c r="D109" i="2" s="1"/>
  <c r="D103" i="2"/>
  <c r="D104" i="2" s="1"/>
  <c r="E105" i="2" s="1"/>
  <c r="D99" i="2"/>
  <c r="E100" i="2" s="1"/>
  <c r="D88" i="2"/>
  <c r="D93" i="2" s="1"/>
  <c r="D74" i="2"/>
  <c r="D80" i="2" s="1"/>
  <c r="E81" i="2" s="1"/>
  <c r="D65" i="2"/>
  <c r="D64" i="2"/>
  <c r="D60" i="2"/>
  <c r="D59" i="2"/>
  <c r="D53" i="2"/>
  <c r="E56" i="2" s="1"/>
  <c r="D52" i="2"/>
  <c r="E55" i="2" s="1"/>
  <c r="D51" i="2"/>
  <c r="E54" i="2" s="1"/>
  <c r="D43" i="2"/>
  <c r="E44" i="2" s="1"/>
  <c r="D89" i="2" l="1"/>
  <c r="E90" i="2" s="1"/>
  <c r="D136" i="2"/>
  <c r="E137" i="2" s="1"/>
  <c r="D144" i="2" s="1"/>
  <c r="E145" i="2" s="1"/>
  <c r="D127" i="2"/>
  <c r="E128" i="2" s="1"/>
  <c r="E124" i="2"/>
  <c r="D119" i="2"/>
  <c r="E120" i="2" s="1"/>
  <c r="D131" i="2" s="1"/>
  <c r="E132" i="2" s="1"/>
  <c r="Q8" i="2"/>
  <c r="N54" i="2"/>
  <c r="P54" i="2" s="1"/>
  <c r="P8" i="2"/>
  <c r="E170" i="2"/>
  <c r="D169" i="2"/>
  <c r="E172" i="2" s="1"/>
  <c r="E153" i="2"/>
  <c r="D163" i="2" s="1"/>
  <c r="E164" i="2" s="1"/>
  <c r="D158" i="2"/>
  <c r="D159" i="2" s="1"/>
  <c r="E160" i="2" s="1"/>
  <c r="D168" i="2"/>
  <c r="E171" i="2" s="1"/>
  <c r="E61" i="2"/>
  <c r="E110" i="2"/>
  <c r="D75" i="2"/>
  <c r="E77" i="2" s="1"/>
  <c r="D84" i="2" s="1"/>
  <c r="E85" i="2" s="1"/>
  <c r="D94" i="2"/>
  <c r="E95" i="2" s="1"/>
  <c r="D113" i="2"/>
  <c r="E66" i="2"/>
  <c r="D70" i="2" s="1"/>
  <c r="E71" i="2" s="1"/>
  <c r="T8" i="2" l="1"/>
  <c r="AL79" i="2" s="1"/>
  <c r="Q54" i="2"/>
  <c r="W54" i="2" s="1"/>
  <c r="U8" i="2"/>
  <c r="D175" i="2"/>
  <c r="D176" i="2" s="1"/>
  <c r="E177" i="2" s="1"/>
  <c r="D114" i="2"/>
  <c r="E115" i="2" s="1"/>
  <c r="V54" i="2" l="1"/>
  <c r="E24" i="2" l="1"/>
  <c r="M24" i="2" s="1"/>
  <c r="E23" i="2"/>
  <c r="D24" i="2"/>
  <c r="L24" i="2" s="1"/>
  <c r="D23" i="2"/>
  <c r="E16" i="2"/>
  <c r="E15" i="2"/>
  <c r="D16" i="2"/>
  <c r="D15" i="2"/>
  <c r="D13" i="2"/>
  <c r="D12" i="2"/>
  <c r="F59" i="3"/>
  <c r="D62" i="3"/>
  <c r="D69" i="3" s="1"/>
  <c r="D61" i="3"/>
  <c r="D68" i="3" s="1"/>
  <c r="D60" i="3"/>
  <c r="D67" i="3" s="1"/>
  <c r="D59" i="3"/>
  <c r="D66" i="3" s="1"/>
  <c r="G52" i="3"/>
  <c r="G51" i="3"/>
  <c r="G50" i="3"/>
  <c r="G49" i="3"/>
  <c r="D52" i="3"/>
  <c r="D51" i="3"/>
  <c r="D50" i="3"/>
  <c r="D49" i="3"/>
  <c r="D48" i="3"/>
  <c r="H5" i="3"/>
  <c r="Q24" i="2" l="1"/>
  <c r="P24" i="2"/>
  <c r="O57" i="2"/>
  <c r="O56" i="2"/>
  <c r="N55" i="2"/>
  <c r="N53" i="2"/>
  <c r="O52" i="2"/>
  <c r="O51" i="2"/>
  <c r="O50" i="2"/>
  <c r="O49" i="2"/>
  <c r="O48" i="2"/>
  <c r="O47" i="2"/>
  <c r="N47" i="2"/>
  <c r="O46" i="2"/>
  <c r="O45" i="2"/>
  <c r="O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N35" i="2"/>
  <c r="O34" i="2"/>
  <c r="O33" i="2"/>
  <c r="N33" i="2"/>
  <c r="O32" i="2"/>
  <c r="N32" i="2"/>
  <c r="O28" i="2"/>
  <c r="N27" i="2"/>
  <c r="N26" i="2"/>
  <c r="N25" i="2"/>
  <c r="O21" i="2"/>
  <c r="N21" i="2"/>
  <c r="N19" i="2"/>
  <c r="N18" i="2"/>
  <c r="N17" i="2"/>
  <c r="O15" i="2"/>
  <c r="N15" i="2"/>
  <c r="O14" i="2"/>
  <c r="N14" i="2"/>
  <c r="O12" i="2"/>
  <c r="N10" i="2"/>
  <c r="O9" i="2"/>
  <c r="N9" i="2"/>
  <c r="M57" i="2"/>
  <c r="L57" i="2"/>
  <c r="M56" i="2"/>
  <c r="L56" i="2"/>
  <c r="M55" i="2"/>
  <c r="L55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1" i="2"/>
  <c r="L31" i="2"/>
  <c r="M30" i="2"/>
  <c r="L30" i="2"/>
  <c r="M25" i="2"/>
  <c r="L25" i="2"/>
  <c r="M23" i="2"/>
  <c r="L23" i="2"/>
  <c r="M17" i="2"/>
  <c r="L17" i="2"/>
  <c r="M12" i="2"/>
  <c r="L12" i="2"/>
  <c r="M10" i="2"/>
  <c r="L10" i="2"/>
  <c r="F6" i="2"/>
  <c r="N45" i="2"/>
  <c r="D70" i="3"/>
  <c r="F69" i="3"/>
  <c r="F68" i="3"/>
  <c r="F67" i="3"/>
  <c r="F66" i="3"/>
  <c r="G59" i="3"/>
  <c r="H59" i="3" s="1"/>
  <c r="H66" i="3" s="1"/>
  <c r="L66" i="3" s="1"/>
  <c r="F62" i="3"/>
  <c r="G62" i="3" s="1"/>
  <c r="H62" i="3" s="1"/>
  <c r="H69" i="3" s="1"/>
  <c r="F61" i="3"/>
  <c r="G61" i="3" s="1"/>
  <c r="H61" i="3" s="1"/>
  <c r="H68" i="3" s="1"/>
  <c r="F60" i="3"/>
  <c r="G60" i="3" s="1"/>
  <c r="H60" i="3" s="1"/>
  <c r="H67" i="3" s="1"/>
  <c r="O27" i="2"/>
  <c r="O26" i="2"/>
  <c r="O25" i="2"/>
  <c r="O22" i="2"/>
  <c r="N23" i="3"/>
  <c r="R23" i="3" s="1"/>
  <c r="N24" i="3"/>
  <c r="N22" i="3"/>
  <c r="N25" i="3"/>
  <c r="O10" i="2"/>
  <c r="H52" i="3"/>
  <c r="H51" i="3"/>
  <c r="H50" i="3"/>
  <c r="H49" i="3"/>
  <c r="H48" i="3"/>
  <c r="N22" i="2"/>
  <c r="N28" i="2"/>
  <c r="E22" i="2"/>
  <c r="M28" i="2" s="1"/>
  <c r="D22" i="2"/>
  <c r="L28" i="2" s="1"/>
  <c r="E19" i="2"/>
  <c r="M22" i="2" s="1"/>
  <c r="D19" i="2"/>
  <c r="L22" i="2" s="1"/>
  <c r="N21" i="3"/>
  <c r="N31" i="2"/>
  <c r="E70" i="3"/>
  <c r="F42" i="3"/>
  <c r="F41" i="3"/>
  <c r="E25" i="2"/>
  <c r="M32" i="2" s="1"/>
  <c r="E18" i="2"/>
  <c r="M21" i="2" s="1"/>
  <c r="E17" i="2"/>
  <c r="M20" i="2" s="1"/>
  <c r="E21" i="2"/>
  <c r="M27" i="2" s="1"/>
  <c r="E20" i="2"/>
  <c r="M26" i="2" s="1"/>
  <c r="E12" i="2"/>
  <c r="M14" i="2" s="1"/>
  <c r="E11" i="2"/>
  <c r="M15" i="2" s="1"/>
  <c r="E10" i="2"/>
  <c r="M11" i="2" s="1"/>
  <c r="M9" i="2"/>
  <c r="E7" i="2"/>
  <c r="M7" i="2" s="1"/>
  <c r="E6" i="2"/>
  <c r="M6" i="2" s="1"/>
  <c r="E5" i="2"/>
  <c r="D26" i="2"/>
  <c r="L33" i="2" s="1"/>
  <c r="D25" i="2"/>
  <c r="L32" i="2" s="1"/>
  <c r="L29" i="2"/>
  <c r="D18" i="2"/>
  <c r="L21" i="2" s="1"/>
  <c r="D17" i="2"/>
  <c r="L20" i="2" s="1"/>
  <c r="D21" i="2"/>
  <c r="L27" i="2" s="1"/>
  <c r="D20" i="2"/>
  <c r="L26" i="2" s="1"/>
  <c r="L18" i="2"/>
  <c r="D14" i="2"/>
  <c r="L19" i="2" s="1"/>
  <c r="L14" i="2"/>
  <c r="D11" i="2"/>
  <c r="L15" i="2" s="1"/>
  <c r="D9" i="2"/>
  <c r="L9" i="2" s="1"/>
  <c r="L7" i="2"/>
  <c r="D5" i="2"/>
  <c r="M29" i="2"/>
  <c r="M27" i="3"/>
  <c r="E26" i="2" s="1"/>
  <c r="M33" i="2" s="1"/>
  <c r="N30" i="3"/>
  <c r="N29" i="3"/>
  <c r="N28" i="3"/>
  <c r="O20" i="3"/>
  <c r="O23" i="3" s="1"/>
  <c r="S23" i="3" s="1"/>
  <c r="E14" i="2"/>
  <c r="M19" i="2" s="1"/>
  <c r="H13" i="3"/>
  <c r="H12" i="3"/>
  <c r="H11" i="3"/>
  <c r="D6" i="2"/>
  <c r="T24" i="2" l="1"/>
  <c r="AL92" i="2" s="1"/>
  <c r="U24" i="2"/>
  <c r="AK92" i="2" s="1"/>
  <c r="L68" i="3"/>
  <c r="M68" i="3" s="1"/>
  <c r="M69" i="3"/>
  <c r="N69" i="3" s="1"/>
  <c r="L6" i="2"/>
  <c r="N44" i="2"/>
  <c r="Q44" i="2" s="1"/>
  <c r="Q37" i="2"/>
  <c r="Q32" i="2"/>
  <c r="P36" i="2"/>
  <c r="N12" i="2"/>
  <c r="Q12" i="2" s="1"/>
  <c r="Q15" i="2"/>
  <c r="P33" i="2"/>
  <c r="Q28" i="2"/>
  <c r="P45" i="2"/>
  <c r="N23" i="2"/>
  <c r="P32" i="2"/>
  <c r="O23" i="2"/>
  <c r="Q36" i="2"/>
  <c r="Q40" i="2"/>
  <c r="N46" i="2"/>
  <c r="P46" i="2" s="1"/>
  <c r="P25" i="2"/>
  <c r="P40" i="2"/>
  <c r="P47" i="2"/>
  <c r="Q9" i="2"/>
  <c r="Q14" i="2"/>
  <c r="P37" i="2"/>
  <c r="Q10" i="2"/>
  <c r="Q33" i="2"/>
  <c r="Q41" i="2"/>
  <c r="Q45" i="2"/>
  <c r="P28" i="2"/>
  <c r="P41" i="2"/>
  <c r="P15" i="2"/>
  <c r="Q27" i="2"/>
  <c r="Q43" i="2"/>
  <c r="P9" i="2"/>
  <c r="P14" i="2"/>
  <c r="Q47" i="2"/>
  <c r="P39" i="2"/>
  <c r="P22" i="2"/>
  <c r="Q39" i="2"/>
  <c r="Q25" i="2"/>
  <c r="Q22" i="2"/>
  <c r="P27" i="2"/>
  <c r="P43" i="2"/>
  <c r="P10" i="2"/>
  <c r="Q21" i="2"/>
  <c r="Q38" i="2"/>
  <c r="Q26" i="2"/>
  <c r="Q42" i="2"/>
  <c r="P21" i="2"/>
  <c r="P26" i="2"/>
  <c r="P38" i="2"/>
  <c r="P42" i="2"/>
  <c r="G69" i="3"/>
  <c r="I69" i="3" s="1"/>
  <c r="J69" i="3" s="1"/>
  <c r="L67" i="3"/>
  <c r="M67" i="3" s="1"/>
  <c r="M66" i="3"/>
  <c r="N66" i="3" s="1"/>
  <c r="G66" i="3"/>
  <c r="G67" i="3"/>
  <c r="I67" i="3" s="1"/>
  <c r="J67" i="3" s="1"/>
  <c r="G68" i="3"/>
  <c r="I68" i="3" s="1"/>
  <c r="J68" i="3" s="1"/>
  <c r="F43" i="3"/>
  <c r="T23" i="3"/>
  <c r="P23" i="3"/>
  <c r="O25" i="3"/>
  <c r="P25" i="3" s="1"/>
  <c r="O22" i="3"/>
  <c r="P22" i="3" s="1"/>
  <c r="R22" i="3" s="1"/>
  <c r="P20" i="3"/>
  <c r="O24" i="3"/>
  <c r="P24" i="3" s="1"/>
  <c r="R24" i="3" s="1"/>
  <c r="O21" i="3"/>
  <c r="P21" i="3" s="1"/>
  <c r="R21" i="3" s="1"/>
  <c r="H53" i="3"/>
  <c r="N52" i="2" s="1"/>
  <c r="Q52" i="2" s="1"/>
  <c r="F48" i="3"/>
  <c r="F49" i="3"/>
  <c r="F50" i="3"/>
  <c r="F51" i="3"/>
  <c r="F53" i="3" s="1"/>
  <c r="E40" i="2" s="1"/>
  <c r="F52" i="3"/>
  <c r="M18" i="2"/>
  <c r="D10" i="2"/>
  <c r="L11" i="2" s="1"/>
  <c r="D29" i="2"/>
  <c r="H35" i="3"/>
  <c r="O27" i="3"/>
  <c r="I35" i="3"/>
  <c r="E39" i="2" l="1"/>
  <c r="O20" i="2" s="1"/>
  <c r="D38" i="2"/>
  <c r="D47" i="2" s="1"/>
  <c r="E48" i="2" s="1"/>
  <c r="N34" i="2"/>
  <c r="Q34" i="2" s="1"/>
  <c r="D30" i="2"/>
  <c r="N20" i="2" s="1"/>
  <c r="N68" i="3"/>
  <c r="T15" i="2"/>
  <c r="AL82" i="2" s="1"/>
  <c r="U33" i="2"/>
  <c r="AK100" i="2" s="1"/>
  <c r="T32" i="2"/>
  <c r="AL99" i="2" s="1"/>
  <c r="V37" i="2"/>
  <c r="AL45" i="2" s="1"/>
  <c r="V47" i="2"/>
  <c r="AL55" i="2" s="1"/>
  <c r="T9" i="2"/>
  <c r="W36" i="2"/>
  <c r="W45" i="2"/>
  <c r="W42" i="2"/>
  <c r="U22" i="2"/>
  <c r="AK90" i="2" s="1"/>
  <c r="W43" i="2"/>
  <c r="U10" i="2"/>
  <c r="AK80" i="2" s="1"/>
  <c r="W40" i="2"/>
  <c r="U28" i="2"/>
  <c r="AK96" i="2" s="1"/>
  <c r="U26" i="2"/>
  <c r="AK94" i="2" s="1"/>
  <c r="U25" i="2"/>
  <c r="AK93" i="2" s="1"/>
  <c r="W39" i="2"/>
  <c r="U14" i="2"/>
  <c r="AK82" i="2" s="1"/>
  <c r="W38" i="2"/>
  <c r="V41" i="2"/>
  <c r="V45" i="2"/>
  <c r="AB62" i="2" s="1"/>
  <c r="T33" i="2"/>
  <c r="AL100" i="2" s="1"/>
  <c r="U15" i="2"/>
  <c r="AK83" i="2" s="1"/>
  <c r="V36" i="2"/>
  <c r="U32" i="2"/>
  <c r="T22" i="2"/>
  <c r="AL90" i="2" s="1"/>
  <c r="U9" i="2"/>
  <c r="AK79" i="2" s="1"/>
  <c r="V42" i="2"/>
  <c r="AL36" i="2" s="1"/>
  <c r="V39" i="2"/>
  <c r="AL47" i="2" s="1"/>
  <c r="T28" i="2"/>
  <c r="AL96" i="2" s="1"/>
  <c r="V38" i="2"/>
  <c r="AL46" i="2" s="1"/>
  <c r="T10" i="2"/>
  <c r="AB18" i="2" s="1"/>
  <c r="W47" i="2"/>
  <c r="V40" i="2"/>
  <c r="AL48" i="2" s="1"/>
  <c r="T26" i="2"/>
  <c r="AL94" i="2" s="1"/>
  <c r="V43" i="2"/>
  <c r="AL37" i="2" s="1"/>
  <c r="T14" i="2"/>
  <c r="AL83" i="2" s="1"/>
  <c r="W41" i="2"/>
  <c r="T25" i="2"/>
  <c r="AL93" i="2" s="1"/>
  <c r="W37" i="2"/>
  <c r="P23" i="2"/>
  <c r="P12" i="2"/>
  <c r="T12" i="2" s="1"/>
  <c r="AL84" i="2" s="1"/>
  <c r="Q46" i="2"/>
  <c r="W46" i="2" s="1"/>
  <c r="Q23" i="2"/>
  <c r="P44" i="2"/>
  <c r="V44" i="2" s="1"/>
  <c r="AL38" i="2" s="1"/>
  <c r="O6" i="2"/>
  <c r="O17" i="2"/>
  <c r="N49" i="2"/>
  <c r="O18" i="2"/>
  <c r="N50" i="2"/>
  <c r="O19" i="2"/>
  <c r="N51" i="2"/>
  <c r="N48" i="2"/>
  <c r="P52" i="2"/>
  <c r="N67" i="3"/>
  <c r="L70" i="3"/>
  <c r="I66" i="3"/>
  <c r="J66" i="3" s="1"/>
  <c r="G70" i="3"/>
  <c r="H70" i="3"/>
  <c r="F70" i="3"/>
  <c r="O53" i="2"/>
  <c r="I36" i="3"/>
  <c r="AF20" i="2" l="1"/>
  <c r="AS20" i="2" s="1"/>
  <c r="AK99" i="2"/>
  <c r="AB14" i="2"/>
  <c r="AL80" i="2"/>
  <c r="P34" i="2"/>
  <c r="V34" i="2" s="1"/>
  <c r="AL35" i="2"/>
  <c r="AL44" i="2"/>
  <c r="AB61" i="2"/>
  <c r="AP61" i="2" s="1"/>
  <c r="AF21" i="2"/>
  <c r="AS21" i="2" s="1"/>
  <c r="N6" i="2"/>
  <c r="P6" i="2" s="1"/>
  <c r="AP18" i="2"/>
  <c r="AP14" i="2"/>
  <c r="AP62" i="2"/>
  <c r="AL49" i="2"/>
  <c r="AB56" i="2"/>
  <c r="AP56" i="2" s="1"/>
  <c r="AL29" i="2"/>
  <c r="T23" i="2"/>
  <c r="AL91" i="2" s="1"/>
  <c r="V46" i="2"/>
  <c r="AB64" i="2" s="1"/>
  <c r="U12" i="2"/>
  <c r="X52" i="2"/>
  <c r="AB37" i="2" s="1"/>
  <c r="AP37" i="2" s="1"/>
  <c r="S52" i="2"/>
  <c r="R35" i="2" s="1"/>
  <c r="U23" i="2"/>
  <c r="AK91" i="2" s="1"/>
  <c r="W34" i="2"/>
  <c r="W44" i="2"/>
  <c r="Q18" i="2"/>
  <c r="P18" i="2"/>
  <c r="P49" i="2"/>
  <c r="Q49" i="2"/>
  <c r="P17" i="2"/>
  <c r="Q17" i="2"/>
  <c r="Q48" i="2"/>
  <c r="P48" i="2"/>
  <c r="P51" i="2"/>
  <c r="Q51" i="2"/>
  <c r="P19" i="2"/>
  <c r="Q19" i="2"/>
  <c r="Q53" i="2"/>
  <c r="P53" i="2"/>
  <c r="P50" i="2"/>
  <c r="Q50" i="2"/>
  <c r="I70" i="3"/>
  <c r="J70" i="3"/>
  <c r="N70" i="3"/>
  <c r="M70" i="3"/>
  <c r="AK81" i="2" l="1"/>
  <c r="AK84" i="2"/>
  <c r="Q6" i="2"/>
  <c r="T6" i="2" s="1"/>
  <c r="AL77" i="2" s="1"/>
  <c r="AP64" i="2"/>
  <c r="AL54" i="2"/>
  <c r="U19" i="2"/>
  <c r="AK85" i="2" s="1"/>
  <c r="U17" i="2"/>
  <c r="AK87" i="2" s="1"/>
  <c r="AK22" i="2"/>
  <c r="AL23" i="2"/>
  <c r="W52" i="2"/>
  <c r="V53" i="2"/>
  <c r="V50" i="2"/>
  <c r="AL57" i="2" s="1"/>
  <c r="W48" i="2"/>
  <c r="U18" i="2"/>
  <c r="AK86" i="2" s="1"/>
  <c r="V51" i="2"/>
  <c r="AL58" i="2" s="1"/>
  <c r="V49" i="2"/>
  <c r="AL56" i="2" s="1"/>
  <c r="V52" i="2"/>
  <c r="W53" i="2"/>
  <c r="Y53" i="2"/>
  <c r="AB36" i="2" s="1"/>
  <c r="AP36" i="2" s="1"/>
  <c r="AP38" i="2" s="1"/>
  <c r="T19" i="2"/>
  <c r="AL85" i="2" s="1"/>
  <c r="T17" i="2"/>
  <c r="AL87" i="2" s="1"/>
  <c r="W51" i="2"/>
  <c r="W49" i="2"/>
  <c r="W50" i="2"/>
  <c r="V48" i="2"/>
  <c r="AB59" i="2" s="1"/>
  <c r="AP59" i="2" s="1"/>
  <c r="T18" i="2"/>
  <c r="AL86" i="2" s="1"/>
  <c r="AB22" i="2" l="1"/>
  <c r="AP22" i="2" s="1"/>
  <c r="AP23" i="2" s="1"/>
  <c r="U6" i="2"/>
  <c r="AK77" i="2" s="1"/>
  <c r="AK64" i="2"/>
  <c r="AB42" i="2"/>
  <c r="AP42" i="2" s="1"/>
  <c r="AB55" i="2"/>
  <c r="AK28" i="2"/>
  <c r="AB65" i="2"/>
  <c r="AP65" i="2" s="1"/>
  <c r="AP55" i="2" l="1"/>
  <c r="AL43" i="2"/>
  <c r="AL6" i="2"/>
  <c r="O11" i="2"/>
  <c r="D34" i="2"/>
  <c r="D180" i="2"/>
  <c r="M5" i="2"/>
  <c r="L5" i="2"/>
  <c r="O31" i="2" l="1"/>
  <c r="Q31" i="2" s="1"/>
  <c r="N57" i="2"/>
  <c r="N56" i="2"/>
  <c r="E31" i="2"/>
  <c r="P20" i="2"/>
  <c r="E35" i="2"/>
  <c r="O35" i="2" s="1"/>
  <c r="N11" i="2"/>
  <c r="P11" i="2" s="1"/>
  <c r="N7" i="2"/>
  <c r="M59" i="2"/>
  <c r="L59" i="2"/>
  <c r="E180" i="2" l="1"/>
  <c r="P31" i="2"/>
  <c r="T31" i="2" s="1"/>
  <c r="Q35" i="2"/>
  <c r="P35" i="2"/>
  <c r="N30" i="2"/>
  <c r="O30" i="2"/>
  <c r="Q20" i="2"/>
  <c r="U20" i="2" s="1"/>
  <c r="AK88" i="2" s="1"/>
  <c r="O29" i="2"/>
  <c r="O55" i="2"/>
  <c r="Q11" i="2"/>
  <c r="U11" i="2" s="1"/>
  <c r="Q56" i="2"/>
  <c r="P56" i="2"/>
  <c r="Q57" i="2"/>
  <c r="P57" i="2"/>
  <c r="N29" i="2"/>
  <c r="S27" i="2"/>
  <c r="O7" i="2"/>
  <c r="X27" i="2"/>
  <c r="L60" i="2"/>
  <c r="Y59" i="2"/>
  <c r="Q7" i="2" l="1"/>
  <c r="P7" i="2"/>
  <c r="U31" i="2"/>
  <c r="V35" i="2"/>
  <c r="AB57" i="2" s="1"/>
  <c r="AP57" i="2" s="1"/>
  <c r="AP58" i="2" s="1"/>
  <c r="AP60" i="2" s="1"/>
  <c r="AP63" i="2" s="1"/>
  <c r="AP66" i="2" s="1"/>
  <c r="AP68" i="2" s="1"/>
  <c r="T20" i="2"/>
  <c r="U27" i="2"/>
  <c r="AK95" i="2" s="1"/>
  <c r="T27" i="2"/>
  <c r="AL95" i="2" s="1"/>
  <c r="X56" i="2"/>
  <c r="AB39" i="2" s="1"/>
  <c r="AP39" i="2" s="1"/>
  <c r="S56" i="2"/>
  <c r="W35" i="2"/>
  <c r="S57" i="2"/>
  <c r="X57" i="2"/>
  <c r="AB40" i="2" s="1"/>
  <c r="AP40" i="2" s="1"/>
  <c r="T11" i="2"/>
  <c r="AL81" i="2" s="1"/>
  <c r="P29" i="2"/>
  <c r="P30" i="2"/>
  <c r="Q29" i="2"/>
  <c r="Q30" i="2"/>
  <c r="Q55" i="2"/>
  <c r="P55" i="2"/>
  <c r="O5" i="2"/>
  <c r="R21" i="2"/>
  <c r="AB23" i="2"/>
  <c r="N5" i="2"/>
  <c r="Y61" i="2"/>
  <c r="AB38" i="2"/>
  <c r="T7" i="2" l="1"/>
  <c r="AB12" i="2" s="1"/>
  <c r="AP12" i="2" s="1"/>
  <c r="AB17" i="2"/>
  <c r="AL88" i="2"/>
  <c r="AP41" i="2"/>
  <c r="AP43" i="2" s="1"/>
  <c r="AB15" i="2"/>
  <c r="AP15" i="2" s="1"/>
  <c r="AP17" i="2"/>
  <c r="AL30" i="2"/>
  <c r="AL27" i="2" s="1"/>
  <c r="AK34" i="2" s="1"/>
  <c r="AL33" i="2" s="1"/>
  <c r="U7" i="2"/>
  <c r="AK78" i="2" s="1"/>
  <c r="V56" i="2"/>
  <c r="AL17" i="2"/>
  <c r="V57" i="2"/>
  <c r="AL18" i="2"/>
  <c r="T30" i="2"/>
  <c r="AL98" i="2" s="1"/>
  <c r="T29" i="2"/>
  <c r="AL97" i="2" s="1"/>
  <c r="W56" i="2"/>
  <c r="W57" i="2"/>
  <c r="R55" i="2"/>
  <c r="U30" i="2"/>
  <c r="AK98" i="2" s="1"/>
  <c r="U21" i="2"/>
  <c r="T21" i="2"/>
  <c r="AL89" i="2" s="1"/>
  <c r="U29" i="2"/>
  <c r="X59" i="2"/>
  <c r="X60" i="2" s="1"/>
  <c r="X61" i="2" s="1"/>
  <c r="AB41" i="2"/>
  <c r="AB43" i="2" s="1"/>
  <c r="AB45" i="2" s="1"/>
  <c r="S59" i="2"/>
  <c r="O59" i="2"/>
  <c r="P5" i="2"/>
  <c r="Q5" i="2"/>
  <c r="N59" i="2"/>
  <c r="AB58" i="2"/>
  <c r="AL78" i="2" l="1"/>
  <c r="AF11" i="2"/>
  <c r="AK97" i="2"/>
  <c r="AF12" i="2"/>
  <c r="T5" i="2"/>
  <c r="AL76" i="2" s="1"/>
  <c r="AS11" i="2"/>
  <c r="AK42" i="2"/>
  <c r="U5" i="2"/>
  <c r="AK76" i="2" s="1"/>
  <c r="V55" i="2"/>
  <c r="V59" i="2" s="1"/>
  <c r="AK19" i="2"/>
  <c r="W55" i="2"/>
  <c r="W59" i="2" s="1"/>
  <c r="W61" i="2" s="1"/>
  <c r="R59" i="2"/>
  <c r="N60" i="2"/>
  <c r="Q59" i="2"/>
  <c r="P59" i="2"/>
  <c r="AB60" i="2"/>
  <c r="AB63" i="2" s="1"/>
  <c r="AB11" i="2" l="1"/>
  <c r="AP11" i="2" s="1"/>
  <c r="AP19" i="2" s="1"/>
  <c r="AP26" i="2" s="1"/>
  <c r="AL41" i="2"/>
  <c r="AK53" i="2" s="1"/>
  <c r="V60" i="2"/>
  <c r="V61" i="2" s="1"/>
  <c r="T59" i="2"/>
  <c r="U59" i="2"/>
  <c r="AB66" i="2"/>
  <c r="AB68" i="2" s="1"/>
  <c r="AB19" i="2" l="1"/>
  <c r="AB26" i="2" s="1"/>
  <c r="AL52" i="2"/>
  <c r="AK62" i="2" s="1"/>
  <c r="AL61" i="2" s="1"/>
  <c r="AK68" i="2" s="1"/>
  <c r="T61" i="2"/>
  <c r="U60" i="2"/>
  <c r="AF22" i="2" l="1"/>
  <c r="AK89" i="2"/>
  <c r="AP69" i="2"/>
  <c r="AP70" i="2" s="1"/>
  <c r="U61" i="2"/>
  <c r="AB70" i="2" l="1"/>
  <c r="AP44" i="2"/>
  <c r="AP45" i="2" s="1"/>
  <c r="AS22" i="2"/>
  <c r="AS23" i="2" s="1"/>
  <c r="AF23" i="2"/>
  <c r="AL12" i="2"/>
  <c r="AL69" i="2"/>
  <c r="AS12" i="2" l="1"/>
  <c r="AS14" i="2" s="1"/>
  <c r="AS17" i="2" s="1"/>
  <c r="AS26" i="2" s="1"/>
  <c r="AL67" i="2"/>
  <c r="AK73" i="2" s="1"/>
  <c r="AL72" i="2" s="1"/>
  <c r="AF14" i="2"/>
  <c r="AF17" i="2" s="1"/>
  <c r="AF26" i="2" s="1"/>
</calcChain>
</file>

<file path=xl/sharedStrings.xml><?xml version="1.0" encoding="utf-8"?>
<sst xmlns="http://schemas.openxmlformats.org/spreadsheetml/2006/main" count="668" uniqueCount="328">
  <si>
    <t>Cuenta</t>
  </si>
  <si>
    <t>Nombre de cuenta</t>
  </si>
  <si>
    <t>Venta de mercaderías</t>
  </si>
  <si>
    <t>Debe
S/</t>
  </si>
  <si>
    <t>Haber
S/</t>
  </si>
  <si>
    <t>Efectivo y equivalente de efectivo</t>
  </si>
  <si>
    <t>Mercaderías</t>
  </si>
  <si>
    <t>Impuesto a la renta</t>
  </si>
  <si>
    <t>Resultados acumulados</t>
  </si>
  <si>
    <t>Cuentas por pagar comerciales</t>
  </si>
  <si>
    <t>Variación de existencias</t>
  </si>
  <si>
    <t>Costo de ventas</t>
  </si>
  <si>
    <t>Gastos de ventas</t>
  </si>
  <si>
    <t>Cargas imputables a cuentas de costos</t>
  </si>
  <si>
    <t>Energía electrica</t>
  </si>
  <si>
    <t>Saldo inicial</t>
  </si>
  <si>
    <t>Movimientos</t>
  </si>
  <si>
    <t>Saldos finales</t>
  </si>
  <si>
    <t>ESF</t>
  </si>
  <si>
    <t>ERF</t>
  </si>
  <si>
    <t>ERN</t>
  </si>
  <si>
    <t>Estado de Situación Financiera</t>
  </si>
  <si>
    <t>Activos</t>
  </si>
  <si>
    <t>Activo Corriente</t>
  </si>
  <si>
    <t>Cuentas por cobrar comerciales - neto</t>
  </si>
  <si>
    <t>Inventarios</t>
  </si>
  <si>
    <t>Total Activo Corriente</t>
  </si>
  <si>
    <t>Activo no Corriente</t>
  </si>
  <si>
    <t>Propiedades,planta y equipo - neto</t>
  </si>
  <si>
    <t>Total Activo no Corriente</t>
  </si>
  <si>
    <t>Total Activo</t>
  </si>
  <si>
    <t>Pasivo y Patrimonio</t>
  </si>
  <si>
    <t>Pasivo corriente</t>
  </si>
  <si>
    <t>Otras cuentas por pagar</t>
  </si>
  <si>
    <t>Total Pasivo corriente</t>
  </si>
  <si>
    <t>Total Pasivo</t>
  </si>
  <si>
    <t>Patrimonio</t>
  </si>
  <si>
    <t>Capital</t>
  </si>
  <si>
    <t>Resultado del periodo</t>
  </si>
  <si>
    <t>Total Patrimonio</t>
  </si>
  <si>
    <t>Total Pasivo y Patrimonio</t>
  </si>
  <si>
    <t>Estado de resultados</t>
  </si>
  <si>
    <t>Ingresos operativos</t>
  </si>
  <si>
    <t>Resultado bruto</t>
  </si>
  <si>
    <t>Administración</t>
  </si>
  <si>
    <t>Ventas</t>
  </si>
  <si>
    <t>Resultado operativo</t>
  </si>
  <si>
    <t>1/01 Por el asiento de apertura 2024</t>
  </si>
  <si>
    <t>x/01 Por las compras realizadas</t>
  </si>
  <si>
    <t>x/01 Por el ingreso de almacén de las compras</t>
  </si>
  <si>
    <t>x/01 Por la venta de mercaderías</t>
  </si>
  <si>
    <t>x/01 Por el costo de la venta de mercaderías</t>
  </si>
  <si>
    <t>x/01 Por la depreciación del mes</t>
  </si>
  <si>
    <t>x/01 Por el destino de la depreciación del mes</t>
  </si>
  <si>
    <t>x/01 Por el servicio de energía electrica</t>
  </si>
  <si>
    <t>x/01 Por destino del gasto de servicio de energía electrica</t>
  </si>
  <si>
    <t>Anulaciones ERN</t>
  </si>
  <si>
    <t>Total</t>
  </si>
  <si>
    <t>(Expresado en soles)</t>
  </si>
  <si>
    <t>Al 31 de enero 2024</t>
  </si>
  <si>
    <t>Del 1 al 31 de enero de 2024</t>
  </si>
  <si>
    <t>Compras</t>
  </si>
  <si>
    <t>Servicios prestados por terceros</t>
  </si>
  <si>
    <t>Cargas diversas de gestión</t>
  </si>
  <si>
    <t>Provisiones</t>
  </si>
  <si>
    <t>x/01 Por el cierre de las cuentas de explotación</t>
  </si>
  <si>
    <t>x/01 Por el cierre del transferencia de variacion de existencias</t>
  </si>
  <si>
    <t>Margen comercial</t>
  </si>
  <si>
    <t>Valor agregado</t>
  </si>
  <si>
    <t>Excedente bruto de explotación</t>
  </si>
  <si>
    <t>Excente bruto de explotación</t>
  </si>
  <si>
    <t>x/01 Por el cierre de las cuentas de ventas, compras y variación de existencias</t>
  </si>
  <si>
    <t>x/01 Por el cierre de las cuentas de gastos de servicios de terceros</t>
  </si>
  <si>
    <t>Resultado de explotación</t>
  </si>
  <si>
    <t>x/01 Por el cierre de las cuentas de gastos de personal y tributos</t>
  </si>
  <si>
    <t>x/01 Por el cierre de las cuentas de gastos diversos de gestión y provisiones</t>
  </si>
  <si>
    <t>Resultado de operación</t>
  </si>
  <si>
    <t>Resultado antes de impuesto a la renta</t>
  </si>
  <si>
    <t>x/01 Por el cierre de las cuentas de gastos financieros</t>
  </si>
  <si>
    <t>x/01 Por el impuesto a la renta del periodo</t>
  </si>
  <si>
    <t>Participación de los trabajadores</t>
  </si>
  <si>
    <t>Utilidad antes de impuestos y participaciones</t>
  </si>
  <si>
    <t>x/01 Por la participación de utilidades a los trabajadores</t>
  </si>
  <si>
    <t>Resultado del periodo - Utilidad</t>
  </si>
  <si>
    <t>x/01 Por el cierre de las cuentas de resultados</t>
  </si>
  <si>
    <t>x/01 Por el cierre del resultado del periodo</t>
  </si>
  <si>
    <t>x/01 Por el cierre de las cuentas del estado de situación financiera</t>
  </si>
  <si>
    <t>Asientos de cierre:</t>
  </si>
  <si>
    <t>S/</t>
  </si>
  <si>
    <t>US$</t>
  </si>
  <si>
    <t>TC</t>
  </si>
  <si>
    <t>Cuenta corriente Banco BCP en Soles</t>
  </si>
  <si>
    <t>Item</t>
  </si>
  <si>
    <t>Concepto</t>
  </si>
  <si>
    <t>Cuentas corrientes operativas MN</t>
  </si>
  <si>
    <t>Cuentas por cobrar comerciales emitidas MN</t>
  </si>
  <si>
    <t>Cant</t>
  </si>
  <si>
    <t>C.U.</t>
  </si>
  <si>
    <t>Crema corporal</t>
  </si>
  <si>
    <t>Mercadería</t>
  </si>
  <si>
    <t>Jabón de glicerína</t>
  </si>
  <si>
    <t>Shampoo anticaspa</t>
  </si>
  <si>
    <t>Laptop - Costo</t>
  </si>
  <si>
    <t>Muebles y enseres</t>
  </si>
  <si>
    <t>Equipos de procesamiento de datos</t>
  </si>
  <si>
    <t>Laptop - Depreciación</t>
  </si>
  <si>
    <t>Armarios para colocar los productos - Depreciación</t>
  </si>
  <si>
    <t>Silla ergonómica - Depreciación</t>
  </si>
  <si>
    <t>Vida util años</t>
  </si>
  <si>
    <t>Debe</t>
  </si>
  <si>
    <t>Haber</t>
  </si>
  <si>
    <t>Saldo de vacaciones por pagar</t>
  </si>
  <si>
    <t>Saldo de CTS por pagar</t>
  </si>
  <si>
    <t>IGV por pagar</t>
  </si>
  <si>
    <t>Vacaciones</t>
  </si>
  <si>
    <t>E1</t>
  </si>
  <si>
    <t>Tiempo</t>
  </si>
  <si>
    <t>CTS</t>
  </si>
  <si>
    <t>Cuentas por pagar comerciales emitidas MN</t>
  </si>
  <si>
    <t>Recibo de luz por pagar</t>
  </si>
  <si>
    <t>Factura por servicio de internet</t>
  </si>
  <si>
    <t>Impuesto a la renta del año 2023</t>
  </si>
  <si>
    <t>Factura por productos de almacén</t>
  </si>
  <si>
    <t>Resultados del año 2023 luego del IR</t>
  </si>
  <si>
    <t>Capital social</t>
  </si>
  <si>
    <t>Equipos de procesamiento de datos - Costo</t>
  </si>
  <si>
    <t>Muebles y enseres - Costo</t>
  </si>
  <si>
    <t>Equipos de procesamiento de datos - Dep</t>
  </si>
  <si>
    <t>Muebles y enseres - Dep</t>
  </si>
  <si>
    <t>IGV cuenta propia</t>
  </si>
  <si>
    <t>Vacaciones por pagar</t>
  </si>
  <si>
    <t>CTS por pagar</t>
  </si>
  <si>
    <t>Crema exfoliante</t>
  </si>
  <si>
    <t>Crema hidratante para el cabello</t>
  </si>
  <si>
    <t>% Anual</t>
  </si>
  <si>
    <t>Dep Anual</t>
  </si>
  <si>
    <t>Producto</t>
  </si>
  <si>
    <t>V.Venta</t>
  </si>
  <si>
    <t>Costo</t>
  </si>
  <si>
    <t>Valor Unit</t>
  </si>
  <si>
    <t>Costo Unit</t>
  </si>
  <si>
    <t>Costo Venta</t>
  </si>
  <si>
    <t>Unidades de transporte</t>
  </si>
  <si>
    <t>Pasivo por compra de PPE</t>
  </si>
  <si>
    <t>T.C.</t>
  </si>
  <si>
    <t xml:space="preserve">S/ </t>
  </si>
  <si>
    <t>Diferencia en cambio</t>
  </si>
  <si>
    <t>E2</t>
  </si>
  <si>
    <t>Sueldo</t>
  </si>
  <si>
    <t>EsSalud</t>
  </si>
  <si>
    <t>EsSalud por pagar</t>
  </si>
  <si>
    <t>AFP</t>
  </si>
  <si>
    <t>Alquiler de edificaciones</t>
  </si>
  <si>
    <t>Gastos de administración</t>
  </si>
  <si>
    <t>x/01 Por el servicio de alquiler de local</t>
  </si>
  <si>
    <t>x/01 Por el destino del servicio de alquiler de local</t>
  </si>
  <si>
    <t>Internet</t>
  </si>
  <si>
    <t>x/01 Por el servicio de internet</t>
  </si>
  <si>
    <t>x/01 Por destino del gasto de servicio de internet</t>
  </si>
  <si>
    <t>Seguros</t>
  </si>
  <si>
    <t>x/01 Por la contratación de seguro multiriesgo por todo el año</t>
  </si>
  <si>
    <t>x/01 Por el pago del alquiler</t>
  </si>
  <si>
    <t>x/01 Por el devengue del gasto de seguro del mes de enero</t>
  </si>
  <si>
    <t>Gratificación</t>
  </si>
  <si>
    <t>Saldo a Dic</t>
  </si>
  <si>
    <t>(2 meses)</t>
  </si>
  <si>
    <t>(+gratificación)</t>
  </si>
  <si>
    <t>Remuneraciones</t>
  </si>
  <si>
    <t>Régimen de prestaciones de salud</t>
  </si>
  <si>
    <t>Sueldos por pagar</t>
  </si>
  <si>
    <t>x/01 Por la planilla del mes</t>
  </si>
  <si>
    <t>x/01 Por el destino de la planilla del mes</t>
  </si>
  <si>
    <t>Gratificaciones</t>
  </si>
  <si>
    <t>x/01 Por la provisión de BBSS planilla del mes</t>
  </si>
  <si>
    <t>x/01 Por el destino de la provisión de BBSS del mes</t>
  </si>
  <si>
    <t>Mensual</t>
  </si>
  <si>
    <t>Suministros (combustible)</t>
  </si>
  <si>
    <t>x/01 Por el pago del seguro</t>
  </si>
  <si>
    <t>x/01 Por el abastecimiento de combustible para el vehiculo</t>
  </si>
  <si>
    <t>x/01 Por destino del gasto de combustible para el vechiculo</t>
  </si>
  <si>
    <t xml:space="preserve">x/01 Por el pago del combustible </t>
  </si>
  <si>
    <t>x/01 Por el pago de la planilla del mes</t>
  </si>
  <si>
    <t>Depreciación</t>
  </si>
  <si>
    <t>Saldo Final</t>
  </si>
  <si>
    <t>Dep. Enero</t>
  </si>
  <si>
    <t>Saldo Neto</t>
  </si>
  <si>
    <t>Adm</t>
  </si>
  <si>
    <t>Vtas</t>
  </si>
  <si>
    <t>Depreciación Unidades de transporte</t>
  </si>
  <si>
    <t>Depreciación Muebles y enseres</t>
  </si>
  <si>
    <t>Depreciación Equipos diversos</t>
  </si>
  <si>
    <t>Depreciación Acumulada Unidades de transporte</t>
  </si>
  <si>
    <t>Depreciación Acumulada Muebles y enseres</t>
  </si>
  <si>
    <t>Depreciación Acumulada Equipos diversos</t>
  </si>
  <si>
    <t>ITF</t>
  </si>
  <si>
    <t>ITF - cta soles</t>
  </si>
  <si>
    <t>Comisión - cta soles</t>
  </si>
  <si>
    <t>Gastos Bancarios</t>
  </si>
  <si>
    <t>Haber
US$</t>
  </si>
  <si>
    <t>Debe
US$</t>
  </si>
  <si>
    <t>x/01 Por los cargos bancarios</t>
  </si>
  <si>
    <t>x/01 Por el destino de los cargos bancarios</t>
  </si>
  <si>
    <t>Cuentas por cobrar diversas - neto</t>
  </si>
  <si>
    <t>Gastos pagados por anticipado</t>
  </si>
  <si>
    <t>Créditos tributarios</t>
  </si>
  <si>
    <t>Pérdida por diferencia en cambio - Neta</t>
  </si>
  <si>
    <t>La empresa tiene menos de 20 trabajadores no tiene participaciones</t>
  </si>
  <si>
    <t>Gastos de personal</t>
  </si>
  <si>
    <t>Gastos por tributos</t>
  </si>
  <si>
    <t>Resultado antes del IR</t>
  </si>
  <si>
    <t>Libro diario (Asiento de apertura y operaciones)</t>
  </si>
  <si>
    <t>Balance de comprobación</t>
  </si>
  <si>
    <t>Estados Financieros (Sin Impuesto a la renta):</t>
  </si>
  <si>
    <t>Estados Financieros (Con Impuesto a la renta):</t>
  </si>
  <si>
    <t>I. Detalle del asiento de apertura:</t>
  </si>
  <si>
    <t>II. Operaciones:</t>
  </si>
  <si>
    <t>1. Compra:</t>
  </si>
  <si>
    <t>Laptop</t>
  </si>
  <si>
    <t>x/01 Por el destino del gasto de seguro</t>
  </si>
  <si>
    <t>Aquí van todas las cuentas que estan en I. Detalle del asiento de apertura</t>
  </si>
  <si>
    <t>Los datos como 5,500 son obtenidos en datos,II. Operaciones , 1. Compra</t>
  </si>
  <si>
    <t>Cuenta corriente Banco BCP deposito a plazo</t>
  </si>
  <si>
    <t xml:space="preserve">Factura por cobrar F001-00035 </t>
  </si>
  <si>
    <t>Factura por cobrar F001-00036</t>
  </si>
  <si>
    <t>Factura por cobrar F001-00037</t>
  </si>
  <si>
    <t xml:space="preserve">Letra por cobrar 001-00100 </t>
  </si>
  <si>
    <t>Prestamo de Accionistas</t>
  </si>
  <si>
    <t>Cuenta por cobrar a los accionistas</t>
  </si>
  <si>
    <t>Estantes</t>
  </si>
  <si>
    <t>Silla Ejecutiva</t>
  </si>
  <si>
    <t>Motocicleta para los despachos</t>
  </si>
  <si>
    <t>Unidades de transporte - Costo</t>
  </si>
  <si>
    <t>Unidades de transporte - Dep</t>
  </si>
  <si>
    <t>Motocicleta para los despachos - Depreciación</t>
  </si>
  <si>
    <t>Recibo de agua por pagar</t>
  </si>
  <si>
    <t>Prestamo bancario por pagar</t>
  </si>
  <si>
    <t>Obligaciones Finacieras</t>
  </si>
  <si>
    <t>Estante</t>
  </si>
  <si>
    <t>Motocicleta</t>
  </si>
  <si>
    <t>2. Venta de productos:</t>
  </si>
  <si>
    <t>3. Depreciación:</t>
  </si>
  <si>
    <t>4. Cargos bancarios</t>
  </si>
  <si>
    <t>Deposito a plazo</t>
  </si>
  <si>
    <t xml:space="preserve">Unidades de transporte </t>
  </si>
  <si>
    <t xml:space="preserve">Depreciación Unidades de transporte </t>
  </si>
  <si>
    <t>Aquí se pone el total de valor de venta calculado en 2. Venta de productos en 70111</t>
  </si>
  <si>
    <t>Aquí se pone el total del costo de venta calculado en 2. Venta de productos</t>
  </si>
  <si>
    <t>x/01 Por la cobranza del 80% de las ventas</t>
  </si>
  <si>
    <t>80% de la cuenta por cobrar (al contado)</t>
  </si>
  <si>
    <t>En depreciacion de cada uno pones la depreciacion mensual calculada en la tabla</t>
  </si>
  <si>
    <t>Colocas lo total calculado especificamente en Adm y Ventas dependiendo lo dicho en el texto</t>
  </si>
  <si>
    <t>Colocar los datos que nos dan en el texto del ITF y Comisiones</t>
  </si>
  <si>
    <t>Colocas el precio que te dice el texto</t>
  </si>
  <si>
    <t>Colocas el precio que te dice el texto dependiendo de % de venta y administacion</t>
  </si>
  <si>
    <t>x/01 Por el servicio de agua</t>
  </si>
  <si>
    <t>x/01 Por destino del gasto de servicio de agua</t>
  </si>
  <si>
    <t>Agua</t>
  </si>
  <si>
    <t>El precio del seguro entre los meses del uso de este</t>
  </si>
  <si>
    <t>6. Planilla</t>
  </si>
  <si>
    <t>Descuento</t>
  </si>
  <si>
    <t>Ingreso</t>
  </si>
  <si>
    <t>Aporte</t>
  </si>
  <si>
    <t>AFP Aporte</t>
  </si>
  <si>
    <t>AFP Comision</t>
  </si>
  <si>
    <t>AFP Seguro</t>
  </si>
  <si>
    <t>Impuesto a la renta 5ta Categoria</t>
  </si>
  <si>
    <t>Total Gastos</t>
  </si>
  <si>
    <t>Importe Neto</t>
  </si>
  <si>
    <t>Sueldo Basico</t>
  </si>
  <si>
    <t>Asig. Familiar</t>
  </si>
  <si>
    <t>Essalud</t>
  </si>
  <si>
    <t>EPS</t>
  </si>
  <si>
    <t>Total ingresos</t>
  </si>
  <si>
    <t>total Aporte</t>
  </si>
  <si>
    <t>Aquí Sueldo Basico + Asig. Familiar</t>
  </si>
  <si>
    <t>Aquí Esslud</t>
  </si>
  <si>
    <t>Aquí AFP</t>
  </si>
  <si>
    <t>Colocar la suma de Remuneraciones y Essalud entre el % que corresponde al tipo de gasto</t>
  </si>
  <si>
    <t>Seguros particulares de prestaciones de salud</t>
  </si>
  <si>
    <t>Aquí EPS</t>
  </si>
  <si>
    <t>Instituciones Privadas</t>
  </si>
  <si>
    <t>Aquí Remuneracion - AFP-Impuesto Renta</t>
  </si>
  <si>
    <t>Aquí Impuesto Renta</t>
  </si>
  <si>
    <t>Remuneracion/12</t>
  </si>
  <si>
    <t>Remuneracion/6</t>
  </si>
  <si>
    <t>(Grati + Remuneracion)/12</t>
  </si>
  <si>
    <t xml:space="preserve">Efectivos q tienes (10411 y 1062) </t>
  </si>
  <si>
    <t>Mercaderia</t>
  </si>
  <si>
    <t>Activos (todos los del debe)</t>
  </si>
  <si>
    <t>La suma de los trans,mueble,equipos - su depreciacion</t>
  </si>
  <si>
    <t>Activo no Corriente (debe - haber)</t>
  </si>
  <si>
    <t>La cuenta 4212</t>
  </si>
  <si>
    <t>IGV + Impuesto renta + Grati + Vaca + CTS+AFP + Pasivo por compra PPE</t>
  </si>
  <si>
    <t>Pasivo y Patrimonio (haber)</t>
  </si>
  <si>
    <t>Venta de Mercaderia</t>
  </si>
  <si>
    <t>Costo de venta</t>
  </si>
  <si>
    <t>Aquiler + Energia + Internet + Gastos Bancario+ Agua</t>
  </si>
  <si>
    <t>Remuneracion + Grati + Vaca + Essalud+CTS +EPS</t>
  </si>
  <si>
    <t>Estado de resultados - Por Naturaleza (se usa las cuentas 6)</t>
  </si>
  <si>
    <t>Seguro + Suministros</t>
  </si>
  <si>
    <t>Suma la depreciacion</t>
  </si>
  <si>
    <t>Lo q te sale en el ER</t>
  </si>
  <si>
    <t>Es el resultado del periodo por 30% o loq te digan</t>
  </si>
  <si>
    <t>El dato del balance</t>
  </si>
  <si>
    <t>los datos del ERN</t>
  </si>
  <si>
    <t>los datos del texto</t>
  </si>
  <si>
    <t>La resta del margen - lo demas</t>
  </si>
  <si>
    <t>igual q arriba</t>
  </si>
  <si>
    <t>Dato del asiento</t>
  </si>
  <si>
    <t>La resta del V.Agre - lo demas</t>
  </si>
  <si>
    <t>Igual q arriba</t>
  </si>
  <si>
    <t>La resta del Exced - lo demas</t>
  </si>
  <si>
    <t>Datos de la tabla de balance</t>
  </si>
  <si>
    <t>La resta del Explo - lo demas</t>
  </si>
  <si>
    <t>La resta del Antes - lo demas</t>
  </si>
  <si>
    <t xml:space="preserve">Los datos de saldo final del balance </t>
  </si>
  <si>
    <t>Sumo tmb el nuevo impuesto a la renta calculado arriba</t>
  </si>
  <si>
    <t>Sumo tmb el 591 Resultados acomulados usados arriba</t>
  </si>
  <si>
    <t>Activos (lo mismo q el anterior)</t>
  </si>
  <si>
    <t xml:space="preserve">Sumo tmb el nuevo impuesto a la renta </t>
  </si>
  <si>
    <t xml:space="preserve">resto tmb el nuevo impuesto a la renta </t>
  </si>
  <si>
    <t xml:space="preserve">(- Nuevo Impuesto Renta) </t>
  </si>
  <si>
    <t>Estado de resultados (igual todo menos impuesto a la renta)</t>
  </si>
  <si>
    <t>Estado de resultados - Por Naturaleza (igual todo menos impuesto a la renta)</t>
  </si>
  <si>
    <t>En este asiento agarro desde el 10411 hasta los ultimos de la cuenta 5 incluye seguro, del balance</t>
  </si>
  <si>
    <t>Nota : Se parar impuesto a la renta de 3ra categoria q es lo que viene en el texto al inicio del impuesto a la renta de 5ta categoria de planilla</t>
  </si>
  <si>
    <t>El dato del balance en gastos adm y ventas</t>
  </si>
  <si>
    <t xml:space="preserve">Los datos del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</si>
</sst>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?_-;_-@_-"/>
    <numFmt numFmtId="165" formatCode="_-* #,##0.0_-;\-* #,##0.0_-;_-* &quot;-&quot;?_-;_-@_-"/>
    <numFmt numFmtId="166" formatCode="_-* #,##0.000_-;\-* #,##0.000_-;_-* &quot;-&quot;???_-;_-@_-"/>
    <numFmt numFmtId="167" formatCode="_-* #,##0.00_-;\-* #,##0.00_-;_-* &quot;-&quot;???_-;_-@_-"/>
    <numFmt numFmtId="168" formatCode="_-* #,##0.0_-;\-* #,##0.0_-;_-* &quot;-&quot;???_-;_-@_-"/>
    <numFmt numFmtId="17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3" fontId="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left"/>
    </xf>
    <xf numFmtId="0" fontId="4" fillId="2" borderId="5" xfId="0" applyFont="1" applyFill="1" applyBorder="1"/>
    <xf numFmtId="0" fontId="2" fillId="2" borderId="6" xfId="0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0" fillId="3" borderId="4" xfId="0" applyNumberFormat="1" applyFill="1" applyBorder="1"/>
    <xf numFmtId="0" fontId="3" fillId="0" borderId="0" xfId="0" applyFont="1" applyAlignment="1">
      <alignment horizontal="right"/>
    </xf>
    <xf numFmtId="167" fontId="0" fillId="0" borderId="4" xfId="0" applyNumberFormat="1" applyBorder="1"/>
    <xf numFmtId="166" fontId="0" fillId="0" borderId="4" xfId="0" applyNumberFormat="1" applyBorder="1"/>
    <xf numFmtId="43" fontId="0" fillId="0" borderId="0" xfId="0" applyNumberFormat="1"/>
    <xf numFmtId="164" fontId="0" fillId="0" borderId="8" xfId="0" applyNumberFormat="1" applyBorder="1"/>
    <xf numFmtId="166" fontId="0" fillId="0" borderId="0" xfId="0" applyNumberFormat="1"/>
    <xf numFmtId="164" fontId="3" fillId="0" borderId="4" xfId="0" applyNumberFormat="1" applyFont="1" applyBorder="1"/>
    <xf numFmtId="0" fontId="5" fillId="0" borderId="0" xfId="0" applyFont="1" applyAlignment="1">
      <alignment horizontal="left"/>
    </xf>
    <xf numFmtId="164" fontId="3" fillId="3" borderId="2" xfId="0" applyNumberFormat="1" applyFont="1" applyFill="1" applyBorder="1"/>
    <xf numFmtId="164" fontId="0" fillId="3" borderId="0" xfId="0" applyNumberFormat="1" applyFill="1"/>
    <xf numFmtId="164" fontId="3" fillId="4" borderId="2" xfId="0" applyNumberFormat="1" applyFont="1" applyFill="1" applyBorder="1"/>
    <xf numFmtId="164" fontId="0" fillId="4" borderId="0" xfId="0" applyNumberFormat="1" applyFill="1"/>
    <xf numFmtId="164" fontId="0" fillId="0" borderId="9" xfId="0" applyNumberFormat="1" applyBorder="1"/>
    <xf numFmtId="0" fontId="2" fillId="2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left" wrapText="1"/>
    </xf>
    <xf numFmtId="0" fontId="2" fillId="2" borderId="3" xfId="0" applyFont="1" applyFill="1" applyBorder="1" applyAlignment="1">
      <alignment horizontal="center"/>
    </xf>
    <xf numFmtId="164" fontId="0" fillId="0" borderId="4" xfId="0" applyNumberFormat="1" applyFill="1" applyBorder="1"/>
    <xf numFmtId="43" fontId="0" fillId="0" borderId="4" xfId="0" applyNumberFormat="1" applyBorder="1"/>
    <xf numFmtId="168" fontId="0" fillId="0" borderId="4" xfId="0" applyNumberFormat="1" applyBorder="1"/>
    <xf numFmtId="0" fontId="3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164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wrapText="1"/>
    </xf>
    <xf numFmtId="167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2" borderId="4" xfId="0" applyFill="1" applyBorder="1"/>
    <xf numFmtId="0" fontId="2" fillId="2" borderId="4" xfId="0" applyFont="1" applyFill="1" applyBorder="1"/>
    <xf numFmtId="0" fontId="3" fillId="0" borderId="4" xfId="0" applyFont="1" applyBorder="1"/>
    <xf numFmtId="2" fontId="0" fillId="0" borderId="4" xfId="0" applyNumberFormat="1" applyBorder="1"/>
    <xf numFmtId="2" fontId="3" fillId="0" borderId="4" xfId="0" applyNumberFormat="1" applyFont="1" applyBorder="1"/>
    <xf numFmtId="0" fontId="0" fillId="0" borderId="10" xfId="0" applyBorder="1" applyAlignment="1"/>
    <xf numFmtId="0" fontId="0" fillId="0" borderId="0" xfId="0" applyBorder="1" applyAlignment="1"/>
    <xf numFmtId="0" fontId="0" fillId="0" borderId="1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64" fontId="3" fillId="3" borderId="0" xfId="0" applyNumberFormat="1" applyFont="1" applyFill="1" applyBorder="1"/>
    <xf numFmtId="164" fontId="0" fillId="0" borderId="0" xfId="0" applyNumberFormat="1" applyAlignment="1">
      <alignment horizontal="left" vertical="center" wrapText="1"/>
    </xf>
    <xf numFmtId="0" fontId="0" fillId="0" borderId="4" xfId="0" applyFill="1" applyBorder="1" applyAlignment="1">
      <alignment horizontal="center"/>
    </xf>
    <xf numFmtId="164" fontId="0" fillId="0" borderId="11" xfId="0" applyNumberFormat="1" applyBorder="1" applyAlignment="1">
      <alignment horizontal="left" vertical="center"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164" fontId="0" fillId="5" borderId="4" xfId="0" applyNumberFormat="1" applyFill="1" applyBorder="1"/>
    <xf numFmtId="167" fontId="0" fillId="5" borderId="4" xfId="0" applyNumberFormat="1" applyFill="1" applyBorder="1"/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164" fontId="0" fillId="6" borderId="4" xfId="0" applyNumberFormat="1" applyFill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</cellXfs>
  <cellStyles count="3">
    <cellStyle name="Millares" xfId="1" builtinId="3"/>
    <cellStyle name="Millares 2" xfId="2" xr:uid="{00000000-0005-0000-0000-00003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52DD-58BF-4D28-8D28-84CA712EF9FB}">
  <dimension ref="B1:T86"/>
  <sheetViews>
    <sheetView topLeftCell="A61" workbookViewId="0">
      <selection activeCell="D85" sqref="D85"/>
    </sheetView>
  </sheetViews>
  <sheetFormatPr baseColWidth="10" defaultColWidth="8.85546875" defaultRowHeight="15" x14ac:dyDescent="0.25"/>
  <cols>
    <col min="3" max="3" width="45.140625" customWidth="1"/>
    <col min="4" max="4" width="10.42578125" customWidth="1"/>
    <col min="5" max="5" width="13.140625" customWidth="1"/>
    <col min="6" max="6" width="8.7109375" customWidth="1"/>
    <col min="7" max="7" width="11.28515625" customWidth="1"/>
    <col min="8" max="8" width="9.7109375" customWidth="1"/>
    <col min="9" max="9" width="10.5703125" bestFit="1" customWidth="1"/>
    <col min="11" max="11" width="41.5703125" customWidth="1"/>
    <col min="12" max="12" width="7.5703125" customWidth="1"/>
    <col min="13" max="13" width="7.28515625" customWidth="1"/>
    <col min="14" max="14" width="6.42578125" customWidth="1"/>
    <col min="15" max="15" width="7.85546875" customWidth="1"/>
    <col min="16" max="16" width="6.140625" customWidth="1"/>
    <col min="17" max="17" width="3.42578125" customWidth="1"/>
    <col min="18" max="18" width="4.7109375" customWidth="1"/>
    <col min="19" max="19" width="5.7109375" customWidth="1"/>
    <col min="20" max="20" width="2.5703125" customWidth="1"/>
    <col min="21" max="22" width="3.85546875" customWidth="1"/>
  </cols>
  <sheetData>
    <row r="1" spans="2:14" x14ac:dyDescent="0.25">
      <c r="B1" s="7" t="s">
        <v>214</v>
      </c>
    </row>
    <row r="2" spans="2:14" x14ac:dyDescent="0.25">
      <c r="H2" s="12" t="s">
        <v>109</v>
      </c>
      <c r="I2" s="12" t="s">
        <v>110</v>
      </c>
    </row>
    <row r="3" spans="2:14" x14ac:dyDescent="0.25">
      <c r="B3" s="12" t="s">
        <v>92</v>
      </c>
      <c r="C3" s="12" t="s">
        <v>93</v>
      </c>
      <c r="D3" s="12" t="s">
        <v>96</v>
      </c>
      <c r="E3" s="12" t="s">
        <v>97</v>
      </c>
      <c r="F3" s="12" t="s">
        <v>89</v>
      </c>
      <c r="G3" s="12" t="s">
        <v>90</v>
      </c>
      <c r="H3" s="12" t="s">
        <v>88</v>
      </c>
      <c r="I3" s="12" t="s">
        <v>88</v>
      </c>
      <c r="J3" s="12" t="s">
        <v>0</v>
      </c>
      <c r="K3" s="12" t="s">
        <v>1</v>
      </c>
    </row>
    <row r="4" spans="2:14" x14ac:dyDescent="0.25">
      <c r="B4" s="17">
        <v>1</v>
      </c>
      <c r="C4" s="15" t="s">
        <v>91</v>
      </c>
      <c r="D4" s="15"/>
      <c r="E4" s="15"/>
      <c r="F4" s="16"/>
      <c r="G4" s="26"/>
      <c r="H4" s="16">
        <v>15000</v>
      </c>
      <c r="I4" s="16"/>
      <c r="J4" s="17">
        <v>10411</v>
      </c>
      <c r="K4" s="15" t="s">
        <v>94</v>
      </c>
    </row>
    <row r="5" spans="2:14" x14ac:dyDescent="0.25">
      <c r="B5" s="17">
        <v>1</v>
      </c>
      <c r="C5" s="15" t="s">
        <v>221</v>
      </c>
      <c r="D5" s="15"/>
      <c r="E5" s="15"/>
      <c r="F5" s="16"/>
      <c r="G5" s="26"/>
      <c r="H5" s="16">
        <f>32000</f>
        <v>32000</v>
      </c>
      <c r="I5" s="16"/>
      <c r="J5" s="17">
        <v>1062</v>
      </c>
      <c r="K5" s="15" t="s">
        <v>242</v>
      </c>
    </row>
    <row r="6" spans="2:14" x14ac:dyDescent="0.25">
      <c r="B6" s="17">
        <v>2</v>
      </c>
      <c r="C6" s="15" t="s">
        <v>222</v>
      </c>
      <c r="D6" s="15"/>
      <c r="E6" s="15"/>
      <c r="F6" s="16"/>
      <c r="G6" s="26"/>
      <c r="H6" s="16">
        <v>8500</v>
      </c>
      <c r="I6" s="16"/>
      <c r="J6" s="17">
        <v>1212</v>
      </c>
      <c r="K6" s="15" t="s">
        <v>95</v>
      </c>
      <c r="M6" s="27"/>
      <c r="N6" s="27"/>
    </row>
    <row r="7" spans="2:14" x14ac:dyDescent="0.25">
      <c r="B7" s="17">
        <v>2</v>
      </c>
      <c r="C7" s="15" t="s">
        <v>223</v>
      </c>
      <c r="D7" s="15"/>
      <c r="E7" s="15"/>
      <c r="F7" s="16"/>
      <c r="G7" s="26"/>
      <c r="H7" s="16">
        <v>4200</v>
      </c>
      <c r="I7" s="16"/>
      <c r="J7" s="17">
        <v>1212</v>
      </c>
      <c r="K7" s="15" t="s">
        <v>95</v>
      </c>
      <c r="M7" s="27"/>
      <c r="N7" s="27"/>
    </row>
    <row r="8" spans="2:14" x14ac:dyDescent="0.25">
      <c r="B8" s="17">
        <v>2</v>
      </c>
      <c r="C8" s="15" t="s">
        <v>224</v>
      </c>
      <c r="D8" s="15"/>
      <c r="E8" s="15"/>
      <c r="F8" s="16"/>
      <c r="G8" s="26"/>
      <c r="H8" s="16">
        <v>3500</v>
      </c>
      <c r="I8" s="16"/>
      <c r="J8" s="17">
        <v>1212</v>
      </c>
      <c r="K8" s="15" t="s">
        <v>95</v>
      </c>
      <c r="M8" s="27"/>
      <c r="N8" s="27"/>
    </row>
    <row r="9" spans="2:14" x14ac:dyDescent="0.25">
      <c r="B9" s="17">
        <v>2</v>
      </c>
      <c r="C9" s="15" t="s">
        <v>225</v>
      </c>
      <c r="D9" s="15"/>
      <c r="E9" s="15"/>
      <c r="F9" s="16"/>
      <c r="G9" s="26"/>
      <c r="H9" s="16">
        <v>10000</v>
      </c>
      <c r="I9" s="16"/>
      <c r="J9" s="17">
        <v>1232</v>
      </c>
      <c r="K9" s="15" t="s">
        <v>95</v>
      </c>
      <c r="M9" s="27"/>
      <c r="N9" s="27"/>
    </row>
    <row r="10" spans="2:14" x14ac:dyDescent="0.25">
      <c r="B10" s="17">
        <v>3</v>
      </c>
      <c r="C10" s="15" t="s">
        <v>226</v>
      </c>
      <c r="D10" s="15"/>
      <c r="E10" s="15"/>
      <c r="F10" s="16"/>
      <c r="G10" s="26"/>
      <c r="H10" s="40">
        <v>5000</v>
      </c>
      <c r="I10" s="16"/>
      <c r="J10" s="17">
        <v>1422</v>
      </c>
      <c r="K10" s="15" t="s">
        <v>227</v>
      </c>
    </row>
    <row r="11" spans="2:14" x14ac:dyDescent="0.25">
      <c r="B11" s="17">
        <v>4</v>
      </c>
      <c r="C11" s="15" t="s">
        <v>98</v>
      </c>
      <c r="D11" s="15">
        <v>200</v>
      </c>
      <c r="E11" s="15">
        <v>15</v>
      </c>
      <c r="F11" s="16"/>
      <c r="G11" s="26"/>
      <c r="H11" s="16">
        <f>D11*E11</f>
        <v>3000</v>
      </c>
      <c r="I11" s="16"/>
      <c r="J11" s="17">
        <v>20111</v>
      </c>
      <c r="K11" s="15" t="s">
        <v>99</v>
      </c>
    </row>
    <row r="12" spans="2:14" x14ac:dyDescent="0.25">
      <c r="B12" s="17">
        <v>4</v>
      </c>
      <c r="C12" s="15" t="s">
        <v>100</v>
      </c>
      <c r="D12" s="15">
        <v>800</v>
      </c>
      <c r="E12" s="15">
        <v>6</v>
      </c>
      <c r="F12" s="16"/>
      <c r="G12" s="26"/>
      <c r="H12" s="16">
        <f t="shared" ref="H12:H13" si="0">D12*E12</f>
        <v>4800</v>
      </c>
      <c r="I12" s="16"/>
      <c r="J12" s="17">
        <v>20111</v>
      </c>
      <c r="K12" s="15" t="s">
        <v>99</v>
      </c>
    </row>
    <row r="13" spans="2:14" x14ac:dyDescent="0.25">
      <c r="B13" s="17">
        <v>4</v>
      </c>
      <c r="C13" s="15" t="s">
        <v>101</v>
      </c>
      <c r="D13" s="15">
        <v>100</v>
      </c>
      <c r="E13" s="15">
        <v>20</v>
      </c>
      <c r="F13" s="16"/>
      <c r="G13" s="26"/>
      <c r="H13" s="16">
        <f t="shared" si="0"/>
        <v>2000</v>
      </c>
      <c r="I13" s="16"/>
      <c r="J13" s="17">
        <v>20111</v>
      </c>
      <c r="K13" s="15" t="s">
        <v>99</v>
      </c>
    </row>
    <row r="14" spans="2:14" x14ac:dyDescent="0.25">
      <c r="B14" s="17">
        <v>5</v>
      </c>
      <c r="C14" s="15" t="s">
        <v>102</v>
      </c>
      <c r="D14" s="15"/>
      <c r="E14" s="15"/>
      <c r="F14" s="16"/>
      <c r="G14" s="26"/>
      <c r="H14" s="16">
        <v>4000</v>
      </c>
      <c r="I14" s="16"/>
      <c r="J14" s="17">
        <v>33611</v>
      </c>
      <c r="K14" s="15" t="s">
        <v>125</v>
      </c>
    </row>
    <row r="15" spans="2:14" x14ac:dyDescent="0.25">
      <c r="B15" s="17">
        <v>5</v>
      </c>
      <c r="C15" s="15" t="s">
        <v>228</v>
      </c>
      <c r="D15" s="15"/>
      <c r="E15" s="15"/>
      <c r="F15" s="16"/>
      <c r="G15" s="26"/>
      <c r="H15" s="16">
        <v>2000</v>
      </c>
      <c r="I15" s="16"/>
      <c r="J15" s="17">
        <v>33511</v>
      </c>
      <c r="K15" s="15" t="s">
        <v>126</v>
      </c>
    </row>
    <row r="16" spans="2:14" x14ac:dyDescent="0.25">
      <c r="B16" s="17">
        <v>5</v>
      </c>
      <c r="C16" s="15" t="s">
        <v>229</v>
      </c>
      <c r="D16" s="15"/>
      <c r="E16" s="15"/>
      <c r="F16" s="16"/>
      <c r="G16" s="26"/>
      <c r="H16" s="16">
        <v>2500</v>
      </c>
      <c r="I16" s="16"/>
      <c r="J16" s="17">
        <v>33511</v>
      </c>
      <c r="K16" s="15" t="s">
        <v>126</v>
      </c>
    </row>
    <row r="17" spans="2:20" x14ac:dyDescent="0.25">
      <c r="B17" s="17">
        <v>5</v>
      </c>
      <c r="C17" s="15" t="s">
        <v>230</v>
      </c>
      <c r="D17" s="15"/>
      <c r="E17" s="15"/>
      <c r="F17" s="16"/>
      <c r="G17" s="26"/>
      <c r="H17" s="16">
        <v>12000</v>
      </c>
      <c r="I17" s="16"/>
      <c r="J17" s="17">
        <v>33411</v>
      </c>
      <c r="K17" s="15" t="s">
        <v>231</v>
      </c>
    </row>
    <row r="18" spans="2:20" x14ac:dyDescent="0.25">
      <c r="B18" s="17">
        <v>5</v>
      </c>
      <c r="C18" s="15" t="s">
        <v>105</v>
      </c>
      <c r="D18" s="15"/>
      <c r="E18" s="15"/>
      <c r="F18" s="16"/>
      <c r="G18" s="26"/>
      <c r="H18" s="16"/>
      <c r="I18" s="16">
        <v>1000</v>
      </c>
      <c r="J18" s="17">
        <v>39527</v>
      </c>
      <c r="K18" s="15" t="s">
        <v>127</v>
      </c>
    </row>
    <row r="19" spans="2:20" x14ac:dyDescent="0.25">
      <c r="B19" s="17">
        <v>5</v>
      </c>
      <c r="C19" s="15" t="s">
        <v>106</v>
      </c>
      <c r="D19" s="15"/>
      <c r="E19" s="15"/>
      <c r="F19" s="16"/>
      <c r="G19" s="26"/>
      <c r="H19" s="16"/>
      <c r="I19" s="16">
        <v>200</v>
      </c>
      <c r="J19" s="17">
        <v>39526</v>
      </c>
      <c r="K19" s="15" t="s">
        <v>128</v>
      </c>
      <c r="N19" s="12" t="s">
        <v>115</v>
      </c>
      <c r="O19" s="12" t="s">
        <v>147</v>
      </c>
      <c r="P19" s="12" t="s">
        <v>57</v>
      </c>
      <c r="R19" t="s">
        <v>164</v>
      </c>
    </row>
    <row r="20" spans="2:20" x14ac:dyDescent="0.25">
      <c r="B20" s="17">
        <v>5</v>
      </c>
      <c r="C20" s="15" t="s">
        <v>107</v>
      </c>
      <c r="D20" s="15"/>
      <c r="E20" s="15"/>
      <c r="F20" s="16"/>
      <c r="G20" s="26"/>
      <c r="H20" s="16"/>
      <c r="I20" s="16">
        <v>250</v>
      </c>
      <c r="J20" s="17">
        <v>39526</v>
      </c>
      <c r="K20" s="15" t="s">
        <v>128</v>
      </c>
      <c r="M20" t="s">
        <v>148</v>
      </c>
      <c r="N20" s="16">
        <v>1440</v>
      </c>
      <c r="O20" s="16">
        <f>N20*3</f>
        <v>4320</v>
      </c>
      <c r="P20">
        <f t="shared" ref="P20:P25" si="1">SUM(N20:O20)</f>
        <v>5760</v>
      </c>
      <c r="Q20" t="s">
        <v>116</v>
      </c>
      <c r="R20">
        <v>6</v>
      </c>
      <c r="S20">
        <v>12</v>
      </c>
    </row>
    <row r="21" spans="2:20" x14ac:dyDescent="0.25">
      <c r="B21" s="17">
        <v>5</v>
      </c>
      <c r="C21" s="15" t="s">
        <v>233</v>
      </c>
      <c r="D21" s="15"/>
      <c r="E21" s="15"/>
      <c r="F21" s="16"/>
      <c r="G21" s="26"/>
      <c r="H21" s="16"/>
      <c r="I21" s="16">
        <v>2400</v>
      </c>
      <c r="J21" s="17">
        <v>39525</v>
      </c>
      <c r="K21" s="15" t="s">
        <v>232</v>
      </c>
      <c r="M21" t="s">
        <v>149</v>
      </c>
      <c r="N21" s="16">
        <f>ROUND(N20*0.09,0)</f>
        <v>130</v>
      </c>
      <c r="O21" s="16">
        <f>ROUND(O20*0.09,0)</f>
        <v>389</v>
      </c>
      <c r="P21">
        <f t="shared" si="1"/>
        <v>519</v>
      </c>
      <c r="R21" s="1">
        <f>P21</f>
        <v>519</v>
      </c>
    </row>
    <row r="22" spans="2:20" x14ac:dyDescent="0.25">
      <c r="B22" s="17">
        <v>6</v>
      </c>
      <c r="C22" s="15" t="s">
        <v>111</v>
      </c>
      <c r="D22" s="15"/>
      <c r="E22" s="15"/>
      <c r="F22" s="16"/>
      <c r="G22" s="26"/>
      <c r="H22" s="16"/>
      <c r="I22" s="16">
        <v>7500</v>
      </c>
      <c r="J22" s="17">
        <v>4115</v>
      </c>
      <c r="K22" s="15" t="s">
        <v>130</v>
      </c>
      <c r="M22" t="s">
        <v>151</v>
      </c>
      <c r="N22" s="16">
        <f>ROUND(N20*0.13,0)</f>
        <v>187</v>
      </c>
      <c r="O22" s="16">
        <f>ROUND(O20*0.13,0)</f>
        <v>562</v>
      </c>
      <c r="P22">
        <f t="shared" si="1"/>
        <v>749</v>
      </c>
      <c r="R22" s="1">
        <f>P22*2</f>
        <v>1498</v>
      </c>
      <c r="S22" t="s">
        <v>166</v>
      </c>
    </row>
    <row r="23" spans="2:20" ht="15.75" customHeight="1" x14ac:dyDescent="0.25">
      <c r="B23" s="17">
        <v>6</v>
      </c>
      <c r="C23" s="15" t="s">
        <v>112</v>
      </c>
      <c r="D23" s="15"/>
      <c r="E23" s="15"/>
      <c r="F23" s="16"/>
      <c r="G23" s="26"/>
      <c r="H23" s="16"/>
      <c r="I23" s="16">
        <v>2000</v>
      </c>
      <c r="J23" s="17">
        <v>4151</v>
      </c>
      <c r="K23" s="15" t="s">
        <v>131</v>
      </c>
      <c r="M23" t="s">
        <v>114</v>
      </c>
      <c r="N23" s="16">
        <f>N20/12</f>
        <v>120</v>
      </c>
      <c r="O23" s="16">
        <f>O20/12</f>
        <v>360</v>
      </c>
      <c r="P23">
        <f t="shared" si="1"/>
        <v>480</v>
      </c>
      <c r="R23">
        <f>N23*R20</f>
        <v>720</v>
      </c>
      <c r="S23">
        <f>O23*S20</f>
        <v>4320</v>
      </c>
      <c r="T23" s="1">
        <f>SUM(R23:S23)</f>
        <v>5040</v>
      </c>
    </row>
    <row r="24" spans="2:20" x14ac:dyDescent="0.25">
      <c r="B24" s="17">
        <v>7</v>
      </c>
      <c r="C24" s="15" t="s">
        <v>151</v>
      </c>
      <c r="D24" s="15"/>
      <c r="E24" s="15"/>
      <c r="F24" s="16"/>
      <c r="G24" s="26"/>
      <c r="H24" s="16"/>
      <c r="I24" s="16">
        <v>800</v>
      </c>
      <c r="J24" s="17">
        <v>417</v>
      </c>
      <c r="K24" s="15" t="s">
        <v>151</v>
      </c>
      <c r="M24" t="s">
        <v>117</v>
      </c>
      <c r="N24" s="16">
        <f>(N20*14)/12/12</f>
        <v>140</v>
      </c>
      <c r="O24" s="16">
        <f>(O20*14)/12/12</f>
        <v>420</v>
      </c>
      <c r="P24">
        <f t="shared" si="1"/>
        <v>560</v>
      </c>
      <c r="R24">
        <f>P24*2</f>
        <v>1120</v>
      </c>
      <c r="S24" t="s">
        <v>165</v>
      </c>
    </row>
    <row r="25" spans="2:20" x14ac:dyDescent="0.25">
      <c r="B25" s="17">
        <v>8</v>
      </c>
      <c r="C25" s="15" t="s">
        <v>113</v>
      </c>
      <c r="D25" s="15"/>
      <c r="E25" s="15"/>
      <c r="F25" s="16"/>
      <c r="G25" s="26"/>
      <c r="H25" s="16"/>
      <c r="I25" s="16">
        <v>5200</v>
      </c>
      <c r="J25" s="17">
        <v>40111</v>
      </c>
      <c r="K25" s="15" t="s">
        <v>129</v>
      </c>
      <c r="M25" t="s">
        <v>163</v>
      </c>
      <c r="N25" s="16">
        <f>N20/6</f>
        <v>240</v>
      </c>
      <c r="O25" s="16">
        <f>O20/6</f>
        <v>720</v>
      </c>
      <c r="P25">
        <f t="shared" si="1"/>
        <v>960</v>
      </c>
      <c r="R25">
        <v>0</v>
      </c>
    </row>
    <row r="26" spans="2:20" x14ac:dyDescent="0.25">
      <c r="B26" s="17">
        <v>8</v>
      </c>
      <c r="C26" s="15" t="s">
        <v>150</v>
      </c>
      <c r="D26" s="15"/>
      <c r="E26" s="15"/>
      <c r="F26" s="16"/>
      <c r="G26" s="26"/>
      <c r="H26" s="16"/>
      <c r="I26" s="16">
        <v>600</v>
      </c>
      <c r="J26" s="17">
        <v>4031</v>
      </c>
      <c r="K26" s="15" t="s">
        <v>149</v>
      </c>
    </row>
    <row r="27" spans="2:20" x14ac:dyDescent="0.25">
      <c r="B27" s="17">
        <v>8</v>
      </c>
      <c r="C27" s="15" t="s">
        <v>121</v>
      </c>
      <c r="D27" s="15"/>
      <c r="E27" s="15"/>
      <c r="F27" s="16"/>
      <c r="G27" s="26"/>
      <c r="H27" s="16"/>
      <c r="I27" s="16">
        <v>6000</v>
      </c>
      <c r="J27" s="17">
        <v>40171</v>
      </c>
      <c r="K27" s="15" t="s">
        <v>7</v>
      </c>
      <c r="M27" s="27">
        <f>I27*100/29.5</f>
        <v>20338.983050847459</v>
      </c>
      <c r="O27" s="27">
        <f>M27-I27</f>
        <v>14338.983050847459</v>
      </c>
    </row>
    <row r="28" spans="2:20" x14ac:dyDescent="0.25">
      <c r="B28" s="17">
        <v>9</v>
      </c>
      <c r="C28" s="15" t="s">
        <v>119</v>
      </c>
      <c r="D28" s="15"/>
      <c r="E28" s="15"/>
      <c r="F28" s="16"/>
      <c r="G28" s="26"/>
      <c r="H28" s="16"/>
      <c r="I28" s="16">
        <v>400</v>
      </c>
      <c r="J28" s="17">
        <v>4212</v>
      </c>
      <c r="K28" s="15" t="s">
        <v>118</v>
      </c>
      <c r="M28" s="27">
        <v>200</v>
      </c>
      <c r="N28" s="27">
        <f t="shared" ref="N28:N30" si="2">M28*0.18</f>
        <v>36</v>
      </c>
    </row>
    <row r="29" spans="2:20" x14ac:dyDescent="0.25">
      <c r="B29" s="17">
        <v>9</v>
      </c>
      <c r="C29" s="15" t="s">
        <v>120</v>
      </c>
      <c r="D29" s="15"/>
      <c r="E29" s="15"/>
      <c r="F29" s="16"/>
      <c r="G29" s="26"/>
      <c r="H29" s="16"/>
      <c r="I29" s="16">
        <v>550</v>
      </c>
      <c r="J29" s="17">
        <v>4212</v>
      </c>
      <c r="K29" s="15" t="s">
        <v>118</v>
      </c>
      <c r="M29" s="27">
        <v>300</v>
      </c>
      <c r="N29" s="27">
        <f t="shared" si="2"/>
        <v>54</v>
      </c>
    </row>
    <row r="30" spans="2:20" x14ac:dyDescent="0.25">
      <c r="B30" s="17">
        <v>9</v>
      </c>
      <c r="C30" s="15" t="s">
        <v>234</v>
      </c>
      <c r="D30" s="15"/>
      <c r="E30" s="15"/>
      <c r="F30" s="16"/>
      <c r="G30" s="26"/>
      <c r="H30" s="16"/>
      <c r="I30" s="16">
        <v>600</v>
      </c>
      <c r="J30" s="17">
        <v>4212</v>
      </c>
      <c r="K30" s="15" t="s">
        <v>118</v>
      </c>
      <c r="M30" s="27">
        <v>500</v>
      </c>
      <c r="N30" s="27">
        <f t="shared" si="2"/>
        <v>90</v>
      </c>
    </row>
    <row r="31" spans="2:20" x14ac:dyDescent="0.25">
      <c r="B31" s="17">
        <v>9</v>
      </c>
      <c r="C31" s="15" t="s">
        <v>122</v>
      </c>
      <c r="D31" s="15"/>
      <c r="E31" s="15"/>
      <c r="F31" s="16"/>
      <c r="G31" s="26"/>
      <c r="H31" s="16"/>
      <c r="I31" s="16">
        <v>12000</v>
      </c>
      <c r="J31" s="17">
        <v>4212</v>
      </c>
      <c r="K31" s="15" t="s">
        <v>118</v>
      </c>
    </row>
    <row r="32" spans="2:20" x14ac:dyDescent="0.25">
      <c r="B32" s="17">
        <v>10</v>
      </c>
      <c r="C32" s="15" t="s">
        <v>235</v>
      </c>
      <c r="D32" s="15"/>
      <c r="E32" s="15"/>
      <c r="F32" s="16"/>
      <c r="G32" s="26"/>
      <c r="H32" s="16"/>
      <c r="I32" s="16">
        <v>30000</v>
      </c>
      <c r="J32" s="17">
        <v>4511</v>
      </c>
      <c r="K32" s="15" t="s">
        <v>236</v>
      </c>
    </row>
    <row r="33" spans="2:18" x14ac:dyDescent="0.25">
      <c r="B33" s="17">
        <v>11</v>
      </c>
      <c r="C33" s="15" t="s">
        <v>124</v>
      </c>
      <c r="D33" s="15"/>
      <c r="E33" s="15"/>
      <c r="F33" s="16"/>
      <c r="G33" s="26"/>
      <c r="H33" s="16"/>
      <c r="I33" s="28">
        <v>25000</v>
      </c>
      <c r="J33" s="17">
        <v>5011</v>
      </c>
      <c r="K33" s="15" t="s">
        <v>124</v>
      </c>
    </row>
    <row r="34" spans="2:18" x14ac:dyDescent="0.25">
      <c r="B34" s="17">
        <v>12</v>
      </c>
      <c r="C34" s="15" t="s">
        <v>123</v>
      </c>
      <c r="D34" s="15"/>
      <c r="E34" s="15"/>
      <c r="F34" s="16"/>
      <c r="G34" s="26"/>
      <c r="H34" s="16"/>
      <c r="I34" s="16">
        <v>14000</v>
      </c>
      <c r="J34" s="17">
        <v>5911</v>
      </c>
      <c r="K34" s="15" t="s">
        <v>8</v>
      </c>
    </row>
    <row r="35" spans="2:18" x14ac:dyDescent="0.25">
      <c r="H35" s="8">
        <f>SUM(H4:H34)</f>
        <v>108500</v>
      </c>
      <c r="I35" s="8">
        <f>SUM(I4:I34)</f>
        <v>108500</v>
      </c>
    </row>
    <row r="36" spans="2:18" x14ac:dyDescent="0.25">
      <c r="B36" s="7" t="s">
        <v>215</v>
      </c>
      <c r="I36" s="5">
        <f>H35-I35</f>
        <v>0</v>
      </c>
      <c r="R36">
        <v>70</v>
      </c>
    </row>
    <row r="37" spans="2:18" x14ac:dyDescent="0.25">
      <c r="B37" s="7"/>
      <c r="I37" s="5"/>
    </row>
    <row r="38" spans="2:18" x14ac:dyDescent="0.25">
      <c r="B38" s="7" t="s">
        <v>216</v>
      </c>
      <c r="I38" s="27"/>
    </row>
    <row r="39" spans="2:18" x14ac:dyDescent="0.25">
      <c r="B39" s="7"/>
      <c r="I39" s="27"/>
    </row>
    <row r="40" spans="2:18" x14ac:dyDescent="0.25">
      <c r="B40" s="7"/>
      <c r="C40" s="13" t="s">
        <v>136</v>
      </c>
      <c r="D40" s="13" t="s">
        <v>96</v>
      </c>
      <c r="E40" s="13" t="s">
        <v>140</v>
      </c>
      <c r="F40" s="13" t="s">
        <v>57</v>
      </c>
      <c r="I40" s="27"/>
    </row>
    <row r="41" spans="2:18" x14ac:dyDescent="0.25">
      <c r="C41" s="15" t="s">
        <v>132</v>
      </c>
      <c r="D41" s="15">
        <v>200</v>
      </c>
      <c r="E41" s="15">
        <v>20</v>
      </c>
      <c r="F41" s="16">
        <f>D41*E41</f>
        <v>4000</v>
      </c>
      <c r="I41" s="27"/>
    </row>
    <row r="42" spans="2:18" x14ac:dyDescent="0.25">
      <c r="C42" s="15" t="s">
        <v>133</v>
      </c>
      <c r="D42" s="15">
        <v>80</v>
      </c>
      <c r="E42" s="15">
        <v>40</v>
      </c>
      <c r="F42" s="16">
        <f>D42*E42</f>
        <v>3200</v>
      </c>
      <c r="I42" s="27"/>
    </row>
    <row r="43" spans="2:18" x14ac:dyDescent="0.25">
      <c r="F43" s="8">
        <f>SUM(F41:F42)</f>
        <v>7200</v>
      </c>
      <c r="G43" s="29"/>
      <c r="H43" s="5"/>
      <c r="I43" s="5"/>
      <c r="J43" s="6"/>
    </row>
    <row r="44" spans="2:18" x14ac:dyDescent="0.25">
      <c r="F44" s="8"/>
      <c r="G44" s="29"/>
      <c r="H44" s="5"/>
      <c r="I44" s="5"/>
      <c r="J44" s="6"/>
    </row>
    <row r="45" spans="2:18" x14ac:dyDescent="0.25">
      <c r="B45" s="7" t="s">
        <v>239</v>
      </c>
      <c r="F45" s="5"/>
      <c r="G45" s="29"/>
      <c r="H45" s="5"/>
      <c r="I45" s="5"/>
      <c r="J45" s="6"/>
    </row>
    <row r="46" spans="2:18" x14ac:dyDescent="0.25">
      <c r="B46" s="7"/>
      <c r="F46" s="5"/>
      <c r="G46" s="29"/>
      <c r="H46" s="5"/>
      <c r="I46" s="5"/>
      <c r="J46" s="6"/>
    </row>
    <row r="47" spans="2:18" ht="30" x14ac:dyDescent="0.25">
      <c r="C47" s="13" t="s">
        <v>136</v>
      </c>
      <c r="D47" s="13" t="s">
        <v>96</v>
      </c>
      <c r="E47" s="13" t="s">
        <v>139</v>
      </c>
      <c r="F47" s="13" t="s">
        <v>137</v>
      </c>
      <c r="G47" s="13" t="s">
        <v>140</v>
      </c>
      <c r="H47" s="13" t="s">
        <v>141</v>
      </c>
      <c r="I47" s="5"/>
      <c r="J47" s="6"/>
    </row>
    <row r="48" spans="2:18" x14ac:dyDescent="0.25">
      <c r="C48" s="15" t="s">
        <v>98</v>
      </c>
      <c r="D48" s="15">
        <f>D11*0.7</f>
        <v>140</v>
      </c>
      <c r="E48" s="16">
        <v>30</v>
      </c>
      <c r="F48" s="16">
        <f>D48*E48</f>
        <v>4200</v>
      </c>
      <c r="G48" s="15">
        <v>15</v>
      </c>
      <c r="H48" s="16">
        <f>D48*G48</f>
        <v>2100</v>
      </c>
      <c r="I48" s="5"/>
      <c r="J48" s="6"/>
    </row>
    <row r="49" spans="2:18" x14ac:dyDescent="0.25">
      <c r="C49" s="15" t="s">
        <v>100</v>
      </c>
      <c r="D49" s="15">
        <f>D12*0.7</f>
        <v>560</v>
      </c>
      <c r="E49" s="16">
        <v>10</v>
      </c>
      <c r="F49" s="16">
        <f t="shared" ref="F49:F52" si="3">D49*E49</f>
        <v>5600</v>
      </c>
      <c r="G49" s="15">
        <f>E12</f>
        <v>6</v>
      </c>
      <c r="H49" s="16">
        <f>D49*G49</f>
        <v>3360</v>
      </c>
      <c r="I49" s="5"/>
      <c r="J49" s="6"/>
      <c r="R49">
        <v>70</v>
      </c>
    </row>
    <row r="50" spans="2:18" x14ac:dyDescent="0.25">
      <c r="C50" s="15" t="s">
        <v>101</v>
      </c>
      <c r="D50" s="15">
        <f>D13*0.7</f>
        <v>70</v>
      </c>
      <c r="E50" s="16">
        <v>40</v>
      </c>
      <c r="F50" s="16">
        <f t="shared" si="3"/>
        <v>2800</v>
      </c>
      <c r="G50" s="15">
        <f>E13</f>
        <v>20</v>
      </c>
      <c r="H50" s="16">
        <f>D50*G50</f>
        <v>1400</v>
      </c>
      <c r="I50" s="5"/>
      <c r="J50" s="6"/>
    </row>
    <row r="51" spans="2:18" x14ac:dyDescent="0.25">
      <c r="C51" s="15" t="s">
        <v>132</v>
      </c>
      <c r="D51" s="15">
        <f>D41*0.6</f>
        <v>120</v>
      </c>
      <c r="E51" s="16">
        <v>35</v>
      </c>
      <c r="F51" s="16">
        <f t="shared" si="3"/>
        <v>4200</v>
      </c>
      <c r="G51" s="15">
        <f>E41</f>
        <v>20</v>
      </c>
      <c r="H51" s="16">
        <f>D51*G51</f>
        <v>2400</v>
      </c>
      <c r="I51" s="5"/>
      <c r="J51" s="6"/>
    </row>
    <row r="52" spans="2:18" x14ac:dyDescent="0.25">
      <c r="C52" s="15" t="s">
        <v>133</v>
      </c>
      <c r="D52" s="15">
        <f>D42*0.6</f>
        <v>48</v>
      </c>
      <c r="E52" s="16">
        <v>60</v>
      </c>
      <c r="F52" s="16">
        <f t="shared" si="3"/>
        <v>2880</v>
      </c>
      <c r="G52" s="15">
        <f>E42</f>
        <v>40</v>
      </c>
      <c r="H52" s="16">
        <f>D52*G52</f>
        <v>1920</v>
      </c>
      <c r="I52" s="5"/>
      <c r="J52" s="6"/>
    </row>
    <row r="53" spans="2:18" x14ac:dyDescent="0.25">
      <c r="F53" s="8">
        <f>SUM(F48:F52)</f>
        <v>19680</v>
      </c>
      <c r="G53" s="1"/>
      <c r="H53" s="8">
        <f>SUM(H48:H52)</f>
        <v>11180</v>
      </c>
    </row>
    <row r="55" spans="2:18" x14ac:dyDescent="0.25">
      <c r="B55" s="7" t="s">
        <v>240</v>
      </c>
    </row>
    <row r="56" spans="2:18" x14ac:dyDescent="0.25">
      <c r="B56" s="7"/>
    </row>
    <row r="57" spans="2:18" x14ac:dyDescent="0.25">
      <c r="B57" s="7"/>
    </row>
    <row r="58" spans="2:18" ht="30" x14ac:dyDescent="0.25">
      <c r="C58" s="13" t="s">
        <v>22</v>
      </c>
      <c r="D58" s="13" t="s">
        <v>138</v>
      </c>
      <c r="E58" s="13" t="s">
        <v>108</v>
      </c>
      <c r="F58" s="13" t="s">
        <v>134</v>
      </c>
      <c r="G58" s="13" t="s">
        <v>135</v>
      </c>
      <c r="H58" s="13" t="s">
        <v>175</v>
      </c>
    </row>
    <row r="59" spans="2:18" x14ac:dyDescent="0.25">
      <c r="C59" s="15" t="s">
        <v>217</v>
      </c>
      <c r="D59" s="16">
        <f>H14</f>
        <v>4000</v>
      </c>
      <c r="E59" s="15">
        <v>4</v>
      </c>
      <c r="F59" s="25">
        <f>1/E59</f>
        <v>0.25</v>
      </c>
      <c r="G59" s="16">
        <f>D59*F59</f>
        <v>1000</v>
      </c>
      <c r="H59" s="16">
        <f>ROUND(G59/12,0)</f>
        <v>83</v>
      </c>
    </row>
    <row r="60" spans="2:18" x14ac:dyDescent="0.25">
      <c r="C60" s="15" t="s">
        <v>237</v>
      </c>
      <c r="D60" s="16">
        <f>H15</f>
        <v>2000</v>
      </c>
      <c r="E60" s="15">
        <v>10</v>
      </c>
      <c r="F60" s="25">
        <f t="shared" ref="F60:F62" si="4">1/E60</f>
        <v>0.1</v>
      </c>
      <c r="G60" s="16">
        <f t="shared" ref="G60:G62" si="5">D60*F60</f>
        <v>200</v>
      </c>
      <c r="H60" s="16">
        <f t="shared" ref="H60:H62" si="6">ROUND(G60/12,0)</f>
        <v>17</v>
      </c>
    </row>
    <row r="61" spans="2:18" x14ac:dyDescent="0.25">
      <c r="C61" s="15" t="s">
        <v>229</v>
      </c>
      <c r="D61" s="16">
        <f>H16</f>
        <v>2500</v>
      </c>
      <c r="E61" s="15">
        <v>10</v>
      </c>
      <c r="F61" s="25">
        <f t="shared" si="4"/>
        <v>0.1</v>
      </c>
      <c r="G61" s="16">
        <f t="shared" si="5"/>
        <v>250</v>
      </c>
      <c r="H61" s="16">
        <f t="shared" si="6"/>
        <v>21</v>
      </c>
    </row>
    <row r="62" spans="2:18" x14ac:dyDescent="0.25">
      <c r="C62" s="15" t="s">
        <v>238</v>
      </c>
      <c r="D62" s="16">
        <f>H17</f>
        <v>12000</v>
      </c>
      <c r="E62" s="15">
        <v>5</v>
      </c>
      <c r="F62" s="25">
        <f t="shared" si="4"/>
        <v>0.2</v>
      </c>
      <c r="G62" s="16">
        <f t="shared" si="5"/>
        <v>2400</v>
      </c>
      <c r="H62" s="16">
        <f t="shared" si="6"/>
        <v>200</v>
      </c>
    </row>
    <row r="64" spans="2:18" x14ac:dyDescent="0.25">
      <c r="D64" s="37" t="s">
        <v>138</v>
      </c>
      <c r="E64" s="37"/>
      <c r="F64" s="37"/>
      <c r="G64" s="37" t="s">
        <v>182</v>
      </c>
      <c r="H64" s="37"/>
      <c r="I64" s="37"/>
    </row>
    <row r="65" spans="2:14" ht="30" x14ac:dyDescent="0.25">
      <c r="C65" s="13" t="s">
        <v>22</v>
      </c>
      <c r="D65" s="13" t="s">
        <v>15</v>
      </c>
      <c r="E65" s="13" t="s">
        <v>61</v>
      </c>
      <c r="F65" s="13" t="s">
        <v>183</v>
      </c>
      <c r="G65" s="13" t="s">
        <v>15</v>
      </c>
      <c r="H65" s="13" t="s">
        <v>184</v>
      </c>
      <c r="I65" s="13" t="s">
        <v>183</v>
      </c>
      <c r="J65" s="13" t="s">
        <v>185</v>
      </c>
      <c r="L65" s="13" t="s">
        <v>186</v>
      </c>
      <c r="M65" s="13" t="s">
        <v>187</v>
      </c>
      <c r="N65" s="13" t="s">
        <v>57</v>
      </c>
    </row>
    <row r="66" spans="2:14" x14ac:dyDescent="0.25">
      <c r="C66" s="15" t="s">
        <v>217</v>
      </c>
      <c r="D66" s="16">
        <f>D59</f>
        <v>4000</v>
      </c>
      <c r="E66" s="16"/>
      <c r="F66" s="16">
        <f>SUM(D66:E66)</f>
        <v>4000</v>
      </c>
      <c r="G66" s="16">
        <f>G59</f>
        <v>1000</v>
      </c>
      <c r="H66" s="16">
        <f>H59</f>
        <v>83</v>
      </c>
      <c r="I66" s="16">
        <f>SUM(G66:H66)</f>
        <v>1083</v>
      </c>
      <c r="J66" s="16">
        <f>F66-I66</f>
        <v>2917</v>
      </c>
      <c r="L66" s="16">
        <f>H66/2</f>
        <v>41.5</v>
      </c>
      <c r="M66" s="16">
        <f>L66</f>
        <v>41.5</v>
      </c>
      <c r="N66" s="30">
        <f>SUM(L66:M66)</f>
        <v>83</v>
      </c>
    </row>
    <row r="67" spans="2:14" x14ac:dyDescent="0.25">
      <c r="C67" s="15" t="s">
        <v>237</v>
      </c>
      <c r="D67" s="16">
        <f>D60</f>
        <v>2000</v>
      </c>
      <c r="E67" s="16"/>
      <c r="F67" s="16">
        <f t="shared" ref="F67:F69" si="7">SUM(D67:E67)</f>
        <v>2000</v>
      </c>
      <c r="G67" s="16">
        <f>G60</f>
        <v>200</v>
      </c>
      <c r="H67" s="16">
        <f>H60</f>
        <v>17</v>
      </c>
      <c r="I67" s="16">
        <f t="shared" ref="I67:I69" si="8">SUM(G67:H67)</f>
        <v>217</v>
      </c>
      <c r="J67" s="16">
        <f t="shared" ref="J67:J69" si="9">F67-I67</f>
        <v>1783</v>
      </c>
      <c r="L67" s="16">
        <f>H67/2</f>
        <v>8.5</v>
      </c>
      <c r="M67" s="16">
        <f>L67</f>
        <v>8.5</v>
      </c>
      <c r="N67" s="30">
        <f>SUM(L67:M67)</f>
        <v>17</v>
      </c>
    </row>
    <row r="68" spans="2:14" x14ac:dyDescent="0.25">
      <c r="C68" s="15" t="s">
        <v>229</v>
      </c>
      <c r="D68" s="16">
        <f>D61</f>
        <v>2500</v>
      </c>
      <c r="E68" s="16"/>
      <c r="F68" s="16">
        <f t="shared" si="7"/>
        <v>2500</v>
      </c>
      <c r="G68" s="16">
        <f>G61</f>
        <v>250</v>
      </c>
      <c r="H68" s="16">
        <f>H61</f>
        <v>21</v>
      </c>
      <c r="I68" s="16">
        <f t="shared" si="8"/>
        <v>271</v>
      </c>
      <c r="J68" s="16">
        <f t="shared" si="9"/>
        <v>2229</v>
      </c>
      <c r="L68" s="41">
        <f>H68/2</f>
        <v>10.5</v>
      </c>
      <c r="M68" s="42">
        <f>L68</f>
        <v>10.5</v>
      </c>
      <c r="N68" s="30">
        <f t="shared" ref="N68:N69" si="10">SUM(L68:M68)</f>
        <v>21</v>
      </c>
    </row>
    <row r="69" spans="2:14" x14ac:dyDescent="0.25">
      <c r="C69" s="15" t="s">
        <v>238</v>
      </c>
      <c r="D69" s="16">
        <f>D62</f>
        <v>12000</v>
      </c>
      <c r="E69" s="16"/>
      <c r="F69" s="16">
        <f t="shared" si="7"/>
        <v>12000</v>
      </c>
      <c r="G69" s="16">
        <f>G62</f>
        <v>2400</v>
      </c>
      <c r="H69" s="16">
        <f>H62</f>
        <v>200</v>
      </c>
      <c r="I69" s="16">
        <f t="shared" si="8"/>
        <v>2600</v>
      </c>
      <c r="J69" s="16">
        <f t="shared" si="9"/>
        <v>9400</v>
      </c>
      <c r="L69" s="16"/>
      <c r="M69" s="16">
        <f>H69</f>
        <v>200</v>
      </c>
      <c r="N69" s="30">
        <f t="shared" si="10"/>
        <v>200</v>
      </c>
    </row>
    <row r="70" spans="2:14" x14ac:dyDescent="0.25">
      <c r="D70" s="8">
        <f>SUM(D66:D69)</f>
        <v>20500</v>
      </c>
      <c r="E70" s="8">
        <f>SUM(E66:E69)</f>
        <v>0</v>
      </c>
      <c r="F70" s="8">
        <f>SUM(F66:F69)</f>
        <v>20500</v>
      </c>
      <c r="G70" s="8">
        <f>SUM(G66:G69)</f>
        <v>3850</v>
      </c>
      <c r="H70" s="8">
        <f>SUM(H66:H69)</f>
        <v>321</v>
      </c>
      <c r="I70" s="8">
        <f>SUM(I66:I69)</f>
        <v>4171</v>
      </c>
      <c r="J70" s="8">
        <f>SUM(J66:J69)</f>
        <v>16329</v>
      </c>
      <c r="L70" s="30">
        <f>SUM(L66:L69)</f>
        <v>60.5</v>
      </c>
      <c r="M70" s="30">
        <f>SUM(M66:M69)</f>
        <v>260.5</v>
      </c>
      <c r="N70" s="30">
        <f>SUM(N66:N69)</f>
        <v>321</v>
      </c>
    </row>
    <row r="72" spans="2:14" x14ac:dyDescent="0.25">
      <c r="B72" s="7" t="s">
        <v>241</v>
      </c>
    </row>
    <row r="73" spans="2:14" x14ac:dyDescent="0.25">
      <c r="D73" s="13" t="s">
        <v>89</v>
      </c>
      <c r="E73" s="13" t="s">
        <v>144</v>
      </c>
      <c r="F73" s="13" t="s">
        <v>145</v>
      </c>
    </row>
    <row r="74" spans="2:14" x14ac:dyDescent="0.25">
      <c r="C74" s="15" t="s">
        <v>195</v>
      </c>
      <c r="D74" s="16"/>
      <c r="E74" s="16"/>
      <c r="F74" s="16">
        <v>2000</v>
      </c>
    </row>
    <row r="75" spans="2:14" x14ac:dyDescent="0.25">
      <c r="C75" s="15" t="s">
        <v>196</v>
      </c>
      <c r="D75" s="16"/>
      <c r="E75" s="16"/>
      <c r="F75" s="16">
        <v>1000</v>
      </c>
    </row>
    <row r="78" spans="2:14" x14ac:dyDescent="0.25">
      <c r="B78" s="7" t="s">
        <v>258</v>
      </c>
    </row>
    <row r="80" spans="2:14" x14ac:dyDescent="0.25">
      <c r="C80" s="64" t="s">
        <v>259</v>
      </c>
      <c r="D80" s="64"/>
      <c r="E80" s="64" t="s">
        <v>260</v>
      </c>
      <c r="F80" s="64"/>
      <c r="G80" s="64" t="s">
        <v>261</v>
      </c>
      <c r="H80" s="63"/>
    </row>
    <row r="81" spans="3:8" x14ac:dyDescent="0.25">
      <c r="C81" s="15" t="s">
        <v>262</v>
      </c>
      <c r="D81" s="15">
        <f>F85*0.1</f>
        <v>410.25</v>
      </c>
      <c r="E81" s="15" t="s">
        <v>268</v>
      </c>
      <c r="F81" s="15">
        <v>4000</v>
      </c>
      <c r="G81" s="15" t="s">
        <v>270</v>
      </c>
      <c r="H81" s="66">
        <f>F85*6.75%</f>
        <v>276.91875000000005</v>
      </c>
    </row>
    <row r="82" spans="3:8" x14ac:dyDescent="0.25">
      <c r="C82" s="15" t="s">
        <v>263</v>
      </c>
      <c r="D82" s="66">
        <f>F85*1.55%</f>
        <v>63.588749999999997</v>
      </c>
      <c r="E82" s="15" t="s">
        <v>269</v>
      </c>
      <c r="F82" s="15">
        <v>102.5</v>
      </c>
      <c r="G82" s="15" t="s">
        <v>271</v>
      </c>
      <c r="H82" s="66">
        <f>F85*2.25%</f>
        <v>92.306249999999991</v>
      </c>
    </row>
    <row r="83" spans="3:8" x14ac:dyDescent="0.25">
      <c r="C83" s="15" t="s">
        <v>264</v>
      </c>
      <c r="D83" s="66">
        <f>F85*1.7%</f>
        <v>69.742500000000007</v>
      </c>
      <c r="E83" s="15"/>
      <c r="F83" s="15"/>
      <c r="G83" s="15"/>
      <c r="H83" s="15"/>
    </row>
    <row r="84" spans="3:8" x14ac:dyDescent="0.25">
      <c r="C84" s="15" t="s">
        <v>265</v>
      </c>
      <c r="D84" s="15">
        <f>F85*8%</f>
        <v>328.2</v>
      </c>
      <c r="E84" s="15"/>
      <c r="F84" s="15"/>
      <c r="G84" s="15"/>
      <c r="H84" s="15"/>
    </row>
    <row r="85" spans="3:8" x14ac:dyDescent="0.25">
      <c r="C85" s="65" t="s">
        <v>266</v>
      </c>
      <c r="D85" s="67">
        <f>D81+D82+D83+D84</f>
        <v>871.78125</v>
      </c>
      <c r="E85" s="65" t="s">
        <v>272</v>
      </c>
      <c r="F85" s="65">
        <f>F81+F82</f>
        <v>4102.5</v>
      </c>
      <c r="G85" s="65" t="s">
        <v>273</v>
      </c>
      <c r="H85" s="67">
        <f>H81+H82</f>
        <v>369.22500000000002</v>
      </c>
    </row>
    <row r="86" spans="3:8" x14ac:dyDescent="0.25">
      <c r="C86" s="65" t="s">
        <v>267</v>
      </c>
      <c r="D86" s="65"/>
      <c r="E86" s="44"/>
      <c r="F86" s="44"/>
      <c r="G86" s="44"/>
      <c r="H86" s="44"/>
    </row>
  </sheetData>
  <mergeCells count="2">
    <mergeCell ref="D64:F64"/>
    <mergeCell ref="G64:I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40D4-4F8F-4383-9F2B-09D1AE53675D}">
  <dimension ref="A1:AV240"/>
  <sheetViews>
    <sheetView showGridLines="0" tabSelected="1" topLeftCell="AG1" zoomScaleNormal="100" workbookViewId="0">
      <pane ySplit="3" topLeftCell="A4" activePane="bottomLeft" state="frozen"/>
      <selection pane="bottomLeft" activeCell="AU35" sqref="AU35"/>
    </sheetView>
  </sheetViews>
  <sheetFormatPr baseColWidth="10" defaultColWidth="8.85546875" defaultRowHeight="15" x14ac:dyDescent="0.25"/>
  <cols>
    <col min="2" max="2" width="8.7109375" style="6" bestFit="1" customWidth="1"/>
    <col min="3" max="3" width="46.85546875" customWidth="1"/>
    <col min="4" max="9" width="11.42578125" customWidth="1"/>
    <col min="10" max="10" width="9.140625" customWidth="1"/>
    <col min="11" max="11" width="41.85546875" customWidth="1"/>
    <col min="12" max="15" width="9.140625" customWidth="1"/>
    <col min="16" max="16" width="10.5703125" customWidth="1"/>
    <col min="17" max="25" width="9.140625" customWidth="1"/>
    <col min="27" max="27" width="35.140625" bestFit="1" customWidth="1"/>
    <col min="28" max="28" width="10.28515625" customWidth="1"/>
    <col min="29" max="29" width="16" style="73" customWidth="1"/>
    <col min="30" max="30" width="14.140625" customWidth="1"/>
    <col min="31" max="31" width="28.42578125" bestFit="1" customWidth="1"/>
    <col min="33" max="33" width="26.7109375" style="73" customWidth="1"/>
    <col min="35" max="35" width="8.7109375" style="6" bestFit="1" customWidth="1"/>
    <col min="36" max="36" width="45.140625" bestFit="1" customWidth="1"/>
    <col min="37" max="38" width="11.42578125" customWidth="1"/>
    <col min="39" max="39" width="20.5703125" customWidth="1"/>
    <col min="40" max="40" width="8.85546875" style="73"/>
    <col min="41" max="41" width="37.140625" customWidth="1"/>
    <col min="44" max="44" width="28.42578125" bestFit="1" customWidth="1"/>
  </cols>
  <sheetData>
    <row r="1" spans="1:48" x14ac:dyDescent="0.25">
      <c r="B1" s="7" t="s">
        <v>210</v>
      </c>
      <c r="C1" s="3"/>
      <c r="D1" s="4"/>
      <c r="E1" s="4"/>
      <c r="F1" s="4"/>
      <c r="G1" s="4"/>
      <c r="H1" s="4"/>
      <c r="I1" s="4"/>
      <c r="J1" s="7" t="s">
        <v>211</v>
      </c>
      <c r="K1" s="3"/>
      <c r="AA1" s="7" t="s">
        <v>212</v>
      </c>
      <c r="AI1" s="31" t="s">
        <v>87</v>
      </c>
      <c r="AJ1" s="3"/>
      <c r="AK1" s="4"/>
      <c r="AL1" s="4"/>
      <c r="AO1" s="7" t="s">
        <v>213</v>
      </c>
    </row>
    <row r="2" spans="1:48" x14ac:dyDescent="0.25">
      <c r="L2" s="39" t="s">
        <v>15</v>
      </c>
      <c r="M2" s="39"/>
      <c r="N2" s="39" t="s">
        <v>16</v>
      </c>
      <c r="O2" s="39"/>
      <c r="P2" s="39" t="s">
        <v>17</v>
      </c>
      <c r="Q2" s="39"/>
      <c r="R2" s="39" t="s">
        <v>56</v>
      </c>
      <c r="S2" s="39"/>
      <c r="T2" s="39" t="s">
        <v>18</v>
      </c>
      <c r="U2" s="39"/>
      <c r="V2" s="39" t="s">
        <v>20</v>
      </c>
      <c r="W2" s="39"/>
      <c r="X2" s="39" t="s">
        <v>19</v>
      </c>
      <c r="Y2" s="39"/>
    </row>
    <row r="3" spans="1:48" ht="30" x14ac:dyDescent="0.25">
      <c r="A3" s="11" t="s">
        <v>92</v>
      </c>
      <c r="B3" s="11" t="s">
        <v>0</v>
      </c>
      <c r="C3" s="12" t="s">
        <v>1</v>
      </c>
      <c r="D3" s="13" t="s">
        <v>3</v>
      </c>
      <c r="E3" s="13" t="s">
        <v>4</v>
      </c>
      <c r="F3" s="13" t="s">
        <v>199</v>
      </c>
      <c r="G3" s="13" t="s">
        <v>198</v>
      </c>
      <c r="J3" s="11" t="s">
        <v>0</v>
      </c>
      <c r="K3" s="12" t="s">
        <v>1</v>
      </c>
      <c r="L3" s="14" t="s">
        <v>3</v>
      </c>
      <c r="M3" s="14" t="s">
        <v>4</v>
      </c>
      <c r="N3" s="14" t="s">
        <v>3</v>
      </c>
      <c r="O3" s="14" t="s">
        <v>4</v>
      </c>
      <c r="P3" s="14" t="s">
        <v>3</v>
      </c>
      <c r="Q3" s="14" t="s">
        <v>4</v>
      </c>
      <c r="R3" s="14" t="s">
        <v>3</v>
      </c>
      <c r="S3" s="14" t="s">
        <v>4</v>
      </c>
      <c r="T3" s="14" t="s">
        <v>3</v>
      </c>
      <c r="U3" s="14" t="s">
        <v>4</v>
      </c>
      <c r="V3" s="14" t="s">
        <v>3</v>
      </c>
      <c r="W3" s="14" t="s">
        <v>4</v>
      </c>
      <c r="X3" s="14" t="s">
        <v>3</v>
      </c>
      <c r="Y3" s="14" t="s">
        <v>4</v>
      </c>
      <c r="AD3" s="2" t="s">
        <v>21</v>
      </c>
      <c r="AI3" s="11" t="s">
        <v>0</v>
      </c>
      <c r="AJ3" s="12" t="s">
        <v>1</v>
      </c>
      <c r="AK3" s="13" t="s">
        <v>3</v>
      </c>
      <c r="AL3" s="13" t="s">
        <v>4</v>
      </c>
      <c r="AQ3" s="2" t="s">
        <v>21</v>
      </c>
    </row>
    <row r="4" spans="1:48" x14ac:dyDescent="0.25">
      <c r="AD4" s="6" t="s">
        <v>59</v>
      </c>
      <c r="AQ4" s="6" t="s">
        <v>59</v>
      </c>
    </row>
    <row r="5" spans="1:48" x14ac:dyDescent="0.25">
      <c r="B5" s="17">
        <v>10411</v>
      </c>
      <c r="C5" s="15" t="s">
        <v>94</v>
      </c>
      <c r="D5" s="16">
        <f>SUMIFS(Datos!$H$4:$H$34,Datos!$J$4:$J$34,Respuesta!B5)</f>
        <v>15000</v>
      </c>
      <c r="E5" s="16">
        <f>SUMIFS(Datos!$I$4:$I$34,Datos!$J$4:$J$34,Respuesta!B5)</f>
        <v>0</v>
      </c>
      <c r="F5" s="16"/>
      <c r="G5" s="16"/>
      <c r="J5" s="72">
        <v>10411</v>
      </c>
      <c r="K5" s="15" t="s">
        <v>94</v>
      </c>
      <c r="L5" s="16">
        <f>SUMIFS($D$5:$D$26,$B$5:$B$26,J5)</f>
        <v>15000</v>
      </c>
      <c r="M5" s="16">
        <f>SUMIFS($E$5:$E$26,$B$5:$B$26,J5)</f>
        <v>0</v>
      </c>
      <c r="N5" s="16">
        <f>SUMIFS($D$29:$D$301,$B$29:$B$301,J5)</f>
        <v>18577.920000000002</v>
      </c>
      <c r="O5" s="16">
        <f>SUMIFS($E$29:$E$301,$B$29:$B$301,J5)</f>
        <v>12130.71875</v>
      </c>
      <c r="P5" s="16">
        <f t="shared" ref="P5" si="0">IF(L5-M5+N5-O5&gt;0,L5-M5+N5-O5,0)</f>
        <v>21447.201249999998</v>
      </c>
      <c r="Q5" s="16">
        <f t="shared" ref="Q5" si="1">IF(M5-L5+O5-N5&gt;0,M5-L5+O5-N5,0)</f>
        <v>0</v>
      </c>
      <c r="R5" s="16"/>
      <c r="S5" s="16"/>
      <c r="T5" s="16">
        <f t="shared" ref="T5" si="2">IF(P5-Q5+R5-S5&gt;0,P5-Q5+R5-S5,0)</f>
        <v>21447.201249999998</v>
      </c>
      <c r="U5" s="16">
        <f t="shared" ref="U5" si="3">IF(Q5-P5+S5-R5&gt;0,Q5-P5+S5-R5,0)</f>
        <v>0</v>
      </c>
      <c r="V5" s="16"/>
      <c r="W5" s="16"/>
      <c r="X5" s="16"/>
      <c r="Y5" s="16"/>
      <c r="AD5" s="6" t="s">
        <v>58</v>
      </c>
      <c r="AI5" s="17">
        <v>62</v>
      </c>
      <c r="AJ5" s="15" t="s">
        <v>80</v>
      </c>
      <c r="AK5" s="16">
        <v>0</v>
      </c>
      <c r="AL5" s="16"/>
      <c r="AQ5" s="6" t="s">
        <v>58</v>
      </c>
    </row>
    <row r="6" spans="1:48" x14ac:dyDescent="0.25">
      <c r="B6" s="17">
        <v>1062</v>
      </c>
      <c r="C6" s="15" t="s">
        <v>242</v>
      </c>
      <c r="D6" s="16">
        <f>SUMIFS(Datos!$H$4:$H$34,Datos!$J$4:$J$34,Respuesta!B6)</f>
        <v>32000</v>
      </c>
      <c r="E6" s="16">
        <f>SUMIFS(Datos!$I$4:$I$34,Datos!$J$4:$J$34,Respuesta!B6)</f>
        <v>0</v>
      </c>
      <c r="F6" s="16">
        <f>Datos!F5</f>
        <v>0</v>
      </c>
      <c r="G6" s="16"/>
      <c r="J6" s="72">
        <v>1062</v>
      </c>
      <c r="K6" s="15" t="s">
        <v>242</v>
      </c>
      <c r="L6" s="16">
        <f>SUMIFS($D$5:$D$26,$B$5:$B$26,J6)</f>
        <v>32000</v>
      </c>
      <c r="M6" s="16">
        <f>SUMIFS($E$5:$E$26,$B$5:$B$26,J6)</f>
        <v>0</v>
      </c>
      <c r="N6" s="16">
        <f>SUMIFS($D$29:$D$301,$B$29:$B$301,J6)</f>
        <v>0</v>
      </c>
      <c r="O6" s="16">
        <f>SUMIFS($E$29:$E$301,$B$29:$B$301,J6)</f>
        <v>0</v>
      </c>
      <c r="P6" s="16">
        <f t="shared" ref="P6:P57" si="4">IF(L6-M6+N6-O6&gt;0,L6-M6+N6-O6,0)</f>
        <v>32000</v>
      </c>
      <c r="Q6" s="16">
        <f t="shared" ref="Q6:Q57" si="5">IF(M6-L6+O6-N6&gt;0,M6-L6+O6-N6,0)</f>
        <v>0</v>
      </c>
      <c r="R6" s="16"/>
      <c r="S6" s="16"/>
      <c r="T6" s="16">
        <f t="shared" ref="T6:T33" si="6">IF(P6-Q6+R6-S6&gt;0,P6-Q6+R6-S6,0)</f>
        <v>32000</v>
      </c>
      <c r="U6" s="16">
        <f t="shared" ref="U6:U33" si="7">IF(Q6-P6+S6-R6&gt;0,Q6-P6+S6-R6,0)</f>
        <v>0</v>
      </c>
      <c r="V6" s="16"/>
      <c r="W6" s="16"/>
      <c r="X6" s="16"/>
      <c r="Y6" s="16"/>
      <c r="AI6" s="17">
        <v>411</v>
      </c>
      <c r="AJ6" s="15" t="s">
        <v>80</v>
      </c>
      <c r="AK6" s="16"/>
      <c r="AL6" s="16">
        <f>AK5</f>
        <v>0</v>
      </c>
    </row>
    <row r="7" spans="1:48" x14ac:dyDescent="0.25">
      <c r="B7" s="17">
        <v>1212</v>
      </c>
      <c r="C7" s="15" t="s">
        <v>95</v>
      </c>
      <c r="D7" s="16">
        <f>SUMIFS(Datos!$H$4:$H$34,Datos!$J$4:$J$34,Respuesta!B7)</f>
        <v>16200</v>
      </c>
      <c r="E7" s="16">
        <f>SUMIFS(Datos!$I$4:$I$34,Datos!$J$4:$J$34,Respuesta!B7)</f>
        <v>0</v>
      </c>
      <c r="F7" s="16"/>
      <c r="G7" s="16"/>
      <c r="J7" s="72">
        <v>1212</v>
      </c>
      <c r="K7" s="15" t="s">
        <v>95</v>
      </c>
      <c r="L7" s="16">
        <f>SUMIFS($D$5:$D$26,$B$5:$B$26,J7)</f>
        <v>16200</v>
      </c>
      <c r="M7" s="16">
        <f>SUMIFS($E$5:$E$26,$B$5:$B$26,J7)</f>
        <v>0</v>
      </c>
      <c r="N7" s="16">
        <f>SUMIFS($D$29:$D$301,$B$29:$B$301,J7)</f>
        <v>23222.400000000001</v>
      </c>
      <c r="O7" s="16">
        <f>SUMIFS($E$29:$E$301,$B$29:$B$301,J7)</f>
        <v>18577.920000000002</v>
      </c>
      <c r="P7" s="16">
        <f>IF(L7-M7+N7-O7&gt;0,L7-M7+N7-O7,0)</f>
        <v>20844.48</v>
      </c>
      <c r="Q7" s="16">
        <f t="shared" si="5"/>
        <v>0</v>
      </c>
      <c r="R7" s="16"/>
      <c r="S7" s="16"/>
      <c r="T7" s="16">
        <f t="shared" si="6"/>
        <v>20844.48</v>
      </c>
      <c r="U7" s="16">
        <f t="shared" si="7"/>
        <v>0</v>
      </c>
      <c r="V7" s="16"/>
      <c r="W7" s="16"/>
      <c r="X7" s="16"/>
      <c r="Y7" s="16"/>
      <c r="AI7" s="18" t="s">
        <v>82</v>
      </c>
      <c r="AJ7" s="15"/>
      <c r="AK7" s="16"/>
      <c r="AL7" s="16"/>
    </row>
    <row r="8" spans="1:48" s="73" customFormat="1" x14ac:dyDescent="0.25">
      <c r="B8" s="17">
        <v>1232</v>
      </c>
      <c r="C8" s="15" t="s">
        <v>95</v>
      </c>
      <c r="D8" s="16">
        <f>SUMIFS(Datos!$H$4:$H$34,Datos!$J$4:$J$34,Respuesta!B8)</f>
        <v>10000</v>
      </c>
      <c r="E8" s="16">
        <f>SUMIFS(Datos!$I$4:$I$34,Datos!$J$4:$J$34,Respuesta!B8)</f>
        <v>0</v>
      </c>
      <c r="F8" s="16"/>
      <c r="G8" s="16"/>
      <c r="J8" s="72">
        <v>1232</v>
      </c>
      <c r="K8" s="15" t="s">
        <v>95</v>
      </c>
      <c r="L8" s="16">
        <f>SUMIFS($D$5:$D$26,$B$5:$B$26,J8)</f>
        <v>10000</v>
      </c>
      <c r="M8" s="16">
        <f>SUMIFS($E$5:$E$26,$B$5:$B$26,J8)</f>
        <v>0</v>
      </c>
      <c r="N8" s="16">
        <f>SUMIFS($D$29:$D$301,$B$29:$B$301,J8)</f>
        <v>0</v>
      </c>
      <c r="O8" s="16">
        <f>SUMIFS($E$29:$E$301,$B$29:$B$301,J8)</f>
        <v>0</v>
      </c>
      <c r="P8" s="16">
        <f t="shared" ref="P8" si="8">IF(L8-M8+N8-O8&gt;0,L8-M8+N8-O8,0)</f>
        <v>10000</v>
      </c>
      <c r="Q8" s="16">
        <f t="shared" ref="Q8" si="9">IF(M8-L8+O8-N8&gt;0,M8-L8+O8-N8,0)</f>
        <v>0</v>
      </c>
      <c r="R8" s="16"/>
      <c r="S8" s="16"/>
      <c r="T8" s="16">
        <f t="shared" ref="T8" si="10">IF(P8-Q8+R8-S8&gt;0,P8-Q8+R8-S8,0)</f>
        <v>10000</v>
      </c>
      <c r="U8" s="16">
        <f t="shared" ref="U8" si="11">IF(Q8-P8+S8-R8&gt;0,Q8-P8+S8-R8,0)</f>
        <v>0</v>
      </c>
      <c r="V8" s="16"/>
      <c r="W8" s="16"/>
      <c r="X8" s="16"/>
      <c r="Y8" s="16"/>
      <c r="AI8" s="43"/>
      <c r="AJ8" s="44"/>
      <c r="AK8" s="45"/>
      <c r="AL8" s="45"/>
    </row>
    <row r="9" spans="1:48" x14ac:dyDescent="0.25">
      <c r="B9" s="17">
        <v>1422</v>
      </c>
      <c r="C9" s="15" t="s">
        <v>227</v>
      </c>
      <c r="D9" s="16">
        <f>SUMIFS(Datos!$H$4:$H$34,Datos!$J$4:$J$34,Respuesta!B9)</f>
        <v>5000</v>
      </c>
      <c r="E9" s="16">
        <f>SUMIFS(Datos!$I$4:$I$34,Datos!$J$4:$J$34,Respuesta!B9)</f>
        <v>0</v>
      </c>
      <c r="F9" s="16"/>
      <c r="G9" s="16"/>
      <c r="J9" s="72">
        <v>1422</v>
      </c>
      <c r="K9" s="15" t="s">
        <v>227</v>
      </c>
      <c r="L9" s="16">
        <f>SUMIFS($D$5:$D$26,$B$5:$B$26,J9)</f>
        <v>5000</v>
      </c>
      <c r="M9" s="16">
        <f>SUMIFS($E$5:$E$26,$B$5:$B$26,J9)</f>
        <v>0</v>
      </c>
      <c r="N9" s="16">
        <f>SUMIFS($D$29:$D$301,$B$29:$B$301,J9)</f>
        <v>0</v>
      </c>
      <c r="O9" s="16">
        <f>SUMIFS($E$29:$E$301,$B$29:$B$301,J9)</f>
        <v>0</v>
      </c>
      <c r="P9" s="16">
        <f t="shared" si="4"/>
        <v>5000</v>
      </c>
      <c r="Q9" s="16">
        <f t="shared" si="5"/>
        <v>0</v>
      </c>
      <c r="R9" s="16"/>
      <c r="S9" s="16"/>
      <c r="T9" s="16">
        <f t="shared" si="6"/>
        <v>5000</v>
      </c>
      <c r="U9" s="16">
        <f t="shared" si="7"/>
        <v>0</v>
      </c>
      <c r="V9" s="16"/>
      <c r="W9" s="16"/>
      <c r="X9" s="16"/>
      <c r="Y9" s="16"/>
      <c r="AA9" s="7" t="s">
        <v>288</v>
      </c>
      <c r="AB9" s="7"/>
      <c r="AC9" s="7"/>
      <c r="AD9" s="7"/>
      <c r="AE9" s="7" t="s">
        <v>293</v>
      </c>
      <c r="AI9" t="s">
        <v>206</v>
      </c>
      <c r="AO9" s="7" t="s">
        <v>318</v>
      </c>
      <c r="AP9" s="7"/>
      <c r="AQ9" s="7"/>
      <c r="AR9" s="7" t="s">
        <v>31</v>
      </c>
    </row>
    <row r="10" spans="1:48" x14ac:dyDescent="0.25">
      <c r="B10" s="17">
        <v>20111</v>
      </c>
      <c r="C10" s="15" t="s">
        <v>99</v>
      </c>
      <c r="D10" s="16">
        <f>SUMIFS(Datos!$H$4:$H$34,Datos!$J$4:$J$34,Respuesta!B10)</f>
        <v>9800</v>
      </c>
      <c r="E10" s="16">
        <f>SUMIFS(Datos!$I$4:$I$34,Datos!$J$4:$J$34,Respuesta!B10)</f>
        <v>0</v>
      </c>
      <c r="F10" s="16"/>
      <c r="G10" s="16"/>
      <c r="J10" s="72">
        <v>182</v>
      </c>
      <c r="K10" s="15" t="s">
        <v>159</v>
      </c>
      <c r="L10" s="16">
        <f>SUMIFS($D$5:$D$26,$B$5:$B$26,J10)</f>
        <v>0</v>
      </c>
      <c r="M10" s="16">
        <f>SUMIFS($E$5:$E$26,$B$5:$B$26,J10)</f>
        <v>0</v>
      </c>
      <c r="N10" s="16">
        <f>SUMIFS($D$29:$D$301,$B$29:$B$301,J10)</f>
        <v>1200</v>
      </c>
      <c r="O10" s="16">
        <f>SUMIFS($E$29:$E$301,$B$29:$B$301,J10)</f>
        <v>200</v>
      </c>
      <c r="P10" s="16">
        <f t="shared" si="4"/>
        <v>1000</v>
      </c>
      <c r="Q10" s="16">
        <f t="shared" si="5"/>
        <v>0</v>
      </c>
      <c r="R10" s="16"/>
      <c r="S10" s="16"/>
      <c r="T10" s="16">
        <f t="shared" si="6"/>
        <v>1000</v>
      </c>
      <c r="U10" s="16">
        <f t="shared" si="7"/>
        <v>0</v>
      </c>
      <c r="V10" s="16"/>
      <c r="W10" s="16"/>
      <c r="X10" s="16"/>
      <c r="Y10" s="16"/>
      <c r="AA10" s="1" t="s">
        <v>23</v>
      </c>
      <c r="AB10" s="1"/>
      <c r="AC10" s="75"/>
      <c r="AD10" s="1"/>
      <c r="AE10" s="1" t="s">
        <v>32</v>
      </c>
      <c r="AI10"/>
      <c r="AO10" s="1" t="s">
        <v>23</v>
      </c>
      <c r="AP10" s="1"/>
      <c r="AQ10" s="1"/>
      <c r="AR10" s="1" t="s">
        <v>32</v>
      </c>
    </row>
    <row r="11" spans="1:48" x14ac:dyDescent="0.25">
      <c r="B11" s="17">
        <v>33611</v>
      </c>
      <c r="C11" s="15" t="s">
        <v>104</v>
      </c>
      <c r="D11" s="16">
        <f>SUMIFS(Datos!$H$4:$H$34,Datos!$J$4:$J$34,Respuesta!B11)</f>
        <v>4000</v>
      </c>
      <c r="E11" s="16">
        <f>SUMIFS(Datos!$I$4:$I$34,Datos!$J$4:$J$34,Respuesta!B11)</f>
        <v>0</v>
      </c>
      <c r="F11" s="16"/>
      <c r="G11" s="16"/>
      <c r="J11" s="72">
        <v>20111</v>
      </c>
      <c r="K11" s="15" t="s">
        <v>99</v>
      </c>
      <c r="L11" s="16">
        <f>SUMIFS($D$5:$D$26,$B$5:$B$26,J11)</f>
        <v>9800</v>
      </c>
      <c r="M11" s="16">
        <f>SUMIFS($E$5:$E$26,$B$5:$B$26,J11)</f>
        <v>0</v>
      </c>
      <c r="N11" s="16">
        <f>SUMIFS($D$29:$D$301,$B$29:$B$301,J11)</f>
        <v>7200</v>
      </c>
      <c r="O11" s="16">
        <f>SUMIFS($E$29:$E$301,$B$29:$B$301,J11)</f>
        <v>11180</v>
      </c>
      <c r="P11" s="16">
        <f t="shared" si="4"/>
        <v>5820</v>
      </c>
      <c r="Q11" s="16">
        <f t="shared" si="5"/>
        <v>0</v>
      </c>
      <c r="R11" s="16"/>
      <c r="S11" s="16"/>
      <c r="T11" s="16">
        <f t="shared" si="6"/>
        <v>5820</v>
      </c>
      <c r="U11" s="16">
        <f t="shared" si="7"/>
        <v>0</v>
      </c>
      <c r="V11" s="16"/>
      <c r="W11" s="16"/>
      <c r="X11" s="16"/>
      <c r="Y11" s="16"/>
      <c r="AA11" t="s">
        <v>5</v>
      </c>
      <c r="AB11" s="5">
        <f>T5+T6</f>
        <v>53447.201249999998</v>
      </c>
      <c r="AC11" s="5" t="s">
        <v>286</v>
      </c>
      <c r="AE11" t="s">
        <v>9</v>
      </c>
      <c r="AF11" s="5">
        <f>U29</f>
        <v>24052</v>
      </c>
      <c r="AG11" s="5" t="s">
        <v>291</v>
      </c>
      <c r="AI11" s="17">
        <v>881</v>
      </c>
      <c r="AJ11" s="15" t="s">
        <v>7</v>
      </c>
      <c r="AK11" s="16">
        <f>U60*0.3</f>
        <v>-1925.1612499999987</v>
      </c>
      <c r="AL11" s="16"/>
      <c r="AM11" s="57" t="s">
        <v>302</v>
      </c>
      <c r="AN11" s="88"/>
      <c r="AO11" t="s">
        <v>5</v>
      </c>
      <c r="AP11" s="5">
        <f>AB11</f>
        <v>53447.201249999998</v>
      </c>
      <c r="AR11" t="s">
        <v>9</v>
      </c>
      <c r="AS11" s="5">
        <f>AF11</f>
        <v>24052</v>
      </c>
    </row>
    <row r="12" spans="1:48" ht="15" customHeight="1" x14ac:dyDescent="0.25">
      <c r="B12" s="17">
        <v>33511</v>
      </c>
      <c r="C12" s="15" t="s">
        <v>103</v>
      </c>
      <c r="D12" s="16">
        <f>SUMIFS(Datos!$H$4:$H$34,Datos!$J$4:$J$34,Respuesta!B12)</f>
        <v>4500</v>
      </c>
      <c r="E12" s="16">
        <f>SUMIFS(Datos!$I$4:$I$34,Datos!$J$4:$J$34,Respuesta!B12)</f>
        <v>0</v>
      </c>
      <c r="F12" s="16"/>
      <c r="G12" s="16"/>
      <c r="J12" s="72">
        <v>33411</v>
      </c>
      <c r="K12" s="15" t="s">
        <v>142</v>
      </c>
      <c r="L12" s="16">
        <f>SUMIFS($D$5:$D$26,$B$5:$B$26,J12)</f>
        <v>12000</v>
      </c>
      <c r="M12" s="16">
        <f>SUMIFS($E$5:$E$26,$B$5:$B$26,J12)</f>
        <v>0</v>
      </c>
      <c r="N12" s="16">
        <f>SUMIFS($D$29:$D$301,$B$29:$B$301,J12)</f>
        <v>0</v>
      </c>
      <c r="O12" s="16">
        <f>SUMIFS($E$29:$E$301,$B$29:$B$301,J12)</f>
        <v>0</v>
      </c>
      <c r="P12" s="16">
        <f t="shared" si="4"/>
        <v>12000</v>
      </c>
      <c r="Q12" s="16">
        <f t="shared" si="5"/>
        <v>0</v>
      </c>
      <c r="R12" s="16"/>
      <c r="S12" s="16"/>
      <c r="T12" s="16">
        <f t="shared" si="6"/>
        <v>12000</v>
      </c>
      <c r="U12" s="16">
        <f t="shared" si="7"/>
        <v>0</v>
      </c>
      <c r="V12" s="16"/>
      <c r="W12" s="16"/>
      <c r="X12" s="16"/>
      <c r="Y12" s="16"/>
      <c r="AA12" t="s">
        <v>24</v>
      </c>
      <c r="AB12" s="5">
        <f>T7+T8</f>
        <v>30844.48</v>
      </c>
      <c r="AC12" s="5"/>
      <c r="AE12" t="s">
        <v>33</v>
      </c>
      <c r="AF12" s="5">
        <f>U21+U20+U25+U26+U27+U28</f>
        <v>24836.660416666666</v>
      </c>
      <c r="AG12" s="77" t="s">
        <v>292</v>
      </c>
      <c r="AH12" s="79"/>
      <c r="AI12" s="17">
        <v>4017</v>
      </c>
      <c r="AJ12" s="15" t="s">
        <v>7</v>
      </c>
      <c r="AK12" s="16"/>
      <c r="AL12" s="16">
        <f>AK11</f>
        <v>-1925.1612499999987</v>
      </c>
      <c r="AM12" s="57"/>
      <c r="AN12" s="88"/>
      <c r="AO12" t="s">
        <v>24</v>
      </c>
      <c r="AP12" s="5">
        <f t="shared" ref="AP12:AP18" si="12">AB12</f>
        <v>30844.48</v>
      </c>
      <c r="AR12" t="s">
        <v>33</v>
      </c>
      <c r="AS12" s="35">
        <f>AF12+AL12</f>
        <v>22911.499166666668</v>
      </c>
      <c r="AT12" s="87" t="s">
        <v>319</v>
      </c>
      <c r="AU12" s="87"/>
      <c r="AV12" s="87"/>
    </row>
    <row r="13" spans="1:48" ht="15.75" thickBot="1" x14ac:dyDescent="0.3">
      <c r="B13" s="17">
        <v>33411</v>
      </c>
      <c r="C13" s="15" t="s">
        <v>243</v>
      </c>
      <c r="D13" s="16">
        <f>SUMIFS(Datos!$H$4:$H$34,Datos!$J$4:$J$34,Respuesta!B13)</f>
        <v>12000</v>
      </c>
      <c r="E13" s="16"/>
      <c r="F13" s="16"/>
      <c r="G13" s="16"/>
      <c r="J13" s="17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AB13" s="5"/>
      <c r="AC13" s="5"/>
      <c r="AF13" s="5"/>
      <c r="AG13" s="77"/>
      <c r="AH13" s="79"/>
      <c r="AI13" s="17"/>
      <c r="AJ13" s="15"/>
      <c r="AK13" s="16"/>
      <c r="AL13" s="16"/>
      <c r="AM13" s="57"/>
      <c r="AN13" s="88"/>
      <c r="AP13" s="5"/>
      <c r="AS13" s="35"/>
      <c r="AT13" s="87"/>
      <c r="AU13" s="87"/>
      <c r="AV13" s="87"/>
    </row>
    <row r="14" spans="1:48" x14ac:dyDescent="0.25">
      <c r="B14" s="17">
        <v>39527</v>
      </c>
      <c r="C14" s="15" t="s">
        <v>193</v>
      </c>
      <c r="D14" s="16">
        <f>SUMIFS(Datos!$H$4:$H$34,Datos!$J$4:$J$34,Respuesta!B14)</f>
        <v>0</v>
      </c>
      <c r="E14" s="16">
        <f>SUMIFS(Datos!$I$4:$I$34,Datos!$J$4:$J$34,Respuesta!B14)</f>
        <v>1000</v>
      </c>
      <c r="F14" s="16"/>
      <c r="G14" s="16"/>
      <c r="J14" s="72">
        <v>33511</v>
      </c>
      <c r="K14" s="15" t="s">
        <v>103</v>
      </c>
      <c r="L14" s="16">
        <f>SUMIFS($D$5:$D$26,$B$5:$B$26,J14)</f>
        <v>4500</v>
      </c>
      <c r="M14" s="16">
        <f>SUMIFS($E$5:$E$26,$B$5:$B$26,J14)</f>
        <v>0</v>
      </c>
      <c r="N14" s="16">
        <f>SUMIFS($D$29:$D$301,$B$29:$B$301,J14)</f>
        <v>0</v>
      </c>
      <c r="O14" s="16">
        <f>SUMIFS($E$29:$E$301,$B$29:$B$301,J14)</f>
        <v>0</v>
      </c>
      <c r="P14" s="16">
        <f t="shared" si="4"/>
        <v>4500</v>
      </c>
      <c r="Q14" s="16">
        <f t="shared" si="5"/>
        <v>0</v>
      </c>
      <c r="R14" s="16"/>
      <c r="S14" s="16"/>
      <c r="T14" s="16">
        <f t="shared" si="6"/>
        <v>4500</v>
      </c>
      <c r="U14" s="16">
        <f t="shared" si="7"/>
        <v>0</v>
      </c>
      <c r="V14" s="16"/>
      <c r="W14" s="16"/>
      <c r="X14" s="16"/>
      <c r="Y14" s="16"/>
      <c r="AA14" t="s">
        <v>202</v>
      </c>
      <c r="AB14" s="5">
        <f>T9</f>
        <v>5000</v>
      </c>
      <c r="AC14" s="5"/>
      <c r="AE14" s="1" t="s">
        <v>34</v>
      </c>
      <c r="AF14" s="9">
        <f>SUM(AF11:AF12)</f>
        <v>48888.660416666666</v>
      </c>
      <c r="AG14" s="46"/>
      <c r="AI14" s="18" t="s">
        <v>79</v>
      </c>
      <c r="AJ14" s="15"/>
      <c r="AK14" s="16"/>
      <c r="AL14" s="16"/>
      <c r="AM14" s="57"/>
      <c r="AN14" s="88"/>
      <c r="AO14" t="s">
        <v>202</v>
      </c>
      <c r="AP14" s="5">
        <f t="shared" si="12"/>
        <v>5000</v>
      </c>
      <c r="AR14" s="1" t="s">
        <v>34</v>
      </c>
      <c r="AS14" s="9">
        <f>SUM(AS11:AS12)</f>
        <v>46963.499166666668</v>
      </c>
    </row>
    <row r="15" spans="1:48" x14ac:dyDescent="0.25">
      <c r="B15" s="17">
        <v>39526</v>
      </c>
      <c r="C15" s="15" t="s">
        <v>192</v>
      </c>
      <c r="D15" s="16">
        <f>SUMIFS(Datos!$H$4:$H$34,Datos!$J$4:$J$34,Respuesta!B15)</f>
        <v>0</v>
      </c>
      <c r="E15" s="16">
        <f>SUMIFS(Datos!$I$4:$I$34,Datos!$J$4:$J$34,Respuesta!B15)</f>
        <v>450</v>
      </c>
      <c r="F15" s="16"/>
      <c r="G15" s="16"/>
      <c r="J15" s="72">
        <v>33611</v>
      </c>
      <c r="K15" s="15" t="s">
        <v>104</v>
      </c>
      <c r="L15" s="16">
        <f>SUMIFS($D$5:$D$26,$B$5:$B$26,J15)</f>
        <v>4000</v>
      </c>
      <c r="M15" s="16">
        <f>SUMIFS($E$5:$E$26,$B$5:$B$26,J15)</f>
        <v>0</v>
      </c>
      <c r="N15" s="16">
        <f>SUMIFS($D$29:$D$301,$B$29:$B$301,J15)</f>
        <v>0</v>
      </c>
      <c r="O15" s="16">
        <f>SUMIFS($E$29:$E$301,$B$29:$B$301,J15)</f>
        <v>0</v>
      </c>
      <c r="P15" s="16">
        <f t="shared" si="4"/>
        <v>4000</v>
      </c>
      <c r="Q15" s="16">
        <f t="shared" si="5"/>
        <v>0</v>
      </c>
      <c r="R15" s="16"/>
      <c r="S15" s="16"/>
      <c r="T15" s="16">
        <f t="shared" si="6"/>
        <v>4000</v>
      </c>
      <c r="U15" s="16">
        <f t="shared" si="7"/>
        <v>0</v>
      </c>
      <c r="V15" s="16"/>
      <c r="W15" s="16"/>
      <c r="X15" s="16"/>
      <c r="Y15" s="16"/>
      <c r="AA15" t="s">
        <v>25</v>
      </c>
      <c r="AB15" s="5">
        <f>T11</f>
        <v>5820</v>
      </c>
      <c r="AC15" s="5" t="s">
        <v>287</v>
      </c>
      <c r="AI15"/>
      <c r="AO15" t="s">
        <v>25</v>
      </c>
      <c r="AP15" s="5">
        <f t="shared" si="12"/>
        <v>5820</v>
      </c>
    </row>
    <row r="16" spans="1:48" ht="15.75" thickBot="1" x14ac:dyDescent="0.3">
      <c r="B16" s="17">
        <v>39525</v>
      </c>
      <c r="C16" s="15" t="s">
        <v>244</v>
      </c>
      <c r="D16" s="16">
        <f>SUMIFS(Datos!$H$4:$H$34,Datos!$J$4:$J$34,Respuesta!B16)</f>
        <v>0</v>
      </c>
      <c r="E16" s="16">
        <f>SUMIFS(Datos!$I$4:$I$34,Datos!$J$4:$J$34,Respuesta!B16)</f>
        <v>2400</v>
      </c>
      <c r="F16" s="16"/>
      <c r="G16" s="16"/>
      <c r="J16" s="17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AB16" s="5"/>
      <c r="AC16" s="5"/>
      <c r="AI16"/>
      <c r="AP16" s="5"/>
    </row>
    <row r="17" spans="1:48" x14ac:dyDescent="0.25">
      <c r="B17" s="17">
        <v>40111</v>
      </c>
      <c r="C17" s="15" t="s">
        <v>129</v>
      </c>
      <c r="D17" s="16">
        <f>SUMIFS(Datos!$H$4:$H$34,Datos!$J$4:$J$34,Respuesta!B17)</f>
        <v>0</v>
      </c>
      <c r="E17" s="16">
        <f>SUMIFS(Datos!$I$4:$I$34,Datos!$J$4:$J$34,Respuesta!B17)</f>
        <v>5200</v>
      </c>
      <c r="F17" s="16"/>
      <c r="G17" s="16"/>
      <c r="J17" s="72">
        <v>39525</v>
      </c>
      <c r="K17" s="15" t="s">
        <v>191</v>
      </c>
      <c r="L17" s="16">
        <f>SUMIFS($D$5:$D$26,$B$5:$B$26,J17)</f>
        <v>0</v>
      </c>
      <c r="M17" s="16">
        <f>SUMIFS($E$5:$E$26,$B$5:$B$26,J17)</f>
        <v>2400</v>
      </c>
      <c r="N17" s="16">
        <f>SUMIFS($D$29:$D$301,$B$29:$B$301,J17)</f>
        <v>0</v>
      </c>
      <c r="O17" s="16">
        <f>SUMIFS($E$29:$E$301,$B$29:$B$301,J17)</f>
        <v>200</v>
      </c>
      <c r="P17" s="16">
        <f t="shared" si="4"/>
        <v>0</v>
      </c>
      <c r="Q17" s="16">
        <f t="shared" si="5"/>
        <v>2600</v>
      </c>
      <c r="R17" s="16"/>
      <c r="S17" s="16"/>
      <c r="T17" s="16">
        <f t="shared" si="6"/>
        <v>0</v>
      </c>
      <c r="U17" s="16">
        <f t="shared" si="7"/>
        <v>2600</v>
      </c>
      <c r="V17" s="16"/>
      <c r="W17" s="16"/>
      <c r="X17" s="16"/>
      <c r="Y17" s="16"/>
      <c r="AA17" t="s">
        <v>204</v>
      </c>
      <c r="AB17" s="5">
        <f>T20</f>
        <v>0</v>
      </c>
      <c r="AC17" s="5" t="s">
        <v>129</v>
      </c>
      <c r="AE17" s="1" t="s">
        <v>35</v>
      </c>
      <c r="AF17" s="9">
        <f>AF14</f>
        <v>48888.660416666666</v>
      </c>
      <c r="AG17" s="46"/>
      <c r="AI17" s="17">
        <v>94</v>
      </c>
      <c r="AJ17" s="15" t="s">
        <v>153</v>
      </c>
      <c r="AK17" s="16"/>
      <c r="AL17" s="16">
        <f>S56</f>
        <v>7058.6020833333323</v>
      </c>
      <c r="AM17" s="38" t="s">
        <v>326</v>
      </c>
      <c r="AN17" s="87"/>
      <c r="AO17" t="s">
        <v>204</v>
      </c>
      <c r="AP17" s="5">
        <f t="shared" si="12"/>
        <v>0</v>
      </c>
      <c r="AR17" s="1" t="s">
        <v>35</v>
      </c>
      <c r="AS17" s="9">
        <f>AS14</f>
        <v>46963.499166666668</v>
      </c>
    </row>
    <row r="18" spans="1:48" ht="15.75" thickBot="1" x14ac:dyDescent="0.3">
      <c r="B18" s="17">
        <v>40171</v>
      </c>
      <c r="C18" s="15" t="s">
        <v>7</v>
      </c>
      <c r="D18" s="16">
        <f>SUMIFS(Datos!$H$4:$H$34,Datos!$J$4:$J$34,Respuesta!B18)</f>
        <v>0</v>
      </c>
      <c r="E18" s="16">
        <f>SUMIFS(Datos!$I$4:$I$34,Datos!$J$4:$J$34,Respuesta!B18)</f>
        <v>6000</v>
      </c>
      <c r="F18" s="16"/>
      <c r="G18" s="16"/>
      <c r="J18" s="72">
        <v>39526</v>
      </c>
      <c r="K18" s="15" t="s">
        <v>192</v>
      </c>
      <c r="L18" s="16">
        <f>SUMIFS($D$5:$D$26,$B$5:$B$26,J18)</f>
        <v>0</v>
      </c>
      <c r="M18" s="16">
        <f>SUMIFS($E$5:$E$26,$B$5:$B$26,J18)</f>
        <v>450</v>
      </c>
      <c r="N18" s="16">
        <f>SUMIFS($D$29:$D$301,$B$29:$B$301,J18)</f>
        <v>0</v>
      </c>
      <c r="O18" s="16">
        <f>SUMIFS($E$29:$E$301,$B$29:$B$301,J18)</f>
        <v>38</v>
      </c>
      <c r="P18" s="16">
        <f t="shared" si="4"/>
        <v>0</v>
      </c>
      <c r="Q18" s="16">
        <f t="shared" si="5"/>
        <v>488</v>
      </c>
      <c r="R18" s="16"/>
      <c r="S18" s="16"/>
      <c r="T18" s="16">
        <f t="shared" si="6"/>
        <v>0</v>
      </c>
      <c r="U18" s="16">
        <f t="shared" si="7"/>
        <v>488</v>
      </c>
      <c r="V18" s="16"/>
      <c r="W18" s="16"/>
      <c r="X18" s="16"/>
      <c r="Y18" s="16"/>
      <c r="AA18" t="s">
        <v>203</v>
      </c>
      <c r="AB18" s="5">
        <f>T10</f>
        <v>1000</v>
      </c>
      <c r="AC18" s="5" t="s">
        <v>159</v>
      </c>
      <c r="AI18" s="17">
        <v>95</v>
      </c>
      <c r="AJ18" s="15" t="s">
        <v>12</v>
      </c>
      <c r="AK18" s="16"/>
      <c r="AL18" s="16">
        <f>S57</f>
        <v>7858.6020833333323</v>
      </c>
      <c r="AM18" s="38"/>
      <c r="AN18" s="87"/>
      <c r="AO18" t="s">
        <v>203</v>
      </c>
      <c r="AP18" s="5">
        <f t="shared" si="12"/>
        <v>1000</v>
      </c>
    </row>
    <row r="19" spans="1:48" x14ac:dyDescent="0.25">
      <c r="B19" s="17">
        <v>4031</v>
      </c>
      <c r="C19" s="15" t="s">
        <v>149</v>
      </c>
      <c r="D19" s="16">
        <f>SUMIFS(Datos!$H$4:$H$34,Datos!$J$4:$J$34,Respuesta!B19)</f>
        <v>0</v>
      </c>
      <c r="E19" s="16">
        <f>SUMIFS(Datos!$I$4:$I$34,Datos!$J$4:$J$34,Respuesta!B19)</f>
        <v>600</v>
      </c>
      <c r="F19" s="16"/>
      <c r="G19" s="16"/>
      <c r="J19" s="72">
        <v>39527</v>
      </c>
      <c r="K19" s="15" t="s">
        <v>193</v>
      </c>
      <c r="L19" s="16">
        <f>SUMIFS($D$5:$D$26,$B$5:$B$26,J19)</f>
        <v>0</v>
      </c>
      <c r="M19" s="16">
        <f>SUMIFS($E$5:$E$26,$B$5:$B$26,J19)</f>
        <v>1000</v>
      </c>
      <c r="N19" s="16">
        <f>SUMIFS($D$29:$D$301,$B$29:$B$301,J19)</f>
        <v>0</v>
      </c>
      <c r="O19" s="16">
        <f>SUMIFS($E$29:$E$301,$B$29:$B$301,J19)</f>
        <v>83</v>
      </c>
      <c r="P19" s="16">
        <f t="shared" si="4"/>
        <v>0</v>
      </c>
      <c r="Q19" s="16">
        <f t="shared" si="5"/>
        <v>1083</v>
      </c>
      <c r="R19" s="16"/>
      <c r="S19" s="16"/>
      <c r="T19" s="16">
        <f t="shared" si="6"/>
        <v>0</v>
      </c>
      <c r="U19" s="16">
        <f t="shared" si="7"/>
        <v>1083</v>
      </c>
      <c r="V19" s="16"/>
      <c r="W19" s="16"/>
      <c r="X19" s="16"/>
      <c r="Y19" s="16"/>
      <c r="AA19" s="1" t="s">
        <v>26</v>
      </c>
      <c r="AB19" s="9">
        <f>SUM(AB11:AB18)</f>
        <v>96111.681249999994</v>
      </c>
      <c r="AC19" s="46"/>
      <c r="AE19" s="1" t="s">
        <v>36</v>
      </c>
      <c r="AF19" s="1"/>
      <c r="AG19" s="75"/>
      <c r="AI19" s="17">
        <v>79</v>
      </c>
      <c r="AJ19" s="15" t="s">
        <v>13</v>
      </c>
      <c r="AK19" s="16">
        <f>R55</f>
        <v>14917.204166666665</v>
      </c>
      <c r="AL19" s="16"/>
      <c r="AO19" s="1" t="s">
        <v>26</v>
      </c>
      <c r="AP19" s="9">
        <f>SUM(AP11:AP18)</f>
        <v>96111.681249999994</v>
      </c>
      <c r="AR19" s="1" t="s">
        <v>36</v>
      </c>
      <c r="AS19" s="1"/>
    </row>
    <row r="20" spans="1:48" x14ac:dyDescent="0.25">
      <c r="B20" s="17">
        <v>4115</v>
      </c>
      <c r="C20" s="15" t="s">
        <v>130</v>
      </c>
      <c r="D20" s="16">
        <f>SUMIFS(Datos!$H$4:$H$34,Datos!$J$4:$J$34,Respuesta!B20)</f>
        <v>0</v>
      </c>
      <c r="E20" s="16">
        <f>SUMIFS(Datos!$I$4:$I$34,Datos!$J$4:$J$34,Respuesta!B20)</f>
        <v>7500</v>
      </c>
      <c r="F20" s="16"/>
      <c r="G20" s="16"/>
      <c r="J20" s="72">
        <v>40111</v>
      </c>
      <c r="K20" s="15" t="s">
        <v>129</v>
      </c>
      <c r="L20" s="16">
        <f>SUMIFS($D$5:$D$26,$B$5:$B$26,J20)</f>
        <v>0</v>
      </c>
      <c r="M20" s="16">
        <f>SUMIFS($E$5:$E$26,$B$5:$B$26,J20)</f>
        <v>5200</v>
      </c>
      <c r="N20" s="16">
        <f>SUMIFS($D$29:$D$179,$B$29:$B$179,J20)</f>
        <v>2502</v>
      </c>
      <c r="O20" s="16">
        <f>SUMIFS($E$29:$E$179,$B$29:$B$179,J20)</f>
        <v>3542.4</v>
      </c>
      <c r="P20" s="16">
        <f t="shared" si="4"/>
        <v>0</v>
      </c>
      <c r="Q20" s="16">
        <f t="shared" si="5"/>
        <v>6240.4</v>
      </c>
      <c r="R20" s="16"/>
      <c r="S20" s="16"/>
      <c r="T20" s="16">
        <f t="shared" si="6"/>
        <v>0</v>
      </c>
      <c r="U20" s="16">
        <f t="shared" si="7"/>
        <v>6240.4</v>
      </c>
      <c r="V20" s="16"/>
      <c r="W20" s="15"/>
      <c r="X20" s="16"/>
      <c r="Y20" s="15"/>
      <c r="AE20" t="s">
        <v>37</v>
      </c>
      <c r="AF20" s="5">
        <f>U32</f>
        <v>25000</v>
      </c>
      <c r="AG20" s="5"/>
      <c r="AI20" s="18" t="s">
        <v>65</v>
      </c>
      <c r="AJ20" s="15"/>
      <c r="AK20" s="16"/>
      <c r="AL20" s="16"/>
      <c r="AR20" t="s">
        <v>37</v>
      </c>
      <c r="AS20" s="5">
        <f t="shared" ref="AS20:AS21" si="13">AF20</f>
        <v>25000</v>
      </c>
    </row>
    <row r="21" spans="1:48" x14ac:dyDescent="0.25">
      <c r="B21" s="17">
        <v>4151</v>
      </c>
      <c r="C21" s="15" t="s">
        <v>131</v>
      </c>
      <c r="D21" s="16">
        <f>SUMIFS(Datos!$H$4:$H$34,Datos!$J$4:$J$34,Respuesta!B21)</f>
        <v>0</v>
      </c>
      <c r="E21" s="16">
        <f>SUMIFS(Datos!$I$4:$I$34,Datos!$J$4:$J$34,Respuesta!B21)</f>
        <v>2000</v>
      </c>
      <c r="F21" s="16"/>
      <c r="G21" s="16"/>
      <c r="J21" s="72">
        <v>40171</v>
      </c>
      <c r="K21" s="15" t="s">
        <v>7</v>
      </c>
      <c r="L21" s="16">
        <f>SUMIFS($D$5:$D$26,$B$5:$B$26,J21)</f>
        <v>0</v>
      </c>
      <c r="M21" s="16">
        <f>SUMIFS($E$5:$E$26,$B$5:$B$26,J21)</f>
        <v>6000</v>
      </c>
      <c r="N21" s="16">
        <f>SUMIFS($D$29:$D$301,$B$29:$B$301,J21)</f>
        <v>0</v>
      </c>
      <c r="O21" s="16">
        <f>SUMIFS($E$29:$E$301,$B$29:$B$301,J21)</f>
        <v>328.2</v>
      </c>
      <c r="P21" s="16">
        <f t="shared" si="4"/>
        <v>0</v>
      </c>
      <c r="Q21" s="16">
        <f t="shared" si="5"/>
        <v>6328.2</v>
      </c>
      <c r="R21" s="16">
        <f>S27</f>
        <v>0</v>
      </c>
      <c r="S21" s="16"/>
      <c r="T21" s="16">
        <f t="shared" si="6"/>
        <v>0</v>
      </c>
      <c r="U21" s="16">
        <f t="shared" si="7"/>
        <v>6328.2</v>
      </c>
      <c r="V21" s="16"/>
      <c r="W21" s="15"/>
      <c r="X21" s="16"/>
      <c r="Y21" s="15"/>
      <c r="AA21" s="1" t="s">
        <v>290</v>
      </c>
      <c r="AE21" t="s">
        <v>8</v>
      </c>
      <c r="AF21" s="5">
        <f>U33</f>
        <v>14000</v>
      </c>
      <c r="AG21" s="5"/>
      <c r="AI21"/>
      <c r="AO21" s="1" t="s">
        <v>27</v>
      </c>
      <c r="AR21" t="s">
        <v>8</v>
      </c>
      <c r="AS21" s="5">
        <f t="shared" si="13"/>
        <v>14000</v>
      </c>
    </row>
    <row r="22" spans="1:48" ht="15.75" customHeight="1" thickBot="1" x14ac:dyDescent="0.3">
      <c r="B22" s="17">
        <v>417</v>
      </c>
      <c r="C22" s="15" t="s">
        <v>151</v>
      </c>
      <c r="D22" s="16">
        <f>SUMIFS(Datos!$H$4:$H$34,Datos!$J$4:$J$34,Respuesta!B22)</f>
        <v>0</v>
      </c>
      <c r="E22" s="16">
        <f>SUMIFS(Datos!$I$4:$I$34,Datos!$J$4:$J$34,Respuesta!B22)</f>
        <v>800</v>
      </c>
      <c r="F22" s="16"/>
      <c r="G22" s="16"/>
      <c r="J22" s="72">
        <v>4031</v>
      </c>
      <c r="K22" s="15" t="s">
        <v>149</v>
      </c>
      <c r="L22" s="16">
        <f>SUMIFS($D$5:$D$26,$B$5:$B$26,J22)</f>
        <v>0</v>
      </c>
      <c r="M22" s="16">
        <f>SUMIFS($E$5:$E$26,$B$5:$B$26,J22)</f>
        <v>600</v>
      </c>
      <c r="N22" s="16">
        <f>SUMIFS($D$29:$D$301,$B$29:$B$301,J22)</f>
        <v>0</v>
      </c>
      <c r="O22" s="16">
        <f>SUMIFS($E$29:$E$301,$B$29:$B$301,J22)</f>
        <v>276.91875000000005</v>
      </c>
      <c r="P22" s="16">
        <f t="shared" si="4"/>
        <v>0</v>
      </c>
      <c r="Q22" s="16">
        <f t="shared" si="5"/>
        <v>876.91875000000005</v>
      </c>
      <c r="R22" s="16"/>
      <c r="S22" s="16"/>
      <c r="T22" s="16">
        <f t="shared" si="6"/>
        <v>0</v>
      </c>
      <c r="U22" s="16">
        <f t="shared" si="7"/>
        <v>876.91875000000005</v>
      </c>
      <c r="V22" s="16"/>
      <c r="W22" s="15"/>
      <c r="X22" s="16"/>
      <c r="Y22" s="15"/>
      <c r="AA22" t="s">
        <v>28</v>
      </c>
      <c r="AB22" s="5">
        <f>T12+T14+T15-U17-U18-U19</f>
        <v>16329</v>
      </c>
      <c r="AC22" s="77" t="s">
        <v>289</v>
      </c>
      <c r="AD22" s="77"/>
      <c r="AE22" t="s">
        <v>38</v>
      </c>
      <c r="AF22" s="33">
        <f>U60</f>
        <v>-6417.2041666666628</v>
      </c>
      <c r="AG22" s="33" t="s">
        <v>301</v>
      </c>
      <c r="AI22" s="17">
        <v>611</v>
      </c>
      <c r="AJ22" s="15" t="s">
        <v>10</v>
      </c>
      <c r="AK22" s="16">
        <f>R35</f>
        <v>11180</v>
      </c>
      <c r="AL22" s="16"/>
      <c r="AM22" s="73" t="s">
        <v>303</v>
      </c>
      <c r="AO22" t="s">
        <v>28</v>
      </c>
      <c r="AP22" s="5">
        <f t="shared" ref="AP22" si="14">AB22</f>
        <v>16329</v>
      </c>
      <c r="AR22" t="s">
        <v>38</v>
      </c>
      <c r="AS22" s="35">
        <f>AF22-AK11</f>
        <v>-4492.0429166666636</v>
      </c>
      <c r="AT22" s="93" t="s">
        <v>320</v>
      </c>
      <c r="AU22" s="93"/>
      <c r="AV22" s="93"/>
    </row>
    <row r="23" spans="1:48" ht="15" customHeight="1" x14ac:dyDescent="0.25">
      <c r="B23" s="17">
        <v>4212</v>
      </c>
      <c r="C23" s="15" t="s">
        <v>118</v>
      </c>
      <c r="D23" s="16">
        <f>SUMIFS(Datos!$H$4:$H$34,Datos!$J$4:$J$34,Respuesta!B23)</f>
        <v>0</v>
      </c>
      <c r="E23" s="16">
        <f>SUMIFS(Datos!$I$4:$I$34,Datos!$J$4:$J$34,Respuesta!B23)</f>
        <v>13550</v>
      </c>
      <c r="F23" s="16"/>
      <c r="G23" s="16"/>
      <c r="H23" s="57" t="s">
        <v>219</v>
      </c>
      <c r="I23" s="58"/>
      <c r="J23" s="72">
        <v>4111</v>
      </c>
      <c r="K23" s="15" t="s">
        <v>169</v>
      </c>
      <c r="L23" s="16">
        <f>SUMIFS($D$5:$D$26,$B$5:$B$26,J23)</f>
        <v>0</v>
      </c>
      <c r="M23" s="16">
        <f>SUMIFS($E$5:$E$26,$B$5:$B$26,J23)</f>
        <v>0</v>
      </c>
      <c r="N23" s="16">
        <f>SUMIFS($D$29:$D$301,$B$29:$B$301,J23)</f>
        <v>3230.71875</v>
      </c>
      <c r="O23" s="16">
        <f>SUMIFS($E$29:$E$301,$B$29:$B$301,J23)</f>
        <v>3230.71875</v>
      </c>
      <c r="P23" s="16">
        <f t="shared" si="4"/>
        <v>0</v>
      </c>
      <c r="Q23" s="16">
        <f t="shared" si="5"/>
        <v>0</v>
      </c>
      <c r="R23" s="16"/>
      <c r="S23" s="16"/>
      <c r="T23" s="16">
        <f t="shared" si="6"/>
        <v>0</v>
      </c>
      <c r="U23" s="16">
        <f t="shared" si="7"/>
        <v>0</v>
      </c>
      <c r="V23" s="16"/>
      <c r="W23" s="15"/>
      <c r="X23" s="16"/>
      <c r="Y23" s="15"/>
      <c r="AA23" s="1" t="s">
        <v>29</v>
      </c>
      <c r="AB23" s="9">
        <f>SUM(AB22)</f>
        <v>16329</v>
      </c>
      <c r="AC23" s="77"/>
      <c r="AD23" s="77"/>
      <c r="AE23" s="1" t="s">
        <v>39</v>
      </c>
      <c r="AF23" s="9">
        <f>SUM(AF20:AF22)</f>
        <v>32582.795833333337</v>
      </c>
      <c r="AG23" s="46"/>
      <c r="AI23" s="17">
        <v>691</v>
      </c>
      <c r="AJ23" s="15" t="s">
        <v>11</v>
      </c>
      <c r="AK23" s="16"/>
      <c r="AL23" s="16">
        <f>S52</f>
        <v>11180</v>
      </c>
      <c r="AO23" s="1" t="s">
        <v>29</v>
      </c>
      <c r="AP23" s="9">
        <f>SUM(AP22)</f>
        <v>16329</v>
      </c>
      <c r="AR23" s="1" t="s">
        <v>39</v>
      </c>
      <c r="AS23" s="9">
        <f>SUM(AS20:AS22)</f>
        <v>34507.957083333335</v>
      </c>
      <c r="AT23" s="93"/>
      <c r="AU23" s="93"/>
      <c r="AV23" s="93"/>
    </row>
    <row r="24" spans="1:48" ht="15" customHeight="1" x14ac:dyDescent="0.25">
      <c r="B24" s="17">
        <v>4511</v>
      </c>
      <c r="C24" s="15" t="s">
        <v>236</v>
      </c>
      <c r="D24" s="16">
        <f>SUMIFS(Datos!$H$4:$H$34,Datos!$J$4:$J$34,Respuesta!B24)</f>
        <v>0</v>
      </c>
      <c r="E24" s="16">
        <f>SUMIFS(Datos!$I$4:$I$34,Datos!$J$4:$J$34,Respuesta!B24)</f>
        <v>30000</v>
      </c>
      <c r="F24" s="16"/>
      <c r="G24" s="16"/>
      <c r="H24" s="57"/>
      <c r="I24" s="58"/>
      <c r="J24" s="72">
        <v>4511</v>
      </c>
      <c r="K24" s="15" t="s">
        <v>236</v>
      </c>
      <c r="L24" s="16">
        <f>SUMIFS($D$5:$D$26,$B$5:$B$26,J24)</f>
        <v>0</v>
      </c>
      <c r="M24" s="16">
        <f>SUMIFS($E$5:$E$26,$B$5:$B$26,J24)</f>
        <v>30000</v>
      </c>
      <c r="N24" s="16">
        <f>SUMIFS($D$29:$D$301,$B$29:$B$301,J24)</f>
        <v>0</v>
      </c>
      <c r="O24" s="16">
        <f>SUMIFS($E$29:$E$301,$B$29:$B$301,J24)</f>
        <v>0</v>
      </c>
      <c r="P24" s="16">
        <f t="shared" ref="P24" si="15">IF(L24-M24+N24-O24&gt;0,L24-M24+N24-O24,0)</f>
        <v>0</v>
      </c>
      <c r="Q24" s="16">
        <f t="shared" ref="Q24" si="16">IF(M24-L24+O24-N24&gt;0,M24-L24+O24-N24,0)</f>
        <v>30000</v>
      </c>
      <c r="R24" s="16"/>
      <c r="S24" s="16"/>
      <c r="T24" s="16">
        <f t="shared" ref="T24" si="17">IF(P24-Q24+R24-S24&gt;0,P24-Q24+R24-S24,0)</f>
        <v>0</v>
      </c>
      <c r="U24" s="16">
        <f t="shared" ref="U24" si="18">IF(Q24-P24+S24-R24&gt;0,Q24-P24+S24-R24,0)</f>
        <v>30000</v>
      </c>
      <c r="V24" s="16"/>
      <c r="W24" s="15"/>
      <c r="X24" s="16"/>
      <c r="Y24" s="15"/>
      <c r="AA24" s="1"/>
      <c r="AB24" s="46"/>
      <c r="AC24" s="77"/>
      <c r="AD24" s="77"/>
      <c r="AE24" s="1"/>
      <c r="AF24" s="46"/>
      <c r="AG24" s="46"/>
      <c r="AI24" s="17"/>
      <c r="AJ24" s="15"/>
      <c r="AK24" s="16"/>
      <c r="AL24" s="16"/>
      <c r="AO24" s="1"/>
      <c r="AP24" s="46"/>
      <c r="AR24" s="1"/>
      <c r="AS24" s="46"/>
    </row>
    <row r="25" spans="1:48" x14ac:dyDescent="0.25">
      <c r="B25" s="17">
        <v>5011</v>
      </c>
      <c r="C25" s="15" t="s">
        <v>124</v>
      </c>
      <c r="D25" s="16">
        <f>SUMIFS(Datos!$H$4:$H$34,Datos!$J$4:$J$34,Respuesta!B25)</f>
        <v>0</v>
      </c>
      <c r="E25" s="16">
        <f>SUMIFS(Datos!$I$4:$I$34,Datos!$J$4:$J$34,Respuesta!B25)</f>
        <v>25000</v>
      </c>
      <c r="F25" s="16"/>
      <c r="G25" s="16"/>
      <c r="H25" s="57"/>
      <c r="I25" s="58"/>
      <c r="J25" s="72">
        <v>4114</v>
      </c>
      <c r="K25" s="15" t="s">
        <v>172</v>
      </c>
      <c r="L25" s="16">
        <f>SUMIFS($D$5:$D$26,$B$5:$B$26,J25)</f>
        <v>0</v>
      </c>
      <c r="M25" s="16">
        <f>SUMIFS($E$5:$E$26,$B$5:$B$26,J25)</f>
        <v>0</v>
      </c>
      <c r="N25" s="16">
        <f>SUMIFS($D$29:$D$301,$B$29:$B$301,J25)</f>
        <v>0</v>
      </c>
      <c r="O25" s="16">
        <f>SUMIFS($E$29:$E$301,$B$29:$B$301,J25)</f>
        <v>683.75</v>
      </c>
      <c r="P25" s="16">
        <f t="shared" si="4"/>
        <v>0</v>
      </c>
      <c r="Q25" s="16">
        <f t="shared" si="5"/>
        <v>683.75</v>
      </c>
      <c r="R25" s="16"/>
      <c r="S25" s="16"/>
      <c r="T25" s="16">
        <f t="shared" si="6"/>
        <v>0</v>
      </c>
      <c r="U25" s="16">
        <f t="shared" si="7"/>
        <v>683.75</v>
      </c>
      <c r="V25" s="16"/>
      <c r="W25" s="15"/>
      <c r="X25" s="16"/>
      <c r="Y25" s="15"/>
      <c r="AI25" s="18" t="s">
        <v>66</v>
      </c>
      <c r="AJ25" s="15"/>
      <c r="AK25" s="16"/>
      <c r="AL25" s="16"/>
    </row>
    <row r="26" spans="1:48" ht="15.75" thickBot="1" x14ac:dyDescent="0.3">
      <c r="B26" s="17">
        <v>5911</v>
      </c>
      <c r="C26" s="15" t="s">
        <v>8</v>
      </c>
      <c r="D26" s="16">
        <f>SUMIFS(Datos!$H$4:$H$34,Datos!$J$4:$J$34,Respuesta!B26)</f>
        <v>0</v>
      </c>
      <c r="E26" s="16">
        <f>SUMIFS(Datos!$I$4:$I$34,Datos!$J$4:$J$34,Respuesta!B26)</f>
        <v>14000</v>
      </c>
      <c r="F26" s="16"/>
      <c r="G26" s="16"/>
      <c r="H26" s="57"/>
      <c r="I26" s="58"/>
      <c r="J26" s="72">
        <v>4115</v>
      </c>
      <c r="K26" s="15" t="s">
        <v>130</v>
      </c>
      <c r="L26" s="16">
        <f>SUMIFS($D$5:$D$26,$B$5:$B$26,J26)</f>
        <v>0</v>
      </c>
      <c r="M26" s="16">
        <f>SUMIFS($E$5:$E$26,$B$5:$B$26,J26)</f>
        <v>7500</v>
      </c>
      <c r="N26" s="16">
        <f>SUMIFS($D$29:$D$301,$B$29:$B$301,J26)</f>
        <v>0</v>
      </c>
      <c r="O26" s="16">
        <f>SUMIFS($E$29:$E$301,$B$29:$B$301,J26)</f>
        <v>341.875</v>
      </c>
      <c r="P26" s="16">
        <f t="shared" si="4"/>
        <v>0</v>
      </c>
      <c r="Q26" s="16">
        <f t="shared" si="5"/>
        <v>7841.875</v>
      </c>
      <c r="R26" s="16"/>
      <c r="S26" s="16"/>
      <c r="T26" s="16">
        <f t="shared" si="6"/>
        <v>0</v>
      </c>
      <c r="U26" s="16">
        <f t="shared" si="7"/>
        <v>7841.875</v>
      </c>
      <c r="V26" s="16"/>
      <c r="W26" s="15"/>
      <c r="X26" s="16"/>
      <c r="Y26" s="15"/>
      <c r="AA26" s="1" t="s">
        <v>30</v>
      </c>
      <c r="AB26" s="10">
        <f>AB19+AB23</f>
        <v>112440.68124999999</v>
      </c>
      <c r="AC26" s="46"/>
      <c r="AE26" s="1" t="s">
        <v>40</v>
      </c>
      <c r="AF26" s="10">
        <f>AF17+AF23</f>
        <v>81471.456250000003</v>
      </c>
      <c r="AG26" s="46"/>
      <c r="AI26"/>
      <c r="AO26" s="1" t="s">
        <v>30</v>
      </c>
      <c r="AP26" s="10">
        <f>AP19+AP23</f>
        <v>112440.68124999999</v>
      </c>
      <c r="AR26" s="1" t="s">
        <v>40</v>
      </c>
      <c r="AS26" s="10">
        <f>AS17+AS23</f>
        <v>81471.456250000003</v>
      </c>
    </row>
    <row r="27" spans="1:48" ht="15.75" thickTop="1" x14ac:dyDescent="0.25">
      <c r="B27" s="18" t="s">
        <v>47</v>
      </c>
      <c r="C27" s="15"/>
      <c r="D27" s="16"/>
      <c r="E27" s="16"/>
      <c r="F27" s="16"/>
      <c r="G27" s="16"/>
      <c r="H27" s="57"/>
      <c r="I27" s="58"/>
      <c r="J27" s="72">
        <v>4151</v>
      </c>
      <c r="K27" s="15" t="s">
        <v>131</v>
      </c>
      <c r="L27" s="16">
        <f>SUMIFS($D$5:$D$26,$B$5:$B$26,J27)</f>
        <v>0</v>
      </c>
      <c r="M27" s="16">
        <f>SUMIFS($E$5:$E$26,$B$5:$B$26,J27)</f>
        <v>2000</v>
      </c>
      <c r="N27" s="16">
        <f>SUMIFS($D$29:$D$301,$B$29:$B$301,J27)</f>
        <v>0</v>
      </c>
      <c r="O27" s="16">
        <f>SUMIFS($E$29:$E$301,$B$29:$B$301,J27)</f>
        <v>398.85416666666669</v>
      </c>
      <c r="P27" s="16">
        <f t="shared" si="4"/>
        <v>0</v>
      </c>
      <c r="Q27" s="16">
        <f t="shared" si="5"/>
        <v>2398.8541666666665</v>
      </c>
      <c r="R27" s="16"/>
      <c r="S27" s="16">
        <f>P27</f>
        <v>0</v>
      </c>
      <c r="T27" s="16">
        <f t="shared" si="6"/>
        <v>0</v>
      </c>
      <c r="U27" s="16">
        <f t="shared" si="7"/>
        <v>2398.8541666666665</v>
      </c>
      <c r="V27" s="16"/>
      <c r="W27" s="15"/>
      <c r="X27" s="16">
        <f>P27</f>
        <v>0</v>
      </c>
      <c r="Y27" s="15"/>
      <c r="AI27" s="17">
        <v>801</v>
      </c>
      <c r="AJ27" s="15" t="s">
        <v>67</v>
      </c>
      <c r="AK27" s="16"/>
      <c r="AL27" s="16">
        <f>AK28-AL29-AL30</f>
        <v>8500</v>
      </c>
    </row>
    <row r="28" spans="1:48" x14ac:dyDescent="0.25">
      <c r="D28" s="5"/>
      <c r="E28" s="5"/>
      <c r="F28" s="5"/>
      <c r="G28" s="5"/>
      <c r="J28" s="72">
        <v>417</v>
      </c>
      <c r="K28" s="15" t="s">
        <v>151</v>
      </c>
      <c r="L28" s="16">
        <f>SUMIFS($D$5:$D$26,$B$5:$B$26,J28)</f>
        <v>0</v>
      </c>
      <c r="M28" s="16">
        <f>SUMIFS($E$5:$E$26,$B$5:$B$26,J28)</f>
        <v>800</v>
      </c>
      <c r="N28" s="16">
        <f>SUMIFS($D$29:$D$301,$B$29:$B$301,J28)</f>
        <v>0</v>
      </c>
      <c r="O28" s="16">
        <f>SUMIFS($E$29:$E$301,$B$29:$B$301,J28)</f>
        <v>543.58124999999995</v>
      </c>
      <c r="P28" s="16">
        <f t="shared" si="4"/>
        <v>0</v>
      </c>
      <c r="Q28" s="16">
        <f t="shared" si="5"/>
        <v>1343.58125</v>
      </c>
      <c r="R28" s="16"/>
      <c r="S28" s="16"/>
      <c r="T28" s="16">
        <f t="shared" si="6"/>
        <v>0</v>
      </c>
      <c r="U28" s="16">
        <f t="shared" si="7"/>
        <v>1343.58125</v>
      </c>
      <c r="V28" s="16"/>
      <c r="W28" s="15"/>
      <c r="X28" s="16"/>
      <c r="Y28" s="15"/>
      <c r="AI28" s="17">
        <v>701</v>
      </c>
      <c r="AJ28" s="15" t="s">
        <v>2</v>
      </c>
      <c r="AK28" s="16">
        <f>W53</f>
        <v>19680</v>
      </c>
      <c r="AL28" s="16"/>
      <c r="AM28" t="s">
        <v>327</v>
      </c>
    </row>
    <row r="29" spans="1:48" x14ac:dyDescent="0.25">
      <c r="B29" s="17">
        <v>6011</v>
      </c>
      <c r="C29" s="15" t="s">
        <v>6</v>
      </c>
      <c r="D29" s="16">
        <f>Datos!F41+Datos!F42</f>
        <v>7200</v>
      </c>
      <c r="E29" s="16"/>
      <c r="F29" s="16"/>
      <c r="G29" s="16"/>
      <c r="H29" s="57" t="s">
        <v>220</v>
      </c>
      <c r="I29" s="58"/>
      <c r="J29" s="72">
        <v>4212</v>
      </c>
      <c r="K29" s="15" t="s">
        <v>118</v>
      </c>
      <c r="L29" s="16">
        <f>SUMIFS($D$5:$D$26,$B$5:$B$26,J29)</f>
        <v>0</v>
      </c>
      <c r="M29" s="16">
        <f>SUMIFS($E$5:$E$26,$B$5:$B$26,J29)</f>
        <v>13550</v>
      </c>
      <c r="N29" s="16">
        <f>SUMIFS($D$29:$D$301,$B$29:$B$301,J29)</f>
        <v>5900</v>
      </c>
      <c r="O29" s="16">
        <f>SUMIFS($E$29:$E$301,$B$29:$B$301,J29)</f>
        <v>16402</v>
      </c>
      <c r="P29" s="16">
        <f t="shared" si="4"/>
        <v>0</v>
      </c>
      <c r="Q29" s="16">
        <f t="shared" si="5"/>
        <v>24052</v>
      </c>
      <c r="R29" s="16"/>
      <c r="S29" s="16"/>
      <c r="T29" s="16">
        <f t="shared" si="6"/>
        <v>0</v>
      </c>
      <c r="U29" s="16">
        <f t="shared" si="7"/>
        <v>24052</v>
      </c>
      <c r="V29" s="16"/>
      <c r="W29" s="15"/>
      <c r="X29" s="16"/>
      <c r="Y29" s="15"/>
      <c r="AI29" s="17">
        <v>601</v>
      </c>
      <c r="AJ29" s="15" t="s">
        <v>6</v>
      </c>
      <c r="AK29" s="16"/>
      <c r="AL29" s="16">
        <f>V34</f>
        <v>7200</v>
      </c>
    </row>
    <row r="30" spans="1:48" ht="15" customHeight="1" x14ac:dyDescent="0.25">
      <c r="B30" s="17">
        <v>40111</v>
      </c>
      <c r="C30" s="15" t="s">
        <v>129</v>
      </c>
      <c r="D30" s="16">
        <f>D29*0.18</f>
        <v>1296</v>
      </c>
      <c r="E30" s="16"/>
      <c r="F30" s="16"/>
      <c r="G30" s="16"/>
      <c r="H30" s="57"/>
      <c r="I30" s="58"/>
      <c r="J30" s="72">
        <v>404</v>
      </c>
      <c r="K30" s="15" t="s">
        <v>280</v>
      </c>
      <c r="L30" s="16">
        <f>SUMIFS($D$5:$D$26,$B$5:$B$26,J30)</f>
        <v>0</v>
      </c>
      <c r="M30" s="16">
        <f>SUMIFS($E$5:$E$26,$B$5:$B$26,J30)</f>
        <v>0</v>
      </c>
      <c r="N30" s="16">
        <f>SUMIFS($D$29:$D$301,$B$29:$B$301,J30)</f>
        <v>0</v>
      </c>
      <c r="O30" s="16">
        <f>SUMIFS($E$29:$E$301,$B$29:$B$301,J30)</f>
        <v>92.306249999999991</v>
      </c>
      <c r="P30" s="16">
        <f t="shared" si="4"/>
        <v>0</v>
      </c>
      <c r="Q30" s="16">
        <f t="shared" si="5"/>
        <v>92.306249999999991</v>
      </c>
      <c r="R30" s="16"/>
      <c r="S30" s="16"/>
      <c r="T30" s="16">
        <f t="shared" si="6"/>
        <v>0</v>
      </c>
      <c r="U30" s="16">
        <f t="shared" si="7"/>
        <v>92.306249999999991</v>
      </c>
      <c r="V30" s="16"/>
      <c r="W30" s="15"/>
      <c r="X30" s="16"/>
      <c r="Y30" s="15"/>
      <c r="AI30" s="17">
        <v>611</v>
      </c>
      <c r="AJ30" s="15" t="s">
        <v>10</v>
      </c>
      <c r="AK30" s="16"/>
      <c r="AL30" s="16">
        <f>V35</f>
        <v>3980</v>
      </c>
    </row>
    <row r="31" spans="1:48" x14ac:dyDescent="0.25">
      <c r="B31" s="17">
        <v>4212</v>
      </c>
      <c r="C31" s="15" t="s">
        <v>118</v>
      </c>
      <c r="D31" s="16"/>
      <c r="E31" s="16">
        <f>SUM(D29:D30)</f>
        <v>8496</v>
      </c>
      <c r="F31" s="16"/>
      <c r="G31" s="16"/>
      <c r="H31" s="57"/>
      <c r="I31" s="58"/>
      <c r="J31" s="17">
        <v>4654</v>
      </c>
      <c r="K31" s="15" t="s">
        <v>143</v>
      </c>
      <c r="L31" s="16">
        <f>SUMIFS($D$5:$D$26,$B$5:$B$26,J31)</f>
        <v>0</v>
      </c>
      <c r="M31" s="16">
        <f>SUMIFS($E$5:$E$26,$B$5:$B$26,J31)</f>
        <v>0</v>
      </c>
      <c r="N31" s="16">
        <f>SUMIFS($D$29:$D$301,$B$29:$B$301,J31)</f>
        <v>0</v>
      </c>
      <c r="O31" s="16">
        <f>SUMIFS($E$29:$E$301,$B$29:$B$301,J31)</f>
        <v>0</v>
      </c>
      <c r="P31" s="16">
        <f t="shared" si="4"/>
        <v>0</v>
      </c>
      <c r="Q31" s="16">
        <f t="shared" si="5"/>
        <v>0</v>
      </c>
      <c r="R31" s="16"/>
      <c r="S31" s="16"/>
      <c r="T31" s="16">
        <f t="shared" si="6"/>
        <v>0</v>
      </c>
      <c r="U31" s="16">
        <f t="shared" si="7"/>
        <v>0</v>
      </c>
      <c r="V31" s="16"/>
      <c r="W31" s="15"/>
      <c r="X31" s="16"/>
      <c r="Y31" s="15"/>
      <c r="AA31" s="1" t="s">
        <v>41</v>
      </c>
      <c r="AB31" s="1"/>
      <c r="AC31" s="75"/>
      <c r="AI31" s="18" t="s">
        <v>71</v>
      </c>
      <c r="AJ31" s="15"/>
      <c r="AK31" s="16"/>
      <c r="AL31" s="16"/>
      <c r="AO31" s="1" t="s">
        <v>322</v>
      </c>
      <c r="AP31" s="1"/>
    </row>
    <row r="32" spans="1:48" x14ac:dyDescent="0.25">
      <c r="A32" s="2">
        <v>1</v>
      </c>
      <c r="B32" s="18" t="s">
        <v>48</v>
      </c>
      <c r="C32" s="15"/>
      <c r="D32" s="16"/>
      <c r="E32" s="16"/>
      <c r="F32" s="16"/>
      <c r="G32" s="16"/>
      <c r="H32" s="57"/>
      <c r="I32" s="58"/>
      <c r="J32" s="72">
        <v>5011</v>
      </c>
      <c r="K32" s="15" t="s">
        <v>124</v>
      </c>
      <c r="L32" s="16">
        <f>SUMIFS($D$5:$D$26,$B$5:$B$26,J32)</f>
        <v>0</v>
      </c>
      <c r="M32" s="16">
        <f>SUMIFS($E$5:$E$26,$B$5:$B$26,J32)</f>
        <v>25000</v>
      </c>
      <c r="N32" s="16">
        <f>SUMIFS($D$29:$D$301,$B$29:$B$301,J32)</f>
        <v>0</v>
      </c>
      <c r="O32" s="16">
        <f>SUMIFS($E$29:$E$301,$B$29:$B$301,J32)</f>
        <v>0</v>
      </c>
      <c r="P32" s="16">
        <f t="shared" si="4"/>
        <v>0</v>
      </c>
      <c r="Q32" s="16">
        <f t="shared" si="5"/>
        <v>25000</v>
      </c>
      <c r="R32" s="16"/>
      <c r="S32" s="16"/>
      <c r="T32" s="16">
        <f t="shared" si="6"/>
        <v>0</v>
      </c>
      <c r="U32" s="16">
        <f t="shared" si="7"/>
        <v>25000</v>
      </c>
      <c r="V32" s="16"/>
      <c r="W32" s="15"/>
      <c r="X32" s="16"/>
      <c r="Y32" s="15"/>
      <c r="AA32" t="s">
        <v>60</v>
      </c>
      <c r="AI32"/>
      <c r="AO32" t="s">
        <v>60</v>
      </c>
    </row>
    <row r="33" spans="1:43" x14ac:dyDescent="0.25">
      <c r="A33" s="2"/>
      <c r="D33" s="5"/>
      <c r="E33" s="5"/>
      <c r="F33" s="5"/>
      <c r="G33" s="5"/>
      <c r="J33" s="72">
        <v>5911</v>
      </c>
      <c r="K33" s="15" t="s">
        <v>8</v>
      </c>
      <c r="L33" s="16">
        <f>SUMIFS($D$5:$D$26,$B$5:$B$26,J33)</f>
        <v>0</v>
      </c>
      <c r="M33" s="16">
        <f>SUMIFS($E$5:$E$26,$B$5:$B$26,J33)</f>
        <v>14000</v>
      </c>
      <c r="N33" s="16">
        <f>SUMIFS($D$29:$D$301,$B$29:$B$301,J33)</f>
        <v>0</v>
      </c>
      <c r="O33" s="16">
        <f>SUMIFS($E$29:$E$301,$B$29:$B$301,J33)</f>
        <v>0</v>
      </c>
      <c r="P33" s="16">
        <f t="shared" si="4"/>
        <v>0</v>
      </c>
      <c r="Q33" s="16">
        <f t="shared" si="5"/>
        <v>14000</v>
      </c>
      <c r="R33" s="16"/>
      <c r="S33" s="16"/>
      <c r="T33" s="16">
        <f t="shared" si="6"/>
        <v>0</v>
      </c>
      <c r="U33" s="16">
        <f t="shared" si="7"/>
        <v>14000</v>
      </c>
      <c r="V33" s="16"/>
      <c r="W33" s="15"/>
      <c r="X33" s="16"/>
      <c r="Y33" s="15"/>
      <c r="AA33" t="s">
        <v>58</v>
      </c>
      <c r="AI33" s="17">
        <v>821</v>
      </c>
      <c r="AJ33" s="15" t="s">
        <v>68</v>
      </c>
      <c r="AK33" s="16"/>
      <c r="AL33" s="16">
        <f>AK34-AL35-AL36-AL37-AL38</f>
        <v>2900</v>
      </c>
      <c r="AM33" s="59" t="s">
        <v>306</v>
      </c>
      <c r="AN33" s="89"/>
      <c r="AO33" t="s">
        <v>58</v>
      </c>
    </row>
    <row r="34" spans="1:43" x14ac:dyDescent="0.25">
      <c r="A34" s="2"/>
      <c r="B34" s="84">
        <v>20111</v>
      </c>
      <c r="C34" s="85" t="s">
        <v>99</v>
      </c>
      <c r="D34" s="86">
        <f>D29</f>
        <v>7200</v>
      </c>
      <c r="E34" s="16"/>
      <c r="F34" s="16"/>
      <c r="G34" s="16"/>
      <c r="J34" s="72">
        <v>6011</v>
      </c>
      <c r="K34" s="15" t="s">
        <v>6</v>
      </c>
      <c r="L34" s="16">
        <f>SUMIFS($D$5:$D$26,$B$5:$B$26,J34)</f>
        <v>0</v>
      </c>
      <c r="M34" s="16">
        <f>SUMIFS($E$5:$E$26,$B$5:$B$26,J34)</f>
        <v>0</v>
      </c>
      <c r="N34" s="16">
        <f>SUMIFS($D$29:$D$301,$B$29:$B$301,J34)</f>
        <v>7200</v>
      </c>
      <c r="O34" s="16">
        <f>SUMIFS($E$29:$E$301,$B$29:$B$301,J34)</f>
        <v>0</v>
      </c>
      <c r="P34" s="16">
        <f t="shared" si="4"/>
        <v>7200</v>
      </c>
      <c r="Q34" s="16">
        <f t="shared" si="5"/>
        <v>0</v>
      </c>
      <c r="R34" s="16"/>
      <c r="S34" s="16"/>
      <c r="T34" s="16"/>
      <c r="U34" s="16"/>
      <c r="V34" s="16">
        <f>IF(P34-Q34+R34-S34&gt;0,P34-Q34+R34-S34,0)</f>
        <v>7200</v>
      </c>
      <c r="W34" s="16">
        <f>IF(Q34-P34+S34-R34&gt;0,Q34-P34+S34-R34,0)</f>
        <v>0</v>
      </c>
      <c r="X34" s="16"/>
      <c r="Y34" s="16"/>
      <c r="AI34" s="17">
        <v>801</v>
      </c>
      <c r="AJ34" s="15" t="s">
        <v>67</v>
      </c>
      <c r="AK34" s="16">
        <f>AL27</f>
        <v>8500</v>
      </c>
      <c r="AL34" s="16"/>
      <c r="AM34" s="73" t="s">
        <v>304</v>
      </c>
    </row>
    <row r="35" spans="1:43" x14ac:dyDescent="0.25">
      <c r="A35" s="2"/>
      <c r="B35" s="17">
        <v>6111</v>
      </c>
      <c r="C35" s="15" t="s">
        <v>10</v>
      </c>
      <c r="D35" s="16"/>
      <c r="E35" s="16">
        <f>D34</f>
        <v>7200</v>
      </c>
      <c r="F35" s="16"/>
      <c r="G35" s="16"/>
      <c r="J35" s="72">
        <v>6111</v>
      </c>
      <c r="K35" s="15" t="s">
        <v>10</v>
      </c>
      <c r="L35" s="16">
        <f>SUMIFS($D$5:$D$26,$B$5:$B$26,J35)</f>
        <v>0</v>
      </c>
      <c r="M35" s="16">
        <f>SUMIFS($E$5:$E$26,$B$5:$B$26,J35)</f>
        <v>0</v>
      </c>
      <c r="N35" s="16">
        <f>SUMIFS($D$29:$D$301,$B$29:$B$301,J35)</f>
        <v>0</v>
      </c>
      <c r="O35" s="16">
        <f>SUMIFS($E$29:$E$301,$B$29:$B$301,J35)</f>
        <v>7200</v>
      </c>
      <c r="P35" s="16">
        <f t="shared" si="4"/>
        <v>0</v>
      </c>
      <c r="Q35" s="16">
        <f t="shared" si="5"/>
        <v>7200</v>
      </c>
      <c r="R35" s="16">
        <f>S52</f>
        <v>11180</v>
      </c>
      <c r="S35" s="16"/>
      <c r="T35" s="16"/>
      <c r="U35" s="15"/>
      <c r="V35" s="16">
        <f t="shared" ref="V35:V57" si="19">IF(P35-Q35+R35-S35&gt;0,P35-Q35+R35-S35,0)</f>
        <v>3980</v>
      </c>
      <c r="W35" s="16">
        <f t="shared" ref="W35:W57" si="20">IF(Q35-P35+S35-R35&gt;0,Q35-P35+S35-R35,0)</f>
        <v>0</v>
      </c>
      <c r="X35" s="16"/>
      <c r="Y35" s="15"/>
      <c r="AI35" s="17">
        <v>6352</v>
      </c>
      <c r="AJ35" s="15" t="s">
        <v>152</v>
      </c>
      <c r="AK35" s="16"/>
      <c r="AL35" s="16">
        <f>V41</f>
        <v>3500</v>
      </c>
      <c r="AM35" t="s">
        <v>305</v>
      </c>
    </row>
    <row r="36" spans="1:43" x14ac:dyDescent="0.25">
      <c r="A36" s="2">
        <v>1</v>
      </c>
      <c r="B36" s="18" t="s">
        <v>49</v>
      </c>
      <c r="C36" s="15"/>
      <c r="D36" s="16"/>
      <c r="E36" s="16"/>
      <c r="F36" s="16"/>
      <c r="G36" s="16"/>
      <c r="J36" s="72">
        <v>6211</v>
      </c>
      <c r="K36" s="15" t="s">
        <v>167</v>
      </c>
      <c r="L36" s="16">
        <f>SUMIFS($D$5:$D$26,$B$5:$B$26,J36)</f>
        <v>0</v>
      </c>
      <c r="M36" s="16">
        <f>SUMIFS($E$5:$E$26,$B$5:$B$26,J36)</f>
        <v>0</v>
      </c>
      <c r="N36" s="16">
        <f>SUMIFS($D$29:$D$301,$B$29:$B$301,J36)</f>
        <v>4102.5</v>
      </c>
      <c r="O36" s="16">
        <f>SUMIFS($E$29:$E$301,$B$29:$B$301,J36)</f>
        <v>0</v>
      </c>
      <c r="P36" s="16">
        <f t="shared" si="4"/>
        <v>4102.5</v>
      </c>
      <c r="Q36" s="16">
        <f t="shared" si="5"/>
        <v>0</v>
      </c>
      <c r="R36" s="16"/>
      <c r="S36" s="16"/>
      <c r="T36" s="16"/>
      <c r="U36" s="15"/>
      <c r="V36" s="16">
        <f t="shared" si="19"/>
        <v>4102.5</v>
      </c>
      <c r="W36" s="16">
        <f t="shared" si="20"/>
        <v>0</v>
      </c>
      <c r="X36" s="16"/>
      <c r="Y36" s="15"/>
      <c r="AA36" t="s">
        <v>42</v>
      </c>
      <c r="AB36" s="5">
        <f>Y53</f>
        <v>19680</v>
      </c>
      <c r="AC36" s="5" t="s">
        <v>294</v>
      </c>
      <c r="AI36" s="17">
        <v>6361</v>
      </c>
      <c r="AJ36" s="15" t="s">
        <v>14</v>
      </c>
      <c r="AK36" s="16"/>
      <c r="AL36" s="16">
        <f>V42</f>
        <v>450</v>
      </c>
      <c r="AO36" t="s">
        <v>42</v>
      </c>
      <c r="AP36" s="5">
        <f>AB36</f>
        <v>19680</v>
      </c>
    </row>
    <row r="37" spans="1:43" ht="15.75" thickBot="1" x14ac:dyDescent="0.3">
      <c r="A37" s="47"/>
      <c r="B37" s="48"/>
      <c r="C37" s="44"/>
      <c r="D37" s="45"/>
      <c r="E37" s="45"/>
      <c r="F37" s="45"/>
      <c r="G37" s="45"/>
      <c r="H37" s="44"/>
      <c r="I37" s="44"/>
      <c r="J37" s="72">
        <v>6214</v>
      </c>
      <c r="K37" s="15" t="s">
        <v>172</v>
      </c>
      <c r="L37" s="16">
        <f>SUMIFS($D$5:$D$26,$B$5:$B$26,J37)</f>
        <v>0</v>
      </c>
      <c r="M37" s="16">
        <f>SUMIFS($E$5:$E$26,$B$5:$B$26,J37)</f>
        <v>0</v>
      </c>
      <c r="N37" s="16">
        <f>SUMIFS($D$29:$D$301,$B$29:$B$301,J37)</f>
        <v>683.75</v>
      </c>
      <c r="O37" s="16">
        <f>SUMIFS($E$29:$E$301,$B$29:$B$301,J37)</f>
        <v>0</v>
      </c>
      <c r="P37" s="16">
        <f t="shared" si="4"/>
        <v>683.75</v>
      </c>
      <c r="Q37" s="16">
        <f t="shared" si="5"/>
        <v>0</v>
      </c>
      <c r="R37" s="16"/>
      <c r="S37" s="16"/>
      <c r="T37" s="16"/>
      <c r="U37" s="15"/>
      <c r="V37" s="16">
        <f t="shared" si="19"/>
        <v>683.75</v>
      </c>
      <c r="W37" s="16">
        <f t="shared" si="20"/>
        <v>0</v>
      </c>
      <c r="X37" s="16"/>
      <c r="Y37" s="15"/>
      <c r="AA37" t="s">
        <v>11</v>
      </c>
      <c r="AB37" s="5">
        <f>-X52</f>
        <v>-11180</v>
      </c>
      <c r="AC37" s="5" t="s">
        <v>295</v>
      </c>
      <c r="AI37" s="17">
        <v>6365</v>
      </c>
      <c r="AJ37" s="15" t="s">
        <v>156</v>
      </c>
      <c r="AK37" s="16"/>
      <c r="AL37" s="16">
        <f>V43</f>
        <v>650</v>
      </c>
      <c r="AO37" t="s">
        <v>11</v>
      </c>
      <c r="AP37" s="5">
        <f>AB37</f>
        <v>-11180</v>
      </c>
    </row>
    <row r="38" spans="1:43" ht="15" customHeight="1" x14ac:dyDescent="0.25">
      <c r="A38" s="47"/>
      <c r="B38" s="17">
        <v>1212</v>
      </c>
      <c r="C38" s="15" t="s">
        <v>95</v>
      </c>
      <c r="D38" s="16">
        <f>E40+E39</f>
        <v>23222.400000000001</v>
      </c>
      <c r="E38" s="16"/>
      <c r="F38" s="16"/>
      <c r="G38" s="16"/>
      <c r="H38" s="55" t="s">
        <v>245</v>
      </c>
      <c r="I38" s="56"/>
      <c r="J38" s="72">
        <v>6215</v>
      </c>
      <c r="K38" s="15" t="s">
        <v>114</v>
      </c>
      <c r="L38" s="16">
        <f>SUMIFS($D$5:$D$26,$B$5:$B$26,J38)</f>
        <v>0</v>
      </c>
      <c r="M38" s="16">
        <f>SUMIFS($E$5:$E$26,$B$5:$B$26,J38)</f>
        <v>0</v>
      </c>
      <c r="N38" s="16">
        <f>SUMIFS($D$29:$D$301,$B$29:$B$301,J38)</f>
        <v>341.875</v>
      </c>
      <c r="O38" s="16">
        <f>SUMIFS($E$29:$E$301,$B$29:$B$301,J38)</f>
        <v>0</v>
      </c>
      <c r="P38" s="16">
        <f t="shared" si="4"/>
        <v>341.875</v>
      </c>
      <c r="Q38" s="16">
        <f t="shared" si="5"/>
        <v>0</v>
      </c>
      <c r="R38" s="16"/>
      <c r="S38" s="16"/>
      <c r="T38" s="16"/>
      <c r="U38" s="15"/>
      <c r="V38" s="16">
        <f t="shared" si="19"/>
        <v>341.875</v>
      </c>
      <c r="W38" s="16">
        <f t="shared" si="20"/>
        <v>0</v>
      </c>
      <c r="X38" s="16"/>
      <c r="Y38" s="15"/>
      <c r="AA38" s="1" t="s">
        <v>43</v>
      </c>
      <c r="AB38" s="9">
        <f>SUM(AB36:AB37)</f>
        <v>8500</v>
      </c>
      <c r="AC38" s="46"/>
      <c r="AI38" s="17">
        <v>6391</v>
      </c>
      <c r="AJ38" s="15" t="s">
        <v>197</v>
      </c>
      <c r="AK38" s="16"/>
      <c r="AL38" s="16">
        <f>V44</f>
        <v>1000</v>
      </c>
      <c r="AO38" s="1" t="s">
        <v>43</v>
      </c>
      <c r="AP38" s="9">
        <f>SUM(AP36:AP37)</f>
        <v>8500</v>
      </c>
    </row>
    <row r="39" spans="1:43" x14ac:dyDescent="0.25">
      <c r="A39" s="47"/>
      <c r="B39" s="17">
        <v>40111</v>
      </c>
      <c r="C39" s="15" t="s">
        <v>129</v>
      </c>
      <c r="D39" s="16"/>
      <c r="E39" s="16">
        <f>E40*0.18</f>
        <v>3542.4</v>
      </c>
      <c r="F39" s="16"/>
      <c r="G39" s="16"/>
      <c r="H39" s="55"/>
      <c r="I39" s="56"/>
      <c r="J39" s="72">
        <v>6271</v>
      </c>
      <c r="K39" s="15" t="s">
        <v>168</v>
      </c>
      <c r="L39" s="16">
        <f>SUMIFS($D$5:$D$26,$B$5:$B$26,J39)</f>
        <v>0</v>
      </c>
      <c r="M39" s="16">
        <f>SUMIFS($E$5:$E$26,$B$5:$B$26,J39)</f>
        <v>0</v>
      </c>
      <c r="N39" s="16">
        <f>SUMIFS($D$29:$D$301,$B$29:$B$301,J39)</f>
        <v>276.91875000000005</v>
      </c>
      <c r="O39" s="16">
        <f>SUMIFS($E$29:$E$301,$B$29:$B$301,J39)</f>
        <v>0</v>
      </c>
      <c r="P39" s="16">
        <f t="shared" si="4"/>
        <v>276.91875000000005</v>
      </c>
      <c r="Q39" s="16">
        <f t="shared" si="5"/>
        <v>0</v>
      </c>
      <c r="R39" s="16"/>
      <c r="S39" s="16"/>
      <c r="T39" s="16"/>
      <c r="U39" s="15"/>
      <c r="V39" s="16">
        <f t="shared" si="19"/>
        <v>276.91875000000005</v>
      </c>
      <c r="W39" s="16">
        <f t="shared" si="20"/>
        <v>0</v>
      </c>
      <c r="X39" s="16"/>
      <c r="Y39" s="15"/>
      <c r="AA39" t="s">
        <v>44</v>
      </c>
      <c r="AB39" s="5">
        <f>-X56</f>
        <v>-7058.6020833333323</v>
      </c>
      <c r="AC39" s="5"/>
      <c r="AI39" s="18" t="s">
        <v>72</v>
      </c>
      <c r="AJ39" s="15"/>
      <c r="AK39" s="16"/>
      <c r="AL39" s="16"/>
      <c r="AO39" t="s">
        <v>44</v>
      </c>
      <c r="AP39" s="5">
        <f t="shared" ref="AP39:AP40" si="21">AB39</f>
        <v>-7058.6020833333323</v>
      </c>
    </row>
    <row r="40" spans="1:43" ht="15.75" thickBot="1" x14ac:dyDescent="0.3">
      <c r="A40" s="47"/>
      <c r="B40" s="17">
        <v>70111</v>
      </c>
      <c r="C40" s="15" t="s">
        <v>2</v>
      </c>
      <c r="D40" s="16"/>
      <c r="E40" s="16">
        <f>Datos!F53</f>
        <v>19680</v>
      </c>
      <c r="F40" s="16"/>
      <c r="G40" s="16"/>
      <c r="H40" s="55"/>
      <c r="I40" s="56"/>
      <c r="J40" s="72">
        <v>6291</v>
      </c>
      <c r="K40" s="15" t="s">
        <v>117</v>
      </c>
      <c r="L40" s="16">
        <f>SUMIFS($D$5:$D$26,$B$5:$B$26,J40)</f>
        <v>0</v>
      </c>
      <c r="M40" s="16">
        <f>SUMIFS($E$5:$E$26,$B$5:$B$26,J40)</f>
        <v>0</v>
      </c>
      <c r="N40" s="40">
        <f>SUMIFS($D$29:$D$301,$B$29:$B$301,J40)</f>
        <v>398.85416666666669</v>
      </c>
      <c r="O40" s="16">
        <f>SUMIFS($E$29:$E$301,$B$29:$B$301,J40)</f>
        <v>0</v>
      </c>
      <c r="P40" s="16">
        <f t="shared" si="4"/>
        <v>398.85416666666669</v>
      </c>
      <c r="Q40" s="16">
        <f t="shared" si="5"/>
        <v>0</v>
      </c>
      <c r="R40" s="16"/>
      <c r="S40" s="16"/>
      <c r="T40" s="16"/>
      <c r="U40" s="15"/>
      <c r="V40" s="16">
        <f t="shared" si="19"/>
        <v>398.85416666666669</v>
      </c>
      <c r="W40" s="16">
        <f t="shared" si="20"/>
        <v>0</v>
      </c>
      <c r="X40" s="16"/>
      <c r="Y40" s="15"/>
      <c r="AA40" t="s">
        <v>45</v>
      </c>
      <c r="AB40" s="5">
        <f>-X57</f>
        <v>-7858.6020833333323</v>
      </c>
      <c r="AC40" s="5"/>
      <c r="AI40"/>
      <c r="AO40" t="s">
        <v>45</v>
      </c>
      <c r="AP40" s="5">
        <f t="shared" si="21"/>
        <v>-7858.6020833333323</v>
      </c>
    </row>
    <row r="41" spans="1:43" x14ac:dyDescent="0.25">
      <c r="A41" s="47">
        <v>2</v>
      </c>
      <c r="B41" s="18" t="s">
        <v>50</v>
      </c>
      <c r="C41" s="15"/>
      <c r="D41" s="16"/>
      <c r="E41" s="16"/>
      <c r="F41" s="16"/>
      <c r="G41" s="16"/>
      <c r="H41" s="55"/>
      <c r="I41" s="56"/>
      <c r="J41" s="72">
        <v>6352</v>
      </c>
      <c r="K41" s="15" t="s">
        <v>152</v>
      </c>
      <c r="L41" s="16">
        <f>SUMIFS($D$5:$D$26,$B$5:$B$26,J41)</f>
        <v>0</v>
      </c>
      <c r="M41" s="16">
        <f>SUMIFS($E$5:$E$26,$B$5:$B$26,J41)</f>
        <v>0</v>
      </c>
      <c r="N41" s="16">
        <f>SUMIFS($D$29:$D$301,$B$29:$B$301,J41)</f>
        <v>3500</v>
      </c>
      <c r="O41" s="16">
        <f>SUMIFS($E$29:$E$301,$B$29:$B$301,J41)</f>
        <v>0</v>
      </c>
      <c r="P41" s="16">
        <f t="shared" si="4"/>
        <v>3500</v>
      </c>
      <c r="Q41" s="16">
        <f t="shared" si="5"/>
        <v>0</v>
      </c>
      <c r="R41" s="16"/>
      <c r="S41" s="16"/>
      <c r="T41" s="16"/>
      <c r="U41" s="15"/>
      <c r="V41" s="16">
        <f t="shared" si="19"/>
        <v>3500</v>
      </c>
      <c r="W41" s="16">
        <f t="shared" si="20"/>
        <v>0</v>
      </c>
      <c r="X41" s="16"/>
      <c r="Y41" s="15"/>
      <c r="AA41" s="1" t="s">
        <v>46</v>
      </c>
      <c r="AB41" s="9">
        <f>SUM(AB38:AB40)</f>
        <v>-6417.2041666666646</v>
      </c>
      <c r="AC41" s="46"/>
      <c r="AI41" s="17">
        <v>831</v>
      </c>
      <c r="AJ41" s="15" t="s">
        <v>69</v>
      </c>
      <c r="AK41" s="16"/>
      <c r="AL41" s="16">
        <f>AK42-AL43-AL44-AL45-AL46-AL47-AL48-AL49</f>
        <v>-4903.8979166666668</v>
      </c>
      <c r="AM41" t="s">
        <v>309</v>
      </c>
      <c r="AO41" s="1" t="s">
        <v>46</v>
      </c>
      <c r="AP41" s="9">
        <f>SUM(AP38:AP40)</f>
        <v>-6417.2041666666646</v>
      </c>
    </row>
    <row r="42" spans="1:43" ht="15.75" thickBot="1" x14ac:dyDescent="0.3">
      <c r="A42" s="47"/>
      <c r="B42" s="48"/>
      <c r="C42" s="44"/>
      <c r="D42" s="45"/>
      <c r="E42" s="45"/>
      <c r="F42" s="45"/>
      <c r="G42" s="45"/>
      <c r="H42" s="52"/>
      <c r="I42" s="52"/>
      <c r="J42" s="72">
        <v>6361</v>
      </c>
      <c r="K42" s="15" t="s">
        <v>14</v>
      </c>
      <c r="L42" s="16">
        <f>SUMIFS($D$5:$D$26,$B$5:$B$26,J42)</f>
        <v>0</v>
      </c>
      <c r="M42" s="16">
        <f>SUMIFS($E$5:$E$26,$B$5:$B$26,J42)</f>
        <v>0</v>
      </c>
      <c r="N42" s="16">
        <f>SUMIFS($D$29:$D$301,$B$29:$B$301,J42)</f>
        <v>450</v>
      </c>
      <c r="O42" s="16">
        <f>SUMIFS($E$29:$E$301,$B$29:$B$301,J42)</f>
        <v>0</v>
      </c>
      <c r="P42" s="16">
        <f t="shared" si="4"/>
        <v>450</v>
      </c>
      <c r="Q42" s="16">
        <f t="shared" si="5"/>
        <v>0</v>
      </c>
      <c r="R42" s="16"/>
      <c r="S42" s="16"/>
      <c r="T42" s="16"/>
      <c r="U42" s="15"/>
      <c r="V42" s="16">
        <f t="shared" si="19"/>
        <v>450</v>
      </c>
      <c r="W42" s="16">
        <f t="shared" si="20"/>
        <v>0</v>
      </c>
      <c r="X42" s="16"/>
      <c r="Y42" s="15"/>
      <c r="AA42" t="s">
        <v>205</v>
      </c>
      <c r="AB42" s="5">
        <f>-X48+Y54</f>
        <v>0</v>
      </c>
      <c r="AC42" s="5"/>
      <c r="AI42" s="17">
        <v>821</v>
      </c>
      <c r="AJ42" s="15" t="s">
        <v>68</v>
      </c>
      <c r="AK42" s="16">
        <f>AL33</f>
        <v>2900</v>
      </c>
      <c r="AL42" s="16"/>
      <c r="AM42" t="s">
        <v>307</v>
      </c>
      <c r="AO42" t="s">
        <v>205</v>
      </c>
      <c r="AP42" s="5">
        <f>AB42</f>
        <v>0</v>
      </c>
    </row>
    <row r="43" spans="1:43" x14ac:dyDescent="0.25">
      <c r="A43" s="47"/>
      <c r="B43" s="17">
        <v>69111</v>
      </c>
      <c r="C43" s="15" t="s">
        <v>11</v>
      </c>
      <c r="D43" s="16">
        <f>Datos!H53</f>
        <v>11180</v>
      </c>
      <c r="E43" s="16"/>
      <c r="F43" s="16"/>
      <c r="G43" s="16"/>
      <c r="H43" s="53" t="s">
        <v>246</v>
      </c>
      <c r="I43" s="54"/>
      <c r="J43" s="72">
        <v>6365</v>
      </c>
      <c r="K43" s="15" t="s">
        <v>156</v>
      </c>
      <c r="L43" s="16">
        <f>SUMIFS($D$5:$D$26,$B$5:$B$26,J43)</f>
        <v>0</v>
      </c>
      <c r="M43" s="16">
        <f>SUMIFS($E$5:$E$26,$B$5:$B$26,J43)</f>
        <v>0</v>
      </c>
      <c r="N43" s="16">
        <f>SUMIFS($D$29:$D$301,$B$29:$B$301,J43)</f>
        <v>650</v>
      </c>
      <c r="O43" s="16">
        <f>SUMIFS($E$29:$E$301,$B$29:$B$301,J43)</f>
        <v>0</v>
      </c>
      <c r="P43" s="16">
        <f t="shared" si="4"/>
        <v>650</v>
      </c>
      <c r="Q43" s="16">
        <f t="shared" si="5"/>
        <v>0</v>
      </c>
      <c r="R43" s="16"/>
      <c r="S43" s="16"/>
      <c r="T43" s="16"/>
      <c r="U43" s="15"/>
      <c r="V43" s="16">
        <f t="shared" si="19"/>
        <v>650</v>
      </c>
      <c r="W43" s="16">
        <f t="shared" si="20"/>
        <v>0</v>
      </c>
      <c r="X43" s="16"/>
      <c r="Y43" s="15"/>
      <c r="AA43" s="1" t="s">
        <v>209</v>
      </c>
      <c r="AB43" s="9">
        <f>SUM(AB41:AB42)</f>
        <v>-6417.2041666666646</v>
      </c>
      <c r="AC43" s="46"/>
      <c r="AI43" s="17">
        <v>62</v>
      </c>
      <c r="AJ43" s="15" t="s">
        <v>80</v>
      </c>
      <c r="AK43" s="16"/>
      <c r="AL43" s="16">
        <f>AK5</f>
        <v>0</v>
      </c>
      <c r="AO43" s="1" t="s">
        <v>209</v>
      </c>
      <c r="AP43" s="9">
        <f>SUM(AP41:AP42)</f>
        <v>-6417.2041666666646</v>
      </c>
    </row>
    <row r="44" spans="1:43" x14ac:dyDescent="0.25">
      <c r="A44" s="47"/>
      <c r="B44" s="84">
        <v>20111</v>
      </c>
      <c r="C44" s="85" t="s">
        <v>99</v>
      </c>
      <c r="D44" s="86"/>
      <c r="E44" s="86">
        <f>D43</f>
        <v>11180</v>
      </c>
      <c r="F44" s="16"/>
      <c r="G44" s="16"/>
      <c r="H44" s="53"/>
      <c r="I44" s="54"/>
      <c r="J44" s="72">
        <v>6391</v>
      </c>
      <c r="K44" s="15" t="s">
        <v>197</v>
      </c>
      <c r="L44" s="16">
        <f>SUMIFS($D$5:$D$26,$B$5:$B$26,J44)</f>
        <v>0</v>
      </c>
      <c r="M44" s="16">
        <f>SUMIFS($E$5:$E$26,$B$5:$B$26,J44)</f>
        <v>0</v>
      </c>
      <c r="N44" s="16">
        <f>SUMIFS($D$29:$D$301,$B$29:$B$301,J44)</f>
        <v>1000</v>
      </c>
      <c r="O44" s="16">
        <f>SUMIFS($E$29:$E$301,$B$29:$B$301,J44)</f>
        <v>0</v>
      </c>
      <c r="P44" s="16">
        <f t="shared" si="4"/>
        <v>1000</v>
      </c>
      <c r="Q44" s="16">
        <f t="shared" si="5"/>
        <v>0</v>
      </c>
      <c r="R44" s="16"/>
      <c r="S44" s="16"/>
      <c r="T44" s="16"/>
      <c r="U44" s="15"/>
      <c r="V44" s="16">
        <f t="shared" si="19"/>
        <v>1000</v>
      </c>
      <c r="W44" s="16">
        <f t="shared" si="20"/>
        <v>0</v>
      </c>
      <c r="X44" s="16"/>
      <c r="Y44" s="15"/>
      <c r="AA44" t="s">
        <v>7</v>
      </c>
      <c r="AB44" s="5"/>
      <c r="AC44" s="5"/>
      <c r="AI44" s="17">
        <v>6211</v>
      </c>
      <c r="AJ44" s="15" t="s">
        <v>167</v>
      </c>
      <c r="AK44" s="16"/>
      <c r="AL44" s="16">
        <f>V36</f>
        <v>4102.5</v>
      </c>
      <c r="AM44" t="s">
        <v>308</v>
      </c>
      <c r="AO44" t="s">
        <v>7</v>
      </c>
      <c r="AP44" s="5">
        <f>-AK11</f>
        <v>1925.1612499999987</v>
      </c>
      <c r="AQ44" t="s">
        <v>321</v>
      </c>
    </row>
    <row r="45" spans="1:43" ht="15.75" thickBot="1" x14ac:dyDescent="0.3">
      <c r="A45" s="47">
        <v>2</v>
      </c>
      <c r="B45" s="18" t="s">
        <v>51</v>
      </c>
      <c r="C45" s="15"/>
      <c r="D45" s="16"/>
      <c r="E45" s="16"/>
      <c r="F45" s="16"/>
      <c r="G45" s="16"/>
      <c r="H45" s="53"/>
      <c r="I45" s="54"/>
      <c r="J45" s="72">
        <v>6412</v>
      </c>
      <c r="K45" s="15" t="s">
        <v>194</v>
      </c>
      <c r="L45" s="16">
        <f>SUMIFS($D$5:$D$26,$B$5:$B$26,J45)</f>
        <v>0</v>
      </c>
      <c r="M45" s="16">
        <f>SUMIFS($E$5:$E$26,$B$5:$B$26,J45)</f>
        <v>0</v>
      </c>
      <c r="N45" s="16">
        <f>SUMIFS($D$29:$D$301,$B$29:$B$301,J45)</f>
        <v>2000</v>
      </c>
      <c r="O45" s="16">
        <f>SUMIFS($E$29:$E$301,$B$29:$B$301,J45)</f>
        <v>0</v>
      </c>
      <c r="P45" s="16">
        <f t="shared" si="4"/>
        <v>2000</v>
      </c>
      <c r="Q45" s="16">
        <f t="shared" si="5"/>
        <v>0</v>
      </c>
      <c r="R45" s="16"/>
      <c r="S45" s="16"/>
      <c r="T45" s="16"/>
      <c r="U45" s="15"/>
      <c r="V45" s="16">
        <f t="shared" si="19"/>
        <v>2000</v>
      </c>
      <c r="W45" s="16">
        <f t="shared" si="20"/>
        <v>0</v>
      </c>
      <c r="X45" s="16"/>
      <c r="Y45" s="15"/>
      <c r="AA45" s="1" t="s">
        <v>38</v>
      </c>
      <c r="AB45" s="32">
        <f>SUM(AB43:AB44)</f>
        <v>-6417.2041666666646</v>
      </c>
      <c r="AC45" s="76"/>
      <c r="AI45" s="17">
        <v>6214</v>
      </c>
      <c r="AJ45" s="15" t="s">
        <v>172</v>
      </c>
      <c r="AK45" s="16"/>
      <c r="AL45" s="16">
        <f>V37</f>
        <v>683.75</v>
      </c>
      <c r="AO45" s="1" t="s">
        <v>38</v>
      </c>
      <c r="AP45" s="34">
        <f>SUM(AP43:AP44)</f>
        <v>-4492.0429166666654</v>
      </c>
    </row>
    <row r="46" spans="1:43" ht="15.75" thickTop="1" x14ac:dyDescent="0.25">
      <c r="A46" s="47"/>
      <c r="D46" s="45"/>
      <c r="E46" s="45"/>
      <c r="F46" s="45"/>
      <c r="G46" s="45"/>
      <c r="H46" s="52"/>
      <c r="I46" s="52"/>
      <c r="J46" s="72">
        <v>651</v>
      </c>
      <c r="K46" s="15" t="s">
        <v>159</v>
      </c>
      <c r="L46" s="16">
        <f>SUMIFS($D$5:$D$26,$B$5:$B$26,J46)</f>
        <v>0</v>
      </c>
      <c r="M46" s="16">
        <f>SUMIFS($E$5:$E$26,$B$5:$B$26,J46)</f>
        <v>0</v>
      </c>
      <c r="N46" s="16">
        <f>SUMIFS($D$29:$D$301,$B$29:$B$301,J46)</f>
        <v>200</v>
      </c>
      <c r="O46" s="16">
        <f>SUMIFS($E$29:$E$301,$B$29:$B$301,J46)</f>
        <v>0</v>
      </c>
      <c r="P46" s="16">
        <f t="shared" si="4"/>
        <v>200</v>
      </c>
      <c r="Q46" s="16">
        <f t="shared" si="5"/>
        <v>0</v>
      </c>
      <c r="R46" s="16"/>
      <c r="S46" s="16"/>
      <c r="T46" s="16"/>
      <c r="U46" s="15"/>
      <c r="V46" s="16">
        <f t="shared" si="19"/>
        <v>200</v>
      </c>
      <c r="W46" s="16">
        <f t="shared" si="20"/>
        <v>0</v>
      </c>
      <c r="X46" s="16"/>
      <c r="Y46" s="15"/>
      <c r="AI46" s="17">
        <v>6215</v>
      </c>
      <c r="AJ46" s="15" t="s">
        <v>114</v>
      </c>
      <c r="AK46" s="16"/>
      <c r="AL46" s="16">
        <f>V38</f>
        <v>341.875</v>
      </c>
    </row>
    <row r="47" spans="1:43" x14ac:dyDescent="0.25">
      <c r="A47" s="47"/>
      <c r="B47" s="80">
        <v>10411</v>
      </c>
      <c r="C47" s="81" t="s">
        <v>94</v>
      </c>
      <c r="D47" s="82">
        <f>D38*0.8</f>
        <v>18577.920000000002</v>
      </c>
      <c r="E47" s="16"/>
      <c r="F47" s="16"/>
      <c r="G47" s="16"/>
      <c r="H47" s="55" t="s">
        <v>248</v>
      </c>
      <c r="I47" s="56"/>
      <c r="J47" s="72">
        <v>656</v>
      </c>
      <c r="K47" s="15" t="s">
        <v>176</v>
      </c>
      <c r="L47" s="16">
        <f>SUMIFS($D$5:$D$26,$B$5:$B$26,J47)</f>
        <v>0</v>
      </c>
      <c r="M47" s="16">
        <f>SUMIFS($E$5:$E$26,$B$5:$B$26,J47)</f>
        <v>0</v>
      </c>
      <c r="N47" s="16">
        <f>SUMIFS($D$29:$D$301,$B$29:$B$301,J47)</f>
        <v>300</v>
      </c>
      <c r="O47" s="16">
        <f>SUMIFS($E$29:$E$301,$B$29:$B$301,J47)</f>
        <v>0</v>
      </c>
      <c r="P47" s="16">
        <f t="shared" si="4"/>
        <v>300</v>
      </c>
      <c r="Q47" s="16">
        <f t="shared" si="5"/>
        <v>0</v>
      </c>
      <c r="R47" s="16"/>
      <c r="S47" s="16"/>
      <c r="T47" s="16"/>
      <c r="U47" s="15"/>
      <c r="V47" s="16">
        <f t="shared" si="19"/>
        <v>300</v>
      </c>
      <c r="W47" s="16">
        <f t="shared" si="20"/>
        <v>0</v>
      </c>
      <c r="X47" s="16"/>
      <c r="Y47" s="15"/>
      <c r="AI47" s="17">
        <v>6271</v>
      </c>
      <c r="AJ47" s="15" t="s">
        <v>168</v>
      </c>
      <c r="AK47" s="16"/>
      <c r="AL47" s="16">
        <f>V39</f>
        <v>276.91875000000005</v>
      </c>
    </row>
    <row r="48" spans="1:43" x14ac:dyDescent="0.25">
      <c r="A48" s="47"/>
      <c r="B48" s="17">
        <v>1212</v>
      </c>
      <c r="C48" s="15" t="s">
        <v>95</v>
      </c>
      <c r="D48" s="16"/>
      <c r="E48" s="16">
        <f>D47</f>
        <v>18577.920000000002</v>
      </c>
      <c r="F48" s="16"/>
      <c r="G48" s="16"/>
      <c r="H48" s="55"/>
      <c r="I48" s="56"/>
      <c r="J48" s="72">
        <v>6363</v>
      </c>
      <c r="K48" s="15" t="s">
        <v>256</v>
      </c>
      <c r="L48" s="16">
        <f>SUMIFS($D$5:$D$26,$B$5:$B$26,J48)</f>
        <v>0</v>
      </c>
      <c r="M48" s="16">
        <f>SUMIFS($E$5:$E$26,$B$5:$B$26,J48)</f>
        <v>0</v>
      </c>
      <c r="N48" s="16">
        <f>SUMIFS($D$29:$D$301,$B$29:$B$301,J48)</f>
        <v>600</v>
      </c>
      <c r="O48" s="16">
        <f>SUMIFS($E$29:$E$301,$B$29:$B$301,J48)</f>
        <v>0</v>
      </c>
      <c r="P48" s="16">
        <f t="shared" si="4"/>
        <v>600</v>
      </c>
      <c r="Q48" s="16">
        <f t="shared" si="5"/>
        <v>0</v>
      </c>
      <c r="R48" s="16"/>
      <c r="S48" s="16"/>
      <c r="T48" s="16"/>
      <c r="U48" s="15"/>
      <c r="V48" s="16">
        <f t="shared" si="19"/>
        <v>600</v>
      </c>
      <c r="W48" s="16">
        <f t="shared" si="20"/>
        <v>0</v>
      </c>
      <c r="X48" s="16"/>
      <c r="Y48" s="15"/>
      <c r="AI48" s="17">
        <v>6291</v>
      </c>
      <c r="AJ48" s="15" t="s">
        <v>117</v>
      </c>
      <c r="AK48" s="16"/>
      <c r="AL48" s="16">
        <f>V40</f>
        <v>398.85416666666669</v>
      </c>
    </row>
    <row r="49" spans="1:42" x14ac:dyDescent="0.25">
      <c r="A49" s="47">
        <v>2</v>
      </c>
      <c r="B49" s="18" t="s">
        <v>247</v>
      </c>
      <c r="C49" s="15"/>
      <c r="D49" s="16"/>
      <c r="E49" s="16"/>
      <c r="F49" s="16"/>
      <c r="G49" s="16"/>
      <c r="H49" s="55"/>
      <c r="I49" s="56"/>
      <c r="J49" s="72">
        <v>68413</v>
      </c>
      <c r="K49" s="15" t="s">
        <v>188</v>
      </c>
      <c r="L49" s="16">
        <f>SUMIFS($D$5:$D$26,$B$5:$B$26,J49)</f>
        <v>0</v>
      </c>
      <c r="M49" s="16">
        <f>SUMIFS($E$5:$E$26,$B$5:$B$26,J49)</f>
        <v>0</v>
      </c>
      <c r="N49" s="16">
        <f>SUMIFS($D$29:$D$301,$B$29:$B$301,J49)</f>
        <v>200</v>
      </c>
      <c r="O49" s="16">
        <f>SUMIFS($E$29:$E$301,$B$29:$B$301,J49)</f>
        <v>0</v>
      </c>
      <c r="P49" s="16">
        <f t="shared" si="4"/>
        <v>200</v>
      </c>
      <c r="Q49" s="16">
        <f t="shared" si="5"/>
        <v>0</v>
      </c>
      <c r="R49" s="16"/>
      <c r="S49" s="16"/>
      <c r="T49" s="16"/>
      <c r="U49" s="15"/>
      <c r="V49" s="16">
        <f t="shared" si="19"/>
        <v>200</v>
      </c>
      <c r="W49" s="16">
        <f t="shared" si="20"/>
        <v>0</v>
      </c>
      <c r="X49" s="16"/>
      <c r="Y49" s="15"/>
      <c r="AI49" s="17">
        <v>6412</v>
      </c>
      <c r="AJ49" s="15" t="s">
        <v>194</v>
      </c>
      <c r="AK49" s="16"/>
      <c r="AL49" s="16">
        <f>V45</f>
        <v>2000</v>
      </c>
    </row>
    <row r="50" spans="1:42" x14ac:dyDescent="0.25">
      <c r="A50" s="47"/>
      <c r="B50" s="48"/>
      <c r="C50" s="44"/>
      <c r="D50" s="45"/>
      <c r="E50" s="45"/>
      <c r="F50" s="45"/>
      <c r="G50" s="45"/>
      <c r="H50" s="44"/>
      <c r="I50" s="44"/>
      <c r="J50" s="72">
        <v>68414</v>
      </c>
      <c r="K50" s="15" t="s">
        <v>189</v>
      </c>
      <c r="L50" s="16">
        <f>SUMIFS($D$5:$D$26,$B$5:$B$26,J50)</f>
        <v>0</v>
      </c>
      <c r="M50" s="16">
        <f>SUMIFS($E$5:$E$26,$B$5:$B$26,J50)</f>
        <v>0</v>
      </c>
      <c r="N50" s="16">
        <f>SUMIFS($D$29:$D$301,$B$29:$B$301,J50)</f>
        <v>38</v>
      </c>
      <c r="O50" s="16">
        <f>SUMIFS($E$29:$E$301,$B$29:$B$301,J50)</f>
        <v>0</v>
      </c>
      <c r="P50" s="16">
        <f t="shared" si="4"/>
        <v>38</v>
      </c>
      <c r="Q50" s="16">
        <f t="shared" si="5"/>
        <v>0</v>
      </c>
      <c r="R50" s="16"/>
      <c r="S50" s="16"/>
      <c r="T50" s="16"/>
      <c r="U50" s="15"/>
      <c r="V50" s="16">
        <f t="shared" si="19"/>
        <v>38</v>
      </c>
      <c r="W50" s="16">
        <f t="shared" si="20"/>
        <v>0</v>
      </c>
      <c r="X50" s="16"/>
      <c r="Y50" s="15"/>
      <c r="AA50" s="1" t="s">
        <v>298</v>
      </c>
      <c r="AB50" s="1"/>
      <c r="AC50" s="75"/>
      <c r="AI50" s="18" t="s">
        <v>74</v>
      </c>
      <c r="AJ50" s="15"/>
      <c r="AK50" s="16"/>
      <c r="AL50" s="16"/>
      <c r="AO50" s="1" t="s">
        <v>323</v>
      </c>
      <c r="AP50" s="1"/>
    </row>
    <row r="51" spans="1:42" x14ac:dyDescent="0.25">
      <c r="A51" s="47"/>
      <c r="B51" s="17">
        <v>68413</v>
      </c>
      <c r="C51" s="15" t="s">
        <v>188</v>
      </c>
      <c r="D51" s="16">
        <f>Datos!H62</f>
        <v>200</v>
      </c>
      <c r="E51" s="16"/>
      <c r="F51" s="16"/>
      <c r="G51" s="16"/>
      <c r="H51" s="52"/>
      <c r="I51" s="52"/>
      <c r="J51" s="72">
        <v>68415</v>
      </c>
      <c r="K51" s="15" t="s">
        <v>190</v>
      </c>
      <c r="L51" s="16">
        <f>SUMIFS($D$5:$D$26,$B$5:$B$26,J51)</f>
        <v>0</v>
      </c>
      <c r="M51" s="16">
        <f>SUMIFS($E$5:$E$26,$B$5:$B$26,J51)</f>
        <v>0</v>
      </c>
      <c r="N51" s="16">
        <f>SUMIFS($D$29:$D$301,$B$29:$B$301,J51)</f>
        <v>83</v>
      </c>
      <c r="O51" s="16">
        <f>SUMIFS($E$29:$E$301,$B$29:$B$301,J51)</f>
        <v>0</v>
      </c>
      <c r="P51" s="16">
        <f t="shared" si="4"/>
        <v>83</v>
      </c>
      <c r="Q51" s="16">
        <f t="shared" si="5"/>
        <v>0</v>
      </c>
      <c r="R51" s="16"/>
      <c r="S51" s="16"/>
      <c r="T51" s="16"/>
      <c r="U51" s="15"/>
      <c r="V51" s="16">
        <f t="shared" si="19"/>
        <v>83</v>
      </c>
      <c r="W51" s="16">
        <f t="shared" si="20"/>
        <v>0</v>
      </c>
      <c r="X51" s="16"/>
      <c r="Y51" s="15"/>
      <c r="AA51" t="s">
        <v>60</v>
      </c>
      <c r="AI51"/>
      <c r="AO51" t="s">
        <v>60</v>
      </c>
    </row>
    <row r="52" spans="1:42" x14ac:dyDescent="0.25">
      <c r="A52" s="47"/>
      <c r="B52" s="17">
        <v>68414</v>
      </c>
      <c r="C52" s="15" t="s">
        <v>189</v>
      </c>
      <c r="D52" s="16">
        <f>Datos!H60+Datos!H61</f>
        <v>38</v>
      </c>
      <c r="E52" s="16"/>
      <c r="F52" s="16"/>
      <c r="G52" s="16"/>
      <c r="H52" s="57" t="s">
        <v>249</v>
      </c>
      <c r="I52" s="58"/>
      <c r="J52" s="72">
        <v>69111</v>
      </c>
      <c r="K52" s="15" t="s">
        <v>11</v>
      </c>
      <c r="L52" s="16">
        <f>SUMIFS($D$5:$D$26,$B$5:$B$26,J52)</f>
        <v>0</v>
      </c>
      <c r="M52" s="16">
        <f>SUMIFS($E$5:$E$26,$B$5:$B$26,J52)</f>
        <v>0</v>
      </c>
      <c r="N52" s="16">
        <f>SUMIFS($D$29:$D$301,$B$29:$B$301,J52)</f>
        <v>11180</v>
      </c>
      <c r="O52" s="16">
        <f>SUMIFS($E$29:$E$301,$B$29:$B$301,J52)</f>
        <v>0</v>
      </c>
      <c r="P52" s="16">
        <f t="shared" si="4"/>
        <v>11180</v>
      </c>
      <c r="Q52" s="16">
        <f t="shared" si="5"/>
        <v>0</v>
      </c>
      <c r="R52" s="16"/>
      <c r="S52" s="16">
        <f>P52</f>
        <v>11180</v>
      </c>
      <c r="T52" s="16"/>
      <c r="U52" s="15"/>
      <c r="V52" s="16">
        <f t="shared" si="19"/>
        <v>0</v>
      </c>
      <c r="W52" s="16">
        <f t="shared" si="20"/>
        <v>0</v>
      </c>
      <c r="X52" s="16">
        <f>P52</f>
        <v>11180</v>
      </c>
      <c r="Y52" s="15"/>
      <c r="AA52" t="s">
        <v>58</v>
      </c>
      <c r="AI52" s="17">
        <v>841</v>
      </c>
      <c r="AJ52" s="15" t="s">
        <v>73</v>
      </c>
      <c r="AK52" s="16"/>
      <c r="AL52" s="16">
        <f>AK53-AL54-AL55-AL56-AL57-AL58</f>
        <v>-5724.8979166666668</v>
      </c>
      <c r="AM52" s="73" t="s">
        <v>311</v>
      </c>
      <c r="AO52" t="s">
        <v>58</v>
      </c>
    </row>
    <row r="53" spans="1:42" x14ac:dyDescent="0.25">
      <c r="A53" s="47"/>
      <c r="B53" s="17">
        <v>68415</v>
      </c>
      <c r="C53" s="15" t="s">
        <v>190</v>
      </c>
      <c r="D53" s="16">
        <f>Datos!H59</f>
        <v>83</v>
      </c>
      <c r="E53" s="16"/>
      <c r="F53" s="16"/>
      <c r="G53" s="16"/>
      <c r="H53" s="57"/>
      <c r="I53" s="58"/>
      <c r="J53" s="72">
        <v>70111</v>
      </c>
      <c r="K53" s="15" t="s">
        <v>2</v>
      </c>
      <c r="L53" s="16">
        <f>SUMIFS($D$5:$D$26,$B$5:$B$26,J53)</f>
        <v>0</v>
      </c>
      <c r="M53" s="16">
        <f>SUMIFS($E$5:$E$26,$B$5:$B$26,J53)</f>
        <v>0</v>
      </c>
      <c r="N53" s="16">
        <f>SUMIFS($D$29:$D$301,$B$29:$B$301,J53)</f>
        <v>0</v>
      </c>
      <c r="O53" s="16">
        <f>SUMIFS($E$29:$E$301,$B$29:$B$301,J53)</f>
        <v>19680</v>
      </c>
      <c r="P53" s="16">
        <f t="shared" si="4"/>
        <v>0</v>
      </c>
      <c r="Q53" s="16">
        <f t="shared" si="5"/>
        <v>19680</v>
      </c>
      <c r="R53" s="16"/>
      <c r="S53" s="16"/>
      <c r="T53" s="16"/>
      <c r="U53" s="15"/>
      <c r="V53" s="16">
        <f t="shared" si="19"/>
        <v>0</v>
      </c>
      <c r="W53" s="16">
        <f t="shared" si="20"/>
        <v>19680</v>
      </c>
      <c r="X53" s="16"/>
      <c r="Y53" s="16">
        <f>Q53</f>
        <v>19680</v>
      </c>
      <c r="AI53" s="17">
        <v>831</v>
      </c>
      <c r="AJ53" s="15" t="s">
        <v>69</v>
      </c>
      <c r="AK53" s="16">
        <f>AL41</f>
        <v>-4903.8979166666668</v>
      </c>
      <c r="AL53" s="16"/>
      <c r="AM53" t="s">
        <v>310</v>
      </c>
    </row>
    <row r="54" spans="1:42" x14ac:dyDescent="0.25">
      <c r="A54" s="47"/>
      <c r="B54" s="17">
        <v>39525</v>
      </c>
      <c r="C54" s="15" t="s">
        <v>191</v>
      </c>
      <c r="D54" s="16"/>
      <c r="E54" s="16">
        <f>D51</f>
        <v>200</v>
      </c>
      <c r="F54" s="16"/>
      <c r="G54" s="16"/>
      <c r="H54" s="57"/>
      <c r="I54" s="58"/>
      <c r="J54" s="72">
        <v>6275</v>
      </c>
      <c r="K54" s="73" t="s">
        <v>278</v>
      </c>
      <c r="L54" s="16">
        <f>SUMIFS($D$5:$D$26,$B$5:$B$26,J54)</f>
        <v>0</v>
      </c>
      <c r="M54" s="16">
        <f>SUMIFS($E$5:$E$26,$B$5:$B$26,J54)</f>
        <v>0</v>
      </c>
      <c r="N54" s="16">
        <f>SUMIFS($D$29:$D$301,$B$29:$B$301,J54)</f>
        <v>92.306249999999991</v>
      </c>
      <c r="O54" s="16">
        <f>SUMIFS($E$29:$E$301,$B$29:$B$301,J54)</f>
        <v>0</v>
      </c>
      <c r="P54" s="16">
        <f t="shared" ref="P54" si="22">IF(L54-M54+N54-O54&gt;0,L54-M54+N54-O54,0)</f>
        <v>92.306249999999991</v>
      </c>
      <c r="Q54" s="16">
        <f t="shared" ref="Q54" si="23">IF(M54-L54+O54-N54&gt;0,M54-L54+O54-N54,0)</f>
        <v>0</v>
      </c>
      <c r="R54" s="16"/>
      <c r="S54" s="16"/>
      <c r="T54" s="16"/>
      <c r="U54" s="15"/>
      <c r="V54" s="16">
        <f t="shared" ref="V54" si="24">IF(P54-Q54+R54-S54&gt;0,P54-Q54+R54-S54,0)</f>
        <v>92.306249999999991</v>
      </c>
      <c r="W54" s="16">
        <f t="shared" ref="W54" si="25">IF(Q54-P54+S54-R54&gt;0,Q54-P54+S54-R54,0)</f>
        <v>0</v>
      </c>
      <c r="X54" s="16"/>
      <c r="Y54" s="15"/>
      <c r="AI54" s="17">
        <v>651</v>
      </c>
      <c r="AJ54" s="15" t="s">
        <v>159</v>
      </c>
      <c r="AK54" s="16"/>
      <c r="AL54" s="16">
        <f>V46</f>
        <v>200</v>
      </c>
      <c r="AM54" t="s">
        <v>312</v>
      </c>
    </row>
    <row r="55" spans="1:42" x14ac:dyDescent="0.25">
      <c r="A55" s="47"/>
      <c r="B55" s="17">
        <v>39526</v>
      </c>
      <c r="C55" s="15" t="s">
        <v>192</v>
      </c>
      <c r="D55" s="16"/>
      <c r="E55" s="16">
        <f>D52</f>
        <v>38</v>
      </c>
      <c r="F55" s="16"/>
      <c r="G55" s="16"/>
      <c r="H55" s="57"/>
      <c r="I55" s="58"/>
      <c r="J55" s="72">
        <v>79</v>
      </c>
      <c r="K55" s="15" t="s">
        <v>13</v>
      </c>
      <c r="L55" s="16">
        <f>SUMIFS($D$5:$D$26,$B$5:$B$26,J55)</f>
        <v>0</v>
      </c>
      <c r="M55" s="16">
        <f>SUMIFS($E$5:$E$26,$B$5:$B$26,J55)</f>
        <v>0</v>
      </c>
      <c r="N55" s="16">
        <f>SUMIFS($D$29:$D$301,$B$29:$B$301,J55)</f>
        <v>0</v>
      </c>
      <c r="O55" s="16">
        <f>SUMIFS($E$29:$E$301,$B$29:$B$301,J55)</f>
        <v>14917.204166666665</v>
      </c>
      <c r="P55" s="16">
        <f t="shared" si="4"/>
        <v>0</v>
      </c>
      <c r="Q55" s="16">
        <f t="shared" si="5"/>
        <v>14917.204166666665</v>
      </c>
      <c r="R55" s="16">
        <f>Q55</f>
        <v>14917.204166666665</v>
      </c>
      <c r="S55" s="16"/>
      <c r="T55" s="16"/>
      <c r="U55" s="15"/>
      <c r="V55" s="16">
        <f t="shared" si="19"/>
        <v>0</v>
      </c>
      <c r="W55" s="16">
        <f t="shared" si="20"/>
        <v>0</v>
      </c>
      <c r="X55" s="16"/>
      <c r="Y55" s="15"/>
      <c r="AA55" t="s">
        <v>42</v>
      </c>
      <c r="AB55" s="5">
        <f>W53</f>
        <v>19680</v>
      </c>
      <c r="AC55" s="5"/>
      <c r="AI55" s="17">
        <v>656</v>
      </c>
      <c r="AJ55" s="15" t="s">
        <v>176</v>
      </c>
      <c r="AK55" s="16"/>
      <c r="AL55" s="16">
        <f>V47</f>
        <v>300</v>
      </c>
      <c r="AO55" t="s">
        <v>42</v>
      </c>
      <c r="AP55" s="5">
        <f>AB55</f>
        <v>19680</v>
      </c>
    </row>
    <row r="56" spans="1:42" x14ac:dyDescent="0.25">
      <c r="A56" s="47"/>
      <c r="B56" s="17">
        <v>39527</v>
      </c>
      <c r="C56" s="15" t="s">
        <v>193</v>
      </c>
      <c r="D56" s="16"/>
      <c r="E56" s="16">
        <f>D53</f>
        <v>83</v>
      </c>
      <c r="F56" s="16"/>
      <c r="G56" s="16"/>
      <c r="H56" s="57"/>
      <c r="I56" s="58"/>
      <c r="J56" s="72">
        <v>94</v>
      </c>
      <c r="K56" s="15" t="s">
        <v>153</v>
      </c>
      <c r="L56" s="16">
        <f>SUMIFS($D$5:$D$26,$B$5:$B$26,J56)</f>
        <v>0</v>
      </c>
      <c r="M56" s="16">
        <f>SUMIFS($E$5:$E$26,$B$5:$B$26,J56)</f>
        <v>0</v>
      </c>
      <c r="N56" s="16">
        <f>SUMIFS($D$29:$D$301,$B$29:$B$301,J56)</f>
        <v>7058.6020833333323</v>
      </c>
      <c r="O56" s="16">
        <f>SUMIFS($E$29:$E$301,$B$29:$B$301,J56)</f>
        <v>0</v>
      </c>
      <c r="P56" s="16">
        <f t="shared" si="4"/>
        <v>7058.6020833333323</v>
      </c>
      <c r="Q56" s="16">
        <f t="shared" si="5"/>
        <v>0</v>
      </c>
      <c r="R56" s="16"/>
      <c r="S56" s="16">
        <f>P56</f>
        <v>7058.6020833333323</v>
      </c>
      <c r="T56" s="16"/>
      <c r="U56" s="15"/>
      <c r="V56" s="16">
        <f t="shared" si="19"/>
        <v>0</v>
      </c>
      <c r="W56" s="16">
        <f t="shared" si="20"/>
        <v>0</v>
      </c>
      <c r="X56" s="16">
        <f>P56</f>
        <v>7058.6020833333323</v>
      </c>
      <c r="Y56" s="15"/>
      <c r="AA56" t="s">
        <v>61</v>
      </c>
      <c r="AB56" s="5">
        <f>-V34</f>
        <v>-7200</v>
      </c>
      <c r="AC56" s="5" t="s">
        <v>287</v>
      </c>
      <c r="AI56" s="17">
        <v>68413</v>
      </c>
      <c r="AJ56" s="15" t="s">
        <v>188</v>
      </c>
      <c r="AK56" s="16"/>
      <c r="AL56" s="16">
        <f>V49</f>
        <v>200</v>
      </c>
      <c r="AO56" t="s">
        <v>61</v>
      </c>
      <c r="AP56" s="5">
        <f t="shared" ref="AP56:AP57" si="26">AB56</f>
        <v>-7200</v>
      </c>
    </row>
    <row r="57" spans="1:42" ht="15.75" thickBot="1" x14ac:dyDescent="0.3">
      <c r="A57" s="47">
        <v>3</v>
      </c>
      <c r="B57" s="18" t="s">
        <v>52</v>
      </c>
      <c r="C57" s="15"/>
      <c r="D57" s="16"/>
      <c r="E57" s="16"/>
      <c r="F57" s="16"/>
      <c r="G57" s="16"/>
      <c r="H57" s="52"/>
      <c r="I57" s="52"/>
      <c r="J57" s="72">
        <v>95</v>
      </c>
      <c r="K57" s="15" t="s">
        <v>12</v>
      </c>
      <c r="L57" s="16">
        <f>SUMIFS($D$5:$D$26,$B$5:$B$26,J57)</f>
        <v>0</v>
      </c>
      <c r="M57" s="16">
        <f>SUMIFS($E$5:$E$26,$B$5:$B$26,J57)</f>
        <v>0</v>
      </c>
      <c r="N57" s="16">
        <f>SUMIFS($D$29:$D$301,$B$29:$B$301,J57)</f>
        <v>7858.6020833333323</v>
      </c>
      <c r="O57" s="16">
        <f>SUMIFS($E$29:$E$301,$B$29:$B$301,J57)</f>
        <v>0</v>
      </c>
      <c r="P57" s="16">
        <f t="shared" si="4"/>
        <v>7858.6020833333323</v>
      </c>
      <c r="Q57" s="16">
        <f t="shared" si="5"/>
        <v>0</v>
      </c>
      <c r="R57" s="16"/>
      <c r="S57" s="16">
        <f>P57</f>
        <v>7858.6020833333323</v>
      </c>
      <c r="T57" s="16"/>
      <c r="U57" s="15"/>
      <c r="V57" s="16">
        <f t="shared" si="19"/>
        <v>0</v>
      </c>
      <c r="W57" s="16">
        <f t="shared" si="20"/>
        <v>0</v>
      </c>
      <c r="X57" s="16">
        <f>P57</f>
        <v>7858.6020833333323</v>
      </c>
      <c r="Y57" s="15"/>
      <c r="AA57" t="s">
        <v>10</v>
      </c>
      <c r="AB57" s="5">
        <f>-V35</f>
        <v>-3980</v>
      </c>
      <c r="AC57" s="5"/>
      <c r="AI57" s="17">
        <v>68414</v>
      </c>
      <c r="AJ57" s="15" t="s">
        <v>189</v>
      </c>
      <c r="AK57" s="16"/>
      <c r="AL57" s="16">
        <f>V50</f>
        <v>38</v>
      </c>
      <c r="AO57" t="s">
        <v>10</v>
      </c>
      <c r="AP57" s="5">
        <f t="shared" si="26"/>
        <v>-3980</v>
      </c>
    </row>
    <row r="58" spans="1:42" x14ac:dyDescent="0.25">
      <c r="A58" s="47"/>
      <c r="B58"/>
      <c r="D58" s="45"/>
      <c r="E58" s="45"/>
      <c r="F58" s="45"/>
      <c r="G58" s="45"/>
      <c r="H58" s="44"/>
      <c r="I58" s="44"/>
      <c r="J58" s="78"/>
      <c r="K58" s="15"/>
      <c r="L58" s="16"/>
      <c r="M58" s="16"/>
      <c r="N58" s="16"/>
      <c r="O58" s="16"/>
      <c r="P58" s="16"/>
      <c r="Q58" s="16"/>
      <c r="R58" s="16"/>
      <c r="S58" s="16"/>
      <c r="T58" s="16"/>
      <c r="U58" s="15"/>
      <c r="V58" s="16"/>
      <c r="W58" s="16"/>
      <c r="X58" s="16"/>
      <c r="Y58" s="15"/>
      <c r="AA58" s="1" t="s">
        <v>67</v>
      </c>
      <c r="AB58" s="9">
        <f>SUM(AB55:AB57)</f>
        <v>8500</v>
      </c>
      <c r="AC58" s="46"/>
      <c r="AI58" s="17">
        <v>68415</v>
      </c>
      <c r="AJ58" s="15" t="s">
        <v>190</v>
      </c>
      <c r="AK58" s="16"/>
      <c r="AL58" s="16">
        <f>V51</f>
        <v>83</v>
      </c>
      <c r="AO58" s="1" t="s">
        <v>67</v>
      </c>
      <c r="AP58" s="9">
        <f>SUM(AP55:AP57)</f>
        <v>8500</v>
      </c>
    </row>
    <row r="59" spans="1:42" ht="15.75" thickBot="1" x14ac:dyDescent="0.3">
      <c r="A59" s="47"/>
      <c r="B59" s="17">
        <v>94</v>
      </c>
      <c r="C59" s="15" t="s">
        <v>153</v>
      </c>
      <c r="D59" s="16">
        <f>Datos!L70</f>
        <v>60.5</v>
      </c>
      <c r="E59" s="16"/>
      <c r="F59" s="16"/>
      <c r="G59" s="16"/>
      <c r="H59" s="38" t="s">
        <v>250</v>
      </c>
      <c r="I59" s="49"/>
      <c r="J59" s="19"/>
      <c r="K59" s="20" t="s">
        <v>57</v>
      </c>
      <c r="L59" s="21">
        <f>SUM(L5:L58)</f>
        <v>108500</v>
      </c>
      <c r="M59" s="21">
        <f>SUM(M5:M58)</f>
        <v>108500</v>
      </c>
      <c r="N59" s="21">
        <f>SUM(N5:N58)</f>
        <v>110047.44708333333</v>
      </c>
      <c r="O59" s="21">
        <f>SUM(O5:O58)</f>
        <v>110047.44708333332</v>
      </c>
      <c r="P59" s="21">
        <f>SUM(P5:P58)</f>
        <v>164826.08958333332</v>
      </c>
      <c r="Q59" s="21">
        <f>SUM(Q5:Q58)</f>
        <v>164826.08958333332</v>
      </c>
      <c r="R59" s="21">
        <f>SUM(R5:R58)</f>
        <v>26097.204166666663</v>
      </c>
      <c r="S59" s="21">
        <f>SUM(S5:S58)</f>
        <v>26097.204166666663</v>
      </c>
      <c r="T59" s="21">
        <f>SUM(T5:T58)</f>
        <v>116611.68124999999</v>
      </c>
      <c r="U59" s="21">
        <f>SUM(U5:U58)</f>
        <v>123028.88541666666</v>
      </c>
      <c r="V59" s="21">
        <f>SUM(V5:V58)</f>
        <v>26097.20416666667</v>
      </c>
      <c r="W59" s="21">
        <f>SUM(W5:W58)</f>
        <v>19680</v>
      </c>
      <c r="X59" s="21">
        <f>SUM(X5:X58)</f>
        <v>26097.204166666663</v>
      </c>
      <c r="Y59" s="22">
        <f>SUM(Y5:Y58)</f>
        <v>19680</v>
      </c>
      <c r="AA59" t="s">
        <v>62</v>
      </c>
      <c r="AB59" s="5">
        <f>-V41-V42-V43-V44-V48</f>
        <v>-6200</v>
      </c>
      <c r="AC59" s="5" t="s">
        <v>296</v>
      </c>
      <c r="AI59" s="18" t="s">
        <v>75</v>
      </c>
      <c r="AJ59" s="15"/>
      <c r="AK59" s="16"/>
      <c r="AL59" s="16"/>
      <c r="AO59" t="s">
        <v>62</v>
      </c>
      <c r="AP59" s="5">
        <f>AB59</f>
        <v>-6200</v>
      </c>
    </row>
    <row r="60" spans="1:42" x14ac:dyDescent="0.25">
      <c r="A60" s="47"/>
      <c r="B60" s="17">
        <v>95</v>
      </c>
      <c r="C60" s="15" t="s">
        <v>12</v>
      </c>
      <c r="D60" s="16">
        <f>Datos!M70</f>
        <v>260.5</v>
      </c>
      <c r="E60" s="16"/>
      <c r="F60" s="16"/>
      <c r="G60" s="16"/>
      <c r="H60" s="38"/>
      <c r="I60" s="49"/>
      <c r="L60" s="8">
        <f>L59-M59</f>
        <v>0</v>
      </c>
      <c r="M60" s="1"/>
      <c r="N60" s="8">
        <f>N59-O59</f>
        <v>0</v>
      </c>
      <c r="O60" s="1"/>
      <c r="P60" s="1"/>
      <c r="Q60" s="1"/>
      <c r="R60" s="1"/>
      <c r="S60" s="24" t="s">
        <v>81</v>
      </c>
      <c r="T60" s="23"/>
      <c r="U60" s="23">
        <f>T59-U59</f>
        <v>-6417.2041666666628</v>
      </c>
      <c r="V60" s="23">
        <f>W59-V59</f>
        <v>-6417.2041666666701</v>
      </c>
      <c r="W60" s="23"/>
      <c r="X60" s="23">
        <f>Y59-X59</f>
        <v>-6417.2041666666628</v>
      </c>
      <c r="Y60" s="23"/>
      <c r="AA60" s="1" t="s">
        <v>68</v>
      </c>
      <c r="AB60" s="9">
        <f>SUM(AB58:AB59)</f>
        <v>2300</v>
      </c>
      <c r="AC60" s="46"/>
      <c r="AI60"/>
      <c r="AO60" s="1" t="s">
        <v>68</v>
      </c>
      <c r="AP60" s="9">
        <f>SUM(AP58:AP59)</f>
        <v>2300</v>
      </c>
    </row>
    <row r="61" spans="1:42" x14ac:dyDescent="0.25">
      <c r="A61" s="47"/>
      <c r="B61" s="17">
        <v>79</v>
      </c>
      <c r="C61" s="15" t="s">
        <v>13</v>
      </c>
      <c r="D61" s="16"/>
      <c r="E61" s="16">
        <f>D59+D60</f>
        <v>321</v>
      </c>
      <c r="F61" s="25"/>
      <c r="G61" s="16"/>
      <c r="H61" s="38"/>
      <c r="I61" s="49"/>
      <c r="T61" s="21">
        <f>T59+T60</f>
        <v>116611.68124999999</v>
      </c>
      <c r="U61" s="21">
        <f t="shared" ref="U61" si="27">U59+U60</f>
        <v>116611.68124999999</v>
      </c>
      <c r="V61" s="21">
        <f>V59+V60</f>
        <v>19680</v>
      </c>
      <c r="W61" s="21">
        <f t="shared" ref="W61" si="28">W59+W60</f>
        <v>19680</v>
      </c>
      <c r="X61" s="21">
        <f>X59+X60</f>
        <v>19680</v>
      </c>
      <c r="Y61" s="21">
        <f t="shared" ref="Y61" si="29">Y59+Y60</f>
        <v>19680</v>
      </c>
      <c r="AA61" t="s">
        <v>207</v>
      </c>
      <c r="AB61" s="5">
        <f>-V36-V37-V38-V39-V40-V54</f>
        <v>-5896.2041666666664</v>
      </c>
      <c r="AC61" s="5" t="s">
        <v>297</v>
      </c>
      <c r="AI61" s="17">
        <v>851</v>
      </c>
      <c r="AJ61" s="15" t="s">
        <v>77</v>
      </c>
      <c r="AK61" s="16"/>
      <c r="AL61" s="16">
        <f>AK62-AL63+AK64</f>
        <v>-5724.8979166666668</v>
      </c>
      <c r="AM61" s="73" t="s">
        <v>313</v>
      </c>
      <c r="AO61" t="s">
        <v>207</v>
      </c>
      <c r="AP61" s="5">
        <f t="shared" ref="AP61:AP65" si="30">AB61</f>
        <v>-5896.2041666666664</v>
      </c>
    </row>
    <row r="62" spans="1:42" ht="15.75" thickBot="1" x14ac:dyDescent="0.3">
      <c r="A62" s="47">
        <v>3</v>
      </c>
      <c r="B62" s="18" t="s">
        <v>53</v>
      </c>
      <c r="C62" s="15"/>
      <c r="D62" s="16"/>
      <c r="E62" s="16"/>
      <c r="F62" s="16"/>
      <c r="G62" s="16"/>
      <c r="H62" s="38"/>
      <c r="I62" s="49"/>
      <c r="AA62" t="s">
        <v>208</v>
      </c>
      <c r="AB62" s="5">
        <f>-V45</f>
        <v>-2000</v>
      </c>
      <c r="AC62" s="5" t="s">
        <v>194</v>
      </c>
      <c r="AI62" s="17">
        <v>841</v>
      </c>
      <c r="AJ62" s="15" t="s">
        <v>73</v>
      </c>
      <c r="AK62" s="16">
        <f>AL52</f>
        <v>-5724.8979166666668</v>
      </c>
      <c r="AL62" s="16"/>
      <c r="AM62" s="73" t="s">
        <v>310</v>
      </c>
      <c r="AO62" t="s">
        <v>208</v>
      </c>
      <c r="AP62" s="5">
        <f t="shared" si="30"/>
        <v>-2000</v>
      </c>
    </row>
    <row r="63" spans="1:42" x14ac:dyDescent="0.25">
      <c r="A63" s="47"/>
      <c r="B63" s="48"/>
      <c r="C63" s="44"/>
      <c r="D63" s="45"/>
      <c r="E63" s="45"/>
      <c r="F63" s="45"/>
      <c r="G63" s="45"/>
      <c r="H63" s="44"/>
      <c r="I63" s="44"/>
      <c r="AA63" s="1" t="s">
        <v>70</v>
      </c>
      <c r="AB63" s="9">
        <f>SUM(AB60:AB62)</f>
        <v>-5596.2041666666664</v>
      </c>
      <c r="AC63" s="46"/>
      <c r="AI63" s="17">
        <v>676</v>
      </c>
      <c r="AJ63" s="15" t="s">
        <v>146</v>
      </c>
      <c r="AK63" s="16"/>
      <c r="AL63" s="16"/>
      <c r="AO63" s="1" t="s">
        <v>70</v>
      </c>
      <c r="AP63" s="9">
        <f>SUM(AP60:AP62)</f>
        <v>-5596.2041666666664</v>
      </c>
    </row>
    <row r="64" spans="1:42" x14ac:dyDescent="0.25">
      <c r="A64" s="47"/>
      <c r="B64" s="17">
        <v>6391</v>
      </c>
      <c r="C64" s="15" t="s">
        <v>197</v>
      </c>
      <c r="D64" s="16">
        <f>Datos!F75</f>
        <v>1000</v>
      </c>
      <c r="E64" s="16"/>
      <c r="F64" s="16"/>
      <c r="G64" s="16"/>
      <c r="H64" s="57" t="s">
        <v>251</v>
      </c>
      <c r="I64" s="61"/>
      <c r="AA64" t="s">
        <v>63</v>
      </c>
      <c r="AB64" s="5">
        <f>-V46-V47</f>
        <v>-500</v>
      </c>
      <c r="AC64" s="5" t="s">
        <v>299</v>
      </c>
      <c r="AI64" s="17">
        <v>776</v>
      </c>
      <c r="AJ64" s="15" t="s">
        <v>146</v>
      </c>
      <c r="AK64" s="16">
        <f>W54</f>
        <v>0</v>
      </c>
      <c r="AL64" s="16"/>
      <c r="AO64" t="s">
        <v>63</v>
      </c>
      <c r="AP64" s="5">
        <f t="shared" si="30"/>
        <v>-500</v>
      </c>
    </row>
    <row r="65" spans="1:43" ht="15.75" thickBot="1" x14ac:dyDescent="0.3">
      <c r="A65" s="47"/>
      <c r="B65" s="17">
        <v>6412</v>
      </c>
      <c r="C65" s="15" t="s">
        <v>194</v>
      </c>
      <c r="D65" s="16">
        <f>Datos!F74</f>
        <v>2000</v>
      </c>
      <c r="E65" s="16"/>
      <c r="F65" s="16"/>
      <c r="G65" s="16"/>
      <c r="H65" s="57"/>
      <c r="I65" s="61"/>
      <c r="AA65" t="s">
        <v>64</v>
      </c>
      <c r="AB65" s="5">
        <f>-V49-V50-V51</f>
        <v>-321</v>
      </c>
      <c r="AC65" s="5" t="s">
        <v>300</v>
      </c>
      <c r="AI65" s="18" t="s">
        <v>78</v>
      </c>
      <c r="AJ65" s="15"/>
      <c r="AK65" s="16"/>
      <c r="AL65" s="16"/>
      <c r="AO65" t="s">
        <v>64</v>
      </c>
      <c r="AP65" s="5">
        <f t="shared" si="30"/>
        <v>-321</v>
      </c>
    </row>
    <row r="66" spans="1:43" x14ac:dyDescent="0.25">
      <c r="A66" s="47"/>
      <c r="B66" s="80">
        <v>10411</v>
      </c>
      <c r="C66" s="81" t="s">
        <v>94</v>
      </c>
      <c r="D66" s="82"/>
      <c r="E66" s="82">
        <f>D65+D64</f>
        <v>3000</v>
      </c>
      <c r="F66" s="16"/>
      <c r="G66" s="16"/>
      <c r="H66" s="57"/>
      <c r="I66" s="61"/>
      <c r="AA66" s="1" t="s">
        <v>76</v>
      </c>
      <c r="AB66" s="9">
        <f>SUM(AB63:AB65)</f>
        <v>-6417.2041666666664</v>
      </c>
      <c r="AC66" s="46"/>
      <c r="AI66"/>
      <c r="AO66" s="1" t="s">
        <v>76</v>
      </c>
      <c r="AP66" s="9">
        <f>SUM(AP63:AP65)</f>
        <v>-6417.2041666666664</v>
      </c>
    </row>
    <row r="67" spans="1:43" s="73" customFormat="1" ht="15.75" thickBot="1" x14ac:dyDescent="0.3">
      <c r="A67" s="47"/>
      <c r="B67" s="80"/>
      <c r="C67" s="81"/>
      <c r="D67" s="82"/>
      <c r="E67" s="82"/>
      <c r="F67" s="16"/>
      <c r="G67" s="16"/>
      <c r="H67" s="57"/>
      <c r="I67" s="61"/>
      <c r="AA67" s="73" t="s">
        <v>205</v>
      </c>
      <c r="AB67" s="5">
        <f>-X73+Y80</f>
        <v>0</v>
      </c>
      <c r="AC67" s="46"/>
      <c r="AI67" s="17">
        <v>891</v>
      </c>
      <c r="AJ67" s="15" t="s">
        <v>83</v>
      </c>
      <c r="AK67" s="15"/>
      <c r="AL67" s="16">
        <f>AK68-AL69</f>
        <v>-3799.736666666668</v>
      </c>
      <c r="AM67" s="73" t="s">
        <v>314</v>
      </c>
      <c r="AO67" s="73" t="s">
        <v>205</v>
      </c>
      <c r="AP67" s="5">
        <f>-AL73+AM80</f>
        <v>0</v>
      </c>
    </row>
    <row r="68" spans="1:43" x14ac:dyDescent="0.25">
      <c r="A68" s="47">
        <v>4</v>
      </c>
      <c r="B68" s="18" t="s">
        <v>200</v>
      </c>
      <c r="C68" s="15"/>
      <c r="D68" s="16"/>
      <c r="E68" s="16"/>
      <c r="F68" s="16"/>
      <c r="G68" s="16"/>
      <c r="H68" s="57"/>
      <c r="I68" s="61"/>
      <c r="AA68" s="1" t="s">
        <v>209</v>
      </c>
      <c r="AB68" s="9">
        <f>SUM(AB66:AB66)</f>
        <v>-6417.2041666666664</v>
      </c>
      <c r="AC68" s="46"/>
      <c r="AI68" s="17">
        <v>851</v>
      </c>
      <c r="AJ68" s="15" t="s">
        <v>77</v>
      </c>
      <c r="AK68" s="16">
        <f>AL61</f>
        <v>-5724.8979166666668</v>
      </c>
      <c r="AL68" s="16"/>
      <c r="AM68" s="73" t="s">
        <v>310</v>
      </c>
      <c r="AO68" s="1" t="s">
        <v>209</v>
      </c>
      <c r="AP68" s="9">
        <f>SUM(AP66:AP66)</f>
        <v>-6417.2041666666664</v>
      </c>
    </row>
    <row r="69" spans="1:43" x14ac:dyDescent="0.25">
      <c r="A69" s="47"/>
      <c r="B69"/>
      <c r="D69" s="45"/>
      <c r="E69" s="45"/>
      <c r="F69" s="45"/>
      <c r="G69" s="45"/>
      <c r="H69" s="44"/>
      <c r="I69" s="44"/>
      <c r="AA69" t="s">
        <v>7</v>
      </c>
      <c r="AB69" s="5"/>
      <c r="AC69" s="5"/>
      <c r="AI69" s="17">
        <v>881</v>
      </c>
      <c r="AJ69" s="15" t="s">
        <v>7</v>
      </c>
      <c r="AK69" s="16"/>
      <c r="AL69" s="16">
        <f>AK11</f>
        <v>-1925.1612499999987</v>
      </c>
      <c r="AO69" t="s">
        <v>7</v>
      </c>
      <c r="AP69" s="5">
        <f>-AK11</f>
        <v>1925.1612499999987</v>
      </c>
      <c r="AQ69" s="73" t="s">
        <v>321</v>
      </c>
    </row>
    <row r="70" spans="1:43" ht="15.75" thickBot="1" x14ac:dyDescent="0.3">
      <c r="A70" s="47"/>
      <c r="B70" s="17">
        <v>94</v>
      </c>
      <c r="C70" s="15" t="s">
        <v>153</v>
      </c>
      <c r="D70" s="16">
        <f>E66</f>
        <v>3000</v>
      </c>
      <c r="E70" s="16"/>
      <c r="F70" s="16"/>
      <c r="G70" s="16"/>
      <c r="H70" s="44"/>
      <c r="I70" s="44"/>
      <c r="AA70" s="1" t="s">
        <v>38</v>
      </c>
      <c r="AB70" s="32">
        <f>SUM(AB68:AB69)</f>
        <v>-6417.2041666666664</v>
      </c>
      <c r="AC70" s="76"/>
      <c r="AI70" s="18" t="s">
        <v>84</v>
      </c>
      <c r="AJ70" s="15"/>
      <c r="AK70" s="16"/>
      <c r="AL70" s="16"/>
      <c r="AO70" s="1" t="s">
        <v>38</v>
      </c>
      <c r="AP70" s="34">
        <f>SUM(AP68:AP69)</f>
        <v>-4492.0429166666672</v>
      </c>
    </row>
    <row r="71" spans="1:43" ht="15.75" thickTop="1" x14ac:dyDescent="0.25">
      <c r="A71" s="47"/>
      <c r="B71" s="17">
        <v>79</v>
      </c>
      <c r="C71" s="15" t="s">
        <v>13</v>
      </c>
      <c r="D71" s="16"/>
      <c r="E71" s="16">
        <f>D70</f>
        <v>3000</v>
      </c>
      <c r="F71" s="16"/>
      <c r="G71" s="16"/>
      <c r="H71" s="44"/>
      <c r="I71" s="44"/>
      <c r="AI71"/>
    </row>
    <row r="72" spans="1:43" x14ac:dyDescent="0.25">
      <c r="A72" s="47">
        <v>4</v>
      </c>
      <c r="B72" s="18" t="s">
        <v>201</v>
      </c>
      <c r="C72" s="15"/>
      <c r="D72" s="16"/>
      <c r="E72" s="16"/>
      <c r="F72" s="16"/>
      <c r="G72" s="16"/>
      <c r="H72" s="44"/>
      <c r="I72" s="44"/>
      <c r="AI72" s="17">
        <v>591</v>
      </c>
      <c r="AJ72" s="15" t="s">
        <v>8</v>
      </c>
      <c r="AK72" s="16"/>
      <c r="AL72" s="16">
        <f>AK73</f>
        <v>-3799.736666666668</v>
      </c>
    </row>
    <row r="73" spans="1:43" x14ac:dyDescent="0.25">
      <c r="A73" s="47"/>
      <c r="B73" s="43"/>
      <c r="C73" s="44"/>
      <c r="D73" s="45"/>
      <c r="E73" s="45"/>
      <c r="F73" s="45"/>
      <c r="G73" s="45"/>
      <c r="H73" s="44"/>
      <c r="I73" s="44"/>
      <c r="AI73" s="17">
        <v>891</v>
      </c>
      <c r="AJ73" s="15" t="s">
        <v>83</v>
      </c>
      <c r="AK73" s="16">
        <f>AL67</f>
        <v>-3799.736666666668</v>
      </c>
      <c r="AL73" s="16"/>
      <c r="AM73" s="73" t="s">
        <v>310</v>
      </c>
    </row>
    <row r="74" spans="1:43" x14ac:dyDescent="0.25">
      <c r="A74" s="47"/>
      <c r="B74" s="17">
        <v>6352</v>
      </c>
      <c r="C74" s="15" t="s">
        <v>152</v>
      </c>
      <c r="D74" s="16">
        <f>3500</f>
        <v>3500</v>
      </c>
      <c r="E74" s="16"/>
      <c r="F74" s="16"/>
      <c r="G74" s="16"/>
      <c r="H74" s="61" t="s">
        <v>252</v>
      </c>
      <c r="I74" s="61"/>
      <c r="AI74" s="18" t="s">
        <v>85</v>
      </c>
      <c r="AJ74" s="15"/>
      <c r="AK74" s="16"/>
      <c r="AL74" s="16"/>
    </row>
    <row r="75" spans="1:43" x14ac:dyDescent="0.25">
      <c r="A75" s="47"/>
      <c r="B75" s="17">
        <v>40111</v>
      </c>
      <c r="C75" s="15" t="s">
        <v>129</v>
      </c>
      <c r="D75" s="16">
        <f>D74*0.18</f>
        <v>630</v>
      </c>
      <c r="E75" s="16"/>
      <c r="F75" s="16"/>
      <c r="G75" s="16"/>
      <c r="H75" s="61"/>
      <c r="I75" s="61"/>
      <c r="AI75"/>
    </row>
    <row r="76" spans="1:43" s="73" customFormat="1" x14ac:dyDescent="0.25">
      <c r="A76" s="47"/>
      <c r="B76" s="17"/>
      <c r="C76" s="15"/>
      <c r="D76" s="16"/>
      <c r="E76" s="16"/>
      <c r="F76" s="16"/>
      <c r="G76" s="16"/>
      <c r="H76" s="61"/>
      <c r="I76" s="61"/>
      <c r="AI76" s="17">
        <v>10411</v>
      </c>
      <c r="AJ76" s="15" t="s">
        <v>94</v>
      </c>
      <c r="AK76" s="16">
        <f>U5</f>
        <v>0</v>
      </c>
      <c r="AL76" s="16">
        <f>T5</f>
        <v>21447.201249999998</v>
      </c>
    </row>
    <row r="77" spans="1:43" x14ac:dyDescent="0.25">
      <c r="A77" s="47"/>
      <c r="B77" s="17">
        <v>4212</v>
      </c>
      <c r="C77" s="15" t="s">
        <v>118</v>
      </c>
      <c r="D77" s="16"/>
      <c r="E77" s="16">
        <f>D74+D75</f>
        <v>4130</v>
      </c>
      <c r="F77" s="16"/>
      <c r="G77" s="16"/>
      <c r="H77" s="61"/>
      <c r="I77" s="61"/>
      <c r="AI77" s="17">
        <v>1062</v>
      </c>
      <c r="AJ77" s="15" t="s">
        <v>242</v>
      </c>
      <c r="AK77" s="16">
        <f>U6</f>
        <v>0</v>
      </c>
      <c r="AL77" s="16">
        <f>T6</f>
        <v>32000</v>
      </c>
      <c r="AM77" t="s">
        <v>315</v>
      </c>
    </row>
    <row r="78" spans="1:43" x14ac:dyDescent="0.25">
      <c r="A78" s="47">
        <v>5.0999999999999996</v>
      </c>
      <c r="B78" s="18" t="s">
        <v>154</v>
      </c>
      <c r="C78" s="15"/>
      <c r="D78" s="16"/>
      <c r="E78" s="16"/>
      <c r="F78" s="16"/>
      <c r="G78" s="16"/>
      <c r="H78" s="61"/>
      <c r="I78" s="61"/>
      <c r="AI78" s="17">
        <v>1212</v>
      </c>
      <c r="AJ78" s="15" t="s">
        <v>95</v>
      </c>
      <c r="AK78" s="16">
        <f>U7</f>
        <v>0</v>
      </c>
      <c r="AL78" s="16">
        <f>T7</f>
        <v>20844.48</v>
      </c>
    </row>
    <row r="79" spans="1:43" x14ac:dyDescent="0.25">
      <c r="A79" s="47"/>
      <c r="D79" s="45"/>
      <c r="E79" s="45"/>
      <c r="F79" s="45"/>
      <c r="G79" s="45"/>
      <c r="H79" s="44"/>
      <c r="I79" s="44"/>
      <c r="AI79" s="17">
        <v>1232</v>
      </c>
      <c r="AJ79" s="15" t="s">
        <v>95</v>
      </c>
      <c r="AK79" s="16">
        <f>U9</f>
        <v>0</v>
      </c>
      <c r="AL79" s="16">
        <f>T8</f>
        <v>10000</v>
      </c>
    </row>
    <row r="80" spans="1:43" ht="15" customHeight="1" x14ac:dyDescent="0.25">
      <c r="A80" s="47"/>
      <c r="B80" s="17">
        <v>95</v>
      </c>
      <c r="C80" s="15" t="s">
        <v>12</v>
      </c>
      <c r="D80" s="16">
        <f>D74</f>
        <v>3500</v>
      </c>
      <c r="E80" s="16"/>
      <c r="F80" s="16"/>
      <c r="G80" s="16"/>
      <c r="H80" s="57" t="s">
        <v>253</v>
      </c>
      <c r="I80" s="61"/>
      <c r="J80" s="61"/>
      <c r="AI80" s="17">
        <v>1422</v>
      </c>
      <c r="AJ80" s="15" t="s">
        <v>227</v>
      </c>
      <c r="AK80" s="16">
        <f>U10</f>
        <v>0</v>
      </c>
      <c r="AL80" s="16">
        <f>T9</f>
        <v>5000</v>
      </c>
    </row>
    <row r="81" spans="1:39" x14ac:dyDescent="0.25">
      <c r="A81" s="47"/>
      <c r="B81" s="17">
        <v>79</v>
      </c>
      <c r="C81" s="15" t="s">
        <v>13</v>
      </c>
      <c r="D81" s="16"/>
      <c r="E81" s="16">
        <f>D80</f>
        <v>3500</v>
      </c>
      <c r="F81" s="16"/>
      <c r="G81" s="16"/>
      <c r="H81" s="57"/>
      <c r="I81" s="61"/>
      <c r="J81" s="61"/>
      <c r="AI81" s="17">
        <v>20111</v>
      </c>
      <c r="AJ81" s="15" t="s">
        <v>99</v>
      </c>
      <c r="AK81" s="16">
        <f>U12</f>
        <v>0</v>
      </c>
      <c r="AL81" s="16">
        <f>T11</f>
        <v>5820</v>
      </c>
    </row>
    <row r="82" spans="1:39" x14ac:dyDescent="0.25">
      <c r="A82" s="47">
        <v>5.0999999999999996</v>
      </c>
      <c r="B82" s="18" t="s">
        <v>155</v>
      </c>
      <c r="C82" s="15"/>
      <c r="D82" s="16"/>
      <c r="E82" s="16"/>
      <c r="F82" s="16"/>
      <c r="G82" s="16"/>
      <c r="H82" s="57"/>
      <c r="I82" s="61"/>
      <c r="J82" s="61"/>
      <c r="AI82" s="17">
        <v>33611</v>
      </c>
      <c r="AJ82" s="15" t="s">
        <v>104</v>
      </c>
      <c r="AK82" s="16">
        <f>U14</f>
        <v>0</v>
      </c>
      <c r="AL82" s="16">
        <f>T15</f>
        <v>4000</v>
      </c>
    </row>
    <row r="83" spans="1:39" x14ac:dyDescent="0.25">
      <c r="A83" s="47"/>
      <c r="B83"/>
      <c r="D83" s="45"/>
      <c r="E83" s="45"/>
      <c r="F83" s="45"/>
      <c r="G83" s="45"/>
      <c r="H83" s="62"/>
      <c r="I83" s="62"/>
      <c r="AI83" s="17">
        <v>33511</v>
      </c>
      <c r="AJ83" s="15" t="s">
        <v>103</v>
      </c>
      <c r="AK83" s="16">
        <f>U15</f>
        <v>0</v>
      </c>
      <c r="AL83" s="16">
        <f>T14</f>
        <v>4500</v>
      </c>
    </row>
    <row r="84" spans="1:39" x14ac:dyDescent="0.25">
      <c r="A84" s="47"/>
      <c r="B84" s="17">
        <v>4212</v>
      </c>
      <c r="C84" s="15" t="s">
        <v>118</v>
      </c>
      <c r="D84" s="16">
        <f>E77</f>
        <v>4130</v>
      </c>
      <c r="E84" s="16"/>
      <c r="F84" s="16"/>
      <c r="G84" s="16"/>
      <c r="H84" s="44"/>
      <c r="I84" s="44"/>
      <c r="AI84" s="17">
        <v>33411</v>
      </c>
      <c r="AJ84" s="15" t="s">
        <v>243</v>
      </c>
      <c r="AK84" s="16">
        <f>U12</f>
        <v>0</v>
      </c>
      <c r="AL84" s="16">
        <f>T12</f>
        <v>12000</v>
      </c>
    </row>
    <row r="85" spans="1:39" x14ac:dyDescent="0.25">
      <c r="A85" s="47"/>
      <c r="B85" s="80">
        <v>10411</v>
      </c>
      <c r="C85" s="81" t="s">
        <v>94</v>
      </c>
      <c r="D85" s="82"/>
      <c r="E85" s="82">
        <f>D84</f>
        <v>4130</v>
      </c>
      <c r="F85" s="16"/>
      <c r="G85" s="16"/>
      <c r="H85" s="44"/>
      <c r="I85" s="44"/>
      <c r="AI85" s="17">
        <v>39527</v>
      </c>
      <c r="AJ85" s="15" t="s">
        <v>193</v>
      </c>
      <c r="AK85" s="16">
        <f>U19</f>
        <v>1083</v>
      </c>
      <c r="AL85" s="16">
        <f>T19</f>
        <v>0</v>
      </c>
    </row>
    <row r="86" spans="1:39" x14ac:dyDescent="0.25">
      <c r="A86" s="47">
        <v>5.0999999999999996</v>
      </c>
      <c r="B86" s="18" t="s">
        <v>161</v>
      </c>
      <c r="C86" s="15"/>
      <c r="D86" s="16"/>
      <c r="E86" s="16"/>
      <c r="F86" s="16"/>
      <c r="G86" s="16"/>
      <c r="H86" s="44"/>
      <c r="I86" s="44"/>
      <c r="AI86" s="17">
        <v>39526</v>
      </c>
      <c r="AJ86" s="15" t="s">
        <v>192</v>
      </c>
      <c r="AK86" s="16">
        <f>U18</f>
        <v>488</v>
      </c>
      <c r="AL86" s="16">
        <f>T18</f>
        <v>0</v>
      </c>
    </row>
    <row r="87" spans="1:39" x14ac:dyDescent="0.25">
      <c r="A87" s="47"/>
      <c r="B87" s="43"/>
      <c r="C87" s="44"/>
      <c r="D87" s="45"/>
      <c r="E87" s="45"/>
      <c r="F87" s="45"/>
      <c r="G87" s="45"/>
      <c r="H87" s="44"/>
      <c r="I87" s="44"/>
      <c r="AI87" s="17">
        <v>39525</v>
      </c>
      <c r="AJ87" s="15" t="s">
        <v>244</v>
      </c>
      <c r="AK87" s="16">
        <f>U17</f>
        <v>2600</v>
      </c>
      <c r="AL87" s="16">
        <f>T17</f>
        <v>0</v>
      </c>
    </row>
    <row r="88" spans="1:39" x14ac:dyDescent="0.25">
      <c r="A88" s="47"/>
      <c r="B88" s="17">
        <v>6361</v>
      </c>
      <c r="C88" s="15" t="s">
        <v>14</v>
      </c>
      <c r="D88" s="16">
        <f>450</f>
        <v>450</v>
      </c>
      <c r="E88" s="16"/>
      <c r="F88" s="16"/>
      <c r="G88" s="16"/>
      <c r="H88" s="61" t="s">
        <v>252</v>
      </c>
      <c r="I88" s="61"/>
      <c r="AI88" s="17">
        <v>40111</v>
      </c>
      <c r="AJ88" s="15" t="s">
        <v>129</v>
      </c>
      <c r="AK88" s="16">
        <f>U20</f>
        <v>6240.4</v>
      </c>
      <c r="AL88" s="16">
        <f>T20</f>
        <v>0</v>
      </c>
    </row>
    <row r="89" spans="1:39" x14ac:dyDescent="0.25">
      <c r="A89" s="47"/>
      <c r="B89" s="17">
        <v>40111</v>
      </c>
      <c r="C89" s="15" t="s">
        <v>129</v>
      </c>
      <c r="D89" s="16">
        <f>D88*0.18</f>
        <v>81</v>
      </c>
      <c r="E89" s="16"/>
      <c r="F89" s="16"/>
      <c r="G89" s="16"/>
      <c r="H89" s="61"/>
      <c r="I89" s="61"/>
      <c r="AI89" s="17">
        <v>40171</v>
      </c>
      <c r="AJ89" s="15" t="s">
        <v>7</v>
      </c>
      <c r="AK89" s="16">
        <f>U21+AK11</f>
        <v>4403.0387500000015</v>
      </c>
      <c r="AL89" s="16">
        <f>T21</f>
        <v>0</v>
      </c>
      <c r="AM89" t="s">
        <v>316</v>
      </c>
    </row>
    <row r="90" spans="1:39" x14ac:dyDescent="0.25">
      <c r="A90" s="47"/>
      <c r="B90" s="17">
        <v>4212</v>
      </c>
      <c r="C90" s="15" t="s">
        <v>118</v>
      </c>
      <c r="D90" s="16"/>
      <c r="E90" s="16">
        <f>D88+D89</f>
        <v>531</v>
      </c>
      <c r="F90" s="16"/>
      <c r="G90" s="16"/>
      <c r="H90" s="61"/>
      <c r="I90" s="61"/>
      <c r="AI90" s="17">
        <v>4031</v>
      </c>
      <c r="AJ90" s="15" t="s">
        <v>149</v>
      </c>
      <c r="AK90" s="16">
        <f>U22</f>
        <v>876.91875000000005</v>
      </c>
      <c r="AL90" s="16">
        <f>T22</f>
        <v>0</v>
      </c>
    </row>
    <row r="91" spans="1:39" x14ac:dyDescent="0.25">
      <c r="A91" s="47">
        <v>5.2</v>
      </c>
      <c r="B91" s="18" t="s">
        <v>54</v>
      </c>
      <c r="C91" s="15"/>
      <c r="D91" s="16"/>
      <c r="E91" s="16"/>
      <c r="F91" s="16"/>
      <c r="G91" s="16"/>
      <c r="H91" s="61"/>
      <c r="I91" s="61"/>
      <c r="AI91" s="72">
        <v>4111</v>
      </c>
      <c r="AJ91" s="15" t="s">
        <v>169</v>
      </c>
      <c r="AK91" s="16">
        <f>U23</f>
        <v>0</v>
      </c>
      <c r="AL91" s="16">
        <f>T23</f>
        <v>0</v>
      </c>
    </row>
    <row r="92" spans="1:39" x14ac:dyDescent="0.25">
      <c r="A92" s="47"/>
      <c r="B92"/>
      <c r="D92" s="45"/>
      <c r="E92" s="45"/>
      <c r="F92" s="45"/>
      <c r="G92" s="45"/>
      <c r="H92" s="44"/>
      <c r="I92" s="44"/>
      <c r="AI92" s="72">
        <v>4511</v>
      </c>
      <c r="AJ92" s="15" t="s">
        <v>236</v>
      </c>
      <c r="AK92" s="16">
        <f>U24</f>
        <v>30000</v>
      </c>
      <c r="AL92" s="16">
        <f>T24</f>
        <v>0</v>
      </c>
    </row>
    <row r="93" spans="1:39" x14ac:dyDescent="0.25">
      <c r="A93" s="47"/>
      <c r="B93" s="17">
        <v>94</v>
      </c>
      <c r="C93" s="15" t="s">
        <v>153</v>
      </c>
      <c r="D93" s="16">
        <f>D88/2</f>
        <v>225</v>
      </c>
      <c r="E93" s="15"/>
      <c r="F93" s="15"/>
      <c r="G93" s="15"/>
      <c r="H93" s="57" t="s">
        <v>253</v>
      </c>
      <c r="I93" s="61"/>
      <c r="J93" s="61"/>
      <c r="AI93" s="72">
        <v>4114</v>
      </c>
      <c r="AJ93" s="15" t="s">
        <v>172</v>
      </c>
      <c r="AK93" s="16">
        <f>U25</f>
        <v>683.75</v>
      </c>
      <c r="AL93" s="16">
        <f>T25</f>
        <v>0</v>
      </c>
    </row>
    <row r="94" spans="1:39" x14ac:dyDescent="0.25">
      <c r="A94" s="47"/>
      <c r="B94" s="17">
        <v>95</v>
      </c>
      <c r="C94" s="15" t="s">
        <v>12</v>
      </c>
      <c r="D94" s="16">
        <f>D93</f>
        <v>225</v>
      </c>
      <c r="E94" s="16"/>
      <c r="F94" s="16"/>
      <c r="G94" s="16"/>
      <c r="H94" s="57"/>
      <c r="I94" s="61"/>
      <c r="J94" s="61"/>
      <c r="AI94" s="72">
        <v>4115</v>
      </c>
      <c r="AJ94" s="15" t="s">
        <v>130</v>
      </c>
      <c r="AK94" s="16">
        <f>U26</f>
        <v>7841.875</v>
      </c>
      <c r="AL94" s="16">
        <f>T26</f>
        <v>0</v>
      </c>
    </row>
    <row r="95" spans="1:39" x14ac:dyDescent="0.25">
      <c r="A95" s="47"/>
      <c r="B95" s="17">
        <v>79</v>
      </c>
      <c r="C95" s="15" t="s">
        <v>13</v>
      </c>
      <c r="D95" s="16"/>
      <c r="E95" s="16">
        <f>D93+D94</f>
        <v>450</v>
      </c>
      <c r="F95" s="16"/>
      <c r="G95" s="16"/>
      <c r="H95" s="57"/>
      <c r="I95" s="61"/>
      <c r="J95" s="61"/>
      <c r="AI95" s="72">
        <v>4151</v>
      </c>
      <c r="AJ95" s="15" t="s">
        <v>131</v>
      </c>
      <c r="AK95" s="16">
        <f>U27</f>
        <v>2398.8541666666665</v>
      </c>
      <c r="AL95" s="16">
        <f>T27</f>
        <v>0</v>
      </c>
    </row>
    <row r="96" spans="1:39" x14ac:dyDescent="0.25">
      <c r="A96" s="47">
        <v>5.2</v>
      </c>
      <c r="B96" s="18" t="s">
        <v>55</v>
      </c>
      <c r="C96" s="15"/>
      <c r="D96" s="16"/>
      <c r="E96" s="16"/>
      <c r="F96" s="16"/>
      <c r="G96" s="16"/>
      <c r="H96" s="44"/>
      <c r="I96" s="44"/>
      <c r="AI96" s="72">
        <v>417</v>
      </c>
      <c r="AJ96" s="15" t="s">
        <v>151</v>
      </c>
      <c r="AK96" s="16">
        <f>U28</f>
        <v>1343.58125</v>
      </c>
      <c r="AL96" s="16">
        <f>T28</f>
        <v>0</v>
      </c>
    </row>
    <row r="97" spans="1:39" x14ac:dyDescent="0.25">
      <c r="A97" s="47"/>
      <c r="B97"/>
      <c r="D97" s="45"/>
      <c r="E97" s="45"/>
      <c r="F97" s="45"/>
      <c r="G97" s="45"/>
      <c r="H97" s="44"/>
      <c r="I97" s="44"/>
      <c r="AI97" s="72">
        <v>4212</v>
      </c>
      <c r="AJ97" s="15" t="s">
        <v>118</v>
      </c>
      <c r="AK97" s="16">
        <f>U29</f>
        <v>24052</v>
      </c>
      <c r="AL97" s="16">
        <f>T29</f>
        <v>0</v>
      </c>
    </row>
    <row r="98" spans="1:39" x14ac:dyDescent="0.25">
      <c r="A98" s="47"/>
      <c r="B98" s="17">
        <v>6365</v>
      </c>
      <c r="C98" s="15" t="s">
        <v>156</v>
      </c>
      <c r="D98" s="15">
        <v>650</v>
      </c>
      <c r="E98" s="15"/>
      <c r="F98" s="15"/>
      <c r="G98" s="15"/>
      <c r="H98" s="61" t="s">
        <v>252</v>
      </c>
      <c r="I98" s="61"/>
      <c r="AI98" s="72">
        <v>404</v>
      </c>
      <c r="AJ98" s="15" t="s">
        <v>280</v>
      </c>
      <c r="AK98" s="16">
        <f>U30</f>
        <v>92.306249999999991</v>
      </c>
      <c r="AL98" s="16">
        <f>T30</f>
        <v>0</v>
      </c>
    </row>
    <row r="99" spans="1:39" x14ac:dyDescent="0.25">
      <c r="A99" s="47"/>
      <c r="B99" s="17">
        <v>40111</v>
      </c>
      <c r="C99" s="15" t="s">
        <v>129</v>
      </c>
      <c r="D99" s="16">
        <f>D98*0.18</f>
        <v>117</v>
      </c>
      <c r="E99" s="16"/>
      <c r="F99" s="16"/>
      <c r="G99" s="16"/>
      <c r="H99" s="61"/>
      <c r="I99" s="61"/>
      <c r="AI99" s="72">
        <v>5011</v>
      </c>
      <c r="AJ99" s="15" t="s">
        <v>124</v>
      </c>
      <c r="AK99" s="16">
        <f>U32</f>
        <v>25000</v>
      </c>
      <c r="AL99" s="16">
        <f>T32</f>
        <v>0</v>
      </c>
    </row>
    <row r="100" spans="1:39" x14ac:dyDescent="0.25">
      <c r="A100" s="47"/>
      <c r="B100" s="17">
        <v>4212</v>
      </c>
      <c r="C100" s="15" t="s">
        <v>118</v>
      </c>
      <c r="D100" s="16"/>
      <c r="E100" s="16">
        <f>D98+D99</f>
        <v>767</v>
      </c>
      <c r="F100" s="16"/>
      <c r="G100" s="16"/>
      <c r="H100" s="61"/>
      <c r="I100" s="61"/>
      <c r="AI100" s="72">
        <v>5911</v>
      </c>
      <c r="AJ100" s="15" t="s">
        <v>8</v>
      </c>
      <c r="AK100" s="16">
        <f>U33</f>
        <v>14000</v>
      </c>
      <c r="AL100" s="16">
        <f>T33</f>
        <v>0</v>
      </c>
      <c r="AM100" t="s">
        <v>317</v>
      </c>
    </row>
    <row r="101" spans="1:39" x14ac:dyDescent="0.25">
      <c r="A101" s="47">
        <v>5.2</v>
      </c>
      <c r="B101" s="18" t="s">
        <v>157</v>
      </c>
      <c r="C101" s="15"/>
      <c r="D101" s="16"/>
      <c r="E101" s="16"/>
      <c r="F101" s="16"/>
      <c r="G101" s="16"/>
      <c r="H101" s="61"/>
      <c r="I101" s="61"/>
      <c r="AI101" s="90" t="s">
        <v>86</v>
      </c>
      <c r="AJ101" s="90"/>
      <c r="AK101" s="90"/>
      <c r="AL101" s="90"/>
    </row>
    <row r="102" spans="1:39" x14ac:dyDescent="0.25">
      <c r="A102" s="47"/>
      <c r="B102"/>
      <c r="D102" s="45"/>
      <c r="E102" s="45"/>
      <c r="F102" s="45"/>
      <c r="G102" s="45"/>
      <c r="H102" s="44"/>
      <c r="I102" s="44"/>
      <c r="AI102" s="91" t="s">
        <v>324</v>
      </c>
      <c r="AJ102" s="91"/>
      <c r="AK102" s="91"/>
      <c r="AL102" s="91"/>
      <c r="AM102" s="73"/>
    </row>
    <row r="103" spans="1:39" x14ac:dyDescent="0.25">
      <c r="A103" s="47"/>
      <c r="B103" s="17">
        <v>94</v>
      </c>
      <c r="C103" s="15" t="s">
        <v>153</v>
      </c>
      <c r="D103" s="15">
        <f>D98/2</f>
        <v>325</v>
      </c>
      <c r="E103" s="15"/>
      <c r="F103" s="15"/>
      <c r="G103" s="15"/>
      <c r="H103" s="57" t="s">
        <v>253</v>
      </c>
      <c r="I103" s="61"/>
      <c r="J103" s="61"/>
      <c r="AI103" s="92" t="s">
        <v>325</v>
      </c>
      <c r="AJ103" s="92"/>
      <c r="AK103" s="92"/>
      <c r="AL103" s="92"/>
    </row>
    <row r="104" spans="1:39" x14ac:dyDescent="0.25">
      <c r="A104" s="47"/>
      <c r="B104" s="17">
        <v>95</v>
      </c>
      <c r="C104" s="15" t="s">
        <v>12</v>
      </c>
      <c r="D104" s="16">
        <f>D103</f>
        <v>325</v>
      </c>
      <c r="E104" s="16"/>
      <c r="F104" s="16"/>
      <c r="G104" s="16"/>
      <c r="H104" s="57"/>
      <c r="I104" s="61"/>
      <c r="J104" s="61"/>
      <c r="AI104" s="92"/>
      <c r="AJ104" s="92"/>
      <c r="AK104" s="92"/>
      <c r="AL104" s="92"/>
    </row>
    <row r="105" spans="1:39" x14ac:dyDescent="0.25">
      <c r="A105" s="47"/>
      <c r="B105" s="17">
        <v>79</v>
      </c>
      <c r="C105" s="15" t="s">
        <v>13</v>
      </c>
      <c r="D105" s="16"/>
      <c r="E105" s="16">
        <f>D103+D104</f>
        <v>650</v>
      </c>
      <c r="F105" s="16"/>
      <c r="G105" s="16"/>
      <c r="H105" s="57"/>
      <c r="I105" s="61"/>
      <c r="J105" s="61"/>
      <c r="AI105" s="92"/>
      <c r="AJ105" s="92"/>
      <c r="AK105" s="92"/>
      <c r="AL105" s="92"/>
    </row>
    <row r="106" spans="1:39" x14ac:dyDescent="0.25">
      <c r="A106" s="47">
        <v>5.2</v>
      </c>
      <c r="B106" s="18" t="s">
        <v>158</v>
      </c>
      <c r="C106" s="15"/>
      <c r="D106" s="16"/>
      <c r="E106" s="16"/>
      <c r="F106" s="16"/>
      <c r="G106" s="16"/>
      <c r="H106" s="44"/>
      <c r="I106" s="44"/>
      <c r="AI106" s="92"/>
      <c r="AJ106" s="92"/>
      <c r="AK106" s="92"/>
      <c r="AL106" s="92"/>
    </row>
    <row r="107" spans="1:39" x14ac:dyDescent="0.25">
      <c r="A107" s="47"/>
      <c r="B107" s="43"/>
      <c r="C107" s="44"/>
      <c r="D107" s="45"/>
      <c r="E107" s="45"/>
      <c r="F107" s="45"/>
      <c r="G107" s="45"/>
      <c r="H107" s="44"/>
      <c r="I107" s="44"/>
      <c r="AI107" s="92"/>
      <c r="AJ107" s="92"/>
      <c r="AK107" s="92"/>
      <c r="AL107" s="92"/>
    </row>
    <row r="108" spans="1:39" x14ac:dyDescent="0.25">
      <c r="A108" s="47"/>
      <c r="B108" s="17">
        <v>6363</v>
      </c>
      <c r="C108" s="15" t="s">
        <v>256</v>
      </c>
      <c r="D108" s="15">
        <f>600</f>
        <v>600</v>
      </c>
      <c r="E108" s="15"/>
      <c r="F108" s="15"/>
      <c r="G108" s="15"/>
      <c r="H108" s="61" t="s">
        <v>252</v>
      </c>
      <c r="I108" s="61"/>
    </row>
    <row r="109" spans="1:39" x14ac:dyDescent="0.25">
      <c r="A109" s="47"/>
      <c r="B109" s="17">
        <v>40111</v>
      </c>
      <c r="C109" s="15" t="s">
        <v>129</v>
      </c>
      <c r="D109" s="16">
        <f>D108*0.18</f>
        <v>108</v>
      </c>
      <c r="E109" s="16"/>
      <c r="F109" s="16"/>
      <c r="G109" s="16"/>
      <c r="H109" s="61"/>
      <c r="I109" s="61"/>
    </row>
    <row r="110" spans="1:39" x14ac:dyDescent="0.25">
      <c r="A110" s="47"/>
      <c r="B110" s="17">
        <v>4212</v>
      </c>
      <c r="C110" s="15" t="s">
        <v>118</v>
      </c>
      <c r="D110" s="16"/>
      <c r="E110" s="16">
        <f>D108+D109</f>
        <v>708</v>
      </c>
      <c r="F110" s="16"/>
      <c r="G110" s="16"/>
      <c r="H110" s="61"/>
      <c r="I110" s="61"/>
    </row>
    <row r="111" spans="1:39" x14ac:dyDescent="0.25">
      <c r="A111" s="47">
        <v>5.2</v>
      </c>
      <c r="B111" s="18" t="s">
        <v>254</v>
      </c>
      <c r="C111" s="15"/>
      <c r="D111" s="16"/>
      <c r="E111" s="16"/>
      <c r="F111" s="16"/>
      <c r="G111" s="16"/>
      <c r="H111" s="61"/>
      <c r="I111" s="61"/>
    </row>
    <row r="112" spans="1:39" x14ac:dyDescent="0.25">
      <c r="A112" s="47"/>
      <c r="B112"/>
      <c r="D112" s="45"/>
      <c r="E112" s="45"/>
      <c r="F112" s="45"/>
      <c r="G112" s="45"/>
      <c r="H112" s="44"/>
      <c r="I112" s="44"/>
    </row>
    <row r="113" spans="1:10" x14ac:dyDescent="0.25">
      <c r="A113" s="47"/>
      <c r="B113" s="17">
        <v>94</v>
      </c>
      <c r="C113" s="15" t="s">
        <v>153</v>
      </c>
      <c r="D113" s="15">
        <f>D108/2</f>
        <v>300</v>
      </c>
      <c r="E113" s="15"/>
      <c r="F113" s="15"/>
      <c r="G113" s="15"/>
      <c r="H113" s="57" t="s">
        <v>253</v>
      </c>
      <c r="I113" s="61"/>
      <c r="J113" s="61"/>
    </row>
    <row r="114" spans="1:10" x14ac:dyDescent="0.25">
      <c r="A114" s="47"/>
      <c r="B114" s="17">
        <v>95</v>
      </c>
      <c r="C114" s="15" t="s">
        <v>12</v>
      </c>
      <c r="D114" s="16">
        <f>D113</f>
        <v>300</v>
      </c>
      <c r="E114" s="16"/>
      <c r="F114" s="16"/>
      <c r="G114" s="16"/>
      <c r="H114" s="57"/>
      <c r="I114" s="61"/>
      <c r="J114" s="61"/>
    </row>
    <row r="115" spans="1:10" x14ac:dyDescent="0.25">
      <c r="A115" s="47"/>
      <c r="B115" s="17">
        <v>79</v>
      </c>
      <c r="C115" s="15" t="s">
        <v>13</v>
      </c>
      <c r="D115" s="16"/>
      <c r="E115" s="16">
        <f>D113+D114</f>
        <v>600</v>
      </c>
      <c r="F115" s="16"/>
      <c r="G115" s="16"/>
      <c r="H115" s="57"/>
      <c r="I115" s="61"/>
      <c r="J115" s="61"/>
    </row>
    <row r="116" spans="1:10" x14ac:dyDescent="0.25">
      <c r="A116" s="47">
        <v>5.2</v>
      </c>
      <c r="B116" s="18" t="s">
        <v>255</v>
      </c>
      <c r="C116" s="15"/>
      <c r="D116" s="16"/>
      <c r="E116" s="16"/>
      <c r="F116" s="16"/>
      <c r="G116" s="16"/>
      <c r="H116" s="44"/>
      <c r="I116" s="44"/>
    </row>
    <row r="117" spans="1:10" x14ac:dyDescent="0.25">
      <c r="A117" s="47"/>
      <c r="B117" s="48"/>
      <c r="C117" s="44"/>
      <c r="D117" s="44"/>
      <c r="E117" s="44"/>
      <c r="F117" s="44"/>
      <c r="G117" s="44"/>
      <c r="H117" s="44"/>
      <c r="I117" s="44"/>
    </row>
    <row r="118" spans="1:10" x14ac:dyDescent="0.25">
      <c r="A118" s="47"/>
      <c r="B118" s="17">
        <v>182</v>
      </c>
      <c r="C118" s="15" t="s">
        <v>159</v>
      </c>
      <c r="D118" s="16">
        <f>1200</f>
        <v>1200</v>
      </c>
      <c r="E118" s="16"/>
      <c r="F118" s="16"/>
      <c r="G118" s="16"/>
      <c r="H118" s="57" t="s">
        <v>252</v>
      </c>
      <c r="I118" s="61"/>
      <c r="J118" s="61"/>
    </row>
    <row r="119" spans="1:10" x14ac:dyDescent="0.25">
      <c r="A119" s="47"/>
      <c r="B119" s="17">
        <v>40111</v>
      </c>
      <c r="C119" s="15" t="s">
        <v>129</v>
      </c>
      <c r="D119" s="16">
        <f>D118*0.18</f>
        <v>216</v>
      </c>
      <c r="E119" s="16"/>
      <c r="F119" s="16"/>
      <c r="G119" s="16"/>
      <c r="H119" s="57"/>
      <c r="I119" s="61"/>
      <c r="J119" s="61"/>
    </row>
    <row r="120" spans="1:10" x14ac:dyDescent="0.25">
      <c r="A120" s="47"/>
      <c r="B120" s="17">
        <v>4212</v>
      </c>
      <c r="C120" s="15" t="s">
        <v>118</v>
      </c>
      <c r="D120" s="16"/>
      <c r="E120" s="16">
        <f>D118+D119</f>
        <v>1416</v>
      </c>
      <c r="F120" s="16"/>
      <c r="G120" s="16"/>
      <c r="H120" s="57"/>
      <c r="I120" s="61"/>
      <c r="J120" s="61"/>
    </row>
    <row r="121" spans="1:10" x14ac:dyDescent="0.25">
      <c r="A121" s="47">
        <v>5.3</v>
      </c>
      <c r="B121" s="18" t="s">
        <v>160</v>
      </c>
      <c r="C121" s="15"/>
      <c r="D121" s="15"/>
      <c r="E121" s="15"/>
      <c r="F121" s="15"/>
      <c r="G121" s="15"/>
      <c r="H121" s="57"/>
      <c r="I121" s="61"/>
      <c r="J121" s="61"/>
    </row>
    <row r="122" spans="1:10" x14ac:dyDescent="0.25">
      <c r="A122" s="47"/>
      <c r="B122"/>
      <c r="D122" s="45"/>
      <c r="E122" s="45"/>
      <c r="F122" s="45"/>
      <c r="G122" s="45"/>
      <c r="H122" s="44"/>
      <c r="I122" s="44"/>
    </row>
    <row r="123" spans="1:10" x14ac:dyDescent="0.25">
      <c r="A123" s="47"/>
      <c r="B123" s="17">
        <v>651</v>
      </c>
      <c r="C123" s="15" t="s">
        <v>159</v>
      </c>
      <c r="D123" s="16">
        <f>D118/6</f>
        <v>200</v>
      </c>
      <c r="E123" s="16"/>
      <c r="F123" s="16"/>
      <c r="G123" s="16"/>
      <c r="H123" s="57" t="s">
        <v>257</v>
      </c>
      <c r="I123" s="61"/>
      <c r="J123" s="61"/>
    </row>
    <row r="124" spans="1:10" x14ac:dyDescent="0.25">
      <c r="A124" s="47"/>
      <c r="B124" s="17">
        <v>182</v>
      </c>
      <c r="C124" s="15" t="s">
        <v>159</v>
      </c>
      <c r="D124" s="16"/>
      <c r="E124" s="16">
        <f>D123</f>
        <v>200</v>
      </c>
      <c r="F124" s="16"/>
      <c r="G124" s="16"/>
      <c r="H124" s="57"/>
      <c r="I124" s="61"/>
      <c r="J124" s="61"/>
    </row>
    <row r="125" spans="1:10" x14ac:dyDescent="0.25">
      <c r="A125" s="47">
        <v>5.3</v>
      </c>
      <c r="B125" s="18" t="s">
        <v>162</v>
      </c>
      <c r="C125" s="15"/>
      <c r="D125" s="16"/>
      <c r="E125" s="16"/>
      <c r="F125" s="16"/>
      <c r="G125" s="16"/>
      <c r="H125" s="57"/>
      <c r="I125" s="61"/>
      <c r="J125" s="61"/>
    </row>
    <row r="126" spans="1:10" x14ac:dyDescent="0.25">
      <c r="A126" s="47"/>
      <c r="D126" s="45"/>
      <c r="E126" s="45"/>
      <c r="F126" s="45"/>
      <c r="G126" s="45"/>
      <c r="H126" s="44"/>
      <c r="I126" s="44"/>
    </row>
    <row r="127" spans="1:10" x14ac:dyDescent="0.25">
      <c r="A127" s="47"/>
      <c r="B127" s="17">
        <v>94</v>
      </c>
      <c r="C127" s="15" t="s">
        <v>153</v>
      </c>
      <c r="D127" s="16">
        <f>D123</f>
        <v>200</v>
      </c>
      <c r="E127" s="16"/>
      <c r="F127" s="16"/>
      <c r="G127" s="16"/>
      <c r="H127" s="44"/>
      <c r="I127" s="44"/>
    </row>
    <row r="128" spans="1:10" x14ac:dyDescent="0.25">
      <c r="A128" s="47"/>
      <c r="B128" s="17">
        <v>79</v>
      </c>
      <c r="C128" s="15" t="s">
        <v>13</v>
      </c>
      <c r="D128" s="16"/>
      <c r="E128" s="16">
        <f>D127</f>
        <v>200</v>
      </c>
      <c r="F128" s="16"/>
      <c r="G128" s="16"/>
      <c r="H128" s="44"/>
      <c r="I128" s="44"/>
    </row>
    <row r="129" spans="1:10" x14ac:dyDescent="0.25">
      <c r="A129" s="47">
        <v>5.3</v>
      </c>
      <c r="B129" s="18" t="s">
        <v>218</v>
      </c>
      <c r="C129" s="15"/>
      <c r="D129" s="16"/>
      <c r="E129" s="16"/>
      <c r="F129" s="16"/>
      <c r="G129" s="16"/>
      <c r="H129" s="44"/>
      <c r="I129" s="44"/>
    </row>
    <row r="130" spans="1:10" x14ac:dyDescent="0.25">
      <c r="A130" s="47"/>
      <c r="D130" s="44"/>
      <c r="E130" s="44"/>
      <c r="F130" s="44"/>
      <c r="G130" s="44"/>
      <c r="H130" s="44"/>
      <c r="I130" s="44"/>
    </row>
    <row r="131" spans="1:10" x14ac:dyDescent="0.25">
      <c r="A131" s="47"/>
      <c r="B131" s="17">
        <v>4212</v>
      </c>
      <c r="C131" s="15" t="s">
        <v>118</v>
      </c>
      <c r="D131" s="16">
        <f>E120</f>
        <v>1416</v>
      </c>
      <c r="E131" s="16"/>
      <c r="F131" s="16"/>
      <c r="G131" s="16"/>
      <c r="H131" s="44"/>
      <c r="I131" s="44"/>
    </row>
    <row r="132" spans="1:10" x14ac:dyDescent="0.25">
      <c r="A132" s="47"/>
      <c r="B132" s="80">
        <v>10411</v>
      </c>
      <c r="C132" s="81" t="s">
        <v>94</v>
      </c>
      <c r="D132" s="82"/>
      <c r="E132" s="82">
        <f>D131</f>
        <v>1416</v>
      </c>
      <c r="F132" s="16"/>
      <c r="G132" s="16"/>
      <c r="H132" s="44"/>
      <c r="I132" s="44"/>
    </row>
    <row r="133" spans="1:10" x14ac:dyDescent="0.25">
      <c r="A133" s="47">
        <v>5.3</v>
      </c>
      <c r="B133" s="18" t="s">
        <v>177</v>
      </c>
      <c r="C133" s="15"/>
      <c r="D133" s="16"/>
      <c r="E133" s="16"/>
      <c r="F133" s="16"/>
      <c r="G133" s="16"/>
      <c r="H133" s="44"/>
      <c r="I133" s="44"/>
    </row>
    <row r="134" spans="1:10" x14ac:dyDescent="0.25">
      <c r="A134" s="47"/>
      <c r="B134" s="44"/>
      <c r="C134" s="44"/>
      <c r="D134" s="44"/>
      <c r="E134" s="44"/>
      <c r="F134" s="44"/>
      <c r="G134" s="44"/>
      <c r="H134" s="44"/>
      <c r="I134" s="44"/>
    </row>
    <row r="135" spans="1:10" x14ac:dyDescent="0.25">
      <c r="A135" s="47"/>
      <c r="B135" s="17">
        <v>656</v>
      </c>
      <c r="C135" s="15" t="s">
        <v>176</v>
      </c>
      <c r="D135" s="16">
        <f>300</f>
        <v>300</v>
      </c>
      <c r="E135" s="16"/>
      <c r="F135" s="16"/>
      <c r="G135" s="16"/>
      <c r="H135" s="57" t="s">
        <v>252</v>
      </c>
      <c r="I135" s="61"/>
      <c r="J135" s="61"/>
    </row>
    <row r="136" spans="1:10" ht="15" customHeight="1" x14ac:dyDescent="0.25">
      <c r="A136" s="47"/>
      <c r="B136" s="17">
        <v>40111</v>
      </c>
      <c r="C136" s="15" t="s">
        <v>129</v>
      </c>
      <c r="D136" s="16">
        <f>D135*0.18</f>
        <v>54</v>
      </c>
      <c r="E136" s="16"/>
      <c r="F136" s="16"/>
      <c r="G136" s="16"/>
      <c r="H136" s="57"/>
      <c r="I136" s="61"/>
      <c r="J136" s="61"/>
    </row>
    <row r="137" spans="1:10" x14ac:dyDescent="0.25">
      <c r="A137" s="47"/>
      <c r="B137" s="17">
        <v>4212</v>
      </c>
      <c r="C137" s="15" t="s">
        <v>118</v>
      </c>
      <c r="D137" s="16"/>
      <c r="E137" s="16">
        <f>D135+D136</f>
        <v>354</v>
      </c>
      <c r="F137" s="16"/>
      <c r="G137" s="16"/>
      <c r="H137" s="57"/>
      <c r="I137" s="61"/>
      <c r="J137" s="61"/>
    </row>
    <row r="138" spans="1:10" x14ac:dyDescent="0.25">
      <c r="A138" s="47">
        <v>5.4</v>
      </c>
      <c r="B138" s="18" t="s">
        <v>178</v>
      </c>
      <c r="C138" s="15"/>
      <c r="D138" s="16"/>
      <c r="E138" s="16"/>
      <c r="F138" s="16"/>
      <c r="G138" s="16"/>
      <c r="H138" s="57"/>
      <c r="I138" s="61"/>
      <c r="J138" s="61"/>
    </row>
    <row r="139" spans="1:10" x14ac:dyDescent="0.25">
      <c r="A139" s="47"/>
      <c r="B139"/>
      <c r="D139" s="45"/>
      <c r="E139" s="45"/>
      <c r="F139" s="45"/>
      <c r="G139" s="45"/>
    </row>
    <row r="140" spans="1:10" x14ac:dyDescent="0.25">
      <c r="A140" s="47"/>
      <c r="B140" s="17">
        <v>95</v>
      </c>
      <c r="C140" s="15" t="s">
        <v>12</v>
      </c>
      <c r="D140" s="16">
        <f>D135</f>
        <v>300</v>
      </c>
      <c r="E140" s="16"/>
      <c r="F140" s="16"/>
      <c r="G140" s="16"/>
      <c r="H140" s="44"/>
      <c r="I140" s="44"/>
    </row>
    <row r="141" spans="1:10" x14ac:dyDescent="0.25">
      <c r="A141" s="47"/>
      <c r="B141" s="17">
        <v>79</v>
      </c>
      <c r="C141" s="15" t="s">
        <v>13</v>
      </c>
      <c r="D141" s="16"/>
      <c r="E141" s="16">
        <f>D140</f>
        <v>300</v>
      </c>
      <c r="F141" s="16"/>
      <c r="G141" s="16"/>
      <c r="H141" s="44"/>
      <c r="I141" s="44"/>
    </row>
    <row r="142" spans="1:10" x14ac:dyDescent="0.25">
      <c r="A142" s="47">
        <v>5.4</v>
      </c>
      <c r="B142" s="18" t="s">
        <v>179</v>
      </c>
      <c r="C142" s="15"/>
      <c r="D142" s="16"/>
      <c r="E142" s="16"/>
      <c r="F142" s="16"/>
      <c r="G142" s="16"/>
      <c r="H142" s="44"/>
      <c r="I142" s="44"/>
    </row>
    <row r="143" spans="1:10" x14ac:dyDescent="0.25">
      <c r="A143" s="47"/>
      <c r="B143"/>
      <c r="D143" s="45"/>
      <c r="E143" s="45"/>
      <c r="F143" s="45"/>
      <c r="G143" s="45"/>
      <c r="H143" s="44"/>
      <c r="I143" s="44"/>
    </row>
    <row r="144" spans="1:10" x14ac:dyDescent="0.25">
      <c r="A144" s="47"/>
      <c r="B144" s="17">
        <v>4212</v>
      </c>
      <c r="C144" s="15" t="s">
        <v>118</v>
      </c>
      <c r="D144" s="16">
        <f>E137</f>
        <v>354</v>
      </c>
      <c r="E144" s="16"/>
      <c r="F144" s="16"/>
      <c r="G144" s="16"/>
      <c r="H144" s="44"/>
      <c r="I144" s="44"/>
    </row>
    <row r="145" spans="1:35" x14ac:dyDescent="0.25">
      <c r="A145" s="47"/>
      <c r="B145" s="80">
        <v>10411</v>
      </c>
      <c r="C145" s="81" t="s">
        <v>94</v>
      </c>
      <c r="D145" s="81"/>
      <c r="E145" s="82">
        <f>D144</f>
        <v>354</v>
      </c>
      <c r="F145" s="15"/>
      <c r="G145" s="15"/>
      <c r="H145" s="44"/>
      <c r="I145" s="44"/>
    </row>
    <row r="146" spans="1:35" x14ac:dyDescent="0.25">
      <c r="A146" s="47">
        <v>5.4</v>
      </c>
      <c r="B146" s="18" t="s">
        <v>180</v>
      </c>
      <c r="C146" s="15"/>
      <c r="D146" s="16"/>
      <c r="E146" s="16"/>
      <c r="F146" s="16"/>
      <c r="G146" s="16"/>
      <c r="H146" s="44"/>
      <c r="I146" s="44"/>
    </row>
    <row r="147" spans="1:35" x14ac:dyDescent="0.25">
      <c r="A147" s="47"/>
      <c r="B147" s="48"/>
      <c r="C147" s="44"/>
      <c r="D147" s="45"/>
      <c r="E147" s="45"/>
      <c r="F147" s="45"/>
      <c r="G147" s="45"/>
      <c r="H147" s="44"/>
      <c r="I147" s="44"/>
    </row>
    <row r="148" spans="1:35" x14ac:dyDescent="0.25">
      <c r="A148" s="47"/>
      <c r="B148" s="17">
        <v>6211</v>
      </c>
      <c r="C148" s="15" t="s">
        <v>167</v>
      </c>
      <c r="D148" s="25">
        <f>Datos!F85</f>
        <v>4102.5</v>
      </c>
      <c r="E148" s="25"/>
      <c r="F148" s="16"/>
      <c r="G148" s="16"/>
      <c r="H148" s="59" t="s">
        <v>274</v>
      </c>
      <c r="I148" s="60"/>
      <c r="J148" s="60"/>
    </row>
    <row r="149" spans="1:35" x14ac:dyDescent="0.25">
      <c r="A149" s="47"/>
      <c r="B149" s="17">
        <v>6275</v>
      </c>
      <c r="C149" s="73" t="s">
        <v>278</v>
      </c>
      <c r="D149" s="25">
        <f>Datos!H82</f>
        <v>92.306249999999991</v>
      </c>
      <c r="E149" s="25"/>
      <c r="F149" s="16"/>
      <c r="G149" s="16"/>
      <c r="H149" s="70" t="s">
        <v>279</v>
      </c>
      <c r="I149" s="71"/>
      <c r="J149" s="71"/>
    </row>
    <row r="150" spans="1:35" x14ac:dyDescent="0.25">
      <c r="A150" s="47"/>
      <c r="B150" s="17">
        <v>6271</v>
      </c>
      <c r="C150" s="15" t="s">
        <v>168</v>
      </c>
      <c r="D150" s="25">
        <f>Datos!H81</f>
        <v>276.91875000000005</v>
      </c>
      <c r="E150" s="25"/>
      <c r="F150" s="16"/>
      <c r="G150" s="16"/>
      <c r="H150" s="59" t="s">
        <v>275</v>
      </c>
      <c r="I150" s="60"/>
      <c r="J150" s="60"/>
    </row>
    <row r="151" spans="1:35" x14ac:dyDescent="0.25">
      <c r="A151" s="47"/>
      <c r="B151" s="17">
        <v>4031</v>
      </c>
      <c r="C151" s="15" t="s">
        <v>149</v>
      </c>
      <c r="D151" s="25"/>
      <c r="E151" s="25">
        <f>D150</f>
        <v>276.91875000000005</v>
      </c>
      <c r="F151" s="15"/>
      <c r="G151" s="15"/>
      <c r="H151" s="59" t="s">
        <v>275</v>
      </c>
      <c r="I151" s="60"/>
      <c r="J151" s="60"/>
    </row>
    <row r="152" spans="1:35" s="73" customFormat="1" x14ac:dyDescent="0.25">
      <c r="A152" s="47"/>
      <c r="B152" s="17">
        <v>404</v>
      </c>
      <c r="C152" s="15" t="s">
        <v>280</v>
      </c>
      <c r="D152" s="25"/>
      <c r="E152" s="25">
        <f>D149</f>
        <v>92.306249999999991</v>
      </c>
      <c r="F152" s="15"/>
      <c r="G152" s="15"/>
      <c r="H152" s="70" t="s">
        <v>279</v>
      </c>
      <c r="I152" s="71"/>
      <c r="J152" s="71"/>
      <c r="AI152" s="74"/>
    </row>
    <row r="153" spans="1:35" x14ac:dyDescent="0.25">
      <c r="A153" s="47"/>
      <c r="B153" s="17">
        <v>4111</v>
      </c>
      <c r="C153" s="15" t="s">
        <v>169</v>
      </c>
      <c r="D153" s="25"/>
      <c r="E153" s="25">
        <f>D148-E154-E155</f>
        <v>3230.71875</v>
      </c>
      <c r="F153" s="16"/>
      <c r="G153" s="16"/>
      <c r="H153" s="68" t="s">
        <v>281</v>
      </c>
      <c r="I153" s="69"/>
      <c r="J153" s="69"/>
      <c r="K153" s="69"/>
    </row>
    <row r="154" spans="1:35" x14ac:dyDescent="0.25">
      <c r="A154" s="47"/>
      <c r="B154" s="17">
        <v>417</v>
      </c>
      <c r="C154" s="15" t="s">
        <v>151</v>
      </c>
      <c r="D154" s="25"/>
      <c r="E154" s="25">
        <f>Datos!D81+Datos!D82+Datos!D83</f>
        <v>543.58124999999995</v>
      </c>
      <c r="F154" s="16"/>
      <c r="G154" s="16"/>
      <c r="H154" s="59" t="s">
        <v>276</v>
      </c>
      <c r="I154" s="60"/>
      <c r="J154" s="60"/>
    </row>
    <row r="155" spans="1:35" s="73" customFormat="1" x14ac:dyDescent="0.25">
      <c r="A155" s="47"/>
      <c r="B155" s="78">
        <v>40171</v>
      </c>
      <c r="C155" s="15" t="s">
        <v>7</v>
      </c>
      <c r="D155" s="25"/>
      <c r="E155" s="25">
        <f>Datos!D84</f>
        <v>328.2</v>
      </c>
      <c r="F155" s="16"/>
      <c r="G155" s="16"/>
      <c r="H155" s="59" t="s">
        <v>282</v>
      </c>
      <c r="I155" s="60"/>
      <c r="J155" s="60"/>
      <c r="AI155" s="74"/>
    </row>
    <row r="156" spans="1:35" x14ac:dyDescent="0.25">
      <c r="A156" s="47">
        <v>6</v>
      </c>
      <c r="B156" s="18" t="s">
        <v>170</v>
      </c>
      <c r="C156" s="15"/>
      <c r="D156" s="25"/>
      <c r="E156" s="25"/>
      <c r="F156" s="16"/>
      <c r="G156" s="16"/>
      <c r="H156" s="44"/>
      <c r="I156" s="44"/>
    </row>
    <row r="157" spans="1:35" x14ac:dyDescent="0.25">
      <c r="A157" s="47"/>
      <c r="B157"/>
      <c r="D157" s="50"/>
      <c r="E157" s="50"/>
      <c r="F157" s="45"/>
      <c r="G157" s="45"/>
      <c r="H157" s="44"/>
      <c r="I157" s="44"/>
    </row>
    <row r="158" spans="1:35" x14ac:dyDescent="0.25">
      <c r="A158" s="47"/>
      <c r="B158" s="17">
        <v>94</v>
      </c>
      <c r="C158" s="15" t="s">
        <v>153</v>
      </c>
      <c r="D158" s="25">
        <f>(D148+D150+D149)/2</f>
        <v>2235.8624999999997</v>
      </c>
      <c r="E158" s="25"/>
      <c r="F158" s="16"/>
      <c r="G158" s="16"/>
      <c r="H158" s="57" t="s">
        <v>277</v>
      </c>
      <c r="I158" s="61"/>
      <c r="J158" s="61"/>
    </row>
    <row r="159" spans="1:35" x14ac:dyDescent="0.25">
      <c r="A159" s="47"/>
      <c r="B159" s="17">
        <v>95</v>
      </c>
      <c r="C159" s="15" t="s">
        <v>12</v>
      </c>
      <c r="D159" s="25">
        <f>D158</f>
        <v>2235.8624999999997</v>
      </c>
      <c r="E159" s="25"/>
      <c r="F159" s="16"/>
      <c r="G159" s="16"/>
      <c r="H159" s="57"/>
      <c r="I159" s="61"/>
      <c r="J159" s="61"/>
    </row>
    <row r="160" spans="1:35" x14ac:dyDescent="0.25">
      <c r="A160" s="47"/>
      <c r="B160" s="17">
        <v>79</v>
      </c>
      <c r="C160" s="15" t="s">
        <v>13</v>
      </c>
      <c r="D160" s="25"/>
      <c r="E160" s="25">
        <f>D158+D159</f>
        <v>4471.7249999999995</v>
      </c>
      <c r="F160" s="16"/>
      <c r="G160" s="16"/>
      <c r="H160" s="57"/>
      <c r="I160" s="61"/>
      <c r="J160" s="61"/>
    </row>
    <row r="161" spans="1:10" x14ac:dyDescent="0.25">
      <c r="A161" s="47">
        <v>6</v>
      </c>
      <c r="B161" s="18" t="s">
        <v>171</v>
      </c>
      <c r="C161" s="15"/>
      <c r="D161" s="25"/>
      <c r="E161" s="25"/>
      <c r="F161" s="16"/>
      <c r="G161" s="16"/>
      <c r="H161" s="57"/>
      <c r="I161" s="61"/>
      <c r="J161" s="61"/>
    </row>
    <row r="162" spans="1:10" x14ac:dyDescent="0.25">
      <c r="A162" s="47"/>
      <c r="B162"/>
      <c r="D162" s="50"/>
      <c r="E162" s="50"/>
      <c r="F162" s="45"/>
      <c r="G162" s="45"/>
      <c r="H162" s="44"/>
      <c r="I162" s="44"/>
    </row>
    <row r="163" spans="1:10" x14ac:dyDescent="0.25">
      <c r="A163" s="47"/>
      <c r="B163" s="17">
        <v>4111</v>
      </c>
      <c r="C163" s="15" t="s">
        <v>169</v>
      </c>
      <c r="D163" s="25">
        <f>E153</f>
        <v>3230.71875</v>
      </c>
      <c r="E163" s="25"/>
      <c r="F163" s="16"/>
      <c r="G163" s="16"/>
      <c r="H163" s="44"/>
      <c r="I163" s="44"/>
    </row>
    <row r="164" spans="1:10" x14ac:dyDescent="0.25">
      <c r="A164" s="47"/>
      <c r="B164" s="80">
        <v>10411</v>
      </c>
      <c r="C164" s="81" t="s">
        <v>94</v>
      </c>
      <c r="D164" s="83"/>
      <c r="E164" s="83">
        <f>D163</f>
        <v>3230.71875</v>
      </c>
      <c r="F164" s="16"/>
      <c r="G164" s="16"/>
      <c r="H164" s="44"/>
      <c r="I164" s="44"/>
    </row>
    <row r="165" spans="1:10" x14ac:dyDescent="0.25">
      <c r="A165" s="47">
        <v>6</v>
      </c>
      <c r="B165" s="18" t="s">
        <v>181</v>
      </c>
      <c r="C165" s="15"/>
      <c r="D165" s="25"/>
      <c r="E165" s="25"/>
      <c r="F165" s="15"/>
      <c r="G165" s="15"/>
      <c r="H165" s="44"/>
      <c r="I165" s="44"/>
    </row>
    <row r="166" spans="1:10" x14ac:dyDescent="0.25">
      <c r="A166" s="47"/>
      <c r="D166" s="50"/>
      <c r="E166" s="50"/>
      <c r="F166" s="45"/>
      <c r="G166" s="45"/>
      <c r="H166" s="44"/>
      <c r="I166" s="44"/>
    </row>
    <row r="167" spans="1:10" x14ac:dyDescent="0.25">
      <c r="A167" s="47"/>
      <c r="B167" s="17">
        <v>6214</v>
      </c>
      <c r="C167" s="15" t="s">
        <v>172</v>
      </c>
      <c r="D167" s="16">
        <f>D148/6</f>
        <v>683.75</v>
      </c>
      <c r="E167" s="16"/>
      <c r="F167" s="16"/>
      <c r="G167" s="16"/>
      <c r="H167" s="44" t="s">
        <v>284</v>
      </c>
      <c r="I167" s="44"/>
    </row>
    <row r="168" spans="1:10" x14ac:dyDescent="0.25">
      <c r="A168" s="47"/>
      <c r="B168" s="17">
        <v>6215</v>
      </c>
      <c r="C168" s="15" t="s">
        <v>114</v>
      </c>
      <c r="D168" s="16">
        <f>D148/12</f>
        <v>341.875</v>
      </c>
      <c r="E168" s="16"/>
      <c r="F168" s="16"/>
      <c r="G168" s="16"/>
      <c r="H168" s="44" t="s">
        <v>283</v>
      </c>
      <c r="I168" s="44"/>
    </row>
    <row r="169" spans="1:10" x14ac:dyDescent="0.25">
      <c r="A169" s="47"/>
      <c r="B169" s="17">
        <v>6291</v>
      </c>
      <c r="C169" s="15" t="s">
        <v>117</v>
      </c>
      <c r="D169" s="16">
        <f>(D167+D148)/12</f>
        <v>398.85416666666669</v>
      </c>
      <c r="E169" s="16"/>
      <c r="F169" s="16"/>
      <c r="G169" s="16"/>
      <c r="H169" s="44" t="s">
        <v>285</v>
      </c>
      <c r="I169" s="44"/>
    </row>
    <row r="170" spans="1:10" x14ac:dyDescent="0.25">
      <c r="A170" s="47"/>
      <c r="B170" s="17">
        <v>4114</v>
      </c>
      <c r="C170" s="15" t="s">
        <v>172</v>
      </c>
      <c r="D170" s="16"/>
      <c r="E170" s="16">
        <f>D167</f>
        <v>683.75</v>
      </c>
      <c r="F170" s="15"/>
      <c r="G170" s="15"/>
      <c r="H170" s="44"/>
      <c r="I170" s="44"/>
    </row>
    <row r="171" spans="1:10" x14ac:dyDescent="0.25">
      <c r="A171" s="47"/>
      <c r="B171" s="17">
        <v>4115</v>
      </c>
      <c r="C171" s="15" t="s">
        <v>130</v>
      </c>
      <c r="D171" s="16"/>
      <c r="E171" s="16">
        <f>D168</f>
        <v>341.875</v>
      </c>
      <c r="F171" s="16"/>
      <c r="G171" s="16"/>
      <c r="H171" s="44"/>
      <c r="I171" s="44"/>
    </row>
    <row r="172" spans="1:10" x14ac:dyDescent="0.25">
      <c r="A172" s="47"/>
      <c r="B172" s="17">
        <v>4151</v>
      </c>
      <c r="C172" s="15" t="s">
        <v>131</v>
      </c>
      <c r="D172" s="16"/>
      <c r="E172" s="16">
        <f>D169</f>
        <v>398.85416666666669</v>
      </c>
      <c r="F172" s="16"/>
      <c r="G172" s="16"/>
      <c r="H172" s="44"/>
      <c r="I172" s="44"/>
    </row>
    <row r="173" spans="1:10" x14ac:dyDescent="0.25">
      <c r="A173" s="47">
        <v>6</v>
      </c>
      <c r="B173" s="18" t="s">
        <v>173</v>
      </c>
      <c r="C173" s="15"/>
      <c r="D173" s="16"/>
      <c r="E173" s="16"/>
      <c r="F173" s="16"/>
      <c r="G173" s="16"/>
      <c r="H173" s="44"/>
      <c r="I173" s="44"/>
    </row>
    <row r="174" spans="1:10" x14ac:dyDescent="0.25">
      <c r="A174" s="47"/>
      <c r="B174"/>
      <c r="D174" s="45"/>
      <c r="E174" s="45"/>
      <c r="F174" s="45"/>
      <c r="G174" s="45"/>
      <c r="H174" s="44"/>
      <c r="I174" s="44"/>
    </row>
    <row r="175" spans="1:10" x14ac:dyDescent="0.25">
      <c r="A175" s="47"/>
      <c r="B175" s="17">
        <v>94</v>
      </c>
      <c r="C175" s="15" t="s">
        <v>153</v>
      </c>
      <c r="D175" s="25">
        <f>(E170+E171+E172)/2</f>
        <v>712.23958333333337</v>
      </c>
      <c r="E175" s="25"/>
      <c r="F175" s="16"/>
      <c r="G175" s="16"/>
      <c r="H175" s="44"/>
      <c r="I175" s="44"/>
    </row>
    <row r="176" spans="1:10" x14ac:dyDescent="0.25">
      <c r="A176" s="47"/>
      <c r="B176" s="17">
        <v>95</v>
      </c>
      <c r="C176" s="15" t="s">
        <v>12</v>
      </c>
      <c r="D176" s="25">
        <f>D175</f>
        <v>712.23958333333337</v>
      </c>
      <c r="E176" s="25"/>
      <c r="F176" s="16"/>
      <c r="G176" s="16"/>
      <c r="H176" s="44"/>
      <c r="I176" s="44"/>
    </row>
    <row r="177" spans="1:9" x14ac:dyDescent="0.25">
      <c r="A177" s="47"/>
      <c r="B177" s="17">
        <v>79</v>
      </c>
      <c r="C177" s="15" t="s">
        <v>13</v>
      </c>
      <c r="D177" s="25"/>
      <c r="E177" s="25">
        <f>D175+D176</f>
        <v>1424.4791666666667</v>
      </c>
      <c r="F177" s="16"/>
      <c r="G177" s="16"/>
      <c r="H177" s="44"/>
      <c r="I177" s="44"/>
    </row>
    <row r="178" spans="1:9" x14ac:dyDescent="0.25">
      <c r="A178" s="47">
        <v>6</v>
      </c>
      <c r="B178" s="18" t="s">
        <v>174</v>
      </c>
      <c r="C178" s="15"/>
      <c r="D178" s="15"/>
      <c r="E178" s="15"/>
      <c r="F178" s="15"/>
      <c r="G178" s="15"/>
      <c r="H178" s="44"/>
      <c r="I178" s="44"/>
    </row>
    <row r="179" spans="1:9" x14ac:dyDescent="0.25">
      <c r="A179" s="47"/>
      <c r="B179" s="48"/>
      <c r="C179" s="44"/>
      <c r="D179" s="45"/>
      <c r="E179" s="45"/>
      <c r="F179" s="45"/>
      <c r="G179" s="45"/>
      <c r="H179" s="44"/>
      <c r="I179" s="44"/>
    </row>
    <row r="180" spans="1:9" ht="15.75" thickBot="1" x14ac:dyDescent="0.3">
      <c r="A180" s="47"/>
      <c r="B180" s="48"/>
      <c r="C180" s="44"/>
      <c r="D180" s="36">
        <f>SUM(D5:D178)</f>
        <v>218547.44708333333</v>
      </c>
      <c r="E180" s="36">
        <f>SUM(E5:E178)</f>
        <v>218547.44708333333</v>
      </c>
      <c r="F180" s="45"/>
      <c r="G180" s="45"/>
      <c r="H180" s="44"/>
      <c r="I180" s="44"/>
    </row>
    <row r="181" spans="1:9" ht="15.75" thickTop="1" x14ac:dyDescent="0.25">
      <c r="A181" s="47"/>
      <c r="B181" s="48"/>
      <c r="C181" s="44"/>
      <c r="D181" s="45"/>
      <c r="E181" s="45"/>
      <c r="F181" s="45"/>
      <c r="G181" s="45"/>
      <c r="H181" s="44"/>
      <c r="I181" s="44"/>
    </row>
    <row r="182" spans="1:9" x14ac:dyDescent="0.25">
      <c r="A182" s="47"/>
      <c r="B182" s="43"/>
      <c r="C182" s="44"/>
      <c r="D182" s="45"/>
      <c r="E182" s="45"/>
      <c r="F182" s="45"/>
      <c r="G182" s="45"/>
      <c r="H182" s="44"/>
      <c r="I182" s="44"/>
    </row>
    <row r="183" spans="1:9" x14ac:dyDescent="0.25">
      <c r="A183" s="47"/>
      <c r="B183" s="44"/>
      <c r="C183" s="44"/>
      <c r="D183" s="44"/>
      <c r="E183" s="44"/>
      <c r="F183" s="44"/>
      <c r="G183" s="44"/>
      <c r="H183" s="44"/>
      <c r="I183" s="44"/>
    </row>
    <row r="184" spans="1:9" x14ac:dyDescent="0.25">
      <c r="A184" s="47"/>
      <c r="B184" s="48"/>
      <c r="C184" s="44"/>
      <c r="D184" s="45"/>
      <c r="E184" s="45"/>
      <c r="F184" s="45"/>
      <c r="G184" s="45"/>
      <c r="H184" s="44"/>
      <c r="I184" s="44"/>
    </row>
    <row r="185" spans="1:9" x14ac:dyDescent="0.25">
      <c r="A185" s="47"/>
      <c r="B185" s="48"/>
      <c r="C185" s="44"/>
      <c r="D185" s="45"/>
      <c r="E185" s="45"/>
      <c r="F185" s="45"/>
      <c r="G185" s="45"/>
      <c r="H185" s="44"/>
      <c r="I185" s="44"/>
    </row>
    <row r="186" spans="1:9" x14ac:dyDescent="0.25">
      <c r="A186" s="47"/>
      <c r="B186" s="48"/>
      <c r="C186" s="44"/>
      <c r="D186" s="45"/>
      <c r="E186" s="45"/>
      <c r="F186" s="45"/>
      <c r="G186" s="45"/>
      <c r="H186" s="44"/>
      <c r="I186" s="44"/>
    </row>
    <row r="187" spans="1:9" x14ac:dyDescent="0.25">
      <c r="A187" s="47"/>
      <c r="B187" s="48"/>
      <c r="C187" s="44"/>
      <c r="D187" s="45"/>
      <c r="E187" s="45"/>
      <c r="F187" s="45"/>
      <c r="G187" s="45"/>
      <c r="H187" s="44"/>
      <c r="I187" s="44"/>
    </row>
    <row r="188" spans="1:9" x14ac:dyDescent="0.25">
      <c r="A188" s="47"/>
      <c r="B188" s="43"/>
      <c r="C188" s="44"/>
      <c r="D188" s="45"/>
      <c r="E188" s="45"/>
      <c r="F188" s="45"/>
      <c r="G188" s="45"/>
      <c r="H188" s="44"/>
      <c r="I188" s="44"/>
    </row>
    <row r="189" spans="1:9" x14ac:dyDescent="0.25">
      <c r="A189" s="47"/>
      <c r="B189" s="44"/>
      <c r="C189" s="44"/>
      <c r="D189" s="44"/>
      <c r="E189" s="44"/>
      <c r="F189" s="44"/>
      <c r="G189" s="44"/>
      <c r="H189" s="44"/>
      <c r="I189" s="44"/>
    </row>
    <row r="190" spans="1:9" x14ac:dyDescent="0.25">
      <c r="A190" s="47"/>
      <c r="B190" s="48"/>
      <c r="C190" s="44"/>
      <c r="D190" s="45"/>
      <c r="E190" s="45"/>
      <c r="F190" s="45"/>
      <c r="G190" s="45"/>
      <c r="H190" s="44"/>
      <c r="I190" s="44"/>
    </row>
    <row r="191" spans="1:9" x14ac:dyDescent="0.25">
      <c r="A191" s="47"/>
      <c r="B191" s="48"/>
      <c r="C191" s="44"/>
      <c r="D191" s="45"/>
      <c r="E191" s="45"/>
      <c r="F191" s="45"/>
      <c r="G191" s="45"/>
      <c r="H191" s="45"/>
      <c r="I191" s="45"/>
    </row>
    <row r="192" spans="1:9" x14ac:dyDescent="0.25">
      <c r="A192" s="47"/>
      <c r="B192" s="43"/>
      <c r="C192" s="44"/>
      <c r="D192" s="45"/>
      <c r="E192" s="45"/>
      <c r="F192" s="45"/>
      <c r="G192" s="45"/>
      <c r="H192" s="44"/>
      <c r="I192" s="44"/>
    </row>
    <row r="193" spans="1:9" x14ac:dyDescent="0.25">
      <c r="A193" s="47"/>
      <c r="B193" s="44"/>
      <c r="C193" s="44"/>
      <c r="D193" s="44"/>
      <c r="E193" s="44"/>
      <c r="F193" s="44"/>
      <c r="G193" s="44"/>
      <c r="H193" s="44"/>
      <c r="I193" s="44"/>
    </row>
    <row r="194" spans="1:9" x14ac:dyDescent="0.25">
      <c r="A194" s="47"/>
      <c r="B194" s="48"/>
      <c r="C194" s="44"/>
      <c r="D194" s="45"/>
      <c r="E194" s="45"/>
      <c r="F194" s="45"/>
      <c r="G194" s="45"/>
      <c r="H194" s="44"/>
      <c r="I194" s="44"/>
    </row>
    <row r="195" spans="1:9" x14ac:dyDescent="0.25">
      <c r="A195" s="44"/>
      <c r="B195" s="48"/>
      <c r="C195" s="44"/>
      <c r="D195" s="45"/>
      <c r="E195" s="45"/>
      <c r="F195" s="45"/>
      <c r="G195" s="45"/>
      <c r="H195" s="44"/>
      <c r="I195" s="44"/>
    </row>
    <row r="196" spans="1:9" x14ac:dyDescent="0.25">
      <c r="A196" s="47"/>
      <c r="B196" s="43"/>
      <c r="C196" s="44"/>
      <c r="D196" s="45"/>
      <c r="E196" s="45"/>
      <c r="F196" s="45"/>
      <c r="G196" s="45"/>
      <c r="H196" s="44"/>
      <c r="I196" s="44"/>
    </row>
    <row r="197" spans="1:9" x14ac:dyDescent="0.25">
      <c r="A197" s="44"/>
      <c r="B197" s="48"/>
      <c r="C197" s="44"/>
      <c r="D197" s="45"/>
      <c r="E197" s="45"/>
      <c r="F197" s="45"/>
      <c r="G197" s="45"/>
      <c r="H197" s="51"/>
      <c r="I197" s="51"/>
    </row>
    <row r="198" spans="1:9" x14ac:dyDescent="0.25">
      <c r="A198" s="44"/>
      <c r="B198" s="48"/>
      <c r="C198" s="44"/>
      <c r="D198" s="45"/>
      <c r="E198" s="45"/>
      <c r="F198" s="45"/>
      <c r="G198" s="45"/>
      <c r="H198" s="44"/>
      <c r="I198" s="44"/>
    </row>
    <row r="199" spans="1:9" x14ac:dyDescent="0.25">
      <c r="A199" s="44"/>
      <c r="B199" s="48"/>
      <c r="C199" s="44"/>
      <c r="D199" s="45"/>
      <c r="E199" s="45"/>
      <c r="F199" s="45"/>
      <c r="G199" s="45"/>
      <c r="H199" s="44"/>
      <c r="I199" s="44"/>
    </row>
    <row r="200" spans="1:9" x14ac:dyDescent="0.25">
      <c r="A200" s="47"/>
      <c r="B200" s="43"/>
      <c r="C200" s="44"/>
      <c r="D200" s="45"/>
      <c r="E200" s="45"/>
      <c r="F200" s="45"/>
      <c r="G200" s="45"/>
      <c r="H200" s="44"/>
      <c r="I200" s="44"/>
    </row>
    <row r="201" spans="1:9" x14ac:dyDescent="0.25">
      <c r="A201" s="44"/>
      <c r="B201" s="48"/>
      <c r="C201" s="44"/>
      <c r="D201" s="44"/>
      <c r="E201" s="44"/>
      <c r="F201" s="44"/>
      <c r="G201" s="44"/>
      <c r="H201" s="44"/>
      <c r="I201" s="44"/>
    </row>
    <row r="202" spans="1:9" x14ac:dyDescent="0.25">
      <c r="A202" s="44"/>
      <c r="B202" s="48"/>
      <c r="C202" s="44"/>
      <c r="D202" s="45"/>
      <c r="E202" s="45"/>
      <c r="F202" s="44"/>
      <c r="G202" s="44"/>
      <c r="H202" s="44"/>
      <c r="I202" s="44"/>
    </row>
    <row r="203" spans="1:9" x14ac:dyDescent="0.25">
      <c r="A203" s="44"/>
      <c r="B203" s="48"/>
      <c r="C203" s="44"/>
      <c r="D203" s="44"/>
      <c r="E203" s="44"/>
      <c r="F203" s="44"/>
      <c r="G203" s="44"/>
      <c r="H203" s="44"/>
      <c r="I203" s="44"/>
    </row>
    <row r="204" spans="1:9" x14ac:dyDescent="0.25">
      <c r="A204" s="44"/>
      <c r="B204" s="48"/>
      <c r="C204" s="44"/>
      <c r="D204" s="44"/>
      <c r="E204" s="44"/>
      <c r="F204" s="44"/>
      <c r="G204" s="44"/>
      <c r="H204" s="44"/>
      <c r="I204" s="44"/>
    </row>
    <row r="205" spans="1:9" x14ac:dyDescent="0.25">
      <c r="A205" s="44"/>
      <c r="B205" s="48"/>
      <c r="C205" s="44"/>
      <c r="D205" s="44"/>
      <c r="E205" s="44"/>
      <c r="F205" s="44"/>
      <c r="G205" s="44"/>
      <c r="H205" s="44"/>
      <c r="I205" s="44"/>
    </row>
    <row r="206" spans="1:9" x14ac:dyDescent="0.25">
      <c r="A206" s="44"/>
      <c r="B206" s="48"/>
      <c r="C206" s="44"/>
      <c r="D206" s="44"/>
      <c r="E206" s="44"/>
      <c r="F206" s="44"/>
      <c r="G206" s="44"/>
      <c r="H206" s="44"/>
      <c r="I206" s="44"/>
    </row>
    <row r="207" spans="1:9" x14ac:dyDescent="0.25">
      <c r="A207" s="44"/>
      <c r="B207" s="48"/>
      <c r="C207" s="44"/>
      <c r="D207" s="44"/>
      <c r="E207" s="44"/>
      <c r="F207" s="44"/>
      <c r="G207" s="44"/>
      <c r="H207" s="44"/>
      <c r="I207" s="44"/>
    </row>
    <row r="208" spans="1:9" x14ac:dyDescent="0.25">
      <c r="A208" s="44"/>
      <c r="B208" s="48"/>
      <c r="C208" s="44"/>
      <c r="D208" s="44"/>
      <c r="E208" s="44"/>
      <c r="F208" s="44"/>
      <c r="G208" s="44"/>
      <c r="H208" s="44"/>
      <c r="I208" s="44"/>
    </row>
    <row r="209" spans="1:9" x14ac:dyDescent="0.25">
      <c r="A209" s="44"/>
      <c r="B209" s="48"/>
      <c r="C209" s="44"/>
      <c r="D209" s="44"/>
      <c r="E209" s="44"/>
      <c r="F209" s="44"/>
      <c r="G209" s="44"/>
      <c r="H209" s="44"/>
      <c r="I209" s="44"/>
    </row>
    <row r="210" spans="1:9" x14ac:dyDescent="0.25">
      <c r="A210" s="44"/>
      <c r="B210" s="48"/>
      <c r="C210" s="44"/>
      <c r="D210" s="44"/>
      <c r="E210" s="44"/>
      <c r="F210" s="44"/>
      <c r="G210" s="44"/>
      <c r="H210" s="44"/>
      <c r="I210" s="44"/>
    </row>
    <row r="211" spans="1:9" x14ac:dyDescent="0.25">
      <c r="A211" s="44"/>
      <c r="B211" s="48"/>
      <c r="C211" s="44"/>
      <c r="D211" s="44"/>
      <c r="E211" s="44"/>
      <c r="F211" s="44"/>
      <c r="G211" s="44"/>
      <c r="H211" s="44"/>
      <c r="I211" s="44"/>
    </row>
    <row r="212" spans="1:9" x14ac:dyDescent="0.25">
      <c r="A212" s="44"/>
      <c r="B212" s="48"/>
      <c r="C212" s="44"/>
      <c r="D212" s="44"/>
      <c r="E212" s="44"/>
      <c r="F212" s="44"/>
      <c r="G212" s="44"/>
      <c r="H212" s="44"/>
      <c r="I212" s="44"/>
    </row>
    <row r="213" spans="1:9" x14ac:dyDescent="0.25">
      <c r="A213" s="44"/>
      <c r="B213" s="48"/>
      <c r="C213" s="44"/>
      <c r="D213" s="44"/>
      <c r="E213" s="44"/>
      <c r="F213" s="44"/>
      <c r="G213" s="44"/>
      <c r="H213" s="44"/>
      <c r="I213" s="44"/>
    </row>
    <row r="240" spans="10:10" x14ac:dyDescent="0.25">
      <c r="J240" s="5"/>
    </row>
  </sheetData>
  <autoFilter ref="A3:AS200" xr:uid="{008640D4-4F8F-4383-9F2B-09D1AE53675D}"/>
  <mergeCells count="41">
    <mergeCell ref="AI103:AL107"/>
    <mergeCell ref="AM17:AN18"/>
    <mergeCell ref="AT12:AV13"/>
    <mergeCell ref="AT22:AV23"/>
    <mergeCell ref="AG12:AH13"/>
    <mergeCell ref="AM11:AN14"/>
    <mergeCell ref="AM33:AN33"/>
    <mergeCell ref="AI101:AL101"/>
    <mergeCell ref="H154:J154"/>
    <mergeCell ref="H158:J161"/>
    <mergeCell ref="H155:J155"/>
    <mergeCell ref="AC22:AD24"/>
    <mergeCell ref="H148:J148"/>
    <mergeCell ref="H150:J150"/>
    <mergeCell ref="H151:J151"/>
    <mergeCell ref="H113:J115"/>
    <mergeCell ref="H118:J121"/>
    <mergeCell ref="H123:J125"/>
    <mergeCell ref="H135:J138"/>
    <mergeCell ref="H88:I91"/>
    <mergeCell ref="H98:I101"/>
    <mergeCell ref="H93:J95"/>
    <mergeCell ref="H103:J105"/>
    <mergeCell ref="H108:I111"/>
    <mergeCell ref="H59:I62"/>
    <mergeCell ref="H64:I68"/>
    <mergeCell ref="H74:I78"/>
    <mergeCell ref="H80:J82"/>
    <mergeCell ref="X2:Y2"/>
    <mergeCell ref="L2:M2"/>
    <mergeCell ref="N2:O2"/>
    <mergeCell ref="P2:Q2"/>
    <mergeCell ref="R2:S2"/>
    <mergeCell ref="T2:U2"/>
    <mergeCell ref="V2:W2"/>
    <mergeCell ref="H23:I27"/>
    <mergeCell ref="H38:I41"/>
    <mergeCell ref="H43:I45"/>
    <mergeCell ref="H47:I49"/>
    <mergeCell ref="H29:I32"/>
    <mergeCell ref="H52:I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Julissa Carranza (PE)</dc:creator>
  <cp:lastModifiedBy>Rosse</cp:lastModifiedBy>
  <dcterms:created xsi:type="dcterms:W3CDTF">2024-06-14T16:27:11Z</dcterms:created>
  <dcterms:modified xsi:type="dcterms:W3CDTF">2024-12-06T19:44:33Z</dcterms:modified>
</cp:coreProperties>
</file>